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0" yWindow="0" windowWidth="28800" windowHeight="12600" tabRatio="951"/>
  </bookViews>
  <sheets>
    <sheet name="INSTRUCTIONS" sheetId="1" r:id="rId1"/>
    <sheet name="Funding by District" sheetId="11" state="hidden" r:id="rId2"/>
    <sheet name="1.) Name of School" sheetId="3" r:id="rId3"/>
    <sheet name="2.) Enrollment" sheetId="21" r:id="rId4"/>
    <sheet name="3.) Staffing Plan" sheetId="14" r:id="rId5"/>
    <sheet name="4.) Yearly Budget" sheetId="18" r:id="rId6"/>
    <sheet name="5.) Balance Sheet" sheetId="17" r:id="rId7"/>
    <sheet name="6.) Quarterly Report" sheetId="20" r:id="rId8"/>
    <sheet name="7.) Annual Report Requirement" sheetId="19" r:id="rId9"/>
    <sheet name="CONTROL" sheetId="15" state="veryHidden" r:id="rId10"/>
  </sheets>
  <externalReferences>
    <externalReference r:id="rId11"/>
    <externalReference r:id="rId12"/>
  </externalReferences>
  <definedNames>
    <definedName name="_Fill" localSheetId="1" hidden="1">#REF!</definedName>
    <definedName name="_Fill" hidden="1">#REF!</definedName>
    <definedName name="_xlnm._FilterDatabase" localSheetId="9" hidden="1">CONTROL!$B$800:$G$945</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'1.) Name of School'!$D$18</definedName>
    <definedName name="BSNote">CONTROL!#REF!</definedName>
    <definedName name="BSNote1">CONTROL!$J$807</definedName>
    <definedName name="BSNote2">CONTROL!$J$808</definedName>
    <definedName name="BSNoteCode">CONTROL!$J$806</definedName>
    <definedName name="DATA_01" hidden="1">'[1]Bond Amortization1'!#REF!</definedName>
    <definedName name="DATA_08" hidden="1">'[1]Bond Amortization1'!#REF!</definedName>
    <definedName name="DistrictList">'Funding by District'!$D$6:$D$684</definedName>
    <definedName name="DVList_AcadYr">CONTROL!$B$15:$B$17</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CONTROL!$B$43:$B$45</definedName>
    <definedName name="List_GradeLevels">CONTROL!$B$43:$B$46</definedName>
    <definedName name="Mssg1">CONTROL!$B$38</definedName>
    <definedName name="Mssg2">CONTROL!$B$39</definedName>
    <definedName name="Mssg3">CONTROL!$B$40</definedName>
    <definedName name="Percentages">#REF!</definedName>
    <definedName name="PPR_Tbl_Date">CONTROL!$I$35</definedName>
    <definedName name="_xlnm.Print_Area" localSheetId="2">'1.) Name of School'!$C$2:$E$19</definedName>
    <definedName name="_xlnm.Print_Area" localSheetId="3">'2.) Enrollment'!$A$1:$T$71</definedName>
    <definedName name="_xlnm.Print_Area" localSheetId="4">'3.) Staffing Plan'!$B$2:$T$45</definedName>
    <definedName name="_xlnm.Print_Area" localSheetId="5">'4.) Yearly Budget'!$B$2:$AA$181</definedName>
    <definedName name="_xlnm.Print_Area" localSheetId="6">'5.) Balance Sheet'!$B$2:$J$45</definedName>
    <definedName name="_xlnm.Print_Area" localSheetId="7">'6.) Quarterly Report'!$B$2:$AE$181</definedName>
    <definedName name="_xlnm.Print_Area" localSheetId="1">'Funding by District'!$C$2:$F$3</definedName>
    <definedName name="_xlnm.Print_Area" localSheetId="0">INSTRUCTIONS!$B$2:$F$30</definedName>
    <definedName name="_xlnm.Print_Titles" localSheetId="3">'2.) Enrollment'!$19:$21</definedName>
    <definedName name="_xlnm.Print_Titles" localSheetId="4">'3.) Staffing Plan'!$A:$B,'3.) Staffing Plan'!$1:$2</definedName>
    <definedName name="_xlnm.Print_Titles" localSheetId="5">'4.) Yearly Budget'!$B:$H,'4.) Yearly Budget'!$2:$13</definedName>
    <definedName name="_xlnm.Print_Titles" localSheetId="7">'6.) Quarterly Report'!$B:$H,'6.) Quarterly Report'!$2:$13</definedName>
    <definedName name="_xlnm.Print_Titles" localSheetId="1">'Funding by District'!$1:$5</definedName>
    <definedName name="PriorPeriod">CONTROL!$I$22</definedName>
    <definedName name="QTR">CONTROL!$O$10</definedName>
    <definedName name="QTR_MSG">CONTROL!$M$12</definedName>
    <definedName name="School">CONTROL!$I$5</definedName>
    <definedName name="SCHOOLS">CONTROL!$B$800:$G$945</definedName>
    <definedName name="UnusedDistrictList" comment="List of School Districts that have NOT been selected yet.  (Array Forumula Range...requires using F2 to modify and Ctrl-Shift-Enter to enter formula).">OFFSET(CONTROL!$B$109,0,0,COUNTA(CONTROL!$B$109:$B$788)-COUNTBLANK(CONTROL!$B$109:$B$788),1)</definedName>
    <definedName name="X_PositionsCategories">OFFSET([2]Assumptions!$AN$67,0,0,COUNTA([2]Assumptions!$AN:$AN)-1,1)</definedName>
    <definedName name="Year1">CONTROL!$I$16</definedName>
    <definedName name="Year2">CONTROL!$I$17</definedName>
    <definedName name="Year3">CONTROL!$I$18</definedName>
    <definedName name="Year4">CONTROL!$I$19</definedName>
    <definedName name="Year5">CONTROL!$I$20</definedName>
    <definedName name="Z_5E4DC421_887D_9843_8B54_CF861F76B668_.wvu.PrintArea" localSheetId="2" hidden="1">'1.) Name of School'!$C$2:$D$20</definedName>
    <definedName name="Z_5E4DC421_887D_9843_8B54_CF861F76B668_.wvu.PrintArea" localSheetId="0" hidden="1">INSTRUCTIONS!$C$2:$D$38</definedName>
    <definedName name="Z_7E5415B2_297C_4CDE_9A5E_CCA4F5662440_.wvu.PrintArea" localSheetId="2" hidden="1">'1.) Name of School'!$C$2:$D$20</definedName>
    <definedName name="Z_7E5415B2_297C_4CDE_9A5E_CCA4F5662440_.wvu.PrintArea" localSheetId="0" hidden="1">INSTRUCTIONS!$C$2:$D$38</definedName>
  </definedNames>
  <calcPr calcId="145621"/>
  <customWorkbookViews>
    <customWorkbookView name="DHruby - Personal View" guid="{7E5415B2-297C-4CDE-9A5E-CCA4F5662440}" mergeInterval="0" personalView="1" maximized="1" windowWidth="1916" windowHeight="825" tabRatio="951" activeSheetId="8"/>
    <customWorkbookView name="Citizens  World - Personal View" guid="{5E4DC421-887D-9843-8B54-CF861F76B668}" mergeInterval="0" personalView="1" yWindow="54" windowWidth="1276" windowHeight="724" tabRatio="951" activeSheetId="1"/>
  </customWorkbookViews>
</workbook>
</file>

<file path=xl/calcChain.xml><?xml version="1.0" encoding="utf-8"?>
<calcChain xmlns="http://schemas.openxmlformats.org/spreadsheetml/2006/main">
  <c r="H945" i="15" l="1"/>
  <c r="H944" i="15"/>
  <c r="H943" i="15"/>
  <c r="H942" i="15"/>
  <c r="H941" i="15"/>
  <c r="H940" i="15"/>
  <c r="H939" i="15"/>
  <c r="H938" i="15"/>
  <c r="H937" i="15"/>
  <c r="H936" i="15"/>
  <c r="H935" i="15"/>
  <c r="H934" i="15"/>
  <c r="H933" i="15"/>
  <c r="H932" i="15"/>
  <c r="H931" i="15"/>
  <c r="H930" i="15"/>
  <c r="H929" i="15"/>
  <c r="H928" i="15"/>
  <c r="H927" i="15"/>
  <c r="H926" i="15"/>
  <c r="H925" i="15"/>
  <c r="H924" i="15"/>
  <c r="H923" i="15"/>
  <c r="H922" i="15"/>
  <c r="H921" i="15"/>
  <c r="H920" i="15"/>
  <c r="H919" i="15"/>
  <c r="H918" i="15"/>
  <c r="H917" i="15"/>
  <c r="H916" i="15"/>
  <c r="H915" i="15"/>
  <c r="H914" i="15"/>
  <c r="H913" i="15"/>
  <c r="H912" i="15"/>
  <c r="H911" i="15"/>
  <c r="H910" i="15"/>
  <c r="H909" i="15"/>
  <c r="H908" i="15"/>
  <c r="H907" i="15"/>
  <c r="H906" i="15"/>
  <c r="H905" i="15"/>
  <c r="H904" i="15"/>
  <c r="H903" i="15"/>
  <c r="H902" i="15"/>
  <c r="H901" i="15"/>
  <c r="H900" i="15"/>
  <c r="H899" i="15"/>
  <c r="H898" i="15"/>
  <c r="H897" i="15"/>
  <c r="H896" i="15"/>
  <c r="H895" i="15"/>
  <c r="H894" i="15"/>
  <c r="H893" i="15"/>
  <c r="H892" i="15"/>
  <c r="H891" i="15"/>
  <c r="H890" i="15"/>
  <c r="H889" i="15"/>
  <c r="H888" i="15"/>
  <c r="H887" i="15"/>
  <c r="H886" i="15"/>
  <c r="H885" i="15"/>
  <c r="H884" i="15"/>
  <c r="H883" i="15"/>
  <c r="H882" i="15"/>
  <c r="H881" i="15"/>
  <c r="H880" i="15"/>
  <c r="H879" i="15"/>
  <c r="H878" i="15"/>
  <c r="H877" i="15"/>
  <c r="H876" i="15"/>
  <c r="H875" i="15"/>
  <c r="H874" i="15"/>
  <c r="H873" i="15"/>
  <c r="H872" i="15"/>
  <c r="H871" i="15"/>
  <c r="H870" i="15"/>
  <c r="H869" i="15"/>
  <c r="H868" i="15"/>
  <c r="H867" i="15"/>
  <c r="H866" i="15"/>
  <c r="H865" i="15"/>
  <c r="H864" i="15"/>
  <c r="H863" i="15"/>
  <c r="H862" i="15"/>
  <c r="H861" i="15"/>
  <c r="H860" i="15"/>
  <c r="H859" i="15"/>
  <c r="H858" i="15"/>
  <c r="H857" i="15"/>
  <c r="H856" i="15"/>
  <c r="H855" i="15"/>
  <c r="H854" i="15"/>
  <c r="H853" i="15"/>
  <c r="H852" i="15"/>
  <c r="H851" i="15"/>
  <c r="H850" i="15"/>
  <c r="H849" i="15"/>
  <c r="H848" i="15"/>
  <c r="H847" i="15"/>
  <c r="H846" i="15"/>
  <c r="H845" i="15"/>
  <c r="H844" i="15"/>
  <c r="H843" i="15"/>
  <c r="H842" i="15"/>
  <c r="H841" i="15"/>
  <c r="H840" i="15"/>
  <c r="H839" i="15"/>
  <c r="H838" i="15"/>
  <c r="H837" i="15"/>
  <c r="H836" i="15"/>
  <c r="H835" i="15"/>
  <c r="H834" i="15"/>
  <c r="H833" i="15"/>
  <c r="H832" i="15"/>
  <c r="H831" i="15"/>
  <c r="H830" i="15"/>
  <c r="H829" i="15"/>
  <c r="H828" i="15"/>
  <c r="H827" i="15"/>
  <c r="H826" i="15"/>
  <c r="H825" i="15"/>
  <c r="H824" i="15"/>
  <c r="H823" i="15"/>
  <c r="H822" i="15"/>
  <c r="H821" i="15"/>
  <c r="H820" i="15"/>
  <c r="H819" i="15"/>
  <c r="H818" i="15"/>
  <c r="H817" i="15"/>
  <c r="H816" i="15"/>
  <c r="H815" i="15"/>
  <c r="H814" i="15"/>
  <c r="H812" i="15"/>
  <c r="H811" i="15"/>
  <c r="H810" i="15"/>
  <c r="H809" i="15"/>
  <c r="H808" i="15"/>
  <c r="H813" i="15"/>
  <c r="H801" i="15" l="1"/>
  <c r="H802" i="15"/>
  <c r="H803" i="15"/>
  <c r="H804" i="15"/>
  <c r="H805" i="15"/>
  <c r="H806" i="15"/>
  <c r="H807" i="15"/>
  <c r="S17" i="18" l="1"/>
  <c r="W53" i="15" l="1"/>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52" i="15"/>
  <c r="T17" i="18" l="1"/>
  <c r="C9" i="3" l="1"/>
  <c r="J161" i="18" l="1"/>
  <c r="K161" i="18"/>
  <c r="J162" i="18"/>
  <c r="K162" i="18"/>
  <c r="J163" i="18"/>
  <c r="K163" i="18"/>
  <c r="J164" i="18"/>
  <c r="K164" i="18"/>
  <c r="J165" i="18"/>
  <c r="K165" i="18"/>
  <c r="J166" i="18"/>
  <c r="K166" i="18"/>
  <c r="J167" i="18"/>
  <c r="K167" i="18"/>
  <c r="J168" i="18"/>
  <c r="K168" i="18"/>
  <c r="J169" i="18"/>
  <c r="K169" i="18"/>
  <c r="J170" i="18"/>
  <c r="K170" i="18"/>
  <c r="J171" i="18"/>
  <c r="K171" i="18"/>
  <c r="J172" i="18"/>
  <c r="K172" i="18"/>
  <c r="J173" i="18"/>
  <c r="K173" i="18"/>
  <c r="J174" i="18"/>
  <c r="K174" i="18"/>
  <c r="J175" i="18"/>
  <c r="K175" i="18"/>
  <c r="M161" i="18"/>
  <c r="N161" i="18"/>
  <c r="M162" i="18"/>
  <c r="N162"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P161" i="18"/>
  <c r="Q161" i="18"/>
  <c r="P162" i="18"/>
  <c r="Q162" i="18"/>
  <c r="P163" i="18"/>
  <c r="Q163" i="18"/>
  <c r="P164" i="18"/>
  <c r="Q164" i="18"/>
  <c r="P165" i="18"/>
  <c r="Q165" i="18"/>
  <c r="P166" i="18"/>
  <c r="Q166" i="18"/>
  <c r="P167" i="18"/>
  <c r="Q167" i="18"/>
  <c r="P168" i="18"/>
  <c r="Q168" i="18"/>
  <c r="P169" i="18"/>
  <c r="Q169" i="18"/>
  <c r="P170" i="18"/>
  <c r="Q170" i="18"/>
  <c r="P171" i="18"/>
  <c r="Q171" i="18"/>
  <c r="P172" i="18"/>
  <c r="Q172" i="18"/>
  <c r="P173" i="18"/>
  <c r="Q173" i="18"/>
  <c r="P174" i="18"/>
  <c r="Q174" i="18"/>
  <c r="P175" i="18"/>
  <c r="Q175" i="18"/>
  <c r="S161" i="18"/>
  <c r="T161" i="18"/>
  <c r="S162" i="18"/>
  <c r="T162" i="18"/>
  <c r="S163" i="18"/>
  <c r="T163" i="18"/>
  <c r="S164" i="18"/>
  <c r="T164" i="18"/>
  <c r="S165" i="18"/>
  <c r="T165" i="18"/>
  <c r="S166" i="18"/>
  <c r="T166" i="18"/>
  <c r="S167" i="18"/>
  <c r="T167" i="18"/>
  <c r="S168" i="18"/>
  <c r="T168" i="18"/>
  <c r="S169" i="18"/>
  <c r="T169" i="18"/>
  <c r="S170" i="18"/>
  <c r="T170" i="18"/>
  <c r="S171" i="18"/>
  <c r="T171" i="18"/>
  <c r="S172" i="18"/>
  <c r="T172" i="18"/>
  <c r="S173" i="18"/>
  <c r="T173" i="18"/>
  <c r="S174" i="18"/>
  <c r="T174" i="18"/>
  <c r="S175" i="18"/>
  <c r="T175" i="18"/>
  <c r="I34" i="18"/>
  <c r="I41" i="18" s="1"/>
  <c r="M32" i="14"/>
  <c r="L32" i="14"/>
  <c r="K32" i="14"/>
  <c r="J32" i="14"/>
  <c r="I32" i="14"/>
  <c r="H32" i="14"/>
  <c r="G32" i="14"/>
  <c r="F32" i="14"/>
  <c r="B9" i="21" l="1"/>
  <c r="R176" i="20"/>
  <c r="O176" i="20"/>
  <c r="L176" i="20"/>
  <c r="R162" i="20"/>
  <c r="R163" i="20"/>
  <c r="R164" i="20"/>
  <c r="R165" i="20"/>
  <c r="R166" i="20"/>
  <c r="R167" i="20"/>
  <c r="R168" i="20"/>
  <c r="R169" i="20"/>
  <c r="R170" i="20"/>
  <c r="R171" i="20"/>
  <c r="R172" i="20"/>
  <c r="R173" i="20"/>
  <c r="R174" i="20"/>
  <c r="R175" i="20"/>
  <c r="O162" i="20"/>
  <c r="O163" i="20"/>
  <c r="O164" i="20"/>
  <c r="O165" i="20"/>
  <c r="O166" i="20"/>
  <c r="O167" i="20"/>
  <c r="O168" i="20"/>
  <c r="O169" i="20"/>
  <c r="O170" i="20"/>
  <c r="O171" i="20"/>
  <c r="O172" i="20"/>
  <c r="O173" i="20"/>
  <c r="O174" i="20"/>
  <c r="O175" i="20"/>
  <c r="R161" i="20"/>
  <c r="O161" i="20"/>
  <c r="L162" i="20"/>
  <c r="L163" i="20"/>
  <c r="L164" i="20"/>
  <c r="L165" i="20"/>
  <c r="L166" i="20"/>
  <c r="L167" i="20"/>
  <c r="L168" i="20"/>
  <c r="L169" i="20"/>
  <c r="L170" i="20"/>
  <c r="L171" i="20"/>
  <c r="L172" i="20"/>
  <c r="L173" i="20"/>
  <c r="L174" i="20"/>
  <c r="L175" i="20"/>
  <c r="L161" i="20"/>
  <c r="I176" i="20"/>
  <c r="I162" i="20"/>
  <c r="I163" i="20"/>
  <c r="I164" i="20"/>
  <c r="I165" i="20"/>
  <c r="I166" i="20"/>
  <c r="I167" i="20"/>
  <c r="I168" i="20"/>
  <c r="I169" i="20"/>
  <c r="I170" i="20"/>
  <c r="I171" i="20"/>
  <c r="I172" i="20"/>
  <c r="I173" i="20"/>
  <c r="I174" i="20"/>
  <c r="I175" i="20"/>
  <c r="I161" i="20"/>
  <c r="C41" i="20"/>
  <c r="D40" i="20"/>
  <c r="E39" i="20"/>
  <c r="E38" i="20"/>
  <c r="E37" i="20"/>
  <c r="D36" i="20"/>
  <c r="D35" i="20"/>
  <c r="D34" i="20"/>
  <c r="D17" i="20"/>
  <c r="R76" i="20" l="1"/>
  <c r="R95" i="20"/>
  <c r="L95" i="20"/>
  <c r="L87" i="20"/>
  <c r="O95" i="20"/>
  <c r="O87" i="20"/>
  <c r="R87" i="20"/>
  <c r="O76" i="20"/>
  <c r="L76" i="20"/>
  <c r="Z10" i="20"/>
  <c r="G91" i="18"/>
  <c r="G92" i="18"/>
  <c r="G93" i="18"/>
  <c r="G94" i="18"/>
  <c r="G90" i="18"/>
  <c r="G71" i="18"/>
  <c r="G72" i="18"/>
  <c r="G73" i="18"/>
  <c r="G74" i="18"/>
  <c r="G75" i="18"/>
  <c r="G70" i="18"/>
  <c r="R42" i="14"/>
  <c r="Q42" i="14"/>
  <c r="P42" i="14"/>
  <c r="O42" i="14"/>
  <c r="M42" i="14"/>
  <c r="L42" i="14"/>
  <c r="K42" i="14"/>
  <c r="J42" i="14"/>
  <c r="I42" i="14"/>
  <c r="H42" i="14"/>
  <c r="G42" i="14"/>
  <c r="F42" i="14"/>
  <c r="D42" i="14"/>
  <c r="R32" i="14"/>
  <c r="Q32" i="14"/>
  <c r="P32" i="14"/>
  <c r="O32" i="14"/>
  <c r="D32" i="14"/>
  <c r="G84" i="18"/>
  <c r="G83" i="18"/>
  <c r="G82" i="18"/>
  <c r="G81" i="18"/>
  <c r="R19" i="14"/>
  <c r="Q19" i="14"/>
  <c r="P19" i="14"/>
  <c r="O19" i="14"/>
  <c r="M19" i="14"/>
  <c r="L19" i="14"/>
  <c r="K19" i="14"/>
  <c r="J19" i="14"/>
  <c r="I19" i="14"/>
  <c r="H19" i="14"/>
  <c r="G19" i="14"/>
  <c r="F19" i="14"/>
  <c r="D19" i="14"/>
  <c r="L97" i="20" l="1"/>
  <c r="R97" i="20"/>
  <c r="Q44" i="14"/>
  <c r="P44" i="14"/>
  <c r="O44" i="14"/>
  <c r="D44" i="14"/>
  <c r="R44" i="14"/>
  <c r="O97" i="20"/>
  <c r="G80" i="18"/>
  <c r="G79" i="18"/>
  <c r="G85" i="18"/>
  <c r="L44" i="14"/>
  <c r="J44" i="14"/>
  <c r="M44" i="14"/>
  <c r="I44" i="14"/>
  <c r="K44" i="14"/>
  <c r="H44" i="14"/>
  <c r="F44" i="14"/>
  <c r="G86" i="18"/>
  <c r="G44" i="14"/>
  <c r="E16" i="21"/>
  <c r="I160" i="18" s="1"/>
  <c r="S16" i="21"/>
  <c r="R16" i="21"/>
  <c r="Q16" i="21"/>
  <c r="P16" i="21"/>
  <c r="H16" i="21"/>
  <c r="K160" i="18" s="1"/>
  <c r="I16" i="21"/>
  <c r="M160" i="18" s="1"/>
  <c r="J16" i="21"/>
  <c r="N160" i="18" s="1"/>
  <c r="K16" i="21"/>
  <c r="P160" i="18" s="1"/>
  <c r="L16" i="21"/>
  <c r="Q160" i="18" s="1"/>
  <c r="M16" i="21"/>
  <c r="S160" i="18" s="1"/>
  <c r="N16" i="21"/>
  <c r="T160" i="18" s="1"/>
  <c r="G16" i="21"/>
  <c r="J160" i="18" s="1"/>
  <c r="S17" i="21"/>
  <c r="R17" i="21"/>
  <c r="Q17" i="21"/>
  <c r="P17" i="21"/>
  <c r="N17" i="21"/>
  <c r="M17" i="21"/>
  <c r="L17" i="21"/>
  <c r="K17" i="21"/>
  <c r="J17" i="21"/>
  <c r="I17" i="21"/>
  <c r="H17" i="21"/>
  <c r="E17" i="21"/>
  <c r="G17" i="21"/>
  <c r="T176" i="18"/>
  <c r="S176" i="18"/>
  <c r="Z176" i="20" s="1"/>
  <c r="Q176" i="18"/>
  <c r="P176" i="18"/>
  <c r="N176" i="18"/>
  <c r="M176" i="18"/>
  <c r="Z162" i="20"/>
  <c r="Z163" i="20"/>
  <c r="Z164" i="20"/>
  <c r="Z165" i="20"/>
  <c r="Z166" i="20"/>
  <c r="Z167" i="20"/>
  <c r="Z168" i="20"/>
  <c r="Z169" i="20"/>
  <c r="Z170" i="20"/>
  <c r="Z171" i="20"/>
  <c r="Z172" i="20"/>
  <c r="Z173" i="20"/>
  <c r="Z174" i="20"/>
  <c r="Z175" i="20"/>
  <c r="Z161" i="20"/>
  <c r="J176" i="18"/>
  <c r="K176" i="18"/>
  <c r="I176" i="18"/>
  <c r="I162" i="18"/>
  <c r="I163" i="18"/>
  <c r="I164" i="18"/>
  <c r="I165" i="18"/>
  <c r="I166" i="18"/>
  <c r="I167" i="18"/>
  <c r="I168" i="18"/>
  <c r="I169" i="18"/>
  <c r="I170" i="18"/>
  <c r="I171" i="18"/>
  <c r="I172" i="18"/>
  <c r="I173" i="18"/>
  <c r="I174" i="18"/>
  <c r="I175" i="18"/>
  <c r="I161" i="18"/>
  <c r="G92" i="20" l="1"/>
  <c r="G90" i="20"/>
  <c r="G91" i="20"/>
  <c r="G93" i="20"/>
  <c r="G94" i="20"/>
  <c r="G83" i="20"/>
  <c r="G80" i="20"/>
  <c r="G84" i="20"/>
  <c r="G79" i="20"/>
  <c r="G82" i="20"/>
  <c r="G86" i="20"/>
  <c r="G81" i="20"/>
  <c r="G85" i="20"/>
  <c r="G74" i="20"/>
  <c r="G71" i="20"/>
  <c r="G75" i="20"/>
  <c r="G73" i="20"/>
  <c r="G72" i="20"/>
  <c r="G70" i="20"/>
  <c r="G68" i="20"/>
  <c r="E91" i="15"/>
  <c r="E83" i="15"/>
  <c r="E63" i="15"/>
  <c r="E55" i="15"/>
  <c r="E101" i="15"/>
  <c r="E97" i="15"/>
  <c r="E93" i="15"/>
  <c r="E89" i="15"/>
  <c r="E85" i="15"/>
  <c r="E81" i="15"/>
  <c r="E77" i="15"/>
  <c r="E73" i="15"/>
  <c r="E69" i="15"/>
  <c r="E65" i="15"/>
  <c r="E61" i="15"/>
  <c r="E57" i="15"/>
  <c r="E53" i="15"/>
  <c r="E64" i="15"/>
  <c r="E60" i="15"/>
  <c r="E56" i="15"/>
  <c r="E95" i="15"/>
  <c r="E87" i="15"/>
  <c r="E59" i="15"/>
  <c r="E52" i="15"/>
  <c r="E98" i="15"/>
  <c r="E94" i="15"/>
  <c r="E90" i="15"/>
  <c r="E86" i="15"/>
  <c r="E82" i="15"/>
  <c r="E78" i="15"/>
  <c r="E74" i="15"/>
  <c r="E70" i="15"/>
  <c r="E66" i="15"/>
  <c r="E62" i="15"/>
  <c r="E58" i="15"/>
  <c r="E54" i="15"/>
  <c r="E99" i="15"/>
  <c r="E100" i="15"/>
  <c r="E96" i="15"/>
  <c r="E92" i="15"/>
  <c r="E88" i="15"/>
  <c r="E84" i="15"/>
  <c r="E68" i="15"/>
  <c r="E76" i="15"/>
  <c r="E79" i="15"/>
  <c r="E75" i="15"/>
  <c r="E67" i="15"/>
  <c r="E80" i="15"/>
  <c r="E72" i="15"/>
  <c r="E71" i="15"/>
  <c r="R160" i="18"/>
  <c r="O160" i="18"/>
  <c r="U160" i="18"/>
  <c r="B53" i="15"/>
  <c r="C53" i="15" s="1"/>
  <c r="B54" i="15"/>
  <c r="B55" i="15"/>
  <c r="B56" i="15"/>
  <c r="B57" i="15"/>
  <c r="B58" i="15"/>
  <c r="B59" i="15"/>
  <c r="B60" i="15"/>
  <c r="B61" i="15"/>
  <c r="B62" i="15"/>
  <c r="B63" i="15"/>
  <c r="B64" i="15"/>
  <c r="B65" i="15"/>
  <c r="B66" i="15"/>
  <c r="B67" i="15"/>
  <c r="C67" i="15" s="1"/>
  <c r="B68" i="15"/>
  <c r="C68" i="15" s="1"/>
  <c r="B69" i="15"/>
  <c r="C69" i="15" s="1"/>
  <c r="B70" i="15"/>
  <c r="C70" i="15" s="1"/>
  <c r="B71" i="15"/>
  <c r="C71" i="15" s="1"/>
  <c r="B72" i="15"/>
  <c r="C72" i="15" s="1"/>
  <c r="B73" i="15"/>
  <c r="C73" i="15" s="1"/>
  <c r="B74" i="15"/>
  <c r="C74" i="15" s="1"/>
  <c r="B75" i="15"/>
  <c r="C75" i="15" s="1"/>
  <c r="B76" i="15"/>
  <c r="C76" i="15" s="1"/>
  <c r="B77" i="15"/>
  <c r="C77" i="15" s="1"/>
  <c r="B78" i="15"/>
  <c r="C78" i="15" s="1"/>
  <c r="B79" i="15"/>
  <c r="C79" i="15" s="1"/>
  <c r="B80" i="15"/>
  <c r="C80" i="15" s="1"/>
  <c r="B81" i="15"/>
  <c r="C81" i="15" s="1"/>
  <c r="B82" i="15"/>
  <c r="C82" i="15" s="1"/>
  <c r="B83" i="15"/>
  <c r="C83" i="15" s="1"/>
  <c r="B84" i="15"/>
  <c r="C84" i="15" s="1"/>
  <c r="B85" i="15"/>
  <c r="C85" i="15" s="1"/>
  <c r="B86" i="15"/>
  <c r="C86" i="15" s="1"/>
  <c r="B87" i="15"/>
  <c r="C87" i="15" s="1"/>
  <c r="B88" i="15"/>
  <c r="C88" i="15" s="1"/>
  <c r="B89" i="15"/>
  <c r="C89" i="15" s="1"/>
  <c r="B90" i="15"/>
  <c r="C90" i="15" s="1"/>
  <c r="B91" i="15"/>
  <c r="C91" i="15" s="1"/>
  <c r="B92" i="15"/>
  <c r="C92" i="15" s="1"/>
  <c r="B93" i="15"/>
  <c r="C93" i="15" s="1"/>
  <c r="B94" i="15"/>
  <c r="C94" i="15" s="1"/>
  <c r="B95" i="15"/>
  <c r="C95" i="15" s="1"/>
  <c r="B96" i="15"/>
  <c r="C96" i="15" s="1"/>
  <c r="B97" i="15"/>
  <c r="C97" i="15" s="1"/>
  <c r="B98" i="15"/>
  <c r="C98" i="15" s="1"/>
  <c r="B99" i="15"/>
  <c r="C99" i="15" s="1"/>
  <c r="B100" i="15"/>
  <c r="C100" i="15" s="1"/>
  <c r="B101" i="15"/>
  <c r="C101" i="15" s="1"/>
  <c r="B52" i="15"/>
  <c r="C52" i="15" s="1"/>
  <c r="A24" i="2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L160" i="18"/>
  <c r="R177" i="20"/>
  <c r="O177" i="20"/>
  <c r="L177" i="20"/>
  <c r="L9" i="20" s="1"/>
  <c r="I177" i="20"/>
  <c r="U176" i="20"/>
  <c r="U175" i="20"/>
  <c r="U174" i="20"/>
  <c r="AA174" i="20" s="1"/>
  <c r="U173" i="20"/>
  <c r="AA173" i="20" s="1"/>
  <c r="U172" i="20"/>
  <c r="U171" i="20"/>
  <c r="AA171" i="20" s="1"/>
  <c r="U170" i="20"/>
  <c r="AA170" i="20" s="1"/>
  <c r="U169" i="20"/>
  <c r="AA169" i="20" s="1"/>
  <c r="U168" i="20"/>
  <c r="U167" i="20"/>
  <c r="U166" i="20"/>
  <c r="AA166" i="20" s="1"/>
  <c r="U165" i="20"/>
  <c r="AA165" i="20" s="1"/>
  <c r="Z177" i="20"/>
  <c r="U164" i="20"/>
  <c r="U163" i="20"/>
  <c r="AA163" i="20" s="1"/>
  <c r="U162" i="20"/>
  <c r="AA162" i="20" s="1"/>
  <c r="U161" i="20"/>
  <c r="R150" i="20"/>
  <c r="O150" i="20"/>
  <c r="L150" i="20"/>
  <c r="I150" i="20"/>
  <c r="R140" i="20"/>
  <c r="O140" i="20"/>
  <c r="L140" i="20"/>
  <c r="I140" i="20"/>
  <c r="R117" i="20"/>
  <c r="O117" i="20"/>
  <c r="L117" i="20"/>
  <c r="I117" i="20"/>
  <c r="R103" i="20"/>
  <c r="O103" i="20"/>
  <c r="L103" i="20"/>
  <c r="I103" i="20"/>
  <c r="I95" i="20"/>
  <c r="I87" i="20"/>
  <c r="I76" i="20"/>
  <c r="R63" i="20"/>
  <c r="O63" i="20"/>
  <c r="L63" i="20"/>
  <c r="I63" i="20"/>
  <c r="R52" i="20"/>
  <c r="O52" i="20"/>
  <c r="L52" i="20"/>
  <c r="I52" i="20"/>
  <c r="V10" i="20"/>
  <c r="U10" i="20"/>
  <c r="A2" i="20"/>
  <c r="A3" i="20" s="1"/>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I106" i="15"/>
  <c r="I105" i="15"/>
  <c r="I104" i="15"/>
  <c r="I103" i="15"/>
  <c r="T177" i="18"/>
  <c r="S177" i="18"/>
  <c r="S9" i="18" s="1"/>
  <c r="Q177" i="18"/>
  <c r="P177" i="18"/>
  <c r="N177" i="18"/>
  <c r="M177" i="18"/>
  <c r="K177" i="18"/>
  <c r="J177" i="18"/>
  <c r="I177" i="18"/>
  <c r="U176" i="18"/>
  <c r="R176" i="18"/>
  <c r="O176" i="18"/>
  <c r="L176" i="18"/>
  <c r="G176" i="18"/>
  <c r="U175" i="18"/>
  <c r="R175" i="18"/>
  <c r="O175" i="18"/>
  <c r="L175" i="18"/>
  <c r="G175" i="18"/>
  <c r="U174" i="18"/>
  <c r="R174" i="18"/>
  <c r="O174" i="18"/>
  <c r="L174" i="18"/>
  <c r="G174" i="18"/>
  <c r="U173" i="18"/>
  <c r="R173" i="18"/>
  <c r="O173" i="18"/>
  <c r="L173" i="18"/>
  <c r="G173" i="18"/>
  <c r="U172" i="18"/>
  <c r="R172" i="18"/>
  <c r="O172" i="18"/>
  <c r="L172" i="18"/>
  <c r="G172" i="18"/>
  <c r="U171" i="18"/>
  <c r="R171" i="18"/>
  <c r="O171" i="18"/>
  <c r="L171" i="18"/>
  <c r="G171" i="18"/>
  <c r="U170" i="18"/>
  <c r="R170" i="18"/>
  <c r="O170" i="18"/>
  <c r="L170" i="18"/>
  <c r="G170" i="18"/>
  <c r="U169" i="18"/>
  <c r="R169" i="18"/>
  <c r="O169" i="18"/>
  <c r="L169" i="18"/>
  <c r="G169" i="18"/>
  <c r="U168" i="18"/>
  <c r="R168" i="18"/>
  <c r="O168" i="18"/>
  <c r="L168" i="18"/>
  <c r="G168" i="18"/>
  <c r="U167" i="18"/>
  <c r="R167" i="18"/>
  <c r="O167" i="18"/>
  <c r="L167" i="18"/>
  <c r="G167" i="18"/>
  <c r="U166" i="18"/>
  <c r="R166" i="18"/>
  <c r="O166" i="18"/>
  <c r="L166" i="18"/>
  <c r="G166" i="18"/>
  <c r="U165" i="18"/>
  <c r="R165" i="18"/>
  <c r="O165" i="18"/>
  <c r="L165" i="18"/>
  <c r="G165" i="18"/>
  <c r="U164" i="18"/>
  <c r="R164" i="18"/>
  <c r="O164" i="18"/>
  <c r="L164" i="18"/>
  <c r="G164" i="18"/>
  <c r="U163" i="18"/>
  <c r="R163" i="18"/>
  <c r="O163" i="18"/>
  <c r="L163" i="18"/>
  <c r="G163" i="18"/>
  <c r="U162" i="18"/>
  <c r="R162" i="18"/>
  <c r="O162" i="18"/>
  <c r="L162" i="18"/>
  <c r="G162" i="18"/>
  <c r="U161" i="18"/>
  <c r="R161" i="18"/>
  <c r="O161" i="18"/>
  <c r="L161" i="18"/>
  <c r="G161" i="18"/>
  <c r="V153" i="18"/>
  <c r="V152" i="18"/>
  <c r="AB152" i="20" s="1"/>
  <c r="T150" i="18"/>
  <c r="S150" i="18"/>
  <c r="Q150" i="18"/>
  <c r="P150" i="18"/>
  <c r="N150" i="18"/>
  <c r="M150" i="18"/>
  <c r="K150" i="18"/>
  <c r="J150" i="18"/>
  <c r="I150" i="18"/>
  <c r="V149" i="18"/>
  <c r="V148" i="18"/>
  <c r="AB148" i="20" s="1"/>
  <c r="V147" i="18"/>
  <c r="V146" i="18"/>
  <c r="AB146" i="20" s="1"/>
  <c r="V145" i="18"/>
  <c r="V144" i="18"/>
  <c r="AB144" i="20" s="1"/>
  <c r="V143" i="18"/>
  <c r="AB143" i="20" s="1"/>
  <c r="T140" i="18"/>
  <c r="S140" i="18"/>
  <c r="Q140" i="18"/>
  <c r="P140" i="18"/>
  <c r="N140" i="18"/>
  <c r="M140" i="18"/>
  <c r="K140" i="18"/>
  <c r="J140" i="18"/>
  <c r="I140" i="18"/>
  <c r="V139" i="18"/>
  <c r="V138" i="18"/>
  <c r="AB138" i="20" s="1"/>
  <c r="V137" i="18"/>
  <c r="V136" i="18"/>
  <c r="AB136" i="20" s="1"/>
  <c r="V135" i="18"/>
  <c r="V134" i="18"/>
  <c r="V133" i="18"/>
  <c r="V132" i="18"/>
  <c r="AB132" i="20" s="1"/>
  <c r="V131" i="18"/>
  <c r="V130" i="18"/>
  <c r="V129" i="18"/>
  <c r="V128" i="18"/>
  <c r="AB128" i="20" s="1"/>
  <c r="V127" i="18"/>
  <c r="V126" i="18"/>
  <c r="V125" i="18"/>
  <c r="V124" i="18"/>
  <c r="AB124" i="20" s="1"/>
  <c r="V123" i="18"/>
  <c r="V122" i="18"/>
  <c r="AB122" i="20" s="1"/>
  <c r="V121" i="18"/>
  <c r="AB121" i="20" s="1"/>
  <c r="V120" i="18"/>
  <c r="AB120" i="20" s="1"/>
  <c r="T117" i="18"/>
  <c r="Q117" i="18"/>
  <c r="N117" i="18"/>
  <c r="K117" i="18"/>
  <c r="I117" i="18"/>
  <c r="V116" i="18"/>
  <c r="V115" i="18"/>
  <c r="AB115" i="20" s="1"/>
  <c r="V114" i="18"/>
  <c r="V113" i="18"/>
  <c r="AB113" i="20" s="1"/>
  <c r="V112" i="18"/>
  <c r="V111" i="18"/>
  <c r="AB111" i="20" s="1"/>
  <c r="V109" i="18"/>
  <c r="AB109" i="20" s="1"/>
  <c r="V108" i="18"/>
  <c r="AB108" i="20" s="1"/>
  <c r="T103" i="18"/>
  <c r="Q103" i="18"/>
  <c r="N103" i="18"/>
  <c r="K103" i="18"/>
  <c r="I103" i="18"/>
  <c r="V102" i="18"/>
  <c r="V101" i="18"/>
  <c r="AB101" i="20" s="1"/>
  <c r="T95" i="18"/>
  <c r="S95" i="18"/>
  <c r="Q95" i="18"/>
  <c r="P95" i="18"/>
  <c r="N95" i="18"/>
  <c r="M95" i="18"/>
  <c r="K95" i="18"/>
  <c r="J95" i="18"/>
  <c r="I95" i="18"/>
  <c r="G95" i="18"/>
  <c r="V94" i="18"/>
  <c r="AB94" i="20" s="1"/>
  <c r="V93" i="18"/>
  <c r="V92" i="18"/>
  <c r="V91" i="18"/>
  <c r="V90" i="18"/>
  <c r="AB90" i="20" s="1"/>
  <c r="T87" i="18"/>
  <c r="S87" i="18"/>
  <c r="Q87" i="18"/>
  <c r="P87" i="18"/>
  <c r="N87" i="18"/>
  <c r="M87" i="18"/>
  <c r="K87" i="18"/>
  <c r="J87" i="18"/>
  <c r="I87" i="18"/>
  <c r="G87" i="18"/>
  <c r="V86" i="18"/>
  <c r="V85" i="18"/>
  <c r="V84" i="18"/>
  <c r="V83" i="18"/>
  <c r="V82" i="18"/>
  <c r="V81" i="18"/>
  <c r="V80" i="18"/>
  <c r="V79" i="18"/>
  <c r="T76" i="18"/>
  <c r="S76" i="18"/>
  <c r="Q76" i="18"/>
  <c r="P76" i="18"/>
  <c r="N76" i="18"/>
  <c r="M76" i="18"/>
  <c r="K76" i="18"/>
  <c r="J76" i="18"/>
  <c r="I76" i="18"/>
  <c r="G76" i="18"/>
  <c r="V75" i="18"/>
  <c r="V74" i="18"/>
  <c r="V73" i="18"/>
  <c r="V72" i="18"/>
  <c r="V71" i="18"/>
  <c r="V70" i="18"/>
  <c r="T63" i="18"/>
  <c r="S63" i="18"/>
  <c r="Q63" i="18"/>
  <c r="P63" i="18"/>
  <c r="N63" i="18"/>
  <c r="M63" i="18"/>
  <c r="K63" i="18"/>
  <c r="J63" i="18"/>
  <c r="I63" i="18"/>
  <c r="V62" i="18"/>
  <c r="AB62" i="20" s="1"/>
  <c r="V61" i="18"/>
  <c r="V60" i="18"/>
  <c r="AB60" i="20" s="1"/>
  <c r="V59" i="18"/>
  <c r="V58" i="18"/>
  <c r="AB58" i="20" s="1"/>
  <c r="V57" i="18"/>
  <c r="V56" i="18"/>
  <c r="AB56" i="20" s="1"/>
  <c r="V55" i="18"/>
  <c r="T52" i="18"/>
  <c r="S52" i="18"/>
  <c r="Q52" i="18"/>
  <c r="P52" i="18"/>
  <c r="N52" i="18"/>
  <c r="M52" i="18"/>
  <c r="K52" i="18"/>
  <c r="J52" i="18"/>
  <c r="I52" i="18"/>
  <c r="V51" i="18"/>
  <c r="V50" i="18"/>
  <c r="V49" i="18"/>
  <c r="V47" i="18"/>
  <c r="AB47" i="20" s="1"/>
  <c r="V46" i="18"/>
  <c r="V45" i="18"/>
  <c r="AB45" i="20" s="1"/>
  <c r="V44" i="18"/>
  <c r="AB44" i="20" s="1"/>
  <c r="V40" i="18"/>
  <c r="V39" i="18"/>
  <c r="V38" i="18"/>
  <c r="V37" i="18"/>
  <c r="AB37" i="20" s="1"/>
  <c r="V35" i="18"/>
  <c r="U10" i="18"/>
  <c r="R10" i="18"/>
  <c r="O10" i="18"/>
  <c r="L10" i="18"/>
  <c r="A2" i="18"/>
  <c r="A3" i="18" s="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J1" i="18"/>
  <c r="K1" i="18" s="1"/>
  <c r="L1" i="18" s="1"/>
  <c r="M1" i="18" s="1"/>
  <c r="N1" i="18" s="1"/>
  <c r="O1" i="18" s="1"/>
  <c r="P1" i="18" s="1"/>
  <c r="Q1" i="18" s="1"/>
  <c r="R1" i="18" s="1"/>
  <c r="S1" i="18" s="1"/>
  <c r="T1" i="18" s="1"/>
  <c r="U1" i="18" s="1"/>
  <c r="V1" i="18" s="1"/>
  <c r="W1" i="18" s="1"/>
  <c r="X1" i="18" s="1"/>
  <c r="Y1" i="18" s="1"/>
  <c r="Z1" i="18" s="1"/>
  <c r="AA1" i="18" s="1"/>
  <c r="J42" i="17"/>
  <c r="I42" i="17"/>
  <c r="H42" i="17"/>
  <c r="G42" i="17"/>
  <c r="E42" i="17"/>
  <c r="J33" i="17"/>
  <c r="J37" i="17" s="1"/>
  <c r="I33" i="17"/>
  <c r="I37" i="17" s="1"/>
  <c r="H33" i="17"/>
  <c r="H37" i="17" s="1"/>
  <c r="G33" i="17"/>
  <c r="G37" i="17" s="1"/>
  <c r="E33" i="17"/>
  <c r="E37" i="17" s="1"/>
  <c r="J16" i="17"/>
  <c r="J22" i="17" s="1"/>
  <c r="I16" i="17"/>
  <c r="I22" i="17" s="1"/>
  <c r="H16" i="17"/>
  <c r="H22" i="17" s="1"/>
  <c r="G16" i="17"/>
  <c r="G22" i="17" s="1"/>
  <c r="E16" i="17"/>
  <c r="E22" i="17" s="1"/>
  <c r="C16" i="15"/>
  <c r="N99" i="15" l="1"/>
  <c r="L99" i="15"/>
  <c r="O99" i="15"/>
  <c r="M99" i="15"/>
  <c r="G99" i="15"/>
  <c r="H99" i="15"/>
  <c r="F99" i="15"/>
  <c r="I99" i="15"/>
  <c r="N95" i="15"/>
  <c r="L95" i="15"/>
  <c r="O95" i="15"/>
  <c r="M95" i="15"/>
  <c r="G95" i="15"/>
  <c r="H95" i="15"/>
  <c r="F95" i="15"/>
  <c r="I95" i="15"/>
  <c r="N91" i="15"/>
  <c r="L91" i="15"/>
  <c r="O91" i="15"/>
  <c r="M91" i="15"/>
  <c r="G91" i="15"/>
  <c r="H91" i="15"/>
  <c r="F91" i="15"/>
  <c r="I91" i="15"/>
  <c r="N87" i="15"/>
  <c r="L87" i="15"/>
  <c r="F87" i="15"/>
  <c r="O87" i="15"/>
  <c r="M87" i="15"/>
  <c r="H87" i="15"/>
  <c r="G87" i="15"/>
  <c r="I87" i="15"/>
  <c r="N83" i="15"/>
  <c r="L83" i="15"/>
  <c r="F83" i="15"/>
  <c r="O83" i="15"/>
  <c r="M83" i="15"/>
  <c r="H83" i="15"/>
  <c r="G83" i="15"/>
  <c r="I83" i="15"/>
  <c r="N79" i="15"/>
  <c r="L79" i="15"/>
  <c r="F79" i="15"/>
  <c r="O79" i="15"/>
  <c r="M79" i="15"/>
  <c r="H79" i="15"/>
  <c r="G79" i="15"/>
  <c r="I79" i="15"/>
  <c r="N75" i="15"/>
  <c r="L75" i="15"/>
  <c r="F75" i="15"/>
  <c r="O75" i="15"/>
  <c r="M75" i="15"/>
  <c r="H75" i="15"/>
  <c r="G75" i="15"/>
  <c r="I75" i="15"/>
  <c r="N71" i="15"/>
  <c r="L71" i="15"/>
  <c r="F71" i="15"/>
  <c r="O71" i="15"/>
  <c r="M71" i="15"/>
  <c r="H71" i="15"/>
  <c r="G71" i="15"/>
  <c r="I71" i="15"/>
  <c r="N67" i="15"/>
  <c r="L67" i="15"/>
  <c r="F67" i="15"/>
  <c r="O67" i="15"/>
  <c r="M67" i="15"/>
  <c r="H67" i="15"/>
  <c r="G67" i="15"/>
  <c r="I67" i="15"/>
  <c r="O52" i="15"/>
  <c r="T18" i="18" s="1"/>
  <c r="H52" i="15"/>
  <c r="P18" i="18" s="1"/>
  <c r="N52" i="15"/>
  <c r="Q18" i="18" s="1"/>
  <c r="G52" i="15"/>
  <c r="M18" i="18" s="1"/>
  <c r="M52" i="15"/>
  <c r="N18" i="18" s="1"/>
  <c r="F52" i="15"/>
  <c r="L52" i="15"/>
  <c r="K18" i="18" s="1"/>
  <c r="I52" i="15"/>
  <c r="S18" i="18" s="1"/>
  <c r="M98" i="15"/>
  <c r="F98" i="15"/>
  <c r="L98" i="15"/>
  <c r="G98" i="15"/>
  <c r="O98" i="15"/>
  <c r="H98" i="15"/>
  <c r="N98" i="15"/>
  <c r="I98" i="15"/>
  <c r="O94" i="15"/>
  <c r="F94" i="15"/>
  <c r="N94" i="15"/>
  <c r="G94" i="15"/>
  <c r="M94" i="15"/>
  <c r="H94" i="15"/>
  <c r="L94" i="15"/>
  <c r="I94" i="15"/>
  <c r="G90" i="15"/>
  <c r="M90" i="15"/>
  <c r="L90" i="15"/>
  <c r="F90" i="15"/>
  <c r="O90" i="15"/>
  <c r="H90" i="15"/>
  <c r="N90" i="15"/>
  <c r="I90" i="15"/>
  <c r="G86" i="15"/>
  <c r="O86" i="15"/>
  <c r="H86" i="15"/>
  <c r="N86" i="15"/>
  <c r="M86" i="15"/>
  <c r="L86" i="15"/>
  <c r="F86" i="15"/>
  <c r="I86" i="15"/>
  <c r="G82" i="15"/>
  <c r="M82" i="15"/>
  <c r="L82" i="15"/>
  <c r="F82" i="15"/>
  <c r="O82" i="15"/>
  <c r="H82" i="15"/>
  <c r="N82" i="15"/>
  <c r="I82" i="15"/>
  <c r="G78" i="15"/>
  <c r="O78" i="15"/>
  <c r="H78" i="15"/>
  <c r="N78" i="15"/>
  <c r="M78" i="15"/>
  <c r="L78" i="15"/>
  <c r="F78" i="15"/>
  <c r="I78" i="15"/>
  <c r="G74" i="15"/>
  <c r="M74" i="15"/>
  <c r="L74" i="15"/>
  <c r="F74" i="15"/>
  <c r="O74" i="15"/>
  <c r="H74" i="15"/>
  <c r="N74" i="15"/>
  <c r="I74" i="15"/>
  <c r="G70" i="15"/>
  <c r="O70" i="15"/>
  <c r="H70" i="15"/>
  <c r="N70" i="15"/>
  <c r="M70" i="15"/>
  <c r="L70" i="15"/>
  <c r="F70" i="15"/>
  <c r="I70" i="15"/>
  <c r="O101" i="15"/>
  <c r="M101" i="15"/>
  <c r="N101" i="15"/>
  <c r="L101" i="15"/>
  <c r="F101" i="15"/>
  <c r="G101" i="15"/>
  <c r="H101" i="15"/>
  <c r="I101" i="15"/>
  <c r="O97" i="15"/>
  <c r="M97" i="15"/>
  <c r="N97" i="15"/>
  <c r="L97" i="15"/>
  <c r="F97" i="15"/>
  <c r="G97" i="15"/>
  <c r="H97" i="15"/>
  <c r="I97" i="15"/>
  <c r="O93" i="15"/>
  <c r="M93" i="15"/>
  <c r="N93" i="15"/>
  <c r="L93" i="15"/>
  <c r="F93" i="15"/>
  <c r="G93" i="15"/>
  <c r="H93" i="15"/>
  <c r="I93" i="15"/>
  <c r="O89" i="15"/>
  <c r="M89" i="15"/>
  <c r="H89" i="15"/>
  <c r="N89" i="15"/>
  <c r="L89" i="15"/>
  <c r="F89" i="15"/>
  <c r="G89" i="15"/>
  <c r="I89" i="15"/>
  <c r="O85" i="15"/>
  <c r="M85" i="15"/>
  <c r="H85" i="15"/>
  <c r="N85" i="15"/>
  <c r="L85" i="15"/>
  <c r="F85" i="15"/>
  <c r="G85" i="15"/>
  <c r="I85" i="15"/>
  <c r="O81" i="15"/>
  <c r="M81" i="15"/>
  <c r="H81" i="15"/>
  <c r="N81" i="15"/>
  <c r="L81" i="15"/>
  <c r="F81" i="15"/>
  <c r="G81" i="15"/>
  <c r="I81" i="15"/>
  <c r="O77" i="15"/>
  <c r="M77" i="15"/>
  <c r="H77" i="15"/>
  <c r="N77" i="15"/>
  <c r="L77" i="15"/>
  <c r="F77" i="15"/>
  <c r="G77" i="15"/>
  <c r="I77" i="15"/>
  <c r="O73" i="15"/>
  <c r="M73" i="15"/>
  <c r="H73" i="15"/>
  <c r="N73" i="15"/>
  <c r="L73" i="15"/>
  <c r="F73" i="15"/>
  <c r="G73" i="15"/>
  <c r="I73" i="15"/>
  <c r="O69" i="15"/>
  <c r="M69" i="15"/>
  <c r="H69" i="15"/>
  <c r="N69" i="15"/>
  <c r="L69" i="15"/>
  <c r="F69" i="15"/>
  <c r="G69" i="15"/>
  <c r="I69" i="15"/>
  <c r="O53" i="15"/>
  <c r="T19" i="18" s="1"/>
  <c r="M53" i="15"/>
  <c r="N19" i="18" s="1"/>
  <c r="H53" i="15"/>
  <c r="P19" i="18" s="1"/>
  <c r="N53" i="15"/>
  <c r="Q19" i="18" s="1"/>
  <c r="L53" i="15"/>
  <c r="K19" i="18" s="1"/>
  <c r="F53" i="15"/>
  <c r="J19" i="18" s="1"/>
  <c r="G53" i="15"/>
  <c r="M19" i="18" s="1"/>
  <c r="I53" i="15"/>
  <c r="S19" i="18" s="1"/>
  <c r="N100" i="15"/>
  <c r="H100" i="15"/>
  <c r="M100" i="15"/>
  <c r="L100" i="15"/>
  <c r="F100" i="15"/>
  <c r="O100" i="15"/>
  <c r="G100" i="15"/>
  <c r="I100" i="15"/>
  <c r="L96" i="15"/>
  <c r="H96" i="15"/>
  <c r="O96" i="15"/>
  <c r="N96" i="15"/>
  <c r="F96" i="15"/>
  <c r="M96" i="15"/>
  <c r="G96" i="15"/>
  <c r="I96" i="15"/>
  <c r="N92" i="15"/>
  <c r="H92" i="15"/>
  <c r="M92" i="15"/>
  <c r="L92" i="15"/>
  <c r="F92" i="15"/>
  <c r="O92" i="15"/>
  <c r="G92" i="15"/>
  <c r="I92" i="15"/>
  <c r="G88" i="15"/>
  <c r="L88" i="15"/>
  <c r="O88" i="15"/>
  <c r="N88" i="15"/>
  <c r="F88" i="15"/>
  <c r="M88" i="15"/>
  <c r="H88" i="15"/>
  <c r="I88" i="15"/>
  <c r="G84" i="15"/>
  <c r="N84" i="15"/>
  <c r="F84" i="15"/>
  <c r="M84" i="15"/>
  <c r="H84" i="15"/>
  <c r="L84" i="15"/>
  <c r="O84" i="15"/>
  <c r="I84" i="15"/>
  <c r="G80" i="15"/>
  <c r="L80" i="15"/>
  <c r="O80" i="15"/>
  <c r="N80" i="15"/>
  <c r="F80" i="15"/>
  <c r="M80" i="15"/>
  <c r="H80" i="15"/>
  <c r="I80" i="15"/>
  <c r="G76" i="15"/>
  <c r="N76" i="15"/>
  <c r="F76" i="15"/>
  <c r="M76" i="15"/>
  <c r="H76" i="15"/>
  <c r="L76" i="15"/>
  <c r="O76" i="15"/>
  <c r="I76" i="15"/>
  <c r="G72" i="15"/>
  <c r="L72" i="15"/>
  <c r="O72" i="15"/>
  <c r="N72" i="15"/>
  <c r="F72" i="15"/>
  <c r="M72" i="15"/>
  <c r="H72" i="15"/>
  <c r="I72" i="15"/>
  <c r="G68" i="15"/>
  <c r="N68" i="15"/>
  <c r="F68" i="15"/>
  <c r="M68" i="15"/>
  <c r="H68" i="15"/>
  <c r="L68" i="15"/>
  <c r="O68" i="15"/>
  <c r="I68" i="15"/>
  <c r="U9" i="18"/>
  <c r="H44" i="17"/>
  <c r="Y37" i="18"/>
  <c r="G44" i="17"/>
  <c r="Y55" i="18"/>
  <c r="AB55" i="20"/>
  <c r="Y35" i="18"/>
  <c r="AB35" i="20"/>
  <c r="Y46" i="18"/>
  <c r="AB46" i="20"/>
  <c r="Y61" i="18"/>
  <c r="AB61" i="20"/>
  <c r="Y59" i="18"/>
  <c r="AB59" i="20"/>
  <c r="Y38" i="18"/>
  <c r="AB38" i="20"/>
  <c r="I44" i="17"/>
  <c r="Y39" i="18"/>
  <c r="AB39" i="20"/>
  <c r="Y51" i="18"/>
  <c r="AB51" i="20"/>
  <c r="Y57" i="18"/>
  <c r="AB57" i="20"/>
  <c r="E44" i="17"/>
  <c r="J44" i="17"/>
  <c r="Y49" i="18"/>
  <c r="AB49" i="20"/>
  <c r="Y153" i="18"/>
  <c r="AB153" i="20"/>
  <c r="Y145" i="18"/>
  <c r="AB145" i="20"/>
  <c r="Y149" i="18"/>
  <c r="AB149" i="20"/>
  <c r="Y147" i="18"/>
  <c r="AB147" i="20"/>
  <c r="Y120" i="18"/>
  <c r="Y136" i="18"/>
  <c r="Y128" i="18"/>
  <c r="Y127" i="18"/>
  <c r="AB127" i="20"/>
  <c r="Y130" i="18"/>
  <c r="AB130" i="20"/>
  <c r="Y133" i="18"/>
  <c r="AB133" i="20"/>
  <c r="Y123" i="18"/>
  <c r="AB123" i="20"/>
  <c r="Y126" i="18"/>
  <c r="AB126" i="20"/>
  <c r="Y129" i="18"/>
  <c r="AB129" i="20"/>
  <c r="Y139" i="18"/>
  <c r="AB139" i="20"/>
  <c r="Y132" i="18"/>
  <c r="Y125" i="18"/>
  <c r="AB125" i="20"/>
  <c r="Y135" i="18"/>
  <c r="AB135" i="20"/>
  <c r="Y131" i="18"/>
  <c r="AB131" i="20"/>
  <c r="Y134" i="18"/>
  <c r="AB134" i="20"/>
  <c r="Y137" i="18"/>
  <c r="AB137" i="20"/>
  <c r="Y124" i="18"/>
  <c r="Y114" i="18"/>
  <c r="AB114" i="20"/>
  <c r="Y112" i="18"/>
  <c r="AB112" i="20"/>
  <c r="Y116" i="18"/>
  <c r="AB116" i="20"/>
  <c r="Y102" i="18"/>
  <c r="AB102" i="20"/>
  <c r="Y50" i="18"/>
  <c r="AB50" i="20"/>
  <c r="Y40" i="18"/>
  <c r="AB40" i="20"/>
  <c r="E32" i="20"/>
  <c r="E175" i="20" s="1"/>
  <c r="C66" i="15"/>
  <c r="E28" i="20"/>
  <c r="E171" i="20" s="1"/>
  <c r="C62" i="15"/>
  <c r="E24" i="20"/>
  <c r="E167" i="20" s="1"/>
  <c r="C58" i="15"/>
  <c r="E20" i="20"/>
  <c r="E163" i="20" s="1"/>
  <c r="C54" i="15"/>
  <c r="E31" i="20"/>
  <c r="E174" i="20" s="1"/>
  <c r="C65" i="15"/>
  <c r="E27" i="20"/>
  <c r="E170" i="20" s="1"/>
  <c r="C61" i="15"/>
  <c r="E23" i="20"/>
  <c r="E166" i="20" s="1"/>
  <c r="C57" i="15"/>
  <c r="E29" i="20"/>
  <c r="E172" i="20" s="1"/>
  <c r="C63" i="15"/>
  <c r="E25" i="20"/>
  <c r="E168" i="20" s="1"/>
  <c r="C59" i="15"/>
  <c r="E21" i="20"/>
  <c r="E164" i="20" s="1"/>
  <c r="C55" i="15"/>
  <c r="E30" i="20"/>
  <c r="E173" i="20" s="1"/>
  <c r="C64" i="15"/>
  <c r="E26" i="20"/>
  <c r="E169" i="20" s="1"/>
  <c r="C60" i="15"/>
  <c r="E22" i="20"/>
  <c r="E165" i="20" s="1"/>
  <c r="C56" i="15"/>
  <c r="G95" i="20"/>
  <c r="G76" i="20"/>
  <c r="G87" i="20"/>
  <c r="I97" i="20"/>
  <c r="I105" i="20" s="1"/>
  <c r="I155" i="20" s="1"/>
  <c r="R105" i="20"/>
  <c r="R155" i="20" s="1"/>
  <c r="E19" i="18"/>
  <c r="E162" i="18" s="1"/>
  <c r="E19" i="20"/>
  <c r="E162" i="20" s="1"/>
  <c r="O105" i="20"/>
  <c r="O155" i="20" s="1"/>
  <c r="E18" i="18"/>
  <c r="E161" i="18" s="1"/>
  <c r="E18" i="20"/>
  <c r="E161" i="20" s="1"/>
  <c r="L105" i="20"/>
  <c r="L155" i="20" s="1"/>
  <c r="Y73" i="18"/>
  <c r="AB73" i="20"/>
  <c r="Y86" i="18"/>
  <c r="AB86" i="20"/>
  <c r="Y72" i="18"/>
  <c r="AB72" i="20"/>
  <c r="Y85" i="18"/>
  <c r="AB85" i="20"/>
  <c r="Y71" i="18"/>
  <c r="AB71" i="20"/>
  <c r="Y75" i="18"/>
  <c r="AB75" i="20"/>
  <c r="Y80" i="18"/>
  <c r="AB80" i="20"/>
  <c r="Y84" i="18"/>
  <c r="AB84" i="20"/>
  <c r="Y93" i="18"/>
  <c r="AB93" i="20"/>
  <c r="Y82" i="18"/>
  <c r="AB82" i="20"/>
  <c r="Y91" i="18"/>
  <c r="AB91" i="20"/>
  <c r="Y81" i="18"/>
  <c r="AB81" i="20"/>
  <c r="Y70" i="18"/>
  <c r="AB70" i="20"/>
  <c r="Y74" i="18"/>
  <c r="AB74" i="20"/>
  <c r="Y79" i="18"/>
  <c r="AB79" i="20"/>
  <c r="Y83" i="18"/>
  <c r="AB83" i="20"/>
  <c r="Y92" i="18"/>
  <c r="AB92" i="20"/>
  <c r="O9" i="20"/>
  <c r="R9" i="20"/>
  <c r="I9" i="20"/>
  <c r="AD176" i="20"/>
  <c r="AE176" i="20" s="1"/>
  <c r="AD174" i="20"/>
  <c r="AE174" i="20" s="1"/>
  <c r="AD172" i="20"/>
  <c r="AE172" i="20" s="1"/>
  <c r="AD170" i="20"/>
  <c r="AE170" i="20" s="1"/>
  <c r="AD168" i="20"/>
  <c r="AE168" i="20" s="1"/>
  <c r="AD166" i="20"/>
  <c r="AE166" i="20" s="1"/>
  <c r="AD164" i="20"/>
  <c r="AE164" i="20" s="1"/>
  <c r="AD162" i="20"/>
  <c r="AE162" i="20" s="1"/>
  <c r="AD175" i="20"/>
  <c r="AE175" i="20" s="1"/>
  <c r="AD173" i="20"/>
  <c r="AE173" i="20" s="1"/>
  <c r="AD171" i="20"/>
  <c r="AE171" i="20" s="1"/>
  <c r="AD169" i="20"/>
  <c r="AE169" i="20" s="1"/>
  <c r="AD167" i="20"/>
  <c r="AE167" i="20" s="1"/>
  <c r="AD165" i="20"/>
  <c r="AE165" i="20" s="1"/>
  <c r="AD163" i="20"/>
  <c r="AD161" i="20"/>
  <c r="AE161" i="20" s="1"/>
  <c r="W10" i="20"/>
  <c r="V95" i="18"/>
  <c r="T97" i="18"/>
  <c r="T105" i="18" s="1"/>
  <c r="T155" i="18" s="1"/>
  <c r="T181" i="18" s="1"/>
  <c r="S97" i="18"/>
  <c r="K97" i="18"/>
  <c r="K105" i="18" s="1"/>
  <c r="K155" i="18" s="1"/>
  <c r="K181" i="18" s="1"/>
  <c r="P97" i="18"/>
  <c r="G97" i="18"/>
  <c r="G105" i="18" s="1"/>
  <c r="C104" i="15"/>
  <c r="E33" i="20" s="1"/>
  <c r="E176" i="20" s="1"/>
  <c r="I9" i="18"/>
  <c r="Q9" i="18"/>
  <c r="N9" i="18"/>
  <c r="Z9" i="20"/>
  <c r="AA10" i="20"/>
  <c r="AA167" i="20"/>
  <c r="AA175" i="20"/>
  <c r="AA164" i="20"/>
  <c r="AA168" i="20"/>
  <c r="AA172" i="20"/>
  <c r="AA176" i="20"/>
  <c r="U177" i="20"/>
  <c r="AA161" i="20"/>
  <c r="E32" i="18"/>
  <c r="E175" i="18" s="1"/>
  <c r="E31" i="18"/>
  <c r="E174" i="18" s="1"/>
  <c r="E30" i="18"/>
  <c r="E173" i="18" s="1"/>
  <c r="E29" i="18"/>
  <c r="E172" i="18" s="1"/>
  <c r="E28" i="18"/>
  <c r="E171" i="18" s="1"/>
  <c r="E27" i="18"/>
  <c r="E170" i="18" s="1"/>
  <c r="E26" i="18"/>
  <c r="E169" i="18" s="1"/>
  <c r="E25" i="18"/>
  <c r="E168" i="18" s="1"/>
  <c r="E24" i="18"/>
  <c r="E167" i="18" s="1"/>
  <c r="E23" i="18"/>
  <c r="E166" i="18" s="1"/>
  <c r="E22" i="18"/>
  <c r="E165" i="18" s="1"/>
  <c r="E21" i="18"/>
  <c r="E164" i="18" s="1"/>
  <c r="E20" i="18"/>
  <c r="E163" i="18" s="1"/>
  <c r="C105" i="15"/>
  <c r="I107" i="15"/>
  <c r="T9" i="18"/>
  <c r="K9" i="18"/>
  <c r="P9" i="18"/>
  <c r="R9" i="18" s="1"/>
  <c r="Y90" i="18"/>
  <c r="Y94" i="18"/>
  <c r="Y122" i="18"/>
  <c r="Y138" i="18"/>
  <c r="J97" i="18"/>
  <c r="V140" i="18"/>
  <c r="U177" i="18"/>
  <c r="R177" i="18"/>
  <c r="M9" i="18"/>
  <c r="O9" i="18" s="1"/>
  <c r="V52" i="18"/>
  <c r="N97" i="18"/>
  <c r="N105" i="18" s="1"/>
  <c r="N155" i="18" s="1"/>
  <c r="N181" i="18" s="1"/>
  <c r="Y109" i="18"/>
  <c r="Y113" i="18"/>
  <c r="Y45" i="18"/>
  <c r="Y62" i="18"/>
  <c r="Y146" i="18"/>
  <c r="Y47" i="18"/>
  <c r="V63" i="18"/>
  <c r="Y56" i="18"/>
  <c r="Y60" i="18"/>
  <c r="Y144" i="18"/>
  <c r="Y148" i="18"/>
  <c r="L177" i="18"/>
  <c r="M97" i="18"/>
  <c r="Q97" i="18"/>
  <c r="Q105" i="18" s="1"/>
  <c r="Q155" i="18" s="1"/>
  <c r="Q181" i="18" s="1"/>
  <c r="Y58" i="18"/>
  <c r="Y101" i="18"/>
  <c r="Y111" i="18"/>
  <c r="Y115" i="18"/>
  <c r="Y152" i="18"/>
  <c r="J9" i="18"/>
  <c r="L9" i="18" s="1"/>
  <c r="I65" i="18"/>
  <c r="I179" i="18" s="1"/>
  <c r="I97" i="18"/>
  <c r="I105" i="18" s="1"/>
  <c r="I155" i="18" s="1"/>
  <c r="I7" i="18" s="1"/>
  <c r="V150" i="18"/>
  <c r="O177" i="18"/>
  <c r="Y44" i="18"/>
  <c r="V87" i="18"/>
  <c r="Y108" i="18"/>
  <c r="Y143" i="18"/>
  <c r="V76" i="18"/>
  <c r="Y121" i="18"/>
  <c r="J74" i="15" l="1"/>
  <c r="J82" i="15"/>
  <c r="J90" i="15"/>
  <c r="J98" i="15"/>
  <c r="J68" i="15"/>
  <c r="J72" i="15"/>
  <c r="J76" i="15"/>
  <c r="J80" i="15"/>
  <c r="J84" i="15"/>
  <c r="J88" i="15"/>
  <c r="J92" i="15"/>
  <c r="J96" i="15"/>
  <c r="J100" i="15"/>
  <c r="J69" i="15"/>
  <c r="J73" i="15"/>
  <c r="J77" i="15"/>
  <c r="J81" i="15"/>
  <c r="J85" i="15"/>
  <c r="J89" i="15"/>
  <c r="J93" i="15"/>
  <c r="J97" i="15"/>
  <c r="J101" i="15"/>
  <c r="J70" i="15"/>
  <c r="J78" i="15"/>
  <c r="J86" i="15"/>
  <c r="J71" i="15"/>
  <c r="J75" i="15"/>
  <c r="J79" i="15"/>
  <c r="J83" i="15"/>
  <c r="J87" i="15"/>
  <c r="J91" i="15"/>
  <c r="J95" i="15"/>
  <c r="J99" i="15"/>
  <c r="P92" i="15"/>
  <c r="P100" i="15"/>
  <c r="P93" i="15"/>
  <c r="P97" i="15"/>
  <c r="P101" i="15"/>
  <c r="P94" i="15"/>
  <c r="M33" i="18"/>
  <c r="G60" i="15"/>
  <c r="M26" i="18" s="1"/>
  <c r="N60" i="15"/>
  <c r="Q26" i="18" s="1"/>
  <c r="F60" i="15"/>
  <c r="M60" i="15"/>
  <c r="N26" i="18" s="1"/>
  <c r="H60" i="15"/>
  <c r="P26" i="18" s="1"/>
  <c r="L60" i="15"/>
  <c r="O60" i="15"/>
  <c r="T26" i="18" s="1"/>
  <c r="I60" i="15"/>
  <c r="S26" i="18" s="1"/>
  <c r="N63" i="15"/>
  <c r="Q29" i="18" s="1"/>
  <c r="L63" i="15"/>
  <c r="F63" i="15"/>
  <c r="O63" i="15"/>
  <c r="T29" i="18" s="1"/>
  <c r="M63" i="15"/>
  <c r="N29" i="18" s="1"/>
  <c r="H63" i="15"/>
  <c r="P29" i="18" s="1"/>
  <c r="G63" i="15"/>
  <c r="M29" i="18" s="1"/>
  <c r="I63" i="15"/>
  <c r="S29" i="18" s="1"/>
  <c r="G62" i="15"/>
  <c r="M28" i="18" s="1"/>
  <c r="O62" i="15"/>
  <c r="T28" i="18" s="1"/>
  <c r="H62" i="15"/>
  <c r="P28" i="18" s="1"/>
  <c r="N62" i="15"/>
  <c r="Q28" i="18" s="1"/>
  <c r="M62" i="15"/>
  <c r="N28" i="18" s="1"/>
  <c r="L62" i="15"/>
  <c r="F62" i="15"/>
  <c r="I62" i="15"/>
  <c r="S28" i="18" s="1"/>
  <c r="S33" i="18"/>
  <c r="T33" i="18"/>
  <c r="G56" i="15"/>
  <c r="M22" i="18" s="1"/>
  <c r="L56" i="15"/>
  <c r="O56" i="15"/>
  <c r="T22" i="18" s="1"/>
  <c r="N56" i="15"/>
  <c r="Q22" i="18" s="1"/>
  <c r="F56" i="15"/>
  <c r="M56" i="15"/>
  <c r="N22" i="18" s="1"/>
  <c r="H56" i="15"/>
  <c r="P22" i="18" s="1"/>
  <c r="I56" i="15"/>
  <c r="S22" i="18" s="1"/>
  <c r="N55" i="15"/>
  <c r="Q21" i="18" s="1"/>
  <c r="L55" i="15"/>
  <c r="F55" i="15"/>
  <c r="O55" i="15"/>
  <c r="T21" i="18" s="1"/>
  <c r="M55" i="15"/>
  <c r="N21" i="18" s="1"/>
  <c r="H55" i="15"/>
  <c r="P21" i="18" s="1"/>
  <c r="G55" i="15"/>
  <c r="M21" i="18" s="1"/>
  <c r="I55" i="15"/>
  <c r="S21" i="18" s="1"/>
  <c r="O61" i="15"/>
  <c r="T27" i="18" s="1"/>
  <c r="M61" i="15"/>
  <c r="N27" i="18" s="1"/>
  <c r="H61" i="15"/>
  <c r="P27" i="18" s="1"/>
  <c r="N61" i="15"/>
  <c r="Q27" i="18" s="1"/>
  <c r="L61" i="15"/>
  <c r="F61" i="15"/>
  <c r="G61" i="15"/>
  <c r="M27" i="18" s="1"/>
  <c r="I61" i="15"/>
  <c r="S27" i="18" s="1"/>
  <c r="G54" i="15"/>
  <c r="M20" i="18" s="1"/>
  <c r="O54" i="15"/>
  <c r="T20" i="18" s="1"/>
  <c r="H54" i="15"/>
  <c r="P20" i="18" s="1"/>
  <c r="N54" i="15"/>
  <c r="Q20" i="18" s="1"/>
  <c r="M54" i="15"/>
  <c r="N20" i="18" s="1"/>
  <c r="L54" i="15"/>
  <c r="K20" i="18" s="1"/>
  <c r="F54" i="15"/>
  <c r="J20" i="18" s="1"/>
  <c r="I54" i="15"/>
  <c r="S20" i="18" s="1"/>
  <c r="P74" i="15"/>
  <c r="P82" i="15"/>
  <c r="P90" i="15"/>
  <c r="P98" i="15"/>
  <c r="J33" i="18"/>
  <c r="J67" i="15"/>
  <c r="N59" i="15"/>
  <c r="Q25" i="18" s="1"/>
  <c r="L59" i="15"/>
  <c r="F59" i="15"/>
  <c r="O59" i="15"/>
  <c r="T25" i="18" s="1"/>
  <c r="M59" i="15"/>
  <c r="N25" i="18" s="1"/>
  <c r="H59" i="15"/>
  <c r="P25" i="18" s="1"/>
  <c r="G59" i="15"/>
  <c r="M25" i="18" s="1"/>
  <c r="I59" i="15"/>
  <c r="S25" i="18" s="1"/>
  <c r="O65" i="15"/>
  <c r="T31" i="18" s="1"/>
  <c r="M65" i="15"/>
  <c r="N31" i="18" s="1"/>
  <c r="H65" i="15"/>
  <c r="P31" i="18" s="1"/>
  <c r="N65" i="15"/>
  <c r="Q31" i="18" s="1"/>
  <c r="L65" i="15"/>
  <c r="F65" i="15"/>
  <c r="G65" i="15"/>
  <c r="M31" i="18" s="1"/>
  <c r="I65" i="15"/>
  <c r="S31" i="18" s="1"/>
  <c r="G66" i="15"/>
  <c r="M32" i="18" s="1"/>
  <c r="M66" i="15"/>
  <c r="N32" i="18" s="1"/>
  <c r="L66" i="15"/>
  <c r="F66" i="15"/>
  <c r="O66" i="15"/>
  <c r="T32" i="18" s="1"/>
  <c r="H66" i="15"/>
  <c r="P32" i="18" s="1"/>
  <c r="N66" i="15"/>
  <c r="Q32" i="18" s="1"/>
  <c r="I66" i="15"/>
  <c r="S32" i="18" s="1"/>
  <c r="P68" i="15"/>
  <c r="P72" i="15"/>
  <c r="P76" i="15"/>
  <c r="P80" i="15"/>
  <c r="P84" i="15"/>
  <c r="P88" i="15"/>
  <c r="P70" i="15"/>
  <c r="P78" i="15"/>
  <c r="P86" i="15"/>
  <c r="J94" i="15"/>
  <c r="J18" i="18"/>
  <c r="J52" i="15"/>
  <c r="P33" i="18"/>
  <c r="K33" i="18"/>
  <c r="P67" i="15"/>
  <c r="P71" i="15"/>
  <c r="P75" i="15"/>
  <c r="P79" i="15"/>
  <c r="P83" i="15"/>
  <c r="P87" i="15"/>
  <c r="P91" i="15"/>
  <c r="P95" i="15"/>
  <c r="P99" i="15"/>
  <c r="G64" i="15"/>
  <c r="M30" i="18" s="1"/>
  <c r="L64" i="15"/>
  <c r="O64" i="15"/>
  <c r="T30" i="18" s="1"/>
  <c r="N64" i="15"/>
  <c r="Q30" i="18" s="1"/>
  <c r="F64" i="15"/>
  <c r="M64" i="15"/>
  <c r="N30" i="18" s="1"/>
  <c r="H64" i="15"/>
  <c r="P30" i="18" s="1"/>
  <c r="I64" i="15"/>
  <c r="S30" i="18" s="1"/>
  <c r="O57" i="15"/>
  <c r="T23" i="18" s="1"/>
  <c r="M57" i="15"/>
  <c r="N23" i="18" s="1"/>
  <c r="H57" i="15"/>
  <c r="P23" i="18" s="1"/>
  <c r="N57" i="15"/>
  <c r="Q23" i="18" s="1"/>
  <c r="L57" i="15"/>
  <c r="F57" i="15"/>
  <c r="G57" i="15"/>
  <c r="M23" i="18" s="1"/>
  <c r="I57" i="15"/>
  <c r="S23" i="18" s="1"/>
  <c r="G58" i="15"/>
  <c r="M24" i="18" s="1"/>
  <c r="M58" i="15"/>
  <c r="N24" i="18" s="1"/>
  <c r="L58" i="15"/>
  <c r="F58" i="15"/>
  <c r="O58" i="15"/>
  <c r="T24" i="18" s="1"/>
  <c r="H58" i="15"/>
  <c r="P24" i="18" s="1"/>
  <c r="N58" i="15"/>
  <c r="Q24" i="18" s="1"/>
  <c r="I58" i="15"/>
  <c r="S24" i="18" s="1"/>
  <c r="P96" i="15"/>
  <c r="P69" i="15"/>
  <c r="P73" i="15"/>
  <c r="P77" i="15"/>
  <c r="P81" i="15"/>
  <c r="P85" i="15"/>
  <c r="P89" i="15"/>
  <c r="N33" i="18"/>
  <c r="Q33" i="18"/>
  <c r="P53" i="15"/>
  <c r="J53" i="15"/>
  <c r="P52" i="15"/>
  <c r="M103" i="18"/>
  <c r="M105" i="18" s="1"/>
  <c r="S103" i="18"/>
  <c r="S105" i="18" s="1"/>
  <c r="AB63" i="20"/>
  <c r="P103" i="18"/>
  <c r="P105" i="18" s="1"/>
  <c r="AB52" i="20"/>
  <c r="AB150" i="20"/>
  <c r="AB140" i="20"/>
  <c r="G97" i="20"/>
  <c r="G105" i="20" s="1"/>
  <c r="Y87" i="18"/>
  <c r="Y76" i="18"/>
  <c r="G19" i="20"/>
  <c r="R181" i="20"/>
  <c r="O181" i="20"/>
  <c r="L181" i="20"/>
  <c r="I181" i="20"/>
  <c r="AB76" i="20"/>
  <c r="AB87" i="20"/>
  <c r="AB95" i="20"/>
  <c r="AD177" i="20"/>
  <c r="AD9" i="20" s="1"/>
  <c r="AD10" i="20" s="1"/>
  <c r="AA177" i="20"/>
  <c r="I181" i="18"/>
  <c r="V97" i="18"/>
  <c r="U9" i="20"/>
  <c r="AA9" i="20" s="1"/>
  <c r="AE163" i="20"/>
  <c r="AE177" i="20" s="1"/>
  <c r="G19" i="18"/>
  <c r="Y150" i="18"/>
  <c r="Y95" i="18"/>
  <c r="Y140" i="18"/>
  <c r="Y63" i="18"/>
  <c r="Y52" i="18"/>
  <c r="I6" i="18"/>
  <c r="I8" i="18" s="1"/>
  <c r="I157" i="18"/>
  <c r="P54" i="15" l="1"/>
  <c r="K23" i="18"/>
  <c r="P57" i="15"/>
  <c r="J30" i="18"/>
  <c r="J64" i="15"/>
  <c r="J32" i="18"/>
  <c r="J66" i="15"/>
  <c r="J27" i="18"/>
  <c r="J61" i="15"/>
  <c r="K21" i="18"/>
  <c r="P55" i="15"/>
  <c r="K22" i="18"/>
  <c r="P56" i="15"/>
  <c r="J24" i="18"/>
  <c r="J58" i="15"/>
  <c r="K32" i="18"/>
  <c r="P66" i="15"/>
  <c r="J25" i="18"/>
  <c r="J59" i="15"/>
  <c r="K27" i="18"/>
  <c r="P61" i="15"/>
  <c r="J22" i="18"/>
  <c r="J56" i="15"/>
  <c r="J28" i="18"/>
  <c r="J62" i="15"/>
  <c r="J29" i="18"/>
  <c r="J63" i="15"/>
  <c r="J26" i="18"/>
  <c r="J60" i="15"/>
  <c r="K24" i="18"/>
  <c r="P58" i="15"/>
  <c r="J31" i="18"/>
  <c r="J65" i="15"/>
  <c r="K25" i="18"/>
  <c r="P59" i="15"/>
  <c r="K28" i="18"/>
  <c r="P62" i="15"/>
  <c r="K29" i="18"/>
  <c r="P63" i="15"/>
  <c r="K26" i="18"/>
  <c r="P60" i="15"/>
  <c r="J23" i="18"/>
  <c r="J57" i="15"/>
  <c r="K30" i="18"/>
  <c r="P64" i="15"/>
  <c r="K31" i="18"/>
  <c r="P65" i="15"/>
  <c r="J21" i="18"/>
  <c r="J55" i="15"/>
  <c r="J54" i="15"/>
  <c r="J103" i="18"/>
  <c r="J105" i="18" s="1"/>
  <c r="V100" i="18"/>
  <c r="Y97" i="18"/>
  <c r="AB97" i="20"/>
  <c r="E176" i="18"/>
  <c r="V19" i="18" l="1"/>
  <c r="AB19" i="20" s="1"/>
  <c r="AB100" i="20"/>
  <c r="AB103" i="20" s="1"/>
  <c r="AB105" i="20" s="1"/>
  <c r="V103" i="18"/>
  <c r="V105" i="18" s="1"/>
  <c r="Y100" i="18"/>
  <c r="Y103" i="18" s="1"/>
  <c r="Y105" i="18" s="1"/>
  <c r="I35" i="15"/>
  <c r="G16" i="18" s="1"/>
  <c r="Y19" i="18" l="1"/>
  <c r="F105" i="15"/>
  <c r="G32" i="20"/>
  <c r="G28" i="20"/>
  <c r="G29" i="20"/>
  <c r="G25" i="20"/>
  <c r="G21" i="20"/>
  <c r="G31" i="20"/>
  <c r="G27" i="20"/>
  <c r="G23" i="20"/>
  <c r="G24" i="20"/>
  <c r="G30" i="20"/>
  <c r="G26" i="20"/>
  <c r="G22" i="20"/>
  <c r="G32" i="18"/>
  <c r="G28" i="18"/>
  <c r="G24" i="18"/>
  <c r="G30" i="18"/>
  <c r="G26" i="18"/>
  <c r="G22" i="18"/>
  <c r="G29" i="18"/>
  <c r="G25" i="18"/>
  <c r="G21" i="18"/>
  <c r="G31" i="18"/>
  <c r="G27" i="18"/>
  <c r="G23" i="18"/>
  <c r="C102" i="15"/>
  <c r="C435" i="15"/>
  <c r="C643" i="15"/>
  <c r="C259" i="15"/>
  <c r="C659" i="15"/>
  <c r="C403" i="15"/>
  <c r="C147" i="15"/>
  <c r="C371" i="15"/>
  <c r="C579" i="15"/>
  <c r="C739" i="15"/>
  <c r="C483" i="15"/>
  <c r="C227" i="15"/>
  <c r="C727" i="15"/>
  <c r="C599" i="15"/>
  <c r="C471" i="15"/>
  <c r="C343" i="15"/>
  <c r="C231" i="15"/>
  <c r="C110" i="15"/>
  <c r="C735" i="15"/>
  <c r="C671" i="15"/>
  <c r="C607" i="15"/>
  <c r="C543" i="15"/>
  <c r="C479" i="15"/>
  <c r="C415" i="15"/>
  <c r="C351" i="15"/>
  <c r="C287" i="15"/>
  <c r="C223" i="15"/>
  <c r="C159" i="15"/>
  <c r="C773" i="15"/>
  <c r="C647" i="15"/>
  <c r="C519" i="15"/>
  <c r="C375" i="15"/>
  <c r="C263" i="15"/>
  <c r="C135" i="15"/>
  <c r="C747" i="15"/>
  <c r="C683" i="15"/>
  <c r="C619" i="15"/>
  <c r="C555" i="15"/>
  <c r="C491" i="15"/>
  <c r="C427" i="15"/>
  <c r="C363" i="15"/>
  <c r="C299" i="15"/>
  <c r="C235" i="15"/>
  <c r="C171" i="15"/>
  <c r="C785" i="15"/>
  <c r="C753" i="15"/>
  <c r="C721" i="15"/>
  <c r="C689" i="15"/>
  <c r="C657" i="15"/>
  <c r="C625" i="15"/>
  <c r="C593" i="15"/>
  <c r="C561" i="15"/>
  <c r="C529" i="15"/>
  <c r="C497" i="15"/>
  <c r="C465" i="15"/>
  <c r="C433" i="15"/>
  <c r="C401" i="15"/>
  <c r="C369" i="15"/>
  <c r="C337" i="15"/>
  <c r="C305" i="15"/>
  <c r="C273" i="15"/>
  <c r="C241" i="15"/>
  <c r="C209" i="15"/>
  <c r="C177" i="15"/>
  <c r="C145" i="15"/>
  <c r="C113" i="15"/>
  <c r="C741" i="15"/>
  <c r="C709" i="15"/>
  <c r="C677" i="15"/>
  <c r="C645" i="15"/>
  <c r="C613" i="15"/>
  <c r="C581" i="15"/>
  <c r="C549" i="15"/>
  <c r="C517" i="15"/>
  <c r="C485" i="15"/>
  <c r="C453" i="15"/>
  <c r="C421" i="15"/>
  <c r="C389" i="15"/>
  <c r="C357" i="15"/>
  <c r="C325" i="15"/>
  <c r="C293" i="15"/>
  <c r="C261" i="15"/>
  <c r="C229" i="15"/>
  <c r="C197" i="15"/>
  <c r="C165" i="15"/>
  <c r="C133" i="15"/>
  <c r="C780" i="15"/>
  <c r="C764" i="15"/>
  <c r="C748" i="15"/>
  <c r="C732" i="15"/>
  <c r="C716" i="15"/>
  <c r="C700" i="15"/>
  <c r="C684" i="15"/>
  <c r="C668" i="15"/>
  <c r="C652" i="15"/>
  <c r="C636" i="15"/>
  <c r="C620" i="15"/>
  <c r="C604" i="15"/>
  <c r="C588" i="15"/>
  <c r="C572" i="15"/>
  <c r="C556" i="15"/>
  <c r="C540" i="15"/>
  <c r="C524" i="15"/>
  <c r="C508" i="15"/>
  <c r="C492" i="15"/>
  <c r="C476" i="15"/>
  <c r="C460" i="15"/>
  <c r="C444" i="15"/>
  <c r="C428" i="15"/>
  <c r="C412" i="15"/>
  <c r="C396" i="15"/>
  <c r="C380" i="15"/>
  <c r="C364" i="15"/>
  <c r="C348" i="15"/>
  <c r="C332" i="15"/>
  <c r="C316" i="15"/>
  <c r="C300" i="15"/>
  <c r="C284" i="15"/>
  <c r="C268" i="15"/>
  <c r="C252" i="15"/>
  <c r="C236" i="15"/>
  <c r="C220" i="15"/>
  <c r="C204" i="15"/>
  <c r="C188" i="15"/>
  <c r="C172" i="15"/>
  <c r="C156" i="15"/>
  <c r="C140" i="15"/>
  <c r="C124" i="15"/>
  <c r="C786" i="15"/>
  <c r="C770" i="15"/>
  <c r="C754" i="15"/>
  <c r="C738" i="15"/>
  <c r="C722" i="15"/>
  <c r="C706" i="15"/>
  <c r="C690" i="15"/>
  <c r="C674" i="15"/>
  <c r="C658" i="15"/>
  <c r="C642" i="15"/>
  <c r="C626" i="15"/>
  <c r="C610" i="15"/>
  <c r="C594" i="15"/>
  <c r="C578" i="15"/>
  <c r="C562" i="15"/>
  <c r="C546" i="15"/>
  <c r="C530" i="15"/>
  <c r="C514" i="15"/>
  <c r="C498" i="15"/>
  <c r="C482" i="15"/>
  <c r="C466" i="15"/>
  <c r="C450" i="15"/>
  <c r="C434" i="15"/>
  <c r="C418" i="15"/>
  <c r="C402" i="15"/>
  <c r="C386" i="15"/>
  <c r="C370" i="15"/>
  <c r="C354" i="15"/>
  <c r="C338" i="15"/>
  <c r="C322" i="15"/>
  <c r="C306" i="15"/>
  <c r="C290" i="15"/>
  <c r="C274" i="15"/>
  <c r="C258" i="15"/>
  <c r="C242" i="15"/>
  <c r="C226" i="15"/>
  <c r="C210" i="15"/>
  <c r="C194" i="15"/>
  <c r="C178" i="15"/>
  <c r="C162" i="15"/>
  <c r="C146" i="15"/>
  <c r="C130" i="15"/>
  <c r="C771" i="15"/>
  <c r="C467" i="15"/>
  <c r="C499" i="15"/>
  <c r="C114" i="15"/>
  <c r="C291" i="15"/>
  <c r="C631" i="15"/>
  <c r="C391" i="15"/>
  <c r="C119" i="15"/>
  <c r="C687" i="15"/>
  <c r="C559" i="15"/>
  <c r="C431" i="15"/>
  <c r="C303" i="15"/>
  <c r="C175" i="15"/>
  <c r="C679" i="15"/>
  <c r="C407" i="15"/>
  <c r="C151" i="15"/>
  <c r="C699" i="15"/>
  <c r="C571" i="15"/>
  <c r="C443" i="15"/>
  <c r="C315" i="15"/>
  <c r="C187" i="15"/>
  <c r="C761" i="15"/>
  <c r="C697" i="15"/>
  <c r="C633" i="15"/>
  <c r="C569" i="15"/>
  <c r="C505" i="15"/>
  <c r="C409" i="15"/>
  <c r="C345" i="15"/>
  <c r="C281" i="15"/>
  <c r="C217" i="15"/>
  <c r="C185" i="15"/>
  <c r="C121" i="15"/>
  <c r="C717" i="15"/>
  <c r="C621" i="15"/>
  <c r="C557" i="15"/>
  <c r="C525" i="15"/>
  <c r="C461" i="15"/>
  <c r="C397" i="15"/>
  <c r="C333" i="15"/>
  <c r="C269" i="15"/>
  <c r="C205" i="15"/>
  <c r="C141" i="15"/>
  <c r="C768" i="15"/>
  <c r="C736" i="15"/>
  <c r="C704" i="15"/>
  <c r="C672" i="15"/>
  <c r="C640" i="15"/>
  <c r="C608" i="15"/>
  <c r="C576" i="15"/>
  <c r="C544" i="15"/>
  <c r="C512" i="15"/>
  <c r="C480" i="15"/>
  <c r="C448" i="15"/>
  <c r="C416" i="15"/>
  <c r="C384" i="15"/>
  <c r="C352" i="15"/>
  <c r="C320" i="15"/>
  <c r="C288" i="15"/>
  <c r="C256" i="15"/>
  <c r="C224" i="15"/>
  <c r="C192" i="15"/>
  <c r="C160" i="15"/>
  <c r="C128" i="15"/>
  <c r="C774" i="15"/>
  <c r="C742" i="15"/>
  <c r="C710" i="15"/>
  <c r="C678" i="15"/>
  <c r="C646" i="15"/>
  <c r="C614" i="15"/>
  <c r="C582" i="15"/>
  <c r="C550" i="15"/>
  <c r="C518" i="15"/>
  <c r="C486" i="15"/>
  <c r="C454" i="15"/>
  <c r="C422" i="15"/>
  <c r="C390" i="15"/>
  <c r="C358" i="15"/>
  <c r="C326" i="15"/>
  <c r="C294" i="15"/>
  <c r="C278" i="15"/>
  <c r="C246" i="15"/>
  <c r="C214" i="15"/>
  <c r="C182" i="15"/>
  <c r="C150" i="15"/>
  <c r="C118" i="15"/>
  <c r="C691" i="15"/>
  <c r="C387" i="15"/>
  <c r="C117" i="15"/>
  <c r="C307" i="15"/>
  <c r="C515" i="15"/>
  <c r="C131" i="15"/>
  <c r="C595" i="15"/>
  <c r="C339" i="15"/>
  <c r="C755" i="15"/>
  <c r="C243" i="15"/>
  <c r="C451" i="15"/>
  <c r="C675" i="15"/>
  <c r="C419" i="15"/>
  <c r="C163" i="15"/>
  <c r="C695" i="15"/>
  <c r="C567" i="15"/>
  <c r="C439" i="15"/>
  <c r="C311" i="15"/>
  <c r="C199" i="15"/>
  <c r="C779" i="15"/>
  <c r="C719" i="15"/>
  <c r="C655" i="15"/>
  <c r="C591" i="15"/>
  <c r="C527" i="15"/>
  <c r="C463" i="15"/>
  <c r="C399" i="15"/>
  <c r="C335" i="15"/>
  <c r="C271" i="15"/>
  <c r="C207" i="15"/>
  <c r="C143" i="15"/>
  <c r="C743" i="15"/>
  <c r="C615" i="15"/>
  <c r="C487" i="15"/>
  <c r="C359" i="15"/>
  <c r="C215" i="15"/>
  <c r="C787" i="15"/>
  <c r="C731" i="15"/>
  <c r="C667" i="15"/>
  <c r="C603" i="15"/>
  <c r="C539" i="15"/>
  <c r="C475" i="15"/>
  <c r="C411" i="15"/>
  <c r="C347" i="15"/>
  <c r="C283" i="15"/>
  <c r="C219" i="15"/>
  <c r="C155" i="15"/>
  <c r="C777" i="15"/>
  <c r="C745" i="15"/>
  <c r="C713" i="15"/>
  <c r="C681" i="15"/>
  <c r="C649" i="15"/>
  <c r="C617" i="15"/>
  <c r="C585" i="15"/>
  <c r="C553" i="15"/>
  <c r="C521" i="15"/>
  <c r="C489" i="15"/>
  <c r="C457" i="15"/>
  <c r="C425" i="15"/>
  <c r="C393" i="15"/>
  <c r="C361" i="15"/>
  <c r="C329" i="15"/>
  <c r="C297" i="15"/>
  <c r="C265" i="15"/>
  <c r="C233" i="15"/>
  <c r="C201" i="15"/>
  <c r="C169" i="15"/>
  <c r="C137" i="15"/>
  <c r="C765" i="15"/>
  <c r="C733" i="15"/>
  <c r="C701" i="15"/>
  <c r="C669" i="15"/>
  <c r="C637" i="15"/>
  <c r="C605" i="15"/>
  <c r="C573" i="15"/>
  <c r="C541" i="15"/>
  <c r="C509" i="15"/>
  <c r="C477" i="15"/>
  <c r="C445" i="15"/>
  <c r="C413" i="15"/>
  <c r="C381" i="15"/>
  <c r="C349" i="15"/>
  <c r="C317" i="15"/>
  <c r="C285" i="15"/>
  <c r="C253" i="15"/>
  <c r="C221" i="15"/>
  <c r="C189" i="15"/>
  <c r="C157" i="15"/>
  <c r="C125" i="15"/>
  <c r="C776" i="15"/>
  <c r="C760" i="15"/>
  <c r="C744" i="15"/>
  <c r="C728" i="15"/>
  <c r="C712" i="15"/>
  <c r="C696" i="15"/>
  <c r="C680" i="15"/>
  <c r="C664" i="15"/>
  <c r="C648" i="15"/>
  <c r="C632" i="15"/>
  <c r="C616" i="15"/>
  <c r="C600" i="15"/>
  <c r="C584" i="15"/>
  <c r="C568" i="15"/>
  <c r="C552" i="15"/>
  <c r="C536" i="15"/>
  <c r="C520" i="15"/>
  <c r="C504" i="15"/>
  <c r="C488" i="15"/>
  <c r="C472" i="15"/>
  <c r="C456" i="15"/>
  <c r="C440" i="15"/>
  <c r="C424" i="15"/>
  <c r="C408" i="15"/>
  <c r="C392" i="15"/>
  <c r="C376" i="15"/>
  <c r="C360" i="15"/>
  <c r="C344" i="15"/>
  <c r="C328" i="15"/>
  <c r="C312" i="15"/>
  <c r="C296" i="15"/>
  <c r="C280" i="15"/>
  <c r="C264" i="15"/>
  <c r="C248" i="15"/>
  <c r="C232" i="15"/>
  <c r="C216" i="15"/>
  <c r="C200" i="15"/>
  <c r="C184" i="15"/>
  <c r="C168" i="15"/>
  <c r="C152" i="15"/>
  <c r="C136" i="15"/>
  <c r="C120" i="15"/>
  <c r="C782" i="15"/>
  <c r="C766" i="15"/>
  <c r="C750" i="15"/>
  <c r="C734" i="15"/>
  <c r="C718" i="15"/>
  <c r="C702" i="15"/>
  <c r="C686" i="15"/>
  <c r="C670" i="15"/>
  <c r="C654" i="15"/>
  <c r="C638" i="15"/>
  <c r="C622" i="15"/>
  <c r="C606" i="15"/>
  <c r="C590" i="15"/>
  <c r="C574" i="15"/>
  <c r="C558" i="15"/>
  <c r="C542" i="15"/>
  <c r="C526" i="15"/>
  <c r="C510" i="15"/>
  <c r="C494" i="15"/>
  <c r="C478" i="15"/>
  <c r="C462" i="15"/>
  <c r="C446" i="15"/>
  <c r="C430" i="15"/>
  <c r="C414" i="15"/>
  <c r="C398" i="15"/>
  <c r="C382" i="15"/>
  <c r="C366" i="15"/>
  <c r="C350" i="15"/>
  <c r="C334" i="15"/>
  <c r="C318" i="15"/>
  <c r="C302" i="15"/>
  <c r="C286" i="15"/>
  <c r="C270" i="15"/>
  <c r="C254" i="15"/>
  <c r="C238" i="15"/>
  <c r="C222" i="15"/>
  <c r="C206" i="15"/>
  <c r="C190" i="15"/>
  <c r="C174" i="15"/>
  <c r="C158" i="15"/>
  <c r="C142" i="15"/>
  <c r="C126" i="15"/>
  <c r="C563" i="15"/>
  <c r="C323" i="15"/>
  <c r="C723" i="15"/>
  <c r="C211" i="15"/>
  <c r="C707" i="15"/>
  <c r="C547" i="15"/>
  <c r="C759" i="15"/>
  <c r="C503" i="15"/>
  <c r="C247" i="15"/>
  <c r="C751" i="15"/>
  <c r="C623" i="15"/>
  <c r="C495" i="15"/>
  <c r="C367" i="15"/>
  <c r="C239" i="15"/>
  <c r="C111" i="15"/>
  <c r="C551" i="15"/>
  <c r="C295" i="15"/>
  <c r="C763" i="15"/>
  <c r="C635" i="15"/>
  <c r="C507" i="15"/>
  <c r="C379" i="15"/>
  <c r="C251" i="15"/>
  <c r="C123" i="15"/>
  <c r="C729" i="15"/>
  <c r="C665" i="15"/>
  <c r="C601" i="15"/>
  <c r="C537" i="15"/>
  <c r="C473" i="15"/>
  <c r="C441" i="15"/>
  <c r="C377" i="15"/>
  <c r="C313" i="15"/>
  <c r="C249" i="15"/>
  <c r="C153" i="15"/>
  <c r="C749" i="15"/>
  <c r="C685" i="15"/>
  <c r="C653" i="15"/>
  <c r="C589" i="15"/>
  <c r="C493" i="15"/>
  <c r="C429" i="15"/>
  <c r="C365" i="15"/>
  <c r="C301" i="15"/>
  <c r="C237" i="15"/>
  <c r="C173" i="15"/>
  <c r="C784" i="15"/>
  <c r="C752" i="15"/>
  <c r="C720" i="15"/>
  <c r="C688" i="15"/>
  <c r="C656" i="15"/>
  <c r="C624" i="15"/>
  <c r="C592" i="15"/>
  <c r="C560" i="15"/>
  <c r="C528" i="15"/>
  <c r="C496" i="15"/>
  <c r="C464" i="15"/>
  <c r="C432" i="15"/>
  <c r="C400" i="15"/>
  <c r="C368" i="15"/>
  <c r="C336" i="15"/>
  <c r="C304" i="15"/>
  <c r="C272" i="15"/>
  <c r="C240" i="15"/>
  <c r="C208" i="15"/>
  <c r="C176" i="15"/>
  <c r="C144" i="15"/>
  <c r="C112" i="15"/>
  <c r="C758" i="15"/>
  <c r="C726" i="15"/>
  <c r="C694" i="15"/>
  <c r="C662" i="15"/>
  <c r="C630" i="15"/>
  <c r="C598" i="15"/>
  <c r="C566" i="15"/>
  <c r="C534" i="15"/>
  <c r="C502" i="15"/>
  <c r="C470" i="15"/>
  <c r="C438" i="15"/>
  <c r="C406" i="15"/>
  <c r="C374" i="15"/>
  <c r="C342" i="15"/>
  <c r="C310" i="15"/>
  <c r="C262" i="15"/>
  <c r="C230" i="15"/>
  <c r="C198" i="15"/>
  <c r="C166" i="15"/>
  <c r="C134" i="15"/>
  <c r="C275" i="15"/>
  <c r="C611" i="15"/>
  <c r="C535" i="15"/>
  <c r="C767" i="15"/>
  <c r="C511" i="15"/>
  <c r="C255" i="15"/>
  <c r="C583" i="15"/>
  <c r="C775" i="15"/>
  <c r="C523" i="15"/>
  <c r="C267" i="15"/>
  <c r="C737" i="15"/>
  <c r="C609" i="15"/>
  <c r="C481" i="15"/>
  <c r="C353" i="15"/>
  <c r="C225" i="15"/>
  <c r="C757" i="15"/>
  <c r="C629" i="15"/>
  <c r="C501" i="15"/>
  <c r="C373" i="15"/>
  <c r="C245" i="15"/>
  <c r="C788" i="15"/>
  <c r="C724" i="15"/>
  <c r="C660" i="15"/>
  <c r="C596" i="15"/>
  <c r="C532" i="15"/>
  <c r="C468" i="15"/>
  <c r="C404" i="15"/>
  <c r="C276" i="15"/>
  <c r="C212" i="15"/>
  <c r="C762" i="15"/>
  <c r="C634" i="15"/>
  <c r="C442" i="15"/>
  <c r="C314" i="15"/>
  <c r="C186" i="15"/>
  <c r="C195" i="15"/>
  <c r="C575" i="15"/>
  <c r="C711" i="15"/>
  <c r="C587" i="15"/>
  <c r="C769" i="15"/>
  <c r="C513" i="15"/>
  <c r="C257" i="15"/>
  <c r="C661" i="15"/>
  <c r="C405" i="15"/>
  <c r="C149" i="15"/>
  <c r="C676" i="15"/>
  <c r="C548" i="15"/>
  <c r="C420" i="15"/>
  <c r="C292" i="15"/>
  <c r="C164" i="15"/>
  <c r="C714" i="15"/>
  <c r="C586" i="15"/>
  <c r="C458" i="15"/>
  <c r="C330" i="15"/>
  <c r="C202" i="15"/>
  <c r="C383" i="15"/>
  <c r="C651" i="15"/>
  <c r="C139" i="15"/>
  <c r="C545" i="15"/>
  <c r="C289" i="15"/>
  <c r="C693" i="15"/>
  <c r="C437" i="15"/>
  <c r="C181" i="15"/>
  <c r="C692" i="15"/>
  <c r="C564" i="15"/>
  <c r="C436" i="15"/>
  <c r="C308" i="15"/>
  <c r="C180" i="15"/>
  <c r="C730" i="15"/>
  <c r="C538" i="15"/>
  <c r="C410" i="15"/>
  <c r="C282" i="15"/>
  <c r="C154" i="15"/>
  <c r="C179" i="15"/>
  <c r="C627" i="15"/>
  <c r="C355" i="15"/>
  <c r="C423" i="15"/>
  <c r="C703" i="15"/>
  <c r="C447" i="15"/>
  <c r="C191" i="15"/>
  <c r="C455" i="15"/>
  <c r="C715" i="15"/>
  <c r="C459" i="15"/>
  <c r="C203" i="15"/>
  <c r="C705" i="15"/>
  <c r="C577" i="15"/>
  <c r="C449" i="15"/>
  <c r="C321" i="15"/>
  <c r="C193" i="15"/>
  <c r="C725" i="15"/>
  <c r="C597" i="15"/>
  <c r="C469" i="15"/>
  <c r="C341" i="15"/>
  <c r="C213" i="15"/>
  <c r="C772" i="15"/>
  <c r="C708" i="15"/>
  <c r="C644" i="15"/>
  <c r="C580" i="15"/>
  <c r="C516" i="15"/>
  <c r="C452" i="15"/>
  <c r="C388" i="15"/>
  <c r="C324" i="15"/>
  <c r="C260" i="15"/>
  <c r="C196" i="15"/>
  <c r="C132" i="15"/>
  <c r="C746" i="15"/>
  <c r="C682" i="15"/>
  <c r="C618" i="15"/>
  <c r="C554" i="15"/>
  <c r="C490" i="15"/>
  <c r="C426" i="15"/>
  <c r="C362" i="15"/>
  <c r="C298" i="15"/>
  <c r="C234" i="15"/>
  <c r="C170" i="15"/>
  <c r="C340" i="15"/>
  <c r="C148" i="15"/>
  <c r="C698" i="15"/>
  <c r="C570" i="15"/>
  <c r="C506" i="15"/>
  <c r="C378" i="15"/>
  <c r="C250" i="15"/>
  <c r="C122" i="15"/>
  <c r="C531" i="15"/>
  <c r="C663" i="15"/>
  <c r="C167" i="15"/>
  <c r="C319" i="15"/>
  <c r="C183" i="15"/>
  <c r="C331" i="15"/>
  <c r="C641" i="15"/>
  <c r="C385" i="15"/>
  <c r="C129" i="15"/>
  <c r="C533" i="15"/>
  <c r="C277" i="15"/>
  <c r="C740" i="15"/>
  <c r="C612" i="15"/>
  <c r="C484" i="15"/>
  <c r="C356" i="15"/>
  <c r="C228" i="15"/>
  <c r="C778" i="15"/>
  <c r="C650" i="15"/>
  <c r="C522" i="15"/>
  <c r="C394" i="15"/>
  <c r="C266" i="15"/>
  <c r="C138" i="15"/>
  <c r="C781" i="15"/>
  <c r="C115" i="15"/>
  <c r="C783" i="15"/>
  <c r="C279" i="15"/>
  <c r="C639" i="15"/>
  <c r="C127" i="15"/>
  <c r="C327" i="15"/>
  <c r="C395" i="15"/>
  <c r="C673" i="15"/>
  <c r="C417" i="15"/>
  <c r="C161" i="15"/>
  <c r="C565" i="15"/>
  <c r="C309" i="15"/>
  <c r="C756" i="15"/>
  <c r="C628" i="15"/>
  <c r="C500" i="15"/>
  <c r="C372" i="15"/>
  <c r="C244" i="15"/>
  <c r="C116" i="15"/>
  <c r="C666" i="15"/>
  <c r="C602" i="15"/>
  <c r="C474" i="15"/>
  <c r="C346" i="15"/>
  <c r="C218" i="15"/>
  <c r="F106" i="15"/>
  <c r="B110" i="15" a="1"/>
  <c r="G20" i="20" l="1"/>
  <c r="G18" i="20"/>
  <c r="G33" i="18"/>
  <c r="G33" i="20"/>
  <c r="V31" i="18"/>
  <c r="V23" i="18"/>
  <c r="V21" i="18"/>
  <c r="V32" i="18"/>
  <c r="V26" i="18"/>
  <c r="V29" i="18"/>
  <c r="V22" i="18"/>
  <c r="V24" i="18"/>
  <c r="V28" i="18"/>
  <c r="V27" i="18"/>
  <c r="V25" i="18"/>
  <c r="V30" i="18"/>
  <c r="G20" i="18"/>
  <c r="G18" i="18"/>
  <c r="I7" i="15"/>
  <c r="J7" i="15" s="1"/>
  <c r="I8" i="15"/>
  <c r="J8" i="15" s="1"/>
  <c r="I9" i="15"/>
  <c r="J9" i="15" s="1"/>
  <c r="I6" i="15"/>
  <c r="J6" i="15" s="1"/>
  <c r="G34" i="18" l="1"/>
  <c r="G34" i="20" s="1"/>
  <c r="O34" i="20"/>
  <c r="O41" i="20" s="1"/>
  <c r="O65" i="20" s="1"/>
  <c r="O6" i="20" s="1"/>
  <c r="O7" i="20"/>
  <c r="R34" i="20"/>
  <c r="R41" i="20" s="1"/>
  <c r="R65" i="20" s="1"/>
  <c r="R6" i="20" s="1"/>
  <c r="AM18" i="20"/>
  <c r="R7" i="20"/>
  <c r="L34" i="20"/>
  <c r="L41" i="20" s="1"/>
  <c r="L65" i="20" s="1"/>
  <c r="L7" i="20"/>
  <c r="Z152" i="20"/>
  <c r="Z148" i="20"/>
  <c r="Z146" i="20"/>
  <c r="Z144" i="20"/>
  <c r="Z139" i="20"/>
  <c r="Z137" i="20"/>
  <c r="Z135" i="20"/>
  <c r="Z133" i="20"/>
  <c r="Z131" i="20"/>
  <c r="Z129" i="20"/>
  <c r="Z127" i="20"/>
  <c r="Z125" i="20"/>
  <c r="Z123" i="20"/>
  <c r="Z121" i="20"/>
  <c r="Z116" i="20"/>
  <c r="Z114" i="20"/>
  <c r="Z112" i="20"/>
  <c r="Z108" i="20"/>
  <c r="Z101" i="20"/>
  <c r="Z92" i="20"/>
  <c r="Z84" i="20"/>
  <c r="Z75" i="20"/>
  <c r="Z70" i="20"/>
  <c r="Z55" i="20"/>
  <c r="Z39" i="20"/>
  <c r="Z31" i="20"/>
  <c r="Z26" i="20"/>
  <c r="Z21" i="20"/>
  <c r="Z93" i="20"/>
  <c r="Z80" i="20"/>
  <c r="Z61" i="20"/>
  <c r="Z33" i="20"/>
  <c r="Z22" i="20"/>
  <c r="Z94" i="20"/>
  <c r="Z149" i="20"/>
  <c r="Z147" i="20"/>
  <c r="Z143" i="20"/>
  <c r="Z136" i="20"/>
  <c r="Z132" i="20"/>
  <c r="Z128" i="20"/>
  <c r="Z126" i="20"/>
  <c r="Z122" i="20"/>
  <c r="Z115" i="20"/>
  <c r="Z111" i="20"/>
  <c r="Z102" i="20"/>
  <c r="Z86" i="20"/>
  <c r="Z81" i="20"/>
  <c r="Z59" i="20"/>
  <c r="Z29" i="20"/>
  <c r="Z18" i="20"/>
  <c r="Z91" i="20"/>
  <c r="Z82" i="20"/>
  <c r="Z74" i="20"/>
  <c r="Z57" i="20"/>
  <c r="Z45" i="20"/>
  <c r="Z40" i="20"/>
  <c r="Z30" i="20"/>
  <c r="Z25" i="20"/>
  <c r="Z19" i="20"/>
  <c r="Z85" i="20"/>
  <c r="Z71" i="20"/>
  <c r="Z50" i="20"/>
  <c r="Z38" i="20"/>
  <c r="Z27" i="20"/>
  <c r="Z153" i="20"/>
  <c r="Z145" i="20"/>
  <c r="Z138" i="20"/>
  <c r="Z134" i="20"/>
  <c r="Z130" i="20"/>
  <c r="Z124" i="20"/>
  <c r="Z120" i="20"/>
  <c r="Z113" i="20"/>
  <c r="Z109" i="20"/>
  <c r="Z100" i="20"/>
  <c r="Z73" i="20"/>
  <c r="Z47" i="20"/>
  <c r="Z23" i="20"/>
  <c r="Z24" i="20"/>
  <c r="Z37" i="20"/>
  <c r="Z51" i="20"/>
  <c r="Z62" i="20"/>
  <c r="Z90" i="20"/>
  <c r="Z20" i="20"/>
  <c r="Z35" i="20"/>
  <c r="Z49" i="20"/>
  <c r="Z60" i="20"/>
  <c r="Z83" i="20"/>
  <c r="Z32" i="20"/>
  <c r="Z46" i="20"/>
  <c r="Z58" i="20"/>
  <c r="Z79" i="20"/>
  <c r="Z28" i="20"/>
  <c r="Z44" i="20"/>
  <c r="Z56" i="20"/>
  <c r="Z72" i="20"/>
  <c r="U152" i="20"/>
  <c r="AC152" i="20" s="1"/>
  <c r="U146" i="20"/>
  <c r="AC146" i="20" s="1"/>
  <c r="U143" i="20"/>
  <c r="U136" i="20"/>
  <c r="U132" i="20"/>
  <c r="U128" i="20"/>
  <c r="U124" i="20"/>
  <c r="U115" i="20"/>
  <c r="AC115" i="20" s="1"/>
  <c r="U111" i="20"/>
  <c r="AC111" i="20" s="1"/>
  <c r="U108" i="20"/>
  <c r="U100" i="20"/>
  <c r="U94" i="20"/>
  <c r="AC94" i="20" s="1"/>
  <c r="U90" i="20"/>
  <c r="U85" i="20"/>
  <c r="AC85" i="20" s="1"/>
  <c r="U81" i="20"/>
  <c r="AC81" i="20" s="1"/>
  <c r="U72" i="20"/>
  <c r="AC72" i="20" s="1"/>
  <c r="U62" i="20"/>
  <c r="U58" i="20"/>
  <c r="U49" i="20"/>
  <c r="U39" i="20"/>
  <c r="U33" i="20"/>
  <c r="U147" i="20"/>
  <c r="AC147" i="20" s="1"/>
  <c r="U133" i="20"/>
  <c r="U125" i="20"/>
  <c r="U121" i="20"/>
  <c r="U112" i="20"/>
  <c r="AC112" i="20" s="1"/>
  <c r="U86" i="20"/>
  <c r="U73" i="20"/>
  <c r="AC73" i="20" s="1"/>
  <c r="U59" i="20"/>
  <c r="U50" i="20"/>
  <c r="U40" i="20"/>
  <c r="I34" i="20"/>
  <c r="I41" i="20" s="1"/>
  <c r="I65" i="20" s="1"/>
  <c r="I6" i="20" s="1"/>
  <c r="U27" i="20"/>
  <c r="AA27" i="20" s="1"/>
  <c r="U21" i="20"/>
  <c r="U134" i="20"/>
  <c r="U109" i="20"/>
  <c r="AC109" i="20" s="1"/>
  <c r="U92" i="20"/>
  <c r="AC92" i="20" s="1"/>
  <c r="U79" i="20"/>
  <c r="U51" i="20"/>
  <c r="U44" i="20"/>
  <c r="U149" i="20"/>
  <c r="AC149" i="20" s="1"/>
  <c r="U145" i="20"/>
  <c r="AC145" i="20" s="1"/>
  <c r="U139" i="20"/>
  <c r="U135" i="20"/>
  <c r="U131" i="20"/>
  <c r="U127" i="20"/>
  <c r="U123" i="20"/>
  <c r="U114" i="20"/>
  <c r="AC114" i="20" s="1"/>
  <c r="U110" i="20"/>
  <c r="U102" i="20"/>
  <c r="AC102" i="20" s="1"/>
  <c r="U93" i="20"/>
  <c r="U84" i="20"/>
  <c r="AC84" i="20" s="1"/>
  <c r="U80" i="20"/>
  <c r="AC80" i="20" s="1"/>
  <c r="U75" i="20"/>
  <c r="AC75" i="20" s="1"/>
  <c r="U71" i="20"/>
  <c r="AC71" i="20" s="1"/>
  <c r="U61" i="20"/>
  <c r="U55" i="20"/>
  <c r="U47" i="20"/>
  <c r="U38" i="20"/>
  <c r="U32" i="20"/>
  <c r="U30" i="20"/>
  <c r="U28" i="20"/>
  <c r="U26" i="20"/>
  <c r="U24" i="20"/>
  <c r="U22" i="20"/>
  <c r="U20" i="20"/>
  <c r="U153" i="20"/>
  <c r="AC153" i="20" s="1"/>
  <c r="U137" i="20"/>
  <c r="U129" i="20"/>
  <c r="U116" i="20"/>
  <c r="AC116" i="20" s="1"/>
  <c r="U91" i="20"/>
  <c r="AC91" i="20" s="1"/>
  <c r="U82" i="20"/>
  <c r="AC82" i="20" s="1"/>
  <c r="U70" i="20"/>
  <c r="U56" i="20"/>
  <c r="U45" i="20"/>
  <c r="U35" i="20"/>
  <c r="U31" i="20"/>
  <c r="U29" i="20"/>
  <c r="AA29" i="20" s="1"/>
  <c r="U25" i="20"/>
  <c r="AA25" i="20" s="1"/>
  <c r="U23" i="20"/>
  <c r="U19" i="20"/>
  <c r="U148" i="20"/>
  <c r="AC148" i="20" s="1"/>
  <c r="U144" i="20"/>
  <c r="AC144" i="20" s="1"/>
  <c r="U138" i="20"/>
  <c r="U130" i="20"/>
  <c r="U126" i="20"/>
  <c r="U122" i="20"/>
  <c r="U120" i="20"/>
  <c r="U113" i="20"/>
  <c r="AC113" i="20" s="1"/>
  <c r="U101" i="20"/>
  <c r="AC101" i="20" s="1"/>
  <c r="U83" i="20"/>
  <c r="U74" i="20"/>
  <c r="AC74" i="20" s="1"/>
  <c r="U60" i="20"/>
  <c r="U57" i="20"/>
  <c r="U46" i="20"/>
  <c r="U37" i="20"/>
  <c r="U18" i="20"/>
  <c r="I7" i="20"/>
  <c r="Y22" i="18"/>
  <c r="AB22" i="20"/>
  <c r="Y26" i="18"/>
  <c r="AB26" i="20"/>
  <c r="S175" i="20"/>
  <c r="S171" i="20"/>
  <c r="S167" i="20"/>
  <c r="S163" i="20"/>
  <c r="S152" i="20"/>
  <c r="T152" i="20" s="1"/>
  <c r="S146" i="20"/>
  <c r="T146" i="20" s="1"/>
  <c r="S139" i="20"/>
  <c r="T139" i="20" s="1"/>
  <c r="S135" i="20"/>
  <c r="T135" i="20" s="1"/>
  <c r="S131" i="20"/>
  <c r="T131" i="20" s="1"/>
  <c r="S127" i="20"/>
  <c r="T127" i="20" s="1"/>
  <c r="S123" i="20"/>
  <c r="T123" i="20" s="1"/>
  <c r="S116" i="20"/>
  <c r="T116" i="20" s="1"/>
  <c r="S112" i="20"/>
  <c r="T112" i="20" s="1"/>
  <c r="S108" i="20"/>
  <c r="T108" i="20" s="1"/>
  <c r="S59" i="20"/>
  <c r="T59" i="20" s="1"/>
  <c r="S55" i="20"/>
  <c r="T55" i="20" s="1"/>
  <c r="S47" i="20"/>
  <c r="T47" i="20" s="1"/>
  <c r="S40" i="20"/>
  <c r="T40" i="20" s="1"/>
  <c r="S35" i="20"/>
  <c r="T35" i="20" s="1"/>
  <c r="S30" i="20"/>
  <c r="T30" i="20" s="1"/>
  <c r="S26" i="20"/>
  <c r="T26" i="20" s="1"/>
  <c r="S22" i="20"/>
  <c r="T22" i="20" s="1"/>
  <c r="S18" i="20"/>
  <c r="T18" i="20" s="1"/>
  <c r="S173" i="20"/>
  <c r="S169" i="20"/>
  <c r="S165" i="20"/>
  <c r="S161" i="20"/>
  <c r="S144" i="20"/>
  <c r="T144" i="20" s="1"/>
  <c r="S133" i="20"/>
  <c r="T133" i="20" s="1"/>
  <c r="S125" i="20"/>
  <c r="T125" i="20" s="1"/>
  <c r="S114" i="20"/>
  <c r="T114" i="20" s="1"/>
  <c r="S101" i="20"/>
  <c r="T101" i="20" s="1"/>
  <c r="S61" i="20"/>
  <c r="T61" i="20" s="1"/>
  <c r="S45" i="20"/>
  <c r="T45" i="20" s="1"/>
  <c r="S28" i="20"/>
  <c r="T28" i="20" s="1"/>
  <c r="S20" i="20"/>
  <c r="T20" i="20" s="1"/>
  <c r="S166" i="20"/>
  <c r="S145" i="20"/>
  <c r="T145" i="20" s="1"/>
  <c r="S134" i="20"/>
  <c r="T134" i="20" s="1"/>
  <c r="S122" i="20"/>
  <c r="T122" i="20" s="1"/>
  <c r="S111" i="20"/>
  <c r="T111" i="20" s="1"/>
  <c r="S62" i="20"/>
  <c r="T62" i="20" s="1"/>
  <c r="S51" i="20"/>
  <c r="T51" i="20" s="1"/>
  <c r="S33" i="20"/>
  <c r="T33" i="20" s="1"/>
  <c r="S25" i="20"/>
  <c r="T25" i="20" s="1"/>
  <c r="S10" i="20"/>
  <c r="T10" i="20" s="1"/>
  <c r="S176" i="20"/>
  <c r="S172" i="20"/>
  <c r="S168" i="20"/>
  <c r="S164" i="20"/>
  <c r="S153" i="20"/>
  <c r="T153" i="20" s="1"/>
  <c r="S147" i="20"/>
  <c r="T147" i="20" s="1"/>
  <c r="S143" i="20"/>
  <c r="T143" i="20" s="1"/>
  <c r="S136" i="20"/>
  <c r="T136" i="20" s="1"/>
  <c r="S132" i="20"/>
  <c r="T132" i="20" s="1"/>
  <c r="S128" i="20"/>
  <c r="T128" i="20" s="1"/>
  <c r="S124" i="20"/>
  <c r="T124" i="20" s="1"/>
  <c r="S120" i="20"/>
  <c r="T120" i="20" s="1"/>
  <c r="S113" i="20"/>
  <c r="T113" i="20" s="1"/>
  <c r="S109" i="20"/>
  <c r="T109" i="20" s="1"/>
  <c r="S100" i="20"/>
  <c r="T100" i="20" s="1"/>
  <c r="S60" i="20"/>
  <c r="T60" i="20" s="1"/>
  <c r="S56" i="20"/>
  <c r="T56" i="20" s="1"/>
  <c r="S49" i="20"/>
  <c r="T49" i="20" s="1"/>
  <c r="S44" i="20"/>
  <c r="T44" i="20" s="1"/>
  <c r="S37" i="20"/>
  <c r="T37" i="20" s="1"/>
  <c r="S31" i="20"/>
  <c r="T31" i="20" s="1"/>
  <c r="S27" i="20"/>
  <c r="T27" i="20" s="1"/>
  <c r="S23" i="20"/>
  <c r="T23" i="20" s="1"/>
  <c r="S19" i="20"/>
  <c r="T19" i="20" s="1"/>
  <c r="S148" i="20"/>
  <c r="T148" i="20" s="1"/>
  <c r="S137" i="20"/>
  <c r="T137" i="20" s="1"/>
  <c r="S129" i="20"/>
  <c r="T129" i="20" s="1"/>
  <c r="S121" i="20"/>
  <c r="T121" i="20" s="1"/>
  <c r="S57" i="20"/>
  <c r="T57" i="20" s="1"/>
  <c r="S50" i="20"/>
  <c r="T50" i="20" s="1"/>
  <c r="S38" i="20"/>
  <c r="T38" i="20" s="1"/>
  <c r="S32" i="20"/>
  <c r="T32" i="20" s="1"/>
  <c r="S24" i="20"/>
  <c r="T24" i="20" s="1"/>
  <c r="S174" i="20"/>
  <c r="S170" i="20"/>
  <c r="S162" i="20"/>
  <c r="S149" i="20"/>
  <c r="T149" i="20" s="1"/>
  <c r="S138" i="20"/>
  <c r="T138" i="20" s="1"/>
  <c r="S130" i="20"/>
  <c r="T130" i="20" s="1"/>
  <c r="S126" i="20"/>
  <c r="T126" i="20" s="1"/>
  <c r="S115" i="20"/>
  <c r="T115" i="20" s="1"/>
  <c r="S102" i="20"/>
  <c r="T102" i="20" s="1"/>
  <c r="S58" i="20"/>
  <c r="T58" i="20" s="1"/>
  <c r="S46" i="20"/>
  <c r="T46" i="20" s="1"/>
  <c r="S39" i="20"/>
  <c r="T39" i="20" s="1"/>
  <c r="S29" i="20"/>
  <c r="T29" i="20" s="1"/>
  <c r="S21" i="20"/>
  <c r="T21" i="20" s="1"/>
  <c r="S80" i="20"/>
  <c r="T80" i="20" s="1"/>
  <c r="S70" i="20"/>
  <c r="T70" i="20" s="1"/>
  <c r="S94" i="20"/>
  <c r="T94" i="20" s="1"/>
  <c r="S71" i="20"/>
  <c r="T71" i="20" s="1"/>
  <c r="S74" i="20"/>
  <c r="T74" i="20" s="1"/>
  <c r="S92" i="20"/>
  <c r="T92" i="20" s="1"/>
  <c r="S72" i="20"/>
  <c r="T72" i="20" s="1"/>
  <c r="S85" i="20"/>
  <c r="T85" i="20" s="1"/>
  <c r="S83" i="20"/>
  <c r="T83" i="20" s="1"/>
  <c r="S75" i="20"/>
  <c r="T75" i="20" s="1"/>
  <c r="S86" i="20"/>
  <c r="T86" i="20" s="1"/>
  <c r="S81" i="20"/>
  <c r="T81" i="20" s="1"/>
  <c r="S91" i="20"/>
  <c r="T91" i="20" s="1"/>
  <c r="S82" i="20"/>
  <c r="T82" i="20" s="1"/>
  <c r="S90" i="20"/>
  <c r="T90" i="20" s="1"/>
  <c r="S79" i="20"/>
  <c r="T79" i="20" s="1"/>
  <c r="S93" i="20"/>
  <c r="T93" i="20" s="1"/>
  <c r="S73" i="20"/>
  <c r="T73" i="20" s="1"/>
  <c r="S84" i="20"/>
  <c r="T84" i="20" s="1"/>
  <c r="Y30" i="18"/>
  <c r="AB30" i="20"/>
  <c r="Y27" i="18"/>
  <c r="AB27" i="20"/>
  <c r="Y24" i="18"/>
  <c r="AB24" i="20"/>
  <c r="Y29" i="18"/>
  <c r="AB29" i="20"/>
  <c r="Y21" i="18"/>
  <c r="AB21" i="20"/>
  <c r="P10" i="20"/>
  <c r="Q10" i="20" s="1"/>
  <c r="P153" i="20"/>
  <c r="Q153" i="20" s="1"/>
  <c r="P174" i="20"/>
  <c r="Q174" i="20" s="1"/>
  <c r="P170" i="20"/>
  <c r="Q170" i="20" s="1"/>
  <c r="P166" i="20"/>
  <c r="Q166" i="20" s="1"/>
  <c r="P162" i="20"/>
  <c r="Q162" i="20" s="1"/>
  <c r="P147" i="20"/>
  <c r="Q147" i="20" s="1"/>
  <c r="P143" i="20"/>
  <c r="Q143" i="20" s="1"/>
  <c r="P136" i="20"/>
  <c r="Q136" i="20" s="1"/>
  <c r="P132" i="20"/>
  <c r="Q132" i="20" s="1"/>
  <c r="P128" i="20"/>
  <c r="Q128" i="20" s="1"/>
  <c r="P124" i="20"/>
  <c r="Q124" i="20" s="1"/>
  <c r="P120" i="20"/>
  <c r="Q120" i="20" s="1"/>
  <c r="P113" i="20"/>
  <c r="Q113" i="20" s="1"/>
  <c r="P109" i="20"/>
  <c r="Q109" i="20" s="1"/>
  <c r="P100" i="20"/>
  <c r="Q100" i="20" s="1"/>
  <c r="P59" i="20"/>
  <c r="Q59" i="20" s="1"/>
  <c r="P55" i="20"/>
  <c r="Q55" i="20" s="1"/>
  <c r="P47" i="20"/>
  <c r="Q47" i="20" s="1"/>
  <c r="P40" i="20"/>
  <c r="Q40" i="20" s="1"/>
  <c r="P31" i="20"/>
  <c r="Q31" i="20" s="1"/>
  <c r="P27" i="20"/>
  <c r="Q27" i="20" s="1"/>
  <c r="P23" i="20"/>
  <c r="Q23" i="20" s="1"/>
  <c r="P19" i="20"/>
  <c r="Q19" i="20" s="1"/>
  <c r="P168" i="20"/>
  <c r="Q168" i="20" s="1"/>
  <c r="P149" i="20"/>
  <c r="Q149" i="20" s="1"/>
  <c r="P134" i="20"/>
  <c r="Q134" i="20" s="1"/>
  <c r="P126" i="20"/>
  <c r="Q126" i="20" s="1"/>
  <c r="P111" i="20"/>
  <c r="Q111" i="20" s="1"/>
  <c r="P57" i="20"/>
  <c r="Q57" i="20" s="1"/>
  <c r="P38" i="20"/>
  <c r="Q38" i="20" s="1"/>
  <c r="P29" i="20"/>
  <c r="Q29" i="20" s="1"/>
  <c r="P173" i="20"/>
  <c r="Q173" i="20" s="1"/>
  <c r="P165" i="20"/>
  <c r="Q165" i="20" s="1"/>
  <c r="P139" i="20"/>
  <c r="Q139" i="20" s="1"/>
  <c r="P127" i="20"/>
  <c r="Q127" i="20" s="1"/>
  <c r="P116" i="20"/>
  <c r="Q116" i="20" s="1"/>
  <c r="P58" i="20"/>
  <c r="Q58" i="20" s="1"/>
  <c r="P46" i="20"/>
  <c r="Q46" i="20" s="1"/>
  <c r="P30" i="20"/>
  <c r="Q30" i="20" s="1"/>
  <c r="P22" i="20"/>
  <c r="Q22" i="20" s="1"/>
  <c r="P175" i="20"/>
  <c r="Q175" i="20" s="1"/>
  <c r="P171" i="20"/>
  <c r="Q171" i="20" s="1"/>
  <c r="P167" i="20"/>
  <c r="Q167" i="20" s="1"/>
  <c r="P163" i="20"/>
  <c r="Q163" i="20" s="1"/>
  <c r="P148" i="20"/>
  <c r="Q148" i="20" s="1"/>
  <c r="P144" i="20"/>
  <c r="Q144" i="20" s="1"/>
  <c r="P137" i="20"/>
  <c r="Q137" i="20" s="1"/>
  <c r="P133" i="20"/>
  <c r="Q133" i="20" s="1"/>
  <c r="P129" i="20"/>
  <c r="Q129" i="20" s="1"/>
  <c r="P125" i="20"/>
  <c r="Q125" i="20" s="1"/>
  <c r="P121" i="20"/>
  <c r="Q121" i="20" s="1"/>
  <c r="P114" i="20"/>
  <c r="Q114" i="20" s="1"/>
  <c r="P101" i="20"/>
  <c r="Q101" i="20" s="1"/>
  <c r="P60" i="20"/>
  <c r="Q60" i="20" s="1"/>
  <c r="P56" i="20"/>
  <c r="Q56" i="20" s="1"/>
  <c r="P49" i="20"/>
  <c r="Q49" i="20" s="1"/>
  <c r="P44" i="20"/>
  <c r="Q44" i="20" s="1"/>
  <c r="P37" i="20"/>
  <c r="Q37" i="20" s="1"/>
  <c r="P32" i="20"/>
  <c r="Q32" i="20" s="1"/>
  <c r="P28" i="20"/>
  <c r="Q28" i="20" s="1"/>
  <c r="P24" i="20"/>
  <c r="Q24" i="20" s="1"/>
  <c r="P20" i="20"/>
  <c r="Q20" i="20" s="1"/>
  <c r="P176" i="20"/>
  <c r="Q176" i="20" s="1"/>
  <c r="P172" i="20"/>
  <c r="Q172" i="20" s="1"/>
  <c r="P164" i="20"/>
  <c r="Q164" i="20" s="1"/>
  <c r="P145" i="20"/>
  <c r="Q145" i="20" s="1"/>
  <c r="P138" i="20"/>
  <c r="Q138" i="20" s="1"/>
  <c r="P130" i="20"/>
  <c r="Q130" i="20" s="1"/>
  <c r="P122" i="20"/>
  <c r="Q122" i="20" s="1"/>
  <c r="P115" i="20"/>
  <c r="Q115" i="20" s="1"/>
  <c r="P102" i="20"/>
  <c r="Q102" i="20" s="1"/>
  <c r="P61" i="20"/>
  <c r="Q61" i="20" s="1"/>
  <c r="P50" i="20"/>
  <c r="Q50" i="20" s="1"/>
  <c r="P45" i="20"/>
  <c r="Q45" i="20" s="1"/>
  <c r="P33" i="20"/>
  <c r="Q33" i="20" s="1"/>
  <c r="P25" i="20"/>
  <c r="Q25" i="20" s="1"/>
  <c r="P21" i="20"/>
  <c r="Q21" i="20" s="1"/>
  <c r="P152" i="20"/>
  <c r="Q152" i="20" s="1"/>
  <c r="P169" i="20"/>
  <c r="Q169" i="20" s="1"/>
  <c r="P161" i="20"/>
  <c r="P146" i="20"/>
  <c r="Q146" i="20" s="1"/>
  <c r="P135" i="20"/>
  <c r="Q135" i="20" s="1"/>
  <c r="P131" i="20"/>
  <c r="Q131" i="20" s="1"/>
  <c r="P123" i="20"/>
  <c r="Q123" i="20" s="1"/>
  <c r="P112" i="20"/>
  <c r="Q112" i="20" s="1"/>
  <c r="P108" i="20"/>
  <c r="Q108" i="20" s="1"/>
  <c r="P62" i="20"/>
  <c r="Q62" i="20" s="1"/>
  <c r="P51" i="20"/>
  <c r="Q51" i="20" s="1"/>
  <c r="P39" i="20"/>
  <c r="Q39" i="20" s="1"/>
  <c r="P35" i="20"/>
  <c r="Q35" i="20" s="1"/>
  <c r="P26" i="20"/>
  <c r="Q26" i="20" s="1"/>
  <c r="P18" i="20"/>
  <c r="Q18" i="20" s="1"/>
  <c r="P86" i="20"/>
  <c r="Q86" i="20" s="1"/>
  <c r="P75" i="20"/>
  <c r="Q75" i="20" s="1"/>
  <c r="P79" i="20"/>
  <c r="Q79" i="20" s="1"/>
  <c r="P84" i="20"/>
  <c r="Q84" i="20" s="1"/>
  <c r="P92" i="20"/>
  <c r="Q92" i="20" s="1"/>
  <c r="P74" i="20"/>
  <c r="Q74" i="20" s="1"/>
  <c r="P73" i="20"/>
  <c r="Q73" i="20" s="1"/>
  <c r="P90" i="20"/>
  <c r="Q90" i="20" s="1"/>
  <c r="P83" i="20"/>
  <c r="Q83" i="20" s="1"/>
  <c r="P94" i="20"/>
  <c r="Q94" i="20" s="1"/>
  <c r="P82" i="20"/>
  <c r="Q82" i="20" s="1"/>
  <c r="P81" i="20"/>
  <c r="Q81" i="20" s="1"/>
  <c r="P70" i="20"/>
  <c r="Q70" i="20" s="1"/>
  <c r="P93" i="20"/>
  <c r="Q93" i="20" s="1"/>
  <c r="P72" i="20"/>
  <c r="Q72" i="20" s="1"/>
  <c r="P85" i="20"/>
  <c r="Q85" i="20" s="1"/>
  <c r="P71" i="20"/>
  <c r="Q71" i="20" s="1"/>
  <c r="P80" i="20"/>
  <c r="Q80" i="20" s="1"/>
  <c r="P91" i="20"/>
  <c r="Q91" i="20" s="1"/>
  <c r="Y25" i="18"/>
  <c r="AB25" i="20"/>
  <c r="Y28" i="18"/>
  <c r="AB28" i="20"/>
  <c r="Y32" i="18"/>
  <c r="AB32" i="20"/>
  <c r="Y31" i="18"/>
  <c r="AB31" i="20"/>
  <c r="M35" i="20"/>
  <c r="N35" i="20" s="1"/>
  <c r="M60" i="20"/>
  <c r="N60" i="20" s="1"/>
  <c r="M56" i="20"/>
  <c r="N56" i="20" s="1"/>
  <c r="M49" i="20"/>
  <c r="N49" i="20" s="1"/>
  <c r="M44" i="20"/>
  <c r="N44" i="20" s="1"/>
  <c r="M37" i="20"/>
  <c r="N37" i="20" s="1"/>
  <c r="M30" i="20"/>
  <c r="N30" i="20" s="1"/>
  <c r="M26" i="20"/>
  <c r="N26" i="20" s="1"/>
  <c r="M22" i="20"/>
  <c r="N22" i="20" s="1"/>
  <c r="M18" i="20"/>
  <c r="N18" i="20" s="1"/>
  <c r="M173" i="20"/>
  <c r="N173" i="20" s="1"/>
  <c r="M169" i="20"/>
  <c r="N169" i="20" s="1"/>
  <c r="M165" i="20"/>
  <c r="N165" i="20" s="1"/>
  <c r="M161" i="20"/>
  <c r="M148" i="20"/>
  <c r="N148" i="20" s="1"/>
  <c r="M144" i="20"/>
  <c r="N144" i="20" s="1"/>
  <c r="M137" i="20"/>
  <c r="N137" i="20" s="1"/>
  <c r="M133" i="20"/>
  <c r="N133" i="20" s="1"/>
  <c r="M129" i="20"/>
  <c r="N129" i="20" s="1"/>
  <c r="M125" i="20"/>
  <c r="N125" i="20" s="1"/>
  <c r="M121" i="20"/>
  <c r="N121" i="20" s="1"/>
  <c r="M114" i="20"/>
  <c r="N114" i="20" s="1"/>
  <c r="M101" i="20"/>
  <c r="N101" i="20" s="1"/>
  <c r="M62" i="20"/>
  <c r="N62" i="20" s="1"/>
  <c r="M51" i="20"/>
  <c r="N51" i="20" s="1"/>
  <c r="M32" i="20"/>
  <c r="N32" i="20" s="1"/>
  <c r="M24" i="20"/>
  <c r="N24" i="20" s="1"/>
  <c r="M171" i="20"/>
  <c r="N171" i="20" s="1"/>
  <c r="M163" i="20"/>
  <c r="N163" i="20" s="1"/>
  <c r="M139" i="20"/>
  <c r="N139" i="20" s="1"/>
  <c r="M131" i="20"/>
  <c r="N131" i="20" s="1"/>
  <c r="M123" i="20"/>
  <c r="N123" i="20" s="1"/>
  <c r="M108" i="20"/>
  <c r="N108" i="20" s="1"/>
  <c r="M55" i="20"/>
  <c r="N55" i="20" s="1"/>
  <c r="M33" i="20"/>
  <c r="N33" i="20" s="1"/>
  <c r="M25" i="20"/>
  <c r="N25" i="20" s="1"/>
  <c r="M172" i="20"/>
  <c r="N172" i="20" s="1"/>
  <c r="M153" i="20"/>
  <c r="N153" i="20" s="1"/>
  <c r="M143" i="20"/>
  <c r="N143" i="20" s="1"/>
  <c r="M128" i="20"/>
  <c r="N128" i="20" s="1"/>
  <c r="M120" i="20"/>
  <c r="N120" i="20" s="1"/>
  <c r="M100" i="20"/>
  <c r="N100" i="20" s="1"/>
  <c r="M61" i="20"/>
  <c r="N61" i="20" s="1"/>
  <c r="M57" i="20"/>
  <c r="N57" i="20" s="1"/>
  <c r="M50" i="20"/>
  <c r="N50" i="20" s="1"/>
  <c r="M45" i="20"/>
  <c r="N45" i="20" s="1"/>
  <c r="M38" i="20"/>
  <c r="N38" i="20" s="1"/>
  <c r="M31" i="20"/>
  <c r="N31" i="20" s="1"/>
  <c r="M27" i="20"/>
  <c r="N27" i="20" s="1"/>
  <c r="M23" i="20"/>
  <c r="N23" i="20" s="1"/>
  <c r="M19" i="20"/>
  <c r="N19" i="20" s="1"/>
  <c r="M174" i="20"/>
  <c r="N174" i="20" s="1"/>
  <c r="M170" i="20"/>
  <c r="N170" i="20" s="1"/>
  <c r="M166" i="20"/>
  <c r="N166" i="20" s="1"/>
  <c r="M162" i="20"/>
  <c r="N162" i="20" s="1"/>
  <c r="M149" i="20"/>
  <c r="N149" i="20" s="1"/>
  <c r="M145" i="20"/>
  <c r="N145" i="20" s="1"/>
  <c r="M138" i="20"/>
  <c r="N138" i="20" s="1"/>
  <c r="M134" i="20"/>
  <c r="N134" i="20" s="1"/>
  <c r="M130" i="20"/>
  <c r="N130" i="20" s="1"/>
  <c r="M126" i="20"/>
  <c r="N126" i="20" s="1"/>
  <c r="M122" i="20"/>
  <c r="N122" i="20" s="1"/>
  <c r="M115" i="20"/>
  <c r="N115" i="20" s="1"/>
  <c r="M111" i="20"/>
  <c r="N111" i="20" s="1"/>
  <c r="M102" i="20"/>
  <c r="N102" i="20" s="1"/>
  <c r="M58" i="20"/>
  <c r="N58" i="20" s="1"/>
  <c r="M46" i="20"/>
  <c r="N46" i="20" s="1"/>
  <c r="M39" i="20"/>
  <c r="N39" i="20" s="1"/>
  <c r="M28" i="20"/>
  <c r="N28" i="20" s="1"/>
  <c r="M20" i="20"/>
  <c r="N20" i="20" s="1"/>
  <c r="M175" i="20"/>
  <c r="N175" i="20" s="1"/>
  <c r="M167" i="20"/>
  <c r="N167" i="20" s="1"/>
  <c r="M152" i="20"/>
  <c r="N152" i="20" s="1"/>
  <c r="M146" i="20"/>
  <c r="N146" i="20" s="1"/>
  <c r="M135" i="20"/>
  <c r="N135" i="20" s="1"/>
  <c r="M127" i="20"/>
  <c r="N127" i="20" s="1"/>
  <c r="M116" i="20"/>
  <c r="N116" i="20" s="1"/>
  <c r="M112" i="20"/>
  <c r="N112" i="20" s="1"/>
  <c r="M10" i="20"/>
  <c r="N10" i="20" s="1"/>
  <c r="M59" i="20"/>
  <c r="N59" i="20" s="1"/>
  <c r="M47" i="20"/>
  <c r="N47" i="20" s="1"/>
  <c r="M40" i="20"/>
  <c r="N40" i="20" s="1"/>
  <c r="M29" i="20"/>
  <c r="N29" i="20" s="1"/>
  <c r="M21" i="20"/>
  <c r="N21" i="20" s="1"/>
  <c r="M176" i="20"/>
  <c r="N176" i="20" s="1"/>
  <c r="M168" i="20"/>
  <c r="N168" i="20" s="1"/>
  <c r="M164" i="20"/>
  <c r="N164" i="20" s="1"/>
  <c r="M147" i="20"/>
  <c r="N147" i="20" s="1"/>
  <c r="M136" i="20"/>
  <c r="N136" i="20" s="1"/>
  <c r="M132" i="20"/>
  <c r="N132" i="20" s="1"/>
  <c r="M124" i="20"/>
  <c r="N124" i="20" s="1"/>
  <c r="M113" i="20"/>
  <c r="N113" i="20" s="1"/>
  <c r="M109" i="20"/>
  <c r="N109" i="20" s="1"/>
  <c r="M90" i="20"/>
  <c r="N90" i="20" s="1"/>
  <c r="M79" i="20"/>
  <c r="N79" i="20" s="1"/>
  <c r="M92" i="20"/>
  <c r="N92" i="20" s="1"/>
  <c r="M80" i="20"/>
  <c r="N80" i="20" s="1"/>
  <c r="M71" i="20"/>
  <c r="N71" i="20" s="1"/>
  <c r="M85" i="20"/>
  <c r="N85" i="20" s="1"/>
  <c r="M73" i="20"/>
  <c r="N73" i="20" s="1"/>
  <c r="M75" i="20"/>
  <c r="N75" i="20" s="1"/>
  <c r="M86" i="20"/>
  <c r="N86" i="20" s="1"/>
  <c r="M74" i="20"/>
  <c r="N74" i="20" s="1"/>
  <c r="M94" i="20"/>
  <c r="N94" i="20" s="1"/>
  <c r="M81" i="20"/>
  <c r="N81" i="20" s="1"/>
  <c r="M91" i="20"/>
  <c r="N91" i="20" s="1"/>
  <c r="M83" i="20"/>
  <c r="N83" i="20" s="1"/>
  <c r="M70" i="20"/>
  <c r="N70" i="20" s="1"/>
  <c r="M82" i="20"/>
  <c r="N82" i="20" s="1"/>
  <c r="M72" i="20"/>
  <c r="N72" i="20" s="1"/>
  <c r="M93" i="20"/>
  <c r="N93" i="20" s="1"/>
  <c r="M84" i="20"/>
  <c r="N84" i="20" s="1"/>
  <c r="J10" i="20"/>
  <c r="K10" i="20" s="1"/>
  <c r="J176" i="20"/>
  <c r="K176" i="20" s="1"/>
  <c r="J172" i="20"/>
  <c r="K172" i="20" s="1"/>
  <c r="J168" i="20"/>
  <c r="K168" i="20" s="1"/>
  <c r="J164" i="20"/>
  <c r="K164" i="20" s="1"/>
  <c r="J153" i="20"/>
  <c r="J147" i="20"/>
  <c r="J143" i="20"/>
  <c r="J136" i="20"/>
  <c r="J132" i="20"/>
  <c r="J128" i="20"/>
  <c r="J124" i="20"/>
  <c r="J120" i="20"/>
  <c r="J114" i="20"/>
  <c r="J100" i="20"/>
  <c r="J70" i="20"/>
  <c r="J59" i="20"/>
  <c r="J55" i="20"/>
  <c r="J49" i="20"/>
  <c r="J44" i="20"/>
  <c r="J37" i="20"/>
  <c r="J21" i="20"/>
  <c r="J25" i="20"/>
  <c r="J29" i="20"/>
  <c r="J18" i="20"/>
  <c r="J152" i="20"/>
  <c r="J131" i="20"/>
  <c r="J113" i="20"/>
  <c r="J62" i="20"/>
  <c r="J47" i="20"/>
  <c r="J35" i="20"/>
  <c r="J26" i="20"/>
  <c r="J173" i="20"/>
  <c r="K173" i="20" s="1"/>
  <c r="J169" i="20"/>
  <c r="K169" i="20" s="1"/>
  <c r="J165" i="20"/>
  <c r="K165" i="20" s="1"/>
  <c r="J161" i="20"/>
  <c r="J148" i="20"/>
  <c r="J144" i="20"/>
  <c r="J137" i="20"/>
  <c r="J133" i="20"/>
  <c r="J129" i="20"/>
  <c r="J125" i="20"/>
  <c r="J121" i="20"/>
  <c r="J115" i="20"/>
  <c r="J111" i="20"/>
  <c r="J101" i="20"/>
  <c r="J74" i="20"/>
  <c r="J60" i="20"/>
  <c r="J56" i="20"/>
  <c r="J50" i="20"/>
  <c r="J45" i="20"/>
  <c r="J38" i="20"/>
  <c r="J24" i="20"/>
  <c r="J28" i="20"/>
  <c r="J32" i="20"/>
  <c r="J175" i="20"/>
  <c r="K175" i="20" s="1"/>
  <c r="J163" i="20"/>
  <c r="K163" i="20" s="1"/>
  <c r="J139" i="20"/>
  <c r="J123" i="20"/>
  <c r="J109" i="20"/>
  <c r="J58" i="20"/>
  <c r="J40" i="20"/>
  <c r="J22" i="20"/>
  <c r="J30" i="20"/>
  <c r="J174" i="20"/>
  <c r="K174" i="20" s="1"/>
  <c r="J170" i="20"/>
  <c r="K170" i="20" s="1"/>
  <c r="J166" i="20"/>
  <c r="K166" i="20" s="1"/>
  <c r="J162" i="20"/>
  <c r="K162" i="20" s="1"/>
  <c r="J149" i="20"/>
  <c r="J145" i="20"/>
  <c r="J138" i="20"/>
  <c r="J134" i="20"/>
  <c r="J130" i="20"/>
  <c r="J126" i="20"/>
  <c r="J122" i="20"/>
  <c r="J116" i="20"/>
  <c r="J112" i="20"/>
  <c r="J102" i="20"/>
  <c r="J84" i="20"/>
  <c r="J61" i="20"/>
  <c r="J57" i="20"/>
  <c r="J51" i="20"/>
  <c r="J46" i="20"/>
  <c r="J39" i="20"/>
  <c r="J19" i="20"/>
  <c r="J23" i="20"/>
  <c r="J27" i="20"/>
  <c r="J31" i="20"/>
  <c r="J171" i="20"/>
  <c r="K171" i="20" s="1"/>
  <c r="J167" i="20"/>
  <c r="K167" i="20" s="1"/>
  <c r="J146" i="20"/>
  <c r="J135" i="20"/>
  <c r="J127" i="20"/>
  <c r="J108" i="20"/>
  <c r="J92" i="20"/>
  <c r="J75" i="20"/>
  <c r="J80" i="20"/>
  <c r="J72" i="20"/>
  <c r="J85" i="20"/>
  <c r="J94" i="20"/>
  <c r="J71" i="20"/>
  <c r="J93" i="20"/>
  <c r="J79" i="20"/>
  <c r="J82" i="20"/>
  <c r="J91" i="20"/>
  <c r="J73" i="20"/>
  <c r="J86" i="20"/>
  <c r="J90" i="20"/>
  <c r="J81" i="20"/>
  <c r="J83" i="20"/>
  <c r="Y23" i="18"/>
  <c r="AB23" i="20"/>
  <c r="J33" i="20"/>
  <c r="M34" i="18"/>
  <c r="U152" i="18"/>
  <c r="U138" i="18"/>
  <c r="U131" i="18"/>
  <c r="U129" i="18"/>
  <c r="U124" i="18"/>
  <c r="U122" i="18"/>
  <c r="U116" i="18"/>
  <c r="U114" i="18"/>
  <c r="U112" i="18"/>
  <c r="U110" i="18"/>
  <c r="U108" i="18"/>
  <c r="U94" i="18"/>
  <c r="U85" i="18"/>
  <c r="U83" i="18"/>
  <c r="U74" i="18"/>
  <c r="U72" i="18"/>
  <c r="U62" i="18"/>
  <c r="U60" i="18"/>
  <c r="U58" i="18"/>
  <c r="U56" i="18"/>
  <c r="U35" i="18"/>
  <c r="T34" i="18"/>
  <c r="T41" i="18" s="1"/>
  <c r="T65" i="18" s="1"/>
  <c r="T6" i="18" s="1"/>
  <c r="U32" i="18"/>
  <c r="U30" i="18"/>
  <c r="U28" i="18"/>
  <c r="U26" i="18"/>
  <c r="U24" i="18"/>
  <c r="U22" i="18"/>
  <c r="U20" i="18"/>
  <c r="U18" i="18"/>
  <c r="H106" i="15"/>
  <c r="J106" i="15" s="1"/>
  <c r="U137" i="18"/>
  <c r="U132" i="18"/>
  <c r="U130" i="18"/>
  <c r="U123" i="18"/>
  <c r="U113" i="18"/>
  <c r="U109" i="18"/>
  <c r="U93" i="18"/>
  <c r="U86" i="18"/>
  <c r="U73" i="18"/>
  <c r="U59" i="18"/>
  <c r="U55" i="18"/>
  <c r="U37" i="18"/>
  <c r="U31" i="18"/>
  <c r="U29" i="18"/>
  <c r="U25" i="18"/>
  <c r="U21" i="18"/>
  <c r="U148" i="18"/>
  <c r="U146" i="18"/>
  <c r="U144" i="18"/>
  <c r="U136" i="18"/>
  <c r="U134" i="18"/>
  <c r="U127" i="18"/>
  <c r="U125" i="18"/>
  <c r="U120" i="18"/>
  <c r="U101" i="18"/>
  <c r="U92" i="18"/>
  <c r="U90" i="18"/>
  <c r="U149" i="18"/>
  <c r="U147" i="18"/>
  <c r="U145" i="18"/>
  <c r="U143" i="18"/>
  <c r="U135" i="18"/>
  <c r="U133" i="18"/>
  <c r="U128" i="18"/>
  <c r="U126" i="18"/>
  <c r="U102" i="18"/>
  <c r="U100" i="18"/>
  <c r="U91" i="18"/>
  <c r="U82" i="18"/>
  <c r="U80" i="18"/>
  <c r="U50" i="18"/>
  <c r="U47" i="18"/>
  <c r="U45" i="18"/>
  <c r="U40" i="18"/>
  <c r="U38" i="18"/>
  <c r="U153" i="18"/>
  <c r="U139" i="18"/>
  <c r="U121" i="18"/>
  <c r="U115" i="18"/>
  <c r="U111" i="18"/>
  <c r="U84" i="18"/>
  <c r="U71" i="18"/>
  <c r="U61" i="18"/>
  <c r="U57" i="18"/>
  <c r="U33" i="18"/>
  <c r="U27" i="18"/>
  <c r="U23" i="18"/>
  <c r="U19" i="18"/>
  <c r="U49" i="18"/>
  <c r="U79" i="18"/>
  <c r="U75" i="18"/>
  <c r="U70" i="18"/>
  <c r="U51" i="18"/>
  <c r="U39" i="18"/>
  <c r="T7" i="18"/>
  <c r="U81" i="18"/>
  <c r="U44" i="18"/>
  <c r="U46" i="18"/>
  <c r="S34" i="18"/>
  <c r="W153" i="18"/>
  <c r="X153" i="20" s="1"/>
  <c r="L148" i="18"/>
  <c r="L146" i="18"/>
  <c r="L144" i="18"/>
  <c r="W139" i="18"/>
  <c r="X139" i="20" s="1"/>
  <c r="W137" i="18"/>
  <c r="X137" i="20" s="1"/>
  <c r="L136" i="18"/>
  <c r="L134" i="18"/>
  <c r="W132" i="18"/>
  <c r="X132" i="20" s="1"/>
  <c r="W130" i="18"/>
  <c r="X130" i="20" s="1"/>
  <c r="L127" i="18"/>
  <c r="L125" i="18"/>
  <c r="W123" i="18"/>
  <c r="X123" i="20" s="1"/>
  <c r="W121" i="18"/>
  <c r="X121" i="20" s="1"/>
  <c r="L120" i="18"/>
  <c r="W115" i="18"/>
  <c r="X115" i="20" s="1"/>
  <c r="W113" i="18"/>
  <c r="X113" i="20" s="1"/>
  <c r="W111" i="18"/>
  <c r="X111" i="20" s="1"/>
  <c r="W109" i="18"/>
  <c r="X109" i="20" s="1"/>
  <c r="L101" i="18"/>
  <c r="W93" i="18"/>
  <c r="X93" i="20" s="1"/>
  <c r="L92" i="18"/>
  <c r="L90" i="18"/>
  <c r="W86" i="18"/>
  <c r="X86" i="20" s="1"/>
  <c r="W84" i="18"/>
  <c r="X84" i="20" s="1"/>
  <c r="L81" i="18"/>
  <c r="L79" i="18"/>
  <c r="L75" i="18"/>
  <c r="W73" i="18"/>
  <c r="X73" i="20" s="1"/>
  <c r="W71" i="18"/>
  <c r="X71" i="20" s="1"/>
  <c r="L70" i="18"/>
  <c r="W61" i="18"/>
  <c r="X61" i="20" s="1"/>
  <c r="W59" i="18"/>
  <c r="X59" i="20" s="1"/>
  <c r="W57" i="18"/>
  <c r="X57" i="20" s="1"/>
  <c r="W55" i="18"/>
  <c r="X55" i="20" s="1"/>
  <c r="L51" i="18"/>
  <c r="L49" i="18"/>
  <c r="L46" i="18"/>
  <c r="L44" i="18"/>
  <c r="L39" i="18"/>
  <c r="W37" i="18"/>
  <c r="X37" i="20" s="1"/>
  <c r="W31" i="18"/>
  <c r="X31" i="20" s="1"/>
  <c r="W29" i="18"/>
  <c r="X29" i="20" s="1"/>
  <c r="W27" i="18"/>
  <c r="X27" i="20" s="1"/>
  <c r="W25" i="18"/>
  <c r="X25" i="20" s="1"/>
  <c r="W23" i="18"/>
  <c r="X23" i="20" s="1"/>
  <c r="W21" i="18"/>
  <c r="X21" i="20" s="1"/>
  <c r="W19" i="18"/>
  <c r="X19" i="20" s="1"/>
  <c r="K7" i="18"/>
  <c r="W33" i="18"/>
  <c r="X33" i="20" s="1"/>
  <c r="L149" i="18"/>
  <c r="L143" i="18"/>
  <c r="W138" i="18"/>
  <c r="X138" i="20" s="1"/>
  <c r="L135" i="18"/>
  <c r="W131" i="18"/>
  <c r="X131" i="20" s="1"/>
  <c r="L126" i="18"/>
  <c r="W124" i="18"/>
  <c r="X124" i="20" s="1"/>
  <c r="W114" i="18"/>
  <c r="X114" i="20" s="1"/>
  <c r="W94" i="18"/>
  <c r="X94" i="20" s="1"/>
  <c r="L91" i="18"/>
  <c r="W83" i="18"/>
  <c r="X83" i="20" s="1"/>
  <c r="L82" i="18"/>
  <c r="L80" i="18"/>
  <c r="W74" i="18"/>
  <c r="X74" i="20" s="1"/>
  <c r="W60" i="18"/>
  <c r="X60" i="20" s="1"/>
  <c r="W56" i="18"/>
  <c r="X56" i="20" s="1"/>
  <c r="L40" i="18"/>
  <c r="W32" i="18"/>
  <c r="X32" i="20" s="1"/>
  <c r="W26" i="18"/>
  <c r="X26" i="20" s="1"/>
  <c r="W22" i="18"/>
  <c r="X22" i="20" s="1"/>
  <c r="W18" i="18"/>
  <c r="X18" i="20" s="1"/>
  <c r="H103" i="15"/>
  <c r="L153" i="18"/>
  <c r="W149" i="18"/>
  <c r="X149" i="20" s="1"/>
  <c r="W147" i="18"/>
  <c r="X147" i="20" s="1"/>
  <c r="W145" i="18"/>
  <c r="X145" i="20" s="1"/>
  <c r="W143" i="18"/>
  <c r="X143" i="20" s="1"/>
  <c r="L139" i="18"/>
  <c r="L137" i="18"/>
  <c r="W135" i="18"/>
  <c r="X135" i="20" s="1"/>
  <c r="W133" i="18"/>
  <c r="X133" i="20" s="1"/>
  <c r="L132" i="18"/>
  <c r="L130" i="18"/>
  <c r="W128" i="18"/>
  <c r="X128" i="20" s="1"/>
  <c r="W126" i="18"/>
  <c r="X126" i="20" s="1"/>
  <c r="L123" i="18"/>
  <c r="L121" i="18"/>
  <c r="L115" i="18"/>
  <c r="L113" i="18"/>
  <c r="L111" i="18"/>
  <c r="L109" i="18"/>
  <c r="W102" i="18"/>
  <c r="X102" i="20" s="1"/>
  <c r="W100" i="18"/>
  <c r="X100" i="20" s="1"/>
  <c r="L93" i="18"/>
  <c r="W91" i="18"/>
  <c r="X91" i="20" s="1"/>
  <c r="L86" i="18"/>
  <c r="L84" i="18"/>
  <c r="L152" i="18"/>
  <c r="W148" i="18"/>
  <c r="X148" i="20" s="1"/>
  <c r="W146" i="18"/>
  <c r="X146" i="20" s="1"/>
  <c r="W144" i="18"/>
  <c r="X144" i="20" s="1"/>
  <c r="L138" i="18"/>
  <c r="W136" i="18"/>
  <c r="X136" i="20" s="1"/>
  <c r="W134" i="18"/>
  <c r="X134" i="20" s="1"/>
  <c r="L131" i="18"/>
  <c r="L129" i="18"/>
  <c r="W127" i="18"/>
  <c r="X127" i="20" s="1"/>
  <c r="W125" i="18"/>
  <c r="X125" i="20" s="1"/>
  <c r="L124" i="18"/>
  <c r="L122" i="18"/>
  <c r="W120" i="18"/>
  <c r="X120" i="20" s="1"/>
  <c r="L116" i="18"/>
  <c r="L114" i="18"/>
  <c r="L112" i="18"/>
  <c r="L110" i="18"/>
  <c r="L108" i="18"/>
  <c r="W101" i="18"/>
  <c r="X101" i="20" s="1"/>
  <c r="L94" i="18"/>
  <c r="W92" i="18"/>
  <c r="X92" i="20" s="1"/>
  <c r="W90" i="18"/>
  <c r="X90" i="20" s="1"/>
  <c r="L85" i="18"/>
  <c r="L83" i="18"/>
  <c r="W81" i="18"/>
  <c r="X81" i="20" s="1"/>
  <c r="W79" i="18"/>
  <c r="X79" i="20" s="1"/>
  <c r="W75" i="18"/>
  <c r="X75" i="20" s="1"/>
  <c r="L74" i="18"/>
  <c r="L72" i="18"/>
  <c r="W70" i="18"/>
  <c r="X70" i="20" s="1"/>
  <c r="L62" i="18"/>
  <c r="L60" i="18"/>
  <c r="L58" i="18"/>
  <c r="L56" i="18"/>
  <c r="W51" i="18"/>
  <c r="X51" i="20" s="1"/>
  <c r="W49" i="18"/>
  <c r="X49" i="20" s="1"/>
  <c r="W46" i="18"/>
  <c r="X46" i="20" s="1"/>
  <c r="W44" i="18"/>
  <c r="X44" i="20" s="1"/>
  <c r="W39" i="18"/>
  <c r="X39" i="20" s="1"/>
  <c r="L35" i="18"/>
  <c r="L32" i="18"/>
  <c r="L30" i="18"/>
  <c r="L28" i="18"/>
  <c r="L26" i="18"/>
  <c r="L24" i="18"/>
  <c r="L22" i="18"/>
  <c r="L18" i="18"/>
  <c r="W152" i="18"/>
  <c r="X152" i="20" s="1"/>
  <c r="L147" i="18"/>
  <c r="L145" i="18"/>
  <c r="L133" i="18"/>
  <c r="W129" i="18"/>
  <c r="X129" i="20" s="1"/>
  <c r="L128" i="18"/>
  <c r="W122" i="18"/>
  <c r="X122" i="20" s="1"/>
  <c r="W116" i="18"/>
  <c r="X116" i="20" s="1"/>
  <c r="W112" i="18"/>
  <c r="X112" i="20" s="1"/>
  <c r="W108" i="18"/>
  <c r="X108" i="20" s="1"/>
  <c r="L102" i="18"/>
  <c r="L100" i="18"/>
  <c r="W85" i="18"/>
  <c r="X85" i="20" s="1"/>
  <c r="W72" i="18"/>
  <c r="X72" i="20" s="1"/>
  <c r="W62" i="18"/>
  <c r="X62" i="20" s="1"/>
  <c r="W58" i="18"/>
  <c r="X58" i="20" s="1"/>
  <c r="L50" i="18"/>
  <c r="L47" i="18"/>
  <c r="L45" i="18"/>
  <c r="L38" i="18"/>
  <c r="W35" i="18"/>
  <c r="X35" i="20" s="1"/>
  <c r="W30" i="18"/>
  <c r="X30" i="20" s="1"/>
  <c r="W28" i="18"/>
  <c r="X28" i="20" s="1"/>
  <c r="W24" i="18"/>
  <c r="X24" i="20" s="1"/>
  <c r="L73" i="18"/>
  <c r="L71" i="18"/>
  <c r="L61" i="18"/>
  <c r="L59" i="18"/>
  <c r="L57" i="18"/>
  <c r="L55" i="18"/>
  <c r="W50" i="18"/>
  <c r="X50" i="20" s="1"/>
  <c r="W38" i="18"/>
  <c r="X38" i="20" s="1"/>
  <c r="L33" i="18"/>
  <c r="L25" i="18"/>
  <c r="W80" i="18"/>
  <c r="X80" i="20" s="1"/>
  <c r="W40" i="18"/>
  <c r="X40" i="20" s="1"/>
  <c r="L31" i="18"/>
  <c r="L23" i="18"/>
  <c r="W82" i="18"/>
  <c r="X82" i="20" s="1"/>
  <c r="W45" i="18"/>
  <c r="X45" i="20" s="1"/>
  <c r="L29" i="18"/>
  <c r="L21" i="18"/>
  <c r="W47" i="18"/>
  <c r="X47" i="20" s="1"/>
  <c r="L37" i="18"/>
  <c r="L27" i="18"/>
  <c r="L19" i="18"/>
  <c r="H104" i="15"/>
  <c r="J104" i="15" s="1"/>
  <c r="O153" i="18"/>
  <c r="O139" i="18"/>
  <c r="O137" i="18"/>
  <c r="O132" i="18"/>
  <c r="O130" i="18"/>
  <c r="O123" i="18"/>
  <c r="O121" i="18"/>
  <c r="O115" i="18"/>
  <c r="O113" i="18"/>
  <c r="O111" i="18"/>
  <c r="O109" i="18"/>
  <c r="O93" i="18"/>
  <c r="O86" i="18"/>
  <c r="O84" i="18"/>
  <c r="O73" i="18"/>
  <c r="O71" i="18"/>
  <c r="O61" i="18"/>
  <c r="O59" i="18"/>
  <c r="O57" i="18"/>
  <c r="O55" i="18"/>
  <c r="O37" i="18"/>
  <c r="N34" i="18"/>
  <c r="N41" i="18" s="1"/>
  <c r="N65" i="18" s="1"/>
  <c r="N6" i="18" s="1"/>
  <c r="O33" i="18"/>
  <c r="O31" i="18"/>
  <c r="O29" i="18"/>
  <c r="O27" i="18"/>
  <c r="O25" i="18"/>
  <c r="O23" i="18"/>
  <c r="O21" i="18"/>
  <c r="O19" i="18"/>
  <c r="O129" i="18"/>
  <c r="O122" i="18"/>
  <c r="O116" i="18"/>
  <c r="O112" i="18"/>
  <c r="O108" i="18"/>
  <c r="O85" i="18"/>
  <c r="O72" i="18"/>
  <c r="O62" i="18"/>
  <c r="O58" i="18"/>
  <c r="O35" i="18"/>
  <c r="O30" i="18"/>
  <c r="O28" i="18"/>
  <c r="O24" i="18"/>
  <c r="O20" i="18"/>
  <c r="O149" i="18"/>
  <c r="O147" i="18"/>
  <c r="O145" i="18"/>
  <c r="O143" i="18"/>
  <c r="O135" i="18"/>
  <c r="O133" i="18"/>
  <c r="O128" i="18"/>
  <c r="O126" i="18"/>
  <c r="O102" i="18"/>
  <c r="O100" i="18"/>
  <c r="O91" i="18"/>
  <c r="O148" i="18"/>
  <c r="O146" i="18"/>
  <c r="O144" i="18"/>
  <c r="O136" i="18"/>
  <c r="O134" i="18"/>
  <c r="O127" i="18"/>
  <c r="O125" i="18"/>
  <c r="O120" i="18"/>
  <c r="O101" i="18"/>
  <c r="O92" i="18"/>
  <c r="O90" i="18"/>
  <c r="O81" i="18"/>
  <c r="O79" i="18"/>
  <c r="O75" i="18"/>
  <c r="O70" i="18"/>
  <c r="O51" i="18"/>
  <c r="O49" i="18"/>
  <c r="O46" i="18"/>
  <c r="O44" i="18"/>
  <c r="O39" i="18"/>
  <c r="N7" i="18"/>
  <c r="O152" i="18"/>
  <c r="O138" i="18"/>
  <c r="O131" i="18"/>
  <c r="O124" i="18"/>
  <c r="O114" i="18"/>
  <c r="O110" i="18"/>
  <c r="O94" i="18"/>
  <c r="O83" i="18"/>
  <c r="O74" i="18"/>
  <c r="O60" i="18"/>
  <c r="O56" i="18"/>
  <c r="O32" i="18"/>
  <c r="O26" i="18"/>
  <c r="O22" i="18"/>
  <c r="O18" i="18"/>
  <c r="O82" i="18"/>
  <c r="O45" i="18"/>
  <c r="O47" i="18"/>
  <c r="O50" i="18"/>
  <c r="O38" i="18"/>
  <c r="O80" i="18"/>
  <c r="O40" i="18"/>
  <c r="J34" i="18"/>
  <c r="V18" i="18"/>
  <c r="AB18" i="20" s="1"/>
  <c r="C103" i="15"/>
  <c r="K34" i="18"/>
  <c r="K41" i="18" s="1"/>
  <c r="K65" i="18" s="1"/>
  <c r="R149" i="18"/>
  <c r="R147" i="18"/>
  <c r="R145" i="18"/>
  <c r="R143" i="18"/>
  <c r="R135" i="18"/>
  <c r="R133" i="18"/>
  <c r="R128" i="18"/>
  <c r="R126" i="18"/>
  <c r="R102" i="18"/>
  <c r="R100" i="18"/>
  <c r="R91" i="18"/>
  <c r="R82" i="18"/>
  <c r="R80" i="18"/>
  <c r="R50" i="18"/>
  <c r="R47" i="18"/>
  <c r="R45" i="18"/>
  <c r="R40" i="18"/>
  <c r="R38" i="18"/>
  <c r="R144" i="18"/>
  <c r="R127" i="18"/>
  <c r="R120" i="18"/>
  <c r="R101" i="18"/>
  <c r="R70" i="18"/>
  <c r="R51" i="18"/>
  <c r="R49" i="18"/>
  <c r="R46" i="18"/>
  <c r="R44" i="18"/>
  <c r="R152" i="18"/>
  <c r="R138" i="18"/>
  <c r="R131" i="18"/>
  <c r="R129" i="18"/>
  <c r="R124" i="18"/>
  <c r="R122" i="18"/>
  <c r="R116" i="18"/>
  <c r="R114" i="18"/>
  <c r="R112" i="18"/>
  <c r="R110" i="18"/>
  <c r="R108" i="18"/>
  <c r="R94" i="18"/>
  <c r="R85" i="18"/>
  <c r="H105" i="15"/>
  <c r="J105" i="15" s="1"/>
  <c r="R153" i="18"/>
  <c r="R139" i="18"/>
  <c r="R137" i="18"/>
  <c r="R132" i="18"/>
  <c r="R130" i="18"/>
  <c r="R123" i="18"/>
  <c r="R121" i="18"/>
  <c r="R115" i="18"/>
  <c r="R113" i="18"/>
  <c r="R111" i="18"/>
  <c r="R109" i="18"/>
  <c r="R93" i="18"/>
  <c r="R86" i="18"/>
  <c r="R84" i="18"/>
  <c r="R73" i="18"/>
  <c r="R71" i="18"/>
  <c r="R61" i="18"/>
  <c r="R59" i="18"/>
  <c r="R57" i="18"/>
  <c r="R55" i="18"/>
  <c r="R37" i="18"/>
  <c r="R33" i="18"/>
  <c r="R31" i="18"/>
  <c r="R29" i="18"/>
  <c r="R27" i="18"/>
  <c r="R25" i="18"/>
  <c r="R23" i="18"/>
  <c r="R21" i="18"/>
  <c r="R19" i="18"/>
  <c r="R148" i="18"/>
  <c r="R146" i="18"/>
  <c r="R136" i="18"/>
  <c r="R134" i="18"/>
  <c r="R125" i="18"/>
  <c r="R92" i="18"/>
  <c r="R90" i="18"/>
  <c r="R81" i="18"/>
  <c r="R79" i="18"/>
  <c r="R75" i="18"/>
  <c r="R39" i="18"/>
  <c r="Q34" i="18"/>
  <c r="Q41" i="18" s="1"/>
  <c r="Q65" i="18" s="1"/>
  <c r="Q7" i="18"/>
  <c r="R83" i="18"/>
  <c r="R30" i="18"/>
  <c r="R22" i="18"/>
  <c r="R35" i="18"/>
  <c r="R28" i="18"/>
  <c r="R20" i="18"/>
  <c r="R74" i="18"/>
  <c r="R72" i="18"/>
  <c r="R62" i="18"/>
  <c r="R60" i="18"/>
  <c r="R58" i="18"/>
  <c r="R56" i="18"/>
  <c r="R26" i="18"/>
  <c r="R18" i="18"/>
  <c r="R32" i="18"/>
  <c r="R24" i="18"/>
  <c r="V20" i="18"/>
  <c r="P34" i="18"/>
  <c r="V33" i="18"/>
  <c r="I12" i="15"/>
  <c r="I22" i="15" s="1"/>
  <c r="Y86" i="20" l="1"/>
  <c r="AA33" i="20"/>
  <c r="E20" i="21"/>
  <c r="D19" i="3"/>
  <c r="Y46" i="20"/>
  <c r="Y81" i="20"/>
  <c r="Y91" i="20"/>
  <c r="J41" i="18"/>
  <c r="J65" i="18" s="1"/>
  <c r="J179" i="18" s="1"/>
  <c r="P41" i="18"/>
  <c r="P65" i="18" s="1"/>
  <c r="P6" i="18" s="1"/>
  <c r="M41" i="18"/>
  <c r="M65" i="18" s="1"/>
  <c r="M6" i="18" s="1"/>
  <c r="S41" i="18"/>
  <c r="S65" i="18" s="1"/>
  <c r="S6" i="18" s="1"/>
  <c r="Y45" i="20"/>
  <c r="Y40" i="20"/>
  <c r="Y38" i="20"/>
  <c r="Y49" i="20"/>
  <c r="AC26" i="20"/>
  <c r="Y35" i="20"/>
  <c r="Y136" i="20"/>
  <c r="Y94" i="20"/>
  <c r="Y61" i="20"/>
  <c r="Y115" i="20"/>
  <c r="Y134" i="20"/>
  <c r="Y124" i="20"/>
  <c r="Y25" i="20"/>
  <c r="Y123" i="20"/>
  <c r="Y139" i="20"/>
  <c r="Y153" i="20"/>
  <c r="AC25" i="20"/>
  <c r="Y47" i="20"/>
  <c r="Y50" i="20"/>
  <c r="Y28" i="20"/>
  <c r="Y122" i="20"/>
  <c r="Y51" i="20"/>
  <c r="Y101" i="20"/>
  <c r="Y144" i="20"/>
  <c r="Y126" i="20"/>
  <c r="Y133" i="20"/>
  <c r="Y26" i="20"/>
  <c r="Y57" i="20"/>
  <c r="AC21" i="20"/>
  <c r="AA147" i="20"/>
  <c r="AA112" i="20"/>
  <c r="AA24" i="20"/>
  <c r="AA31" i="20"/>
  <c r="AA22" i="20"/>
  <c r="Y93" i="20"/>
  <c r="Y75" i="20"/>
  <c r="Y83" i="20"/>
  <c r="AA85" i="20"/>
  <c r="Y71" i="20"/>
  <c r="Y30" i="20"/>
  <c r="Y146" i="20"/>
  <c r="Y102" i="20"/>
  <c r="Y128" i="20"/>
  <c r="Y145" i="20"/>
  <c r="Y59" i="20"/>
  <c r="Y113" i="20"/>
  <c r="Y132" i="20"/>
  <c r="AC22" i="20"/>
  <c r="Y72" i="20"/>
  <c r="Y135" i="20"/>
  <c r="Y32" i="20"/>
  <c r="Y138" i="20"/>
  <c r="Y73" i="20"/>
  <c r="AC23" i="20"/>
  <c r="AC32" i="20"/>
  <c r="T87" i="20"/>
  <c r="AA82" i="20"/>
  <c r="Y82" i="20"/>
  <c r="Y39" i="20"/>
  <c r="Y114" i="20"/>
  <c r="Y23" i="20"/>
  <c r="Y137" i="20"/>
  <c r="AC24" i="20"/>
  <c r="AA20" i="20"/>
  <c r="AA109" i="20"/>
  <c r="AA153" i="20"/>
  <c r="AA71" i="20"/>
  <c r="AA74" i="20"/>
  <c r="AA84" i="20"/>
  <c r="Y125" i="20"/>
  <c r="Y74" i="20"/>
  <c r="Y37" i="20"/>
  <c r="Y84" i="20"/>
  <c r="Y24" i="20"/>
  <c r="Y109" i="20"/>
  <c r="AA26" i="20"/>
  <c r="AA19" i="20"/>
  <c r="AC19" i="20"/>
  <c r="U76" i="20"/>
  <c r="AC70" i="20"/>
  <c r="AC76" i="20" s="1"/>
  <c r="U63" i="20"/>
  <c r="AC55" i="20"/>
  <c r="AA55" i="20"/>
  <c r="AA131" i="20"/>
  <c r="AC131" i="20"/>
  <c r="AA59" i="20"/>
  <c r="AC59" i="20"/>
  <c r="AC57" i="20"/>
  <c r="AA57" i="20"/>
  <c r="AA126" i="20"/>
  <c r="AC126" i="20"/>
  <c r="AA127" i="20"/>
  <c r="AC127" i="20"/>
  <c r="U87" i="20"/>
  <c r="AC79" i="20"/>
  <c r="AA50" i="20"/>
  <c r="AC50" i="20"/>
  <c r="AC58" i="20"/>
  <c r="AA58" i="20"/>
  <c r="AA108" i="20"/>
  <c r="U117" i="20"/>
  <c r="AC108" i="20"/>
  <c r="AC37" i="20"/>
  <c r="AA37" i="20"/>
  <c r="AA120" i="20"/>
  <c r="U140" i="20"/>
  <c r="AC120" i="20"/>
  <c r="AA138" i="20"/>
  <c r="AC138" i="20"/>
  <c r="AC35" i="20"/>
  <c r="AA35" i="20"/>
  <c r="AA137" i="20"/>
  <c r="AC137" i="20"/>
  <c r="AA61" i="20"/>
  <c r="AC61" i="20"/>
  <c r="AA135" i="20"/>
  <c r="AC135" i="20"/>
  <c r="AC44" i="20"/>
  <c r="U52" i="20"/>
  <c r="AA44" i="20"/>
  <c r="I179" i="20"/>
  <c r="I157" i="20"/>
  <c r="I8" i="20" s="1"/>
  <c r="N6" i="15" s="1"/>
  <c r="O6" i="15" s="1"/>
  <c r="AA125" i="20"/>
  <c r="AC125" i="20"/>
  <c r="AA39" i="20"/>
  <c r="AC39" i="20"/>
  <c r="AA136" i="20"/>
  <c r="AC136" i="20"/>
  <c r="AA79" i="20"/>
  <c r="Z87" i="20"/>
  <c r="Z76" i="20"/>
  <c r="AA70" i="20"/>
  <c r="O179" i="20"/>
  <c r="O157" i="20"/>
  <c r="O8" i="20" s="1"/>
  <c r="N8" i="15" s="1"/>
  <c r="O8" i="15" s="1"/>
  <c r="AA113" i="20"/>
  <c r="Z63" i="20"/>
  <c r="AA152" i="20"/>
  <c r="Y80" i="20"/>
  <c r="Y62" i="20"/>
  <c r="Y33" i="20"/>
  <c r="Y31" i="20"/>
  <c r="Y111" i="20"/>
  <c r="AA28" i="20"/>
  <c r="Y85" i="20"/>
  <c r="Y112" i="20"/>
  <c r="Y129" i="20"/>
  <c r="Y152" i="20"/>
  <c r="Y92" i="20"/>
  <c r="Y127" i="20"/>
  <c r="Y148" i="20"/>
  <c r="Y147" i="20"/>
  <c r="Y19" i="20"/>
  <c r="Y27" i="20"/>
  <c r="N76" i="20"/>
  <c r="N52" i="20"/>
  <c r="AC29" i="20"/>
  <c r="AC27" i="20"/>
  <c r="AA23" i="20"/>
  <c r="AA32" i="20"/>
  <c r="AA72" i="20"/>
  <c r="AA73" i="20"/>
  <c r="Z140" i="20"/>
  <c r="AA91" i="20"/>
  <c r="AA81" i="20"/>
  <c r="AA115" i="20"/>
  <c r="AA149" i="20"/>
  <c r="AA101" i="20"/>
  <c r="AA114" i="20"/>
  <c r="AA144" i="20"/>
  <c r="AD153" i="20"/>
  <c r="AE153" i="20" s="1"/>
  <c r="AD147" i="20"/>
  <c r="AE147" i="20" s="1"/>
  <c r="AD143" i="20"/>
  <c r="AD136" i="20"/>
  <c r="AE136" i="20" s="1"/>
  <c r="AD132" i="20"/>
  <c r="AE132" i="20" s="1"/>
  <c r="AD128" i="20"/>
  <c r="AE128" i="20" s="1"/>
  <c r="AD124" i="20"/>
  <c r="AE124" i="20" s="1"/>
  <c r="AD120" i="20"/>
  <c r="AD113" i="20"/>
  <c r="AE113" i="20" s="1"/>
  <c r="AD109" i="20"/>
  <c r="AE109" i="20" s="1"/>
  <c r="AD100" i="20"/>
  <c r="AD91" i="20"/>
  <c r="AE91" i="20" s="1"/>
  <c r="AD84" i="20"/>
  <c r="AE84" i="20" s="1"/>
  <c r="AD80" i="20"/>
  <c r="AE80" i="20" s="1"/>
  <c r="AD73" i="20"/>
  <c r="AE73" i="20" s="1"/>
  <c r="AD62" i="20"/>
  <c r="AE62" i="20" s="1"/>
  <c r="AD58" i="20"/>
  <c r="AE58" i="20" s="1"/>
  <c r="AD51" i="20"/>
  <c r="AE51" i="20" s="1"/>
  <c r="AD46" i="20"/>
  <c r="AE46" i="20" s="1"/>
  <c r="AD33" i="20"/>
  <c r="AE33" i="20" s="1"/>
  <c r="AD29" i="20"/>
  <c r="AE29" i="20" s="1"/>
  <c r="AD25" i="20"/>
  <c r="AE25" i="20" s="1"/>
  <c r="AD21" i="20"/>
  <c r="AE21" i="20" s="1"/>
  <c r="AD35" i="20"/>
  <c r="AE35" i="20" s="1"/>
  <c r="AA18" i="20"/>
  <c r="AD39" i="20"/>
  <c r="AE39" i="20" s="1"/>
  <c r="AD144" i="20"/>
  <c r="AE144" i="20" s="1"/>
  <c r="AD133" i="20"/>
  <c r="AE133" i="20" s="1"/>
  <c r="AD125" i="20"/>
  <c r="AE125" i="20" s="1"/>
  <c r="AD114" i="20"/>
  <c r="AE114" i="20" s="1"/>
  <c r="AD101" i="20"/>
  <c r="AE101" i="20" s="1"/>
  <c r="AD85" i="20"/>
  <c r="AE85" i="20" s="1"/>
  <c r="AD74" i="20"/>
  <c r="AE74" i="20" s="1"/>
  <c r="AD59" i="20"/>
  <c r="AE59" i="20" s="1"/>
  <c r="AD47" i="20"/>
  <c r="AE47" i="20" s="1"/>
  <c r="AD30" i="20"/>
  <c r="AE30" i="20" s="1"/>
  <c r="AD22" i="20"/>
  <c r="AE22" i="20" s="1"/>
  <c r="AD44" i="20"/>
  <c r="AD152" i="20"/>
  <c r="AE152" i="20" s="1"/>
  <c r="AD146" i="20"/>
  <c r="AE146" i="20" s="1"/>
  <c r="AD139" i="20"/>
  <c r="AE139" i="20" s="1"/>
  <c r="AD135" i="20"/>
  <c r="AE135" i="20" s="1"/>
  <c r="AD131" i="20"/>
  <c r="AE131" i="20" s="1"/>
  <c r="AD127" i="20"/>
  <c r="AE127" i="20" s="1"/>
  <c r="AD123" i="20"/>
  <c r="AE123" i="20" s="1"/>
  <c r="AD116" i="20"/>
  <c r="AE116" i="20" s="1"/>
  <c r="AD112" i="20"/>
  <c r="AE112" i="20" s="1"/>
  <c r="AD108" i="20"/>
  <c r="AD94" i="20"/>
  <c r="AE94" i="20" s="1"/>
  <c r="AD90" i="20"/>
  <c r="AD83" i="20"/>
  <c r="AE83" i="20" s="1"/>
  <c r="AD79" i="20"/>
  <c r="AD72" i="20"/>
  <c r="AE72" i="20" s="1"/>
  <c r="AD61" i="20"/>
  <c r="AE61" i="20" s="1"/>
  <c r="AD57" i="20"/>
  <c r="AE57" i="20" s="1"/>
  <c r="AD50" i="20"/>
  <c r="AE50" i="20" s="1"/>
  <c r="AD45" i="20"/>
  <c r="AE45" i="20" s="1"/>
  <c r="AD32" i="20"/>
  <c r="AE32" i="20" s="1"/>
  <c r="AD28" i="20"/>
  <c r="AE28" i="20" s="1"/>
  <c r="AD24" i="20"/>
  <c r="AE24" i="20" s="1"/>
  <c r="AD20" i="20"/>
  <c r="AE20" i="20" s="1"/>
  <c r="AD38" i="20"/>
  <c r="AE38" i="20" s="1"/>
  <c r="U34" i="20"/>
  <c r="U41" i="20" s="1"/>
  <c r="AD148" i="20"/>
  <c r="AE148" i="20" s="1"/>
  <c r="AD137" i="20"/>
  <c r="AE137" i="20" s="1"/>
  <c r="AD129" i="20"/>
  <c r="AE129" i="20" s="1"/>
  <c r="AD121" i="20"/>
  <c r="AE121" i="20" s="1"/>
  <c r="AD110" i="20"/>
  <c r="AE110" i="20" s="1"/>
  <c r="AD92" i="20"/>
  <c r="AE92" i="20" s="1"/>
  <c r="AD81" i="20"/>
  <c r="AE81" i="20" s="1"/>
  <c r="AD70" i="20"/>
  <c r="AD55" i="20"/>
  <c r="AD37" i="20"/>
  <c r="AE37" i="20" s="1"/>
  <c r="AD26" i="20"/>
  <c r="AE26" i="20" s="1"/>
  <c r="AD18" i="20"/>
  <c r="AD40" i="20"/>
  <c r="AE40" i="20" s="1"/>
  <c r="AD149" i="20"/>
  <c r="AE149" i="20" s="1"/>
  <c r="AD145" i="20"/>
  <c r="AE145" i="20" s="1"/>
  <c r="AD138" i="20"/>
  <c r="AE138" i="20" s="1"/>
  <c r="AD134" i="20"/>
  <c r="AE134" i="20" s="1"/>
  <c r="AD130" i="20"/>
  <c r="AE130" i="20" s="1"/>
  <c r="AD126" i="20"/>
  <c r="AE126" i="20" s="1"/>
  <c r="AD122" i="20"/>
  <c r="AE122" i="20" s="1"/>
  <c r="AD115" i="20"/>
  <c r="AE115" i="20" s="1"/>
  <c r="AD111" i="20"/>
  <c r="AE111" i="20" s="1"/>
  <c r="AD102" i="20"/>
  <c r="AE102" i="20" s="1"/>
  <c r="AD93" i="20"/>
  <c r="AE93" i="20" s="1"/>
  <c r="AD86" i="20"/>
  <c r="AE86" i="20" s="1"/>
  <c r="AD82" i="20"/>
  <c r="AE82" i="20" s="1"/>
  <c r="AD75" i="20"/>
  <c r="AE75" i="20" s="1"/>
  <c r="AD71" i="20"/>
  <c r="AE71" i="20" s="1"/>
  <c r="AD60" i="20"/>
  <c r="AE60" i="20" s="1"/>
  <c r="AD56" i="20"/>
  <c r="AE56" i="20" s="1"/>
  <c r="AD49" i="20"/>
  <c r="AE49" i="20" s="1"/>
  <c r="AD31" i="20"/>
  <c r="AE31" i="20" s="1"/>
  <c r="AD27" i="20"/>
  <c r="AE27" i="20" s="1"/>
  <c r="AD23" i="20"/>
  <c r="AE23" i="20" s="1"/>
  <c r="AD19" i="20"/>
  <c r="AE19" i="20" s="1"/>
  <c r="AA60" i="20"/>
  <c r="AC60" i="20"/>
  <c r="AA130" i="20"/>
  <c r="AC130" i="20"/>
  <c r="AA129" i="20"/>
  <c r="AC129" i="20"/>
  <c r="AA30" i="20"/>
  <c r="AA121" i="20"/>
  <c r="AC121" i="20"/>
  <c r="AC62" i="20"/>
  <c r="AA62" i="20"/>
  <c r="U95" i="20"/>
  <c r="AC90" i="20"/>
  <c r="AA132" i="20"/>
  <c r="AC132" i="20"/>
  <c r="AC56" i="20"/>
  <c r="AA56" i="20"/>
  <c r="AC47" i="20"/>
  <c r="AA47" i="20"/>
  <c r="AA128" i="20"/>
  <c r="AC128" i="20"/>
  <c r="AC46" i="20"/>
  <c r="AA46" i="20"/>
  <c r="AA83" i="20"/>
  <c r="AC83" i="20"/>
  <c r="AA122" i="20"/>
  <c r="AC122" i="20"/>
  <c r="AC45" i="20"/>
  <c r="AA45" i="20"/>
  <c r="AC38" i="20"/>
  <c r="AA38" i="20"/>
  <c r="AA93" i="20"/>
  <c r="AC93" i="20"/>
  <c r="AA123" i="20"/>
  <c r="AC123" i="20"/>
  <c r="AA139" i="20"/>
  <c r="AC139" i="20"/>
  <c r="AC51" i="20"/>
  <c r="AA51" i="20"/>
  <c r="AA134" i="20"/>
  <c r="AC134" i="20"/>
  <c r="AC40" i="20"/>
  <c r="AA40" i="20"/>
  <c r="AA86" i="20"/>
  <c r="AC86" i="20"/>
  <c r="AA133" i="20"/>
  <c r="AC133" i="20"/>
  <c r="AC49" i="20"/>
  <c r="AA49" i="20"/>
  <c r="AC100" i="20"/>
  <c r="AC103" i="20" s="1"/>
  <c r="U103" i="20"/>
  <c r="AA124" i="20"/>
  <c r="AC124" i="20"/>
  <c r="AA143" i="20"/>
  <c r="U150" i="20"/>
  <c r="AC143" i="20"/>
  <c r="AC150" i="20" s="1"/>
  <c r="Z95" i="20"/>
  <c r="AA90" i="20"/>
  <c r="AA100" i="20"/>
  <c r="Z103" i="20"/>
  <c r="L6" i="20"/>
  <c r="L157" i="20"/>
  <c r="L8" i="20" s="1"/>
  <c r="L179" i="20"/>
  <c r="R157" i="20"/>
  <c r="R8" i="20" s="1"/>
  <c r="N9" i="15" s="1"/>
  <c r="O9" i="15" s="1"/>
  <c r="R179" i="20"/>
  <c r="AA111" i="20"/>
  <c r="AA92" i="20"/>
  <c r="Y60" i="20"/>
  <c r="Y121" i="20"/>
  <c r="Y130" i="20"/>
  <c r="AC30" i="20"/>
  <c r="AA21" i="20"/>
  <c r="Z52" i="20"/>
  <c r="AA102" i="20"/>
  <c r="Z150" i="20"/>
  <c r="AA148" i="20"/>
  <c r="Y58" i="20"/>
  <c r="Y116" i="20"/>
  <c r="Y149" i="20"/>
  <c r="Y22" i="20"/>
  <c r="Y56" i="20"/>
  <c r="Y131" i="20"/>
  <c r="Y21" i="20"/>
  <c r="Y29" i="20"/>
  <c r="AC31" i="20"/>
  <c r="AC28" i="20"/>
  <c r="AA145" i="20"/>
  <c r="Z34" i="20"/>
  <c r="Z41" i="20" s="1"/>
  <c r="AA94" i="20"/>
  <c r="AA80" i="20"/>
  <c r="AA75" i="20"/>
  <c r="AA116" i="20"/>
  <c r="AA146" i="20"/>
  <c r="T34" i="20"/>
  <c r="T41" i="20" s="1"/>
  <c r="T95" i="20"/>
  <c r="T52" i="20"/>
  <c r="T103" i="20"/>
  <c r="T150" i="20"/>
  <c r="T140" i="20"/>
  <c r="T76" i="20"/>
  <c r="T63" i="20"/>
  <c r="Q76" i="20"/>
  <c r="Q95" i="20"/>
  <c r="Q34" i="20"/>
  <c r="Q41" i="20" s="1"/>
  <c r="Q63" i="20"/>
  <c r="Q52" i="20"/>
  <c r="Q103" i="20"/>
  <c r="Q150" i="20"/>
  <c r="Q87" i="20"/>
  <c r="Q140" i="20"/>
  <c r="N140" i="20"/>
  <c r="N95" i="20"/>
  <c r="N103" i="20"/>
  <c r="N63" i="20"/>
  <c r="N34" i="20"/>
  <c r="N41" i="20" s="1"/>
  <c r="N87" i="20"/>
  <c r="N150" i="20"/>
  <c r="V90" i="20"/>
  <c r="K90" i="20"/>
  <c r="V94" i="20"/>
  <c r="W94" i="20" s="1"/>
  <c r="K94" i="20"/>
  <c r="K135" i="20"/>
  <c r="V135" i="20"/>
  <c r="W135" i="20" s="1"/>
  <c r="K61" i="20"/>
  <c r="V61" i="20"/>
  <c r="W61" i="20" s="1"/>
  <c r="V60" i="20"/>
  <c r="W60" i="20" s="1"/>
  <c r="K60" i="20"/>
  <c r="V133" i="20"/>
  <c r="W133" i="20" s="1"/>
  <c r="K133" i="20"/>
  <c r="V26" i="20"/>
  <c r="W26" i="20" s="1"/>
  <c r="K26" i="20"/>
  <c r="K29" i="20"/>
  <c r="V29" i="20"/>
  <c r="W29" i="20" s="1"/>
  <c r="V70" i="20"/>
  <c r="K70" i="20"/>
  <c r="V33" i="20"/>
  <c r="W33" i="20" s="1"/>
  <c r="K33" i="20"/>
  <c r="K91" i="20"/>
  <c r="V91" i="20"/>
  <c r="W91" i="20" s="1"/>
  <c r="V80" i="20"/>
  <c r="W80" i="20" s="1"/>
  <c r="K80" i="20"/>
  <c r="K127" i="20"/>
  <c r="V127" i="20"/>
  <c r="W127" i="20" s="1"/>
  <c r="K19" i="20"/>
  <c r="V19" i="20"/>
  <c r="W19" i="20" s="1"/>
  <c r="V130" i="20"/>
  <c r="W130" i="20" s="1"/>
  <c r="K130" i="20"/>
  <c r="V62" i="20"/>
  <c r="W62" i="20" s="1"/>
  <c r="K62" i="20"/>
  <c r="K86" i="20"/>
  <c r="V86" i="20"/>
  <c r="W86" i="20" s="1"/>
  <c r="K79" i="20"/>
  <c r="V79" i="20"/>
  <c r="K85" i="20"/>
  <c r="V85" i="20"/>
  <c r="W85" i="20" s="1"/>
  <c r="K92" i="20"/>
  <c r="V92" i="20"/>
  <c r="W92" i="20" s="1"/>
  <c r="V146" i="20"/>
  <c r="W146" i="20" s="1"/>
  <c r="K146" i="20"/>
  <c r="K27" i="20"/>
  <c r="V27" i="20"/>
  <c r="W27" i="20" s="1"/>
  <c r="K46" i="20"/>
  <c r="V46" i="20"/>
  <c r="W46" i="20" s="1"/>
  <c r="V84" i="20"/>
  <c r="W84" i="20" s="1"/>
  <c r="K84" i="20"/>
  <c r="V122" i="20"/>
  <c r="W122" i="20" s="1"/>
  <c r="K122" i="20"/>
  <c r="V138" i="20"/>
  <c r="W138" i="20" s="1"/>
  <c r="K138" i="20"/>
  <c r="V22" i="20"/>
  <c r="W22" i="20" s="1"/>
  <c r="K22" i="20"/>
  <c r="K123" i="20"/>
  <c r="V123" i="20"/>
  <c r="W123" i="20" s="1"/>
  <c r="K32" i="20"/>
  <c r="V32" i="20"/>
  <c r="W32" i="20" s="1"/>
  <c r="V45" i="20"/>
  <c r="W45" i="20" s="1"/>
  <c r="K45" i="20"/>
  <c r="K74" i="20"/>
  <c r="V74" i="20"/>
  <c r="W74" i="20" s="1"/>
  <c r="K121" i="20"/>
  <c r="V121" i="20"/>
  <c r="W121" i="20" s="1"/>
  <c r="V137" i="20"/>
  <c r="W137" i="20" s="1"/>
  <c r="K137" i="20"/>
  <c r="V35" i="20"/>
  <c r="W35" i="20" s="1"/>
  <c r="K35" i="20"/>
  <c r="K131" i="20"/>
  <c r="V131" i="20"/>
  <c r="W131" i="20" s="1"/>
  <c r="K25" i="20"/>
  <c r="V25" i="20"/>
  <c r="W25" i="20" s="1"/>
  <c r="K49" i="20"/>
  <c r="V49" i="20"/>
  <c r="W49" i="20" s="1"/>
  <c r="V100" i="20"/>
  <c r="K100" i="20"/>
  <c r="V124" i="20"/>
  <c r="W124" i="20" s="1"/>
  <c r="K124" i="20"/>
  <c r="V143" i="20"/>
  <c r="K143" i="20"/>
  <c r="K82" i="20"/>
  <c r="V82" i="20"/>
  <c r="W82" i="20" s="1"/>
  <c r="K75" i="20"/>
  <c r="V75" i="20"/>
  <c r="W75" i="20" s="1"/>
  <c r="K31" i="20"/>
  <c r="V31" i="20"/>
  <c r="W31" i="20" s="1"/>
  <c r="V39" i="20"/>
  <c r="W39" i="20" s="1"/>
  <c r="K39" i="20"/>
  <c r="V116" i="20"/>
  <c r="W116" i="20" s="1"/>
  <c r="K116" i="20"/>
  <c r="V134" i="20"/>
  <c r="W134" i="20" s="1"/>
  <c r="K134" i="20"/>
  <c r="V30" i="20"/>
  <c r="W30" i="20" s="1"/>
  <c r="K30" i="20"/>
  <c r="K109" i="20"/>
  <c r="V109" i="20"/>
  <c r="W109" i="20" s="1"/>
  <c r="K38" i="20"/>
  <c r="V38" i="20"/>
  <c r="W38" i="20" s="1"/>
  <c r="K115" i="20"/>
  <c r="V115" i="20"/>
  <c r="W115" i="20" s="1"/>
  <c r="K113" i="20"/>
  <c r="V113" i="20"/>
  <c r="W113" i="20" s="1"/>
  <c r="V44" i="20"/>
  <c r="K44" i="20"/>
  <c r="K120" i="20"/>
  <c r="V120" i="20"/>
  <c r="V136" i="20"/>
  <c r="W136" i="20" s="1"/>
  <c r="K136" i="20"/>
  <c r="K81" i="20"/>
  <c r="V81" i="20"/>
  <c r="W81" i="20" s="1"/>
  <c r="K71" i="20"/>
  <c r="V71" i="20"/>
  <c r="W71" i="20" s="1"/>
  <c r="K57" i="20"/>
  <c r="V57" i="20"/>
  <c r="W57" i="20" s="1"/>
  <c r="V112" i="20"/>
  <c r="W112" i="20" s="1"/>
  <c r="K112" i="20"/>
  <c r="K149" i="20"/>
  <c r="V149" i="20"/>
  <c r="W149" i="20" s="1"/>
  <c r="V58" i="20"/>
  <c r="W58" i="20" s="1"/>
  <c r="K58" i="20"/>
  <c r="K24" i="20"/>
  <c r="V24" i="20"/>
  <c r="W24" i="20" s="1"/>
  <c r="K56" i="20"/>
  <c r="V56" i="20"/>
  <c r="W56" i="20" s="1"/>
  <c r="K111" i="20"/>
  <c r="V111" i="20"/>
  <c r="W111" i="20" s="1"/>
  <c r="K129" i="20"/>
  <c r="V129" i="20"/>
  <c r="W129" i="20" s="1"/>
  <c r="K148" i="20"/>
  <c r="V148" i="20"/>
  <c r="W148" i="20" s="1"/>
  <c r="K18" i="20"/>
  <c r="V18" i="20"/>
  <c r="V37" i="20"/>
  <c r="W37" i="20" s="1"/>
  <c r="K37" i="20"/>
  <c r="K59" i="20"/>
  <c r="V59" i="20"/>
  <c r="W59" i="20" s="1"/>
  <c r="V114" i="20"/>
  <c r="W114" i="20" s="1"/>
  <c r="K114" i="20"/>
  <c r="V132" i="20"/>
  <c r="W132" i="20" s="1"/>
  <c r="K132" i="20"/>
  <c r="K153" i="20"/>
  <c r="V153" i="20"/>
  <c r="W153" i="20" s="1"/>
  <c r="K83" i="20"/>
  <c r="V83" i="20"/>
  <c r="W83" i="20" s="1"/>
  <c r="K73" i="20"/>
  <c r="V73" i="20"/>
  <c r="W73" i="20" s="1"/>
  <c r="K93" i="20"/>
  <c r="V93" i="20"/>
  <c r="W93" i="20" s="1"/>
  <c r="V72" i="20"/>
  <c r="W72" i="20" s="1"/>
  <c r="K72" i="20"/>
  <c r="V108" i="20"/>
  <c r="K108" i="20"/>
  <c r="K23" i="20"/>
  <c r="V23" i="20"/>
  <c r="W23" i="20" s="1"/>
  <c r="K51" i="20"/>
  <c r="V51" i="20"/>
  <c r="W51" i="20" s="1"/>
  <c r="K102" i="20"/>
  <c r="V102" i="20"/>
  <c r="W102" i="20" s="1"/>
  <c r="V126" i="20"/>
  <c r="W126" i="20" s="1"/>
  <c r="K126" i="20"/>
  <c r="K145" i="20"/>
  <c r="V145" i="20"/>
  <c r="W145" i="20" s="1"/>
  <c r="V40" i="20"/>
  <c r="W40" i="20" s="1"/>
  <c r="K40" i="20"/>
  <c r="K139" i="20"/>
  <c r="V139" i="20"/>
  <c r="W139" i="20" s="1"/>
  <c r="K28" i="20"/>
  <c r="V28" i="20"/>
  <c r="W28" i="20" s="1"/>
  <c r="V50" i="20"/>
  <c r="W50" i="20" s="1"/>
  <c r="K50" i="20"/>
  <c r="K101" i="20"/>
  <c r="V101" i="20"/>
  <c r="W101" i="20" s="1"/>
  <c r="K125" i="20"/>
  <c r="V125" i="20"/>
  <c r="W125" i="20" s="1"/>
  <c r="K144" i="20"/>
  <c r="V144" i="20"/>
  <c r="W144" i="20" s="1"/>
  <c r="V47" i="20"/>
  <c r="W47" i="20" s="1"/>
  <c r="K47" i="20"/>
  <c r="V152" i="20"/>
  <c r="W152" i="20" s="1"/>
  <c r="K152" i="20"/>
  <c r="K21" i="20"/>
  <c r="V21" i="20"/>
  <c r="W21" i="20" s="1"/>
  <c r="V55" i="20"/>
  <c r="K55" i="20"/>
  <c r="V128" i="20"/>
  <c r="W128" i="20" s="1"/>
  <c r="K128" i="20"/>
  <c r="K147" i="20"/>
  <c r="V147" i="20"/>
  <c r="W147" i="20" s="1"/>
  <c r="S95" i="20"/>
  <c r="J76" i="20"/>
  <c r="M34" i="20"/>
  <c r="M41" i="20" s="1"/>
  <c r="J87" i="20"/>
  <c r="S87" i="20"/>
  <c r="Y33" i="18"/>
  <c r="AB33" i="20"/>
  <c r="AC33" i="20" s="1"/>
  <c r="X140" i="20"/>
  <c r="Y120" i="20"/>
  <c r="Y18" i="20"/>
  <c r="P177" i="20"/>
  <c r="Q161" i="20"/>
  <c r="Q177" i="20" s="1"/>
  <c r="Q9" i="20" s="1"/>
  <c r="T174" i="20"/>
  <c r="V174" i="20"/>
  <c r="W174" i="20" s="1"/>
  <c r="T168" i="20"/>
  <c r="V168" i="20"/>
  <c r="W168" i="20" s="1"/>
  <c r="T166" i="20"/>
  <c r="V166" i="20"/>
  <c r="W166" i="20" s="1"/>
  <c r="V169" i="20"/>
  <c r="W169" i="20" s="1"/>
  <c r="T169" i="20"/>
  <c r="V175" i="20"/>
  <c r="W175" i="20" s="1"/>
  <c r="T175" i="20"/>
  <c r="J103" i="20"/>
  <c r="J150" i="20"/>
  <c r="M76" i="20"/>
  <c r="M52" i="20"/>
  <c r="P95" i="20"/>
  <c r="P34" i="20"/>
  <c r="P41" i="20" s="1"/>
  <c r="P63" i="20"/>
  <c r="S52" i="20"/>
  <c r="S103" i="20"/>
  <c r="S150" i="20"/>
  <c r="X52" i="20"/>
  <c r="Y44" i="20"/>
  <c r="N161" i="20"/>
  <c r="N177" i="20" s="1"/>
  <c r="N9" i="20" s="1"/>
  <c r="M177" i="20"/>
  <c r="V164" i="20"/>
  <c r="W164" i="20" s="1"/>
  <c r="T164" i="20"/>
  <c r="V165" i="20"/>
  <c r="W165" i="20" s="1"/>
  <c r="T165" i="20"/>
  <c r="Y20" i="18"/>
  <c r="AB20" i="20"/>
  <c r="AC20" i="20" s="1"/>
  <c r="X103" i="20"/>
  <c r="Y100" i="20"/>
  <c r="X150" i="20"/>
  <c r="Y143" i="20"/>
  <c r="V162" i="20"/>
  <c r="W162" i="20" s="1"/>
  <c r="T162" i="20"/>
  <c r="T176" i="20"/>
  <c r="V176" i="20"/>
  <c r="W176" i="20" s="1"/>
  <c r="T161" i="20"/>
  <c r="V161" i="20"/>
  <c r="S177" i="20"/>
  <c r="V167" i="20"/>
  <c r="W167" i="20" s="1"/>
  <c r="T167" i="20"/>
  <c r="J52" i="20"/>
  <c r="S140" i="20"/>
  <c r="J95" i="20"/>
  <c r="J20" i="20"/>
  <c r="M95" i="20"/>
  <c r="M103" i="20"/>
  <c r="M63" i="20"/>
  <c r="P103" i="20"/>
  <c r="P150" i="20"/>
  <c r="S34" i="20"/>
  <c r="S41" i="20" s="1"/>
  <c r="Y108" i="20"/>
  <c r="J177" i="20"/>
  <c r="K161" i="20"/>
  <c r="K177" i="20" s="1"/>
  <c r="K9" i="20" s="1"/>
  <c r="T170" i="20"/>
  <c r="V170" i="20"/>
  <c r="W170" i="20" s="1"/>
  <c r="V171" i="20"/>
  <c r="W171" i="20" s="1"/>
  <c r="T171" i="20"/>
  <c r="AC18" i="20"/>
  <c r="X63" i="20"/>
  <c r="Y55" i="20"/>
  <c r="T172" i="20"/>
  <c r="V172" i="20"/>
  <c r="W172" i="20" s="1"/>
  <c r="V173" i="20"/>
  <c r="W173" i="20" s="1"/>
  <c r="T173" i="20"/>
  <c r="T163" i="20"/>
  <c r="V163" i="20"/>
  <c r="W163" i="20" s="1"/>
  <c r="J140" i="20"/>
  <c r="M140" i="20"/>
  <c r="P76" i="20"/>
  <c r="P52" i="20"/>
  <c r="J63" i="20"/>
  <c r="M87" i="20"/>
  <c r="M150" i="20"/>
  <c r="P87" i="20"/>
  <c r="P140" i="20"/>
  <c r="S76" i="20"/>
  <c r="S63" i="20"/>
  <c r="X76" i="20"/>
  <c r="Y70" i="20"/>
  <c r="X87" i="20"/>
  <c r="Y79" i="20"/>
  <c r="X95" i="20"/>
  <c r="Y90" i="20"/>
  <c r="M179" i="18"/>
  <c r="L103" i="18"/>
  <c r="U103" i="18"/>
  <c r="U117" i="18"/>
  <c r="O103" i="18"/>
  <c r="L20" i="18"/>
  <c r="L34" i="18" s="1"/>
  <c r="L41" i="18" s="1"/>
  <c r="R95" i="18"/>
  <c r="U52" i="18"/>
  <c r="U150" i="18"/>
  <c r="O34" i="18"/>
  <c r="O41" i="18" s="1"/>
  <c r="O140" i="18"/>
  <c r="L95" i="18"/>
  <c r="K6" i="18"/>
  <c r="K179" i="18"/>
  <c r="K157" i="18"/>
  <c r="K8" i="18" s="1"/>
  <c r="Q157" i="18"/>
  <c r="Q8" i="18" s="1"/>
  <c r="Q179" i="18"/>
  <c r="Z72" i="18"/>
  <c r="X72" i="18"/>
  <c r="Z101" i="18"/>
  <c r="X101" i="18"/>
  <c r="Z133" i="18"/>
  <c r="X133" i="18"/>
  <c r="Z55" i="18"/>
  <c r="X55" i="18"/>
  <c r="W63" i="18"/>
  <c r="Y18" i="18"/>
  <c r="V34" i="18"/>
  <c r="V41" i="18" s="1"/>
  <c r="V65" i="18" s="1"/>
  <c r="Z45" i="18"/>
  <c r="X45" i="18"/>
  <c r="X40" i="18"/>
  <c r="Z40" i="18"/>
  <c r="Z38" i="18"/>
  <c r="X38" i="18"/>
  <c r="Z35" i="18"/>
  <c r="X35" i="18"/>
  <c r="Z85" i="18"/>
  <c r="X85" i="18"/>
  <c r="Z112" i="18"/>
  <c r="X112" i="18"/>
  <c r="Z129" i="18"/>
  <c r="X129" i="18"/>
  <c r="Z152" i="18"/>
  <c r="X152" i="18"/>
  <c r="Z44" i="18"/>
  <c r="W52" i="18"/>
  <c r="X44" i="18"/>
  <c r="Z70" i="18"/>
  <c r="W76" i="18"/>
  <c r="X70" i="18"/>
  <c r="Z79" i="18"/>
  <c r="X79" i="18"/>
  <c r="W87" i="18"/>
  <c r="Z90" i="18"/>
  <c r="X90" i="18"/>
  <c r="W95" i="18"/>
  <c r="Z125" i="18"/>
  <c r="X125" i="18"/>
  <c r="Z134" i="18"/>
  <c r="X134" i="18"/>
  <c r="Z146" i="18"/>
  <c r="X146" i="18"/>
  <c r="Z102" i="18"/>
  <c r="X102" i="18"/>
  <c r="Z128" i="18"/>
  <c r="X128" i="18"/>
  <c r="Z135" i="18"/>
  <c r="X135" i="18"/>
  <c r="Z145" i="18"/>
  <c r="X145" i="18"/>
  <c r="J103" i="15"/>
  <c r="J107" i="15" s="1"/>
  <c r="H107" i="15"/>
  <c r="Z32" i="18"/>
  <c r="X32" i="18"/>
  <c r="Z60" i="18"/>
  <c r="X60" i="18"/>
  <c r="Z83" i="18"/>
  <c r="X83" i="18"/>
  <c r="Z114" i="18"/>
  <c r="X114" i="18"/>
  <c r="Z33" i="18"/>
  <c r="X33" i="18"/>
  <c r="Z23" i="18"/>
  <c r="X23" i="18"/>
  <c r="Z31" i="18"/>
  <c r="X31" i="18"/>
  <c r="Z57" i="18"/>
  <c r="X57" i="18"/>
  <c r="Z71" i="18"/>
  <c r="X71" i="18"/>
  <c r="Z111" i="18"/>
  <c r="X111" i="18"/>
  <c r="Z121" i="18"/>
  <c r="X121" i="18"/>
  <c r="Z130" i="18"/>
  <c r="X130" i="18"/>
  <c r="Z137" i="18"/>
  <c r="X137" i="18"/>
  <c r="T157" i="18"/>
  <c r="T8" i="18" s="1"/>
  <c r="T179" i="18"/>
  <c r="R117" i="18"/>
  <c r="R34" i="18"/>
  <c r="R41" i="18" s="1"/>
  <c r="R63" i="18"/>
  <c r="R140" i="18"/>
  <c r="O52" i="18"/>
  <c r="O76" i="18"/>
  <c r="O95" i="18"/>
  <c r="O117" i="18"/>
  <c r="W20" i="18"/>
  <c r="L117" i="18"/>
  <c r="U76" i="18"/>
  <c r="U95" i="18"/>
  <c r="U34" i="18"/>
  <c r="U41" i="18" s="1"/>
  <c r="Z39" i="18"/>
  <c r="X39" i="18"/>
  <c r="Z144" i="18"/>
  <c r="X144" i="18"/>
  <c r="Z26" i="18"/>
  <c r="X26" i="18"/>
  <c r="Z21" i="18"/>
  <c r="X21" i="18"/>
  <c r="Z109" i="18"/>
  <c r="X109" i="18"/>
  <c r="Z28" i="18"/>
  <c r="X28" i="18"/>
  <c r="Z62" i="18"/>
  <c r="X62" i="18"/>
  <c r="Z122" i="18"/>
  <c r="X122" i="18"/>
  <c r="X49" i="18"/>
  <c r="Z49" i="18"/>
  <c r="Z149" i="18"/>
  <c r="X149" i="18"/>
  <c r="Z22" i="18"/>
  <c r="X22" i="18"/>
  <c r="Z94" i="18"/>
  <c r="X94" i="18"/>
  <c r="Z19" i="18"/>
  <c r="X19" i="18"/>
  <c r="Z27" i="18"/>
  <c r="X27" i="18"/>
  <c r="Z61" i="18"/>
  <c r="X61" i="18"/>
  <c r="Z86" i="18"/>
  <c r="X86" i="18"/>
  <c r="Z115" i="18"/>
  <c r="X115" i="18"/>
  <c r="R103" i="18"/>
  <c r="L52" i="18"/>
  <c r="U140" i="18"/>
  <c r="R87" i="18"/>
  <c r="R52" i="18"/>
  <c r="R76" i="18"/>
  <c r="O87" i="18"/>
  <c r="O150" i="18"/>
  <c r="L63" i="18"/>
  <c r="L150" i="18"/>
  <c r="U87" i="18"/>
  <c r="U63" i="18"/>
  <c r="Z30" i="18"/>
  <c r="X30" i="18"/>
  <c r="X108" i="18"/>
  <c r="Z108" i="18"/>
  <c r="Z51" i="18"/>
  <c r="X51" i="18"/>
  <c r="Z75" i="18"/>
  <c r="X75" i="18"/>
  <c r="X100" i="18"/>
  <c r="W103" i="18"/>
  <c r="Z100" i="18"/>
  <c r="Z126" i="18"/>
  <c r="X126" i="18"/>
  <c r="X143" i="18"/>
  <c r="W150" i="18"/>
  <c r="Z143" i="18"/>
  <c r="Z56" i="18"/>
  <c r="X56" i="18"/>
  <c r="Z131" i="18"/>
  <c r="X131" i="18"/>
  <c r="Z29" i="18"/>
  <c r="X29" i="18"/>
  <c r="N157" i="18"/>
  <c r="N8" i="18" s="1"/>
  <c r="N179" i="18"/>
  <c r="Z47" i="18"/>
  <c r="X47" i="18"/>
  <c r="Z82" i="18"/>
  <c r="X82" i="18"/>
  <c r="Z80" i="18"/>
  <c r="X80" i="18"/>
  <c r="Z50" i="18"/>
  <c r="X50" i="18"/>
  <c r="Z24" i="18"/>
  <c r="X24" i="18"/>
  <c r="Z58" i="18"/>
  <c r="X58" i="18"/>
  <c r="Z116" i="18"/>
  <c r="X116" i="18"/>
  <c r="Z46" i="18"/>
  <c r="X46" i="18"/>
  <c r="Z81" i="18"/>
  <c r="X81" i="18"/>
  <c r="Z92" i="18"/>
  <c r="X92" i="18"/>
  <c r="Z120" i="18"/>
  <c r="X120" i="18"/>
  <c r="W140" i="18"/>
  <c r="Z127" i="18"/>
  <c r="X127" i="18"/>
  <c r="Z136" i="18"/>
  <c r="X136" i="18"/>
  <c r="Z148" i="18"/>
  <c r="X148" i="18"/>
  <c r="Z91" i="18"/>
  <c r="X91" i="18"/>
  <c r="Z147" i="18"/>
  <c r="X147" i="18"/>
  <c r="Z18" i="18"/>
  <c r="X18" i="18"/>
  <c r="Z74" i="18"/>
  <c r="X74" i="18"/>
  <c r="Z124" i="18"/>
  <c r="X124" i="18"/>
  <c r="Z138" i="18"/>
  <c r="X138" i="18"/>
  <c r="Z25" i="18"/>
  <c r="X25" i="18"/>
  <c r="Z37" i="18"/>
  <c r="X37" i="18"/>
  <c r="Z59" i="18"/>
  <c r="X59" i="18"/>
  <c r="Z73" i="18"/>
  <c r="X73" i="18"/>
  <c r="Z84" i="18"/>
  <c r="X84" i="18"/>
  <c r="Z93" i="18"/>
  <c r="X93" i="18"/>
  <c r="Z113" i="18"/>
  <c r="X113" i="18"/>
  <c r="Z123" i="18"/>
  <c r="X123" i="18"/>
  <c r="Z132" i="18"/>
  <c r="X132" i="18"/>
  <c r="Z139" i="18"/>
  <c r="X139" i="18"/>
  <c r="Z153" i="18"/>
  <c r="X153" i="18"/>
  <c r="O63" i="18"/>
  <c r="L76" i="18"/>
  <c r="L87" i="18"/>
  <c r="L140" i="18"/>
  <c r="Q6" i="18"/>
  <c r="R150" i="18"/>
  <c r="J12" i="15"/>
  <c r="G16" i="15"/>
  <c r="S179" i="18" l="1"/>
  <c r="U179" i="18" s="1"/>
  <c r="P179" i="18"/>
  <c r="R179" i="18" s="1"/>
  <c r="N7" i="15"/>
  <c r="O7" i="15" s="1"/>
  <c r="O10" i="15" s="1"/>
  <c r="I13" i="18"/>
  <c r="D11" i="14"/>
  <c r="D35" i="14"/>
  <c r="D22" i="14"/>
  <c r="M117" i="18"/>
  <c r="M155" i="18" s="1"/>
  <c r="M157" i="18" s="1"/>
  <c r="M8" i="18" s="1"/>
  <c r="M110" i="20"/>
  <c r="J117" i="18"/>
  <c r="J155" i="18" s="1"/>
  <c r="V110" i="18"/>
  <c r="Z110" i="20"/>
  <c r="J110" i="20"/>
  <c r="W110" i="18"/>
  <c r="J6" i="18"/>
  <c r="S117" i="18"/>
  <c r="S155" i="18" s="1"/>
  <c r="S110" i="20"/>
  <c r="P117" i="18"/>
  <c r="P155" i="18" s="1"/>
  <c r="P110" i="20"/>
  <c r="Y52" i="20"/>
  <c r="AC95" i="20"/>
  <c r="B11" i="19"/>
  <c r="B4" i="17"/>
  <c r="Y103" i="20"/>
  <c r="N97" i="20"/>
  <c r="N105" i="20" s="1"/>
  <c r="Y95" i="20"/>
  <c r="Y76" i="20"/>
  <c r="U97" i="20"/>
  <c r="U105" i="20" s="1"/>
  <c r="U155" i="20" s="1"/>
  <c r="AE79" i="20"/>
  <c r="AE87" i="20" s="1"/>
  <c r="AD87" i="20"/>
  <c r="AE108" i="20"/>
  <c r="AE117" i="20" s="1"/>
  <c r="AD117" i="20"/>
  <c r="AE18" i="20"/>
  <c r="AE34" i="20" s="1"/>
  <c r="AE41" i="20" s="1"/>
  <c r="AD34" i="20"/>
  <c r="AD41" i="20" s="1"/>
  <c r="AE70" i="20"/>
  <c r="AE76" i="20" s="1"/>
  <c r="AD76" i="20"/>
  <c r="AE100" i="20"/>
  <c r="AE103" i="20" s="1"/>
  <c r="AD103" i="20"/>
  <c r="AD150" i="20"/>
  <c r="AE143" i="20"/>
  <c r="AE150" i="20" s="1"/>
  <c r="AA87" i="20"/>
  <c r="AA34" i="20"/>
  <c r="AA41" i="20" s="1"/>
  <c r="Z97" i="20"/>
  <c r="Z105" i="20" s="1"/>
  <c r="Y87" i="20"/>
  <c r="AB34" i="20"/>
  <c r="AB41" i="20" s="1"/>
  <c r="AB65" i="20" s="1"/>
  <c r="AB6" i="20" s="1"/>
  <c r="Y140" i="20"/>
  <c r="N65" i="20"/>
  <c r="AA103" i="20"/>
  <c r="Z65" i="20"/>
  <c r="AA76" i="20"/>
  <c r="AA52" i="20"/>
  <c r="U65" i="20"/>
  <c r="AE120" i="20"/>
  <c r="AE140" i="20" s="1"/>
  <c r="AD140" i="20"/>
  <c r="AE90" i="20"/>
  <c r="AE95" i="20" s="1"/>
  <c r="AD95" i="20"/>
  <c r="AE44" i="20"/>
  <c r="AE52" i="20" s="1"/>
  <c r="AD52" i="20"/>
  <c r="AD63" i="20"/>
  <c r="AA140" i="20"/>
  <c r="AC63" i="20"/>
  <c r="Y150" i="20"/>
  <c r="AC52" i="20"/>
  <c r="AA63" i="20"/>
  <c r="Y63" i="20"/>
  <c r="AA95" i="20"/>
  <c r="AA150" i="20"/>
  <c r="AC140" i="20"/>
  <c r="AC87" i="20"/>
  <c r="AE55" i="20"/>
  <c r="AE63" i="20" s="1"/>
  <c r="T97" i="20"/>
  <c r="T105" i="20" s="1"/>
  <c r="T65" i="20"/>
  <c r="Q97" i="20"/>
  <c r="Q105" i="20" s="1"/>
  <c r="Q65" i="20"/>
  <c r="V76" i="20"/>
  <c r="W70" i="20"/>
  <c r="W76" i="20" s="1"/>
  <c r="W120" i="20"/>
  <c r="W140" i="20" s="1"/>
  <c r="V140" i="20"/>
  <c r="W55" i="20"/>
  <c r="W63" i="20" s="1"/>
  <c r="V63" i="20"/>
  <c r="W108" i="20"/>
  <c r="W44" i="20"/>
  <c r="W52" i="20" s="1"/>
  <c r="V52" i="20"/>
  <c r="V150" i="20"/>
  <c r="W143" i="20"/>
  <c r="W150" i="20" s="1"/>
  <c r="V103" i="20"/>
  <c r="W100" i="20"/>
  <c r="W103" i="20" s="1"/>
  <c r="K140" i="20"/>
  <c r="K76" i="20"/>
  <c r="K95" i="20"/>
  <c r="K87" i="20"/>
  <c r="W90" i="20"/>
  <c r="W95" i="20" s="1"/>
  <c r="V95" i="20"/>
  <c r="J34" i="20"/>
  <c r="J41" i="20" s="1"/>
  <c r="J65" i="20" s="1"/>
  <c r="J6" i="20" s="1"/>
  <c r="K20" i="20"/>
  <c r="K34" i="20" s="1"/>
  <c r="K41" i="20" s="1"/>
  <c r="V20" i="20"/>
  <c r="W20" i="20" s="1"/>
  <c r="W18" i="20"/>
  <c r="V87" i="20"/>
  <c r="W79" i="20"/>
  <c r="W87" i="20" s="1"/>
  <c r="K63" i="20"/>
  <c r="K52" i="20"/>
  <c r="K150" i="20"/>
  <c r="K103" i="20"/>
  <c r="M65" i="20"/>
  <c r="M6" i="20" s="1"/>
  <c r="S65" i="20"/>
  <c r="S6" i="20" s="1"/>
  <c r="S97" i="20"/>
  <c r="S105" i="20" s="1"/>
  <c r="Y34" i="18"/>
  <c r="Y41" i="18" s="1"/>
  <c r="Y65" i="18" s="1"/>
  <c r="Y6" i="18" s="1"/>
  <c r="J97" i="20"/>
  <c r="J105" i="20" s="1"/>
  <c r="P97" i="20"/>
  <c r="P105" i="20" s="1"/>
  <c r="W161" i="20"/>
  <c r="W177" i="20" s="1"/>
  <c r="W9" i="20" s="1"/>
  <c r="V177" i="20"/>
  <c r="W34" i="18"/>
  <c r="W41" i="18" s="1"/>
  <c r="W65" i="18" s="1"/>
  <c r="X20" i="20"/>
  <c r="T177" i="20"/>
  <c r="T9" i="20" s="1"/>
  <c r="S9" i="20"/>
  <c r="P9" i="20"/>
  <c r="AC34" i="20"/>
  <c r="AC41" i="20" s="1"/>
  <c r="P65" i="20"/>
  <c r="M97" i="20"/>
  <c r="M105" i="20" s="1"/>
  <c r="M9" i="20"/>
  <c r="J9" i="20"/>
  <c r="X97" i="20"/>
  <c r="X105" i="20" s="1"/>
  <c r="I4" i="18"/>
  <c r="V4" i="18" s="1"/>
  <c r="B3" i="14"/>
  <c r="I4" i="20"/>
  <c r="U4" i="20" s="1"/>
  <c r="Z103" i="18"/>
  <c r="O179" i="18"/>
  <c r="L65" i="18"/>
  <c r="L6" i="18" s="1"/>
  <c r="O65" i="18"/>
  <c r="O6" i="18" s="1"/>
  <c r="R97" i="18"/>
  <c r="R105" i="18" s="1"/>
  <c r="R155" i="18" s="1"/>
  <c r="R7" i="18" s="1"/>
  <c r="L97" i="18"/>
  <c r="L105" i="18" s="1"/>
  <c r="L155" i="18" s="1"/>
  <c r="L7" i="18" s="1"/>
  <c r="X103" i="18"/>
  <c r="Z150" i="18"/>
  <c r="U97" i="18"/>
  <c r="U105" i="18" s="1"/>
  <c r="U155" i="18" s="1"/>
  <c r="U7" i="18" s="1"/>
  <c r="R65" i="18"/>
  <c r="X95" i="18"/>
  <c r="Z87" i="18"/>
  <c r="X52" i="18"/>
  <c r="V6" i="18"/>
  <c r="Z20" i="18"/>
  <c r="Z34" i="18" s="1"/>
  <c r="Z41" i="18" s="1"/>
  <c r="X20" i="18"/>
  <c r="X34" i="18" s="1"/>
  <c r="X41" i="18" s="1"/>
  <c r="X87" i="18"/>
  <c r="Z76" i="18"/>
  <c r="Z63" i="18"/>
  <c r="L179" i="18"/>
  <c r="X150" i="18"/>
  <c r="U65" i="18"/>
  <c r="Z140" i="18"/>
  <c r="W97" i="18"/>
  <c r="W105" i="18" s="1"/>
  <c r="Z52" i="18"/>
  <c r="X63" i="18"/>
  <c r="X140" i="18"/>
  <c r="O97" i="18"/>
  <c r="O105" i="18" s="1"/>
  <c r="O155" i="18" s="1"/>
  <c r="O7" i="18" s="1"/>
  <c r="Z95" i="18"/>
  <c r="X76" i="18"/>
  <c r="E3" i="21"/>
  <c r="E7" i="17"/>
  <c r="M12" i="15" l="1"/>
  <c r="E2" i="20" s="1"/>
  <c r="S7" i="18"/>
  <c r="S181" i="18"/>
  <c r="U181" i="18" s="1"/>
  <c r="S157" i="18"/>
  <c r="S8" i="18" s="1"/>
  <c r="V110" i="20"/>
  <c r="K110" i="20"/>
  <c r="K117" i="20" s="1"/>
  <c r="J117" i="20"/>
  <c r="J155" i="20" s="1"/>
  <c r="J7" i="20" s="1"/>
  <c r="N110" i="20"/>
  <c r="N117" i="20" s="1"/>
  <c r="N155" i="20" s="1"/>
  <c r="N7" i="20" s="1"/>
  <c r="M117" i="20"/>
  <c r="M155" i="20" s="1"/>
  <c r="Q110" i="20"/>
  <c r="Q117" i="20" s="1"/>
  <c r="Q155" i="20" s="1"/>
  <c r="P117" i="20"/>
  <c r="P155" i="20" s="1"/>
  <c r="P7" i="20" s="1"/>
  <c r="M7" i="18"/>
  <c r="M181" i="18"/>
  <c r="O181" i="18" s="1"/>
  <c r="T110" i="20"/>
  <c r="T117" i="20" s="1"/>
  <c r="T155" i="20" s="1"/>
  <c r="S117" i="20"/>
  <c r="S155" i="20" s="1"/>
  <c r="X110" i="20"/>
  <c r="W117" i="18"/>
  <c r="W155" i="18" s="1"/>
  <c r="Z110" i="18"/>
  <c r="Z117" i="18" s="1"/>
  <c r="J7" i="18"/>
  <c r="J181" i="18"/>
  <c r="L181" i="18" s="1"/>
  <c r="J157" i="18"/>
  <c r="J8" i="18" s="1"/>
  <c r="Z117" i="20"/>
  <c r="Z155" i="20" s="1"/>
  <c r="AA110" i="20"/>
  <c r="AA117" i="20" s="1"/>
  <c r="P7" i="18"/>
  <c r="P181" i="18"/>
  <c r="R181" i="18" s="1"/>
  <c r="P157" i="18"/>
  <c r="P8" i="18" s="1"/>
  <c r="V117" i="18"/>
  <c r="V155" i="18" s="1"/>
  <c r="AB110" i="20"/>
  <c r="Y110" i="18"/>
  <c r="Y117" i="18" s="1"/>
  <c r="Y155" i="18" s="1"/>
  <c r="Y7" i="18" s="1"/>
  <c r="X110" i="18"/>
  <c r="X117" i="18" s="1"/>
  <c r="AC97" i="20"/>
  <c r="AC105" i="20" s="1"/>
  <c r="Y97" i="20"/>
  <c r="Y105" i="20" s="1"/>
  <c r="N6" i="20"/>
  <c r="AA65" i="20"/>
  <c r="AA6" i="20" s="1"/>
  <c r="M179" i="20"/>
  <c r="N179" i="20" s="1"/>
  <c r="AC65" i="20"/>
  <c r="AA97" i="20"/>
  <c r="AA105" i="20" s="1"/>
  <c r="AE97" i="20"/>
  <c r="AE105" i="20" s="1"/>
  <c r="AE155" i="20" s="1"/>
  <c r="AE7" i="20" s="1"/>
  <c r="AD65" i="20"/>
  <c r="U179" i="20"/>
  <c r="U6" i="20"/>
  <c r="U157" i="20"/>
  <c r="U8" i="20" s="1"/>
  <c r="Z179" i="20"/>
  <c r="Z6" i="20"/>
  <c r="U7" i="20"/>
  <c r="U181" i="20"/>
  <c r="AE65" i="20"/>
  <c r="AD97" i="20"/>
  <c r="AD105" i="20" s="1"/>
  <c r="AD155" i="20" s="1"/>
  <c r="T6" i="20"/>
  <c r="Q6" i="20"/>
  <c r="W34" i="20"/>
  <c r="W41" i="20" s="1"/>
  <c r="W65" i="20" s="1"/>
  <c r="W97" i="20"/>
  <c r="W105" i="20" s="1"/>
  <c r="K97" i="20"/>
  <c r="K105" i="20" s="1"/>
  <c r="K65" i="20"/>
  <c r="V34" i="20"/>
  <c r="V41" i="20" s="1"/>
  <c r="V65" i="20" s="1"/>
  <c r="V179" i="20" s="1"/>
  <c r="V97" i="20"/>
  <c r="V105" i="20" s="1"/>
  <c r="S179" i="20"/>
  <c r="T179" i="20" s="1"/>
  <c r="J179" i="20"/>
  <c r="K179" i="20" s="1"/>
  <c r="P6" i="20"/>
  <c r="Y20" i="20"/>
  <c r="Y34" i="20" s="1"/>
  <c r="Y41" i="20" s="1"/>
  <c r="Y65" i="20" s="1"/>
  <c r="Y6" i="20" s="1"/>
  <c r="X34" i="20"/>
  <c r="X41" i="20" s="1"/>
  <c r="X65" i="20" s="1"/>
  <c r="P179" i="20"/>
  <c r="Q179" i="20" s="1"/>
  <c r="V9" i="20"/>
  <c r="X97" i="18"/>
  <c r="X105" i="18" s="1"/>
  <c r="L157" i="18"/>
  <c r="L8" i="18" s="1"/>
  <c r="O157" i="18"/>
  <c r="O8" i="18" s="1"/>
  <c r="R6" i="18"/>
  <c r="R157" i="18"/>
  <c r="R8" i="18" s="1"/>
  <c r="W6" i="18"/>
  <c r="U6" i="18"/>
  <c r="U157" i="18"/>
  <c r="U8" i="18" s="1"/>
  <c r="Z97" i="18"/>
  <c r="Z105" i="18" s="1"/>
  <c r="Z65" i="18"/>
  <c r="X65" i="18"/>
  <c r="C17" i="15"/>
  <c r="B16" i="15" s="1"/>
  <c r="AA155" i="20" l="1"/>
  <c r="AA7" i="20" s="1"/>
  <c r="W7" i="18"/>
  <c r="W157" i="18"/>
  <c r="W8" i="18" s="1"/>
  <c r="P181" i="20"/>
  <c r="Q181" i="20" s="1"/>
  <c r="Y157" i="18"/>
  <c r="Y8" i="18" s="1"/>
  <c r="J157" i="20"/>
  <c r="J8" i="20" s="1"/>
  <c r="J181" i="20"/>
  <c r="K181" i="20" s="1"/>
  <c r="P157" i="20"/>
  <c r="P8" i="20" s="1"/>
  <c r="N157" i="20"/>
  <c r="N8" i="20" s="1"/>
  <c r="S7" i="20"/>
  <c r="S181" i="20"/>
  <c r="T181" i="20" s="1"/>
  <c r="S157" i="20"/>
  <c r="S8" i="20" s="1"/>
  <c r="Q7" i="20"/>
  <c r="Q157" i="20"/>
  <c r="Q8" i="20" s="1"/>
  <c r="Z7" i="20"/>
  <c r="Z181" i="20"/>
  <c r="AA181" i="20" s="1"/>
  <c r="Z157" i="20"/>
  <c r="Z8" i="20" s="1"/>
  <c r="T7" i="20"/>
  <c r="T157" i="20"/>
  <c r="T8" i="20" s="1"/>
  <c r="M7" i="20"/>
  <c r="M181" i="20"/>
  <c r="N181" i="20" s="1"/>
  <c r="M157" i="20"/>
  <c r="M8" i="20" s="1"/>
  <c r="V7" i="18"/>
  <c r="V157" i="18"/>
  <c r="V8" i="18" s="1"/>
  <c r="K155" i="20"/>
  <c r="K7" i="20" s="1"/>
  <c r="AB117" i="20"/>
  <c r="AB155" i="20" s="1"/>
  <c r="AC110" i="20"/>
  <c r="AC117" i="20" s="1"/>
  <c r="AC155" i="20" s="1"/>
  <c r="AC7" i="20" s="1"/>
  <c r="Y110" i="20"/>
  <c r="Y117" i="20" s="1"/>
  <c r="Y155" i="20" s="1"/>
  <c r="X117" i="20"/>
  <c r="X155" i="20" s="1"/>
  <c r="X7" i="20" s="1"/>
  <c r="X155" i="18"/>
  <c r="X7" i="18" s="1"/>
  <c r="W110" i="20"/>
  <c r="W117" i="20" s="1"/>
  <c r="W155" i="20" s="1"/>
  <c r="V117" i="20"/>
  <c r="V155" i="20" s="1"/>
  <c r="Z155" i="18"/>
  <c r="Z7" i="18" s="1"/>
  <c r="W179" i="20"/>
  <c r="AC6" i="20"/>
  <c r="AD181" i="20"/>
  <c r="AE181" i="20" s="1"/>
  <c r="AD7" i="20"/>
  <c r="AA179" i="20"/>
  <c r="AE6" i="20"/>
  <c r="AE157" i="20"/>
  <c r="AE8" i="20" s="1"/>
  <c r="AD179" i="20"/>
  <c r="AE179" i="20" s="1"/>
  <c r="AD6" i="20"/>
  <c r="AD157" i="20"/>
  <c r="AD8" i="20" s="1"/>
  <c r="V6" i="20"/>
  <c r="K6" i="20"/>
  <c r="W6" i="20"/>
  <c r="X6" i="20"/>
  <c r="Z6" i="18"/>
  <c r="X6" i="18"/>
  <c r="C18" i="15"/>
  <c r="AA157" i="20" l="1"/>
  <c r="AA8" i="20" s="1"/>
  <c r="X157" i="18"/>
  <c r="X8" i="18" s="1"/>
  <c r="Z157" i="18"/>
  <c r="Z8" i="18" s="1"/>
  <c r="AC157" i="20"/>
  <c r="AC8" i="20" s="1"/>
  <c r="K157" i="20"/>
  <c r="K8" i="20" s="1"/>
  <c r="W7" i="20"/>
  <c r="W157" i="20"/>
  <c r="W8" i="20" s="1"/>
  <c r="V7" i="20"/>
  <c r="V181" i="20"/>
  <c r="W181" i="20" s="1"/>
  <c r="V157" i="20"/>
  <c r="V8" i="20" s="1"/>
  <c r="Y7" i="20"/>
  <c r="Y157" i="20"/>
  <c r="Y8" i="20" s="1"/>
  <c r="AB7" i="20"/>
  <c r="AB157" i="20"/>
  <c r="AB8" i="20" s="1"/>
  <c r="X157" i="20"/>
  <c r="X8" i="20" s="1"/>
  <c r="C19" i="15"/>
  <c r="B17" i="15"/>
  <c r="B18" i="15" l="1"/>
  <c r="C20" i="15"/>
  <c r="B19" i="15" s="1"/>
  <c r="C21" i="15" l="1"/>
  <c r="B20" i="15" s="1"/>
  <c r="F16" i="15" l="1"/>
  <c r="C22" i="15"/>
  <c r="B21" i="15" s="1"/>
  <c r="F17" i="15" l="1"/>
  <c r="C23" i="15"/>
  <c r="B22" i="15" s="1"/>
  <c r="F18" i="15" l="1"/>
  <c r="F19" i="15" s="1"/>
  <c r="F20" i="15" s="1"/>
  <c r="G17" i="15"/>
  <c r="C24" i="15"/>
  <c r="B23" i="15" s="1"/>
  <c r="G18" i="15" l="1"/>
  <c r="G19" i="15"/>
  <c r="H19" i="15"/>
  <c r="C25" i="15"/>
  <c r="B25" i="15" l="1"/>
  <c r="H17" i="15"/>
  <c r="H16" i="15"/>
  <c r="H18" i="15"/>
  <c r="B24" i="15"/>
  <c r="I16" i="15" l="1"/>
  <c r="H20" i="15"/>
  <c r="G20" i="15"/>
  <c r="I17" i="15" l="1"/>
  <c r="I18" i="15" l="1"/>
  <c r="I20" i="15" l="1"/>
  <c r="I19" i="15"/>
  <c r="I5" i="15" l="1"/>
  <c r="B2" i="17" s="1"/>
  <c r="I2" i="18" l="1"/>
  <c r="V2" i="18" s="1"/>
  <c r="B10" i="19"/>
  <c r="B2" i="14"/>
  <c r="I2" i="20"/>
  <c r="J806" i="15"/>
  <c r="E2" i="21"/>
  <c r="J5" i="15"/>
  <c r="J807" i="15" l="1"/>
  <c r="U2" i="20"/>
  <c r="B321" i="15" l="1"/>
  <c r="B518" i="15"/>
  <c r="B649" i="15"/>
  <c r="B572" i="15"/>
  <c r="B717" i="15"/>
  <c r="B355" i="15"/>
  <c r="B775" i="15"/>
  <c r="B143" i="15"/>
  <c r="B237" i="15"/>
  <c r="B268" i="15"/>
  <c r="B589" i="15"/>
  <c r="B255" i="15"/>
  <c r="B738" i="15"/>
  <c r="B447" i="15"/>
  <c r="B439" i="15"/>
  <c r="B535" i="15"/>
  <c r="B251" i="15"/>
  <c r="B750" i="15"/>
  <c r="B111" i="15"/>
  <c r="B414" i="15"/>
  <c r="B567" i="15"/>
  <c r="B632" i="15"/>
  <c r="B139" i="15"/>
  <c r="B615" i="15"/>
  <c r="B737" i="15"/>
  <c r="B659" i="15"/>
  <c r="B595" i="15"/>
  <c r="B516" i="15"/>
  <c r="B674" i="15"/>
  <c r="B170" i="15"/>
  <c r="B133" i="15"/>
  <c r="B136" i="15"/>
  <c r="B415" i="15"/>
  <c r="B145" i="15"/>
  <c r="B647" i="15"/>
  <c r="B489" i="15"/>
  <c r="B691" i="15"/>
  <c r="B373" i="15"/>
  <c r="B665" i="15"/>
  <c r="B561" i="15"/>
  <c r="B156" i="15"/>
  <c r="B652" i="15"/>
  <c r="B140" i="15"/>
  <c r="B195" i="15"/>
  <c r="B361" i="15"/>
  <c r="B651" i="15"/>
  <c r="B513" i="15"/>
  <c r="B706" i="15"/>
  <c r="B519" i="15"/>
  <c r="B304" i="15"/>
  <c r="B194" i="15"/>
  <c r="B392" i="15"/>
  <c r="B481" i="15"/>
  <c r="B628" i="15"/>
  <c r="B544" i="15"/>
  <c r="B206" i="15"/>
  <c r="B378" i="15"/>
  <c r="B287" i="15"/>
  <c r="B207" i="15"/>
  <c r="B396" i="15"/>
  <c r="B630" i="15"/>
  <c r="B183" i="15"/>
  <c r="B217" i="15"/>
  <c r="B733" i="15"/>
  <c r="B688" i="15"/>
  <c r="B662" i="15"/>
  <c r="B558" i="15"/>
  <c r="B272" i="15"/>
  <c r="B766" i="15"/>
  <c r="B308" i="15"/>
  <c r="B291" i="15"/>
  <c r="B270" i="15"/>
  <c r="B493" i="15"/>
  <c r="B280" i="15"/>
  <c r="B336" i="15"/>
  <c r="B232" i="15"/>
  <c r="B458" i="15"/>
  <c r="B431" i="15"/>
  <c r="B161" i="15"/>
  <c r="B703" i="15"/>
  <c r="B351" i="15"/>
  <c r="B533" i="15"/>
  <c r="B192" i="15"/>
  <c r="B477" i="15"/>
  <c r="B315" i="15"/>
  <c r="B497" i="15"/>
  <c r="B247" i="15"/>
  <c r="B229" i="15"/>
  <c r="B416" i="15"/>
  <c r="B693" i="15"/>
  <c r="B596" i="15"/>
  <c r="B320" i="15"/>
  <c r="B218" i="15"/>
  <c r="B288" i="15"/>
  <c r="B354" i="15"/>
  <c r="B563" i="15"/>
  <c r="B751" i="15"/>
  <c r="B543" i="15"/>
  <c r="B459" i="15"/>
  <c r="B449" i="15"/>
  <c r="B442" i="15"/>
  <c r="B482" i="15"/>
  <c r="B134" i="15"/>
  <c r="B401" i="15"/>
  <c r="B739" i="15"/>
  <c r="B758" i="15"/>
  <c r="B755" i="15"/>
  <c r="B210" i="15"/>
  <c r="B714" i="15"/>
  <c r="B166" i="15"/>
  <c r="B616" i="15"/>
  <c r="B608" i="15"/>
  <c r="B219" i="15"/>
  <c r="B636" i="15"/>
  <c r="B147" i="15"/>
  <c r="B746" i="15"/>
  <c r="B655" i="15"/>
  <c r="B570" i="15"/>
  <c r="B357" i="15"/>
  <c r="B295" i="15"/>
  <c r="B474" i="15"/>
  <c r="B345" i="15"/>
  <c r="B342" i="15"/>
  <c r="B785" i="15"/>
  <c r="B602" i="15"/>
  <c r="B554" i="15"/>
  <c r="B117" i="15"/>
  <c r="B537" i="15"/>
  <c r="B673" i="15"/>
  <c r="B199" i="15"/>
  <c r="B617" i="15"/>
  <c r="B190" i="15"/>
  <c r="B155" i="15"/>
  <c r="B184" i="15"/>
  <c r="B697" i="15"/>
  <c r="B313" i="15"/>
  <c r="B654" i="15"/>
  <c r="B627" i="15"/>
  <c r="B736" i="15"/>
  <c r="B718" i="15"/>
  <c r="B289" i="15"/>
  <c r="B645" i="15"/>
  <c r="B187" i="15"/>
  <c r="B656" i="15"/>
  <c r="B473" i="15"/>
  <c r="B175" i="15"/>
  <c r="B605" i="15"/>
  <c r="B557" i="15"/>
  <c r="B285" i="15"/>
  <c r="B701" i="15"/>
  <c r="B539" i="15"/>
  <c r="B603" i="15"/>
  <c r="B437" i="15"/>
  <c r="B319" i="15"/>
  <c r="B598" i="15"/>
  <c r="B753" i="15"/>
  <c r="B177" i="15"/>
  <c r="B671" i="15"/>
  <c r="B356" i="15"/>
  <c r="B786" i="15"/>
  <c r="B729" i="15"/>
  <c r="B566" i="15"/>
  <c r="B536" i="15"/>
  <c r="B365" i="15"/>
  <c r="B212" i="15"/>
  <c r="B587" i="15"/>
  <c r="B676" i="15"/>
  <c r="B433" i="15"/>
  <c r="B678" i="15"/>
  <c r="B246" i="15"/>
  <c r="B215" i="15"/>
  <c r="B253" i="15"/>
  <c r="B112" i="15"/>
  <c r="B549" i="15"/>
  <c r="B744" i="15"/>
  <c r="B129" i="15"/>
  <c r="B332" i="15"/>
  <c r="B231" i="15"/>
  <c r="B220" i="15"/>
  <c r="B390" i="15"/>
  <c r="B339" i="15"/>
  <c r="B173" i="15"/>
  <c r="B463" i="15"/>
  <c r="B174" i="15"/>
  <c r="B469" i="15"/>
  <c r="B399" i="15"/>
  <c r="B116" i="15"/>
  <c r="B252" i="15"/>
  <c r="B325" i="15"/>
  <c r="B429" i="15"/>
  <c r="B250" i="15"/>
  <c r="B302" i="15"/>
  <c r="B369" i="15"/>
  <c r="B480" i="15"/>
  <c r="B730" i="15"/>
  <c r="B335" i="15"/>
  <c r="B154" i="15"/>
  <c r="B631" i="15"/>
  <c r="B428" i="15"/>
  <c r="B723" i="15"/>
  <c r="B181" i="15"/>
  <c r="B494" i="15"/>
  <c r="B613" i="15"/>
  <c r="B422" i="15"/>
  <c r="B625" i="15"/>
  <c r="B227" i="15"/>
  <c r="B488" i="15"/>
  <c r="B196" i="15"/>
  <c r="B228" i="15"/>
  <c r="B326" i="15"/>
  <c r="B770" i="15"/>
  <c r="B660" i="15"/>
  <c r="B707" i="15"/>
  <c r="B510" i="15"/>
  <c r="B426" i="15"/>
  <c r="B200" i="15"/>
  <c r="B150" i="15"/>
  <c r="B704" i="15"/>
  <c r="B672" i="15"/>
  <c r="B777" i="15"/>
  <c r="B296" i="15"/>
  <c r="B541" i="15"/>
  <c r="B498" i="15"/>
  <c r="B642" i="15"/>
  <c r="B146" i="15"/>
  <c r="B400" i="15"/>
  <c r="B464" i="15"/>
  <c r="B640" i="15"/>
  <c r="B527" i="15"/>
  <c r="B708" i="15"/>
  <c r="B110" i="15"/>
  <c r="B299" i="15"/>
  <c r="B420" i="15"/>
  <c r="B243" i="15"/>
  <c r="B568" i="15"/>
  <c r="B242" i="15"/>
  <c r="B425" i="15"/>
  <c r="B601" i="15"/>
  <c r="B495" i="15"/>
  <c r="B165" i="15"/>
  <c r="B529" i="15"/>
  <c r="B144" i="15"/>
  <c r="B726" i="15"/>
  <c r="B160" i="15"/>
  <c r="B500" i="15"/>
  <c r="B254" i="15"/>
  <c r="B629" i="15"/>
  <c r="B141" i="15"/>
  <c r="B578" i="15"/>
  <c r="B576" i="15"/>
  <c r="B663" i="15"/>
  <c r="B341" i="15"/>
  <c r="B151" i="15"/>
  <c r="B214" i="15"/>
  <c r="B702" i="15"/>
  <c r="B305" i="15"/>
  <c r="B485" i="15"/>
  <c r="B747" i="15"/>
  <c r="B768" i="15"/>
  <c r="B343" i="15"/>
  <c r="B402" i="15"/>
  <c r="B293" i="15"/>
  <c r="B677" i="15"/>
  <c r="B583" i="15"/>
  <c r="B462" i="15"/>
  <c r="B501" i="15"/>
  <c r="B274" i="15"/>
  <c r="B722" i="15"/>
  <c r="B306" i="15"/>
  <c r="B209" i="15"/>
  <c r="B496" i="15"/>
  <c r="B783" i="15"/>
  <c r="B765" i="15"/>
  <c r="B579" i="15"/>
  <c r="B409" i="15"/>
  <c r="B269" i="15"/>
  <c r="B769" i="15"/>
  <c r="B759" i="15"/>
  <c r="B179" i="15"/>
  <c r="B344" i="15"/>
  <c r="B492" i="15"/>
  <c r="B211" i="15"/>
  <c r="B575" i="15"/>
  <c r="B244" i="15"/>
  <c r="B208" i="15"/>
  <c r="B597" i="15"/>
  <c r="B503" i="15"/>
  <c r="B423" i="15"/>
  <c r="B330" i="15"/>
  <c r="B405" i="15"/>
  <c r="B637" i="15"/>
  <c r="B300" i="15"/>
  <c r="B376" i="15"/>
  <c r="B553" i="15"/>
  <c r="B689" i="15"/>
  <c r="B113" i="15"/>
  <c r="B303" i="15"/>
  <c r="B312" i="15"/>
  <c r="B301" i="15"/>
  <c r="B618" i="15"/>
  <c r="B380" i="15"/>
  <c r="B381" i="15"/>
  <c r="B142" i="15"/>
  <c r="B611" i="15"/>
  <c r="B403" i="15"/>
  <c r="B445" i="15"/>
  <c r="B258" i="15"/>
  <c r="B684" i="15"/>
  <c r="B164" i="15"/>
  <c r="B468" i="15"/>
  <c r="B358" i="15"/>
  <c r="B323" i="15"/>
  <c r="B695" i="15"/>
  <c r="B720" i="15"/>
  <c r="B591" i="15"/>
  <c r="B466" i="15"/>
  <c r="B639" i="15"/>
  <c r="B764" i="15"/>
  <c r="B398" i="15"/>
  <c r="B555" i="15"/>
  <c r="B452" i="15"/>
  <c r="B590" i="15"/>
  <c r="B168" i="15"/>
  <c r="B310" i="15"/>
  <c r="B364" i="15"/>
  <c r="B584" i="15"/>
  <c r="B696" i="15"/>
  <c r="B277" i="15"/>
  <c r="B460" i="15"/>
  <c r="B728" i="15"/>
  <c r="B349" i="15"/>
  <c r="B681" i="15"/>
  <c r="B525" i="15"/>
  <c r="B338" i="15"/>
  <c r="B526" i="15"/>
  <c r="B359" i="15"/>
  <c r="B592" i="15"/>
  <c r="B538" i="15"/>
  <c r="B599" i="15"/>
  <c r="B123" i="15"/>
  <c r="B132" i="15"/>
  <c r="B644" i="15"/>
  <c r="B604" i="15"/>
  <c r="B699" i="15"/>
  <c r="B471" i="15"/>
  <c r="B574" i="15"/>
  <c r="B743" i="15"/>
  <c r="B760" i="15"/>
  <c r="B235" i="15"/>
  <c r="B577" i="15"/>
  <c r="B767" i="15"/>
  <c r="B153" i="15"/>
  <c r="B771" i="15"/>
  <c r="B712" i="15"/>
  <c r="B385" i="15"/>
  <c r="B370" i="15"/>
  <c r="B221" i="15"/>
  <c r="B348" i="15"/>
  <c r="B508" i="15"/>
  <c r="B719" i="15"/>
  <c r="B524" i="15"/>
  <c r="B418" i="15"/>
  <c r="B311" i="15"/>
  <c r="B245" i="15"/>
  <c r="B475" i="15"/>
  <c r="B130" i="15"/>
  <c r="B377" i="15"/>
  <c r="B679" i="15"/>
  <c r="B226" i="15"/>
  <c r="B667" i="15"/>
  <c r="B509" i="15"/>
  <c r="B573" i="15"/>
  <c r="B205" i="15"/>
  <c r="B484" i="15"/>
  <c r="B152" i="15"/>
  <c r="B366" i="15"/>
  <c r="B238" i="15"/>
  <c r="B682" i="15"/>
  <c r="B149" i="15"/>
  <c r="B542" i="15"/>
  <c r="B157" i="15"/>
  <c r="B763" i="15"/>
  <c r="B444" i="15"/>
  <c r="B222" i="15"/>
  <c r="B374" i="15"/>
  <c r="B440" i="15"/>
  <c r="B520" i="15"/>
  <c r="B612" i="15"/>
  <c r="B191" i="15"/>
  <c r="B347" i="15"/>
  <c r="B456" i="15"/>
  <c r="B709" i="15"/>
  <c r="B461" i="15"/>
  <c r="B517" i="15"/>
  <c r="B487" i="15"/>
  <c r="B223" i="15"/>
  <c r="B126" i="15"/>
  <c r="B675" i="15"/>
  <c r="B307" i="15"/>
  <c r="B664" i="15"/>
  <c r="B273" i="15"/>
  <c r="B434" i="15"/>
  <c r="B265" i="15"/>
  <c r="B562" i="15"/>
  <c r="B119" i="15"/>
  <c r="B569" i="15"/>
  <c r="B448" i="15"/>
  <c r="B292" i="15"/>
  <c r="B393" i="15"/>
  <c r="B534" i="15"/>
  <c r="B633" i="15"/>
  <c r="B162" i="15"/>
  <c r="B266" i="15"/>
  <c r="B776" i="15"/>
  <c r="B346" i="15"/>
  <c r="B127" i="15"/>
  <c r="B620" i="15"/>
  <c r="B780" i="15"/>
  <c r="B389" i="15"/>
  <c r="B610" i="15"/>
  <c r="B256" i="15"/>
  <c r="B271" i="15"/>
  <c r="B327" i="15"/>
  <c r="B582" i="15"/>
  <c r="B189" i="15"/>
  <c r="B180" i="15"/>
  <c r="B735" i="15"/>
  <c r="B137" i="15"/>
  <c r="B337" i="15"/>
  <c r="B669" i="15"/>
  <c r="B138" i="15"/>
  <c r="B419" i="15"/>
  <c r="B121" i="15"/>
  <c r="B413" i="15"/>
  <c r="B650" i="15"/>
  <c r="B394" i="15"/>
  <c r="B120" i="15"/>
  <c r="B661" i="15"/>
  <c r="B653" i="15"/>
  <c r="B711" i="15"/>
  <c r="B470" i="15"/>
  <c r="B331" i="15"/>
  <c r="B201" i="15"/>
  <c r="B382" i="15"/>
  <c r="B580" i="15"/>
  <c r="B163" i="15"/>
  <c r="B406" i="15"/>
  <c r="B713" i="15"/>
  <c r="B114" i="15"/>
  <c r="B427" i="15"/>
  <c r="B115" i="15"/>
  <c r="B635" i="15"/>
  <c r="B375" i="15"/>
  <c r="B478" i="15"/>
  <c r="B486" i="15"/>
  <c r="B560" i="15"/>
  <c r="B731" i="15"/>
  <c r="B441" i="15"/>
  <c r="B383" i="15"/>
  <c r="B436" i="15"/>
  <c r="B438" i="15"/>
  <c r="B754" i="15"/>
  <c r="B479" i="15"/>
  <c r="B186" i="15"/>
  <c r="B368" i="15"/>
  <c r="B197" i="15"/>
  <c r="B410" i="15"/>
  <c r="B559" i="15"/>
  <c r="B261" i="15"/>
  <c r="B585" i="15"/>
  <c r="B131" i="15"/>
  <c r="B548" i="15"/>
  <c r="B225" i="15"/>
  <c r="B465" i="15"/>
  <c r="B334" i="15"/>
  <c r="B309" i="15"/>
  <c r="B397" i="15"/>
  <c r="B281" i="15"/>
  <c r="B297" i="15"/>
  <c r="B282" i="15"/>
  <c r="B407" i="15"/>
  <c r="B588" i="15"/>
  <c r="B236" i="15"/>
  <c r="B324" i="15"/>
  <c r="B781" i="15"/>
  <c r="B614" i="15"/>
  <c r="B522" i="15"/>
  <c r="B552" i="15"/>
  <c r="B125" i="15"/>
  <c r="B213" i="15"/>
  <c r="B234" i="15"/>
  <c r="B784" i="15"/>
  <c r="B216" i="15"/>
  <c r="B504" i="15"/>
  <c r="B224" i="15"/>
  <c r="B683" i="15"/>
  <c r="B550" i="15"/>
  <c r="B483" i="15"/>
  <c r="B404" i="15"/>
  <c r="B135" i="15"/>
  <c r="B451" i="15"/>
  <c r="B241" i="15"/>
  <c r="B260" i="15"/>
  <c r="B521" i="15"/>
  <c r="B188" i="15"/>
  <c r="B757" i="15"/>
  <c r="B124" i="15"/>
  <c r="B169" i="15"/>
  <c r="B450" i="15"/>
  <c r="B528" i="15"/>
  <c r="B694" i="15"/>
  <c r="B279" i="15"/>
  <c r="B515" i="15"/>
  <c r="B762" i="15"/>
  <c r="B491" i="15"/>
  <c r="B705" i="15"/>
  <c r="B371" i="15"/>
  <c r="B742" i="15"/>
  <c r="B634" i="15"/>
  <c r="B158" i="15"/>
  <c r="B391" i="15"/>
  <c r="B176" i="15"/>
  <c r="B424" i="15"/>
  <c r="B467" i="15"/>
  <c r="B314" i="15"/>
  <c r="B778" i="15"/>
  <c r="B609" i="15"/>
  <c r="B412" i="15"/>
  <c r="B172" i="15"/>
  <c r="B530" i="15"/>
  <c r="B586" i="15"/>
  <c r="B275" i="15"/>
  <c r="B317" i="15"/>
  <c r="B506" i="15"/>
  <c r="B263" i="15"/>
  <c r="B782" i="15"/>
  <c r="B551" i="15"/>
  <c r="B507" i="15"/>
  <c r="B581" i="15"/>
  <c r="B286" i="15"/>
  <c r="B565" i="15"/>
  <c r="B455" i="15"/>
  <c r="B262" i="15"/>
  <c r="B607" i="15"/>
  <c r="B328" i="15"/>
  <c r="B700" i="15"/>
  <c r="B690" i="15"/>
  <c r="B564" i="15"/>
  <c r="B619" i="15"/>
  <c r="B363" i="15"/>
  <c r="B752" i="15"/>
  <c r="B395" i="15"/>
  <c r="B249" i="15"/>
  <c r="B772" i="15"/>
  <c r="B476" i="15"/>
  <c r="B749" i="15"/>
  <c r="B178" i="15"/>
  <c r="B556" i="15"/>
  <c r="B774" i="15"/>
  <c r="B698" i="15"/>
  <c r="B779" i="15"/>
  <c r="B624" i="15"/>
  <c r="B457" i="15"/>
  <c r="B353" i="15"/>
  <c r="B638" i="15"/>
  <c r="B443" i="15"/>
  <c r="B388" i="15"/>
  <c r="B240" i="15"/>
  <c r="B734" i="15"/>
  <c r="B193" i="15"/>
  <c r="B687" i="15"/>
  <c r="B646" i="15"/>
  <c r="B716" i="15"/>
  <c r="B685" i="15"/>
  <c r="B725" i="15"/>
  <c r="B350" i="15"/>
  <c r="B454" i="15"/>
  <c r="B284" i="15"/>
  <c r="B417" i="15"/>
  <c r="B623" i="15"/>
  <c r="B545" i="15"/>
  <c r="B360" i="15"/>
  <c r="B523" i="15"/>
  <c r="B600" i="15"/>
  <c r="B490" i="15"/>
  <c r="B472" i="15"/>
  <c r="B185" i="15"/>
  <c r="B267" i="15"/>
  <c r="B411" i="15"/>
  <c r="B740" i="15"/>
  <c r="B182" i="15"/>
  <c r="B329" i="15"/>
  <c r="B128" i="15"/>
  <c r="B788" i="15"/>
  <c r="B198" i="15"/>
  <c r="B203" i="15"/>
  <c r="B430" i="15"/>
  <c r="B761" i="15"/>
  <c r="B322" i="15"/>
  <c r="B715" i="15"/>
  <c r="B710" i="15"/>
  <c r="B278" i="15"/>
  <c r="B264" i="15"/>
  <c r="B453" i="15"/>
  <c r="B276" i="15"/>
  <c r="B773" i="15"/>
  <c r="B148" i="15"/>
  <c r="B721" i="15"/>
  <c r="B692" i="15"/>
  <c r="B643" i="15"/>
  <c r="B756" i="15"/>
  <c r="B384" i="15"/>
  <c r="B622" i="15"/>
  <c r="B571" i="15"/>
  <c r="B167" i="15"/>
  <c r="B745" i="15"/>
  <c r="B680" i="15"/>
  <c r="B748" i="15"/>
  <c r="B727" i="15"/>
  <c r="B594" i="15"/>
  <c r="B626" i="15"/>
  <c r="B362" i="15"/>
  <c r="B159" i="15"/>
  <c r="B118" i="15"/>
  <c r="B171" i="15"/>
  <c r="B333" i="15"/>
  <c r="B499" i="15"/>
  <c r="B239" i="15"/>
  <c r="B666" i="15"/>
  <c r="B512" i="15"/>
  <c r="B531" i="15"/>
  <c r="B686" i="15"/>
  <c r="B432" i="15"/>
  <c r="B230" i="15"/>
  <c r="B741" i="15"/>
  <c r="B248" i="15"/>
  <c r="B546" i="15"/>
  <c r="B257" i="15"/>
  <c r="B657" i="15"/>
  <c r="B648" i="15"/>
  <c r="B641" i="15"/>
  <c r="B724" i="15"/>
  <c r="B352" i="15"/>
  <c r="B372" i="15"/>
  <c r="B606" i="15"/>
  <c r="B547" i="15"/>
  <c r="B204" i="15"/>
  <c r="B316" i="15"/>
  <c r="B298" i="15"/>
  <c r="B290" i="15"/>
  <c r="B514" i="15"/>
  <c r="B122" i="15"/>
  <c r="B387" i="15"/>
  <c r="B540" i="15"/>
  <c r="B511" i="15"/>
  <c r="B294" i="15"/>
  <c r="B621" i="15"/>
  <c r="B318" i="15"/>
  <c r="B787" i="15"/>
  <c r="B593" i="15"/>
  <c r="B670" i="15"/>
  <c r="B340" i="15"/>
  <c r="B421" i="15"/>
  <c r="B283" i="15"/>
  <c r="B502" i="15"/>
  <c r="B202" i="15"/>
  <c r="B386" i="15"/>
  <c r="B658" i="15"/>
  <c r="B532" i="15"/>
  <c r="B668" i="15"/>
  <c r="B446" i="15"/>
  <c r="B367" i="15"/>
  <c r="B435" i="15"/>
  <c r="B505" i="15"/>
  <c r="B259" i="15"/>
  <c r="B233" i="15"/>
  <c r="B408" i="15"/>
  <c r="B379" i="15"/>
  <c r="B732" i="15"/>
</calcChain>
</file>

<file path=xl/comments1.xml><?xml version="1.0" encoding="utf-8"?>
<comments xmlns="http://schemas.openxmlformats.org/spreadsheetml/2006/main">
  <authors>
    <author>flackjo</author>
  </authors>
  <commentList>
    <comment ref="C29" authorId="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authors>
    <author>flackjo</author>
  </authors>
  <commentList>
    <comment ref="B22" authorId="0">
      <text>
        <r>
          <rPr>
            <b/>
            <sz val="9"/>
            <color indexed="81"/>
            <rFont val="Tahoma"/>
            <charset val="1"/>
          </rPr>
          <t>NOTE:  The PRIMARY District is the district where the majority of students reside.</t>
        </r>
      </text>
    </comment>
    <comment ref="B23" authorId="0">
      <text>
        <r>
          <rPr>
            <b/>
            <sz val="9"/>
            <color indexed="81"/>
            <rFont val="Tahoma"/>
            <charset val="1"/>
          </rPr>
          <t>NOTE:  The SECONDARY District is the district where the 2nd most number of students reside.</t>
        </r>
      </text>
    </comment>
  </commentList>
</comments>
</file>

<file path=xl/comments3.xml><?xml version="1.0" encoding="utf-8"?>
<comments xmlns="http://schemas.openxmlformats.org/spreadsheetml/2006/main">
  <authors>
    <author>hrubyda</author>
  </authors>
  <commentList>
    <comment ref="B13" authorId="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4" authorId="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5" authorId="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8" authorId="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B24" authorId="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8" authorId="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30" authorId="0">
      <text>
        <r>
          <rPr>
            <b/>
            <sz val="8"/>
            <color indexed="81"/>
            <rFont val="Tahoma"/>
            <family val="2"/>
          </rPr>
          <t>Sample titles that fall under this line:</t>
        </r>
        <r>
          <rPr>
            <sz val="8"/>
            <color indexed="81"/>
            <rFont val="Tahoma"/>
            <family val="2"/>
          </rPr>
          <t xml:space="preserve">
 - Speech Therapists
 - Social Workers</t>
        </r>
      </text>
    </comment>
    <comment ref="B41" authorId="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authors>
    <author>hrubyda</author>
    <author>flackjo</author>
  </authors>
  <commentList>
    <comment ref="B10" authorId="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text>
        <r>
          <rPr>
            <b/>
            <sz val="8"/>
            <color indexed="81"/>
            <rFont val="Tahoma"/>
            <family val="2"/>
          </rPr>
          <t xml:space="preserve">Institute:
</t>
        </r>
        <r>
          <rPr>
            <sz val="8"/>
            <color indexed="81"/>
            <rFont val="Tahoma"/>
            <family val="2"/>
          </rPr>
          <t>CURRENT YEAR PER PUPIL REVENUE RATE</t>
        </r>
      </text>
    </comment>
    <comment ref="I17" authorId="1">
      <text>
        <r>
          <rPr>
            <b/>
            <sz val="9"/>
            <color indexed="81"/>
            <rFont val="Tahoma"/>
            <family val="2"/>
          </rPr>
          <t>NOTE:</t>
        </r>
        <r>
          <rPr>
            <sz val="9"/>
            <color indexed="81"/>
            <rFont val="Tahoma"/>
            <family val="2"/>
          </rPr>
          <t xml:space="preserve">
Default = 25% per Qtr
May be modified as appropriate.</t>
        </r>
      </text>
    </comment>
    <comment ref="E33" authorId="0">
      <text>
        <r>
          <rPr>
            <b/>
            <sz val="8"/>
            <color indexed="81"/>
            <rFont val="Tahoma"/>
            <family val="2"/>
          </rPr>
          <t>Institute:</t>
        </r>
        <r>
          <rPr>
            <sz val="8"/>
            <color indexed="81"/>
            <rFont val="Tahoma"/>
            <family val="2"/>
          </rPr>
          <t xml:space="preserve">
All Districts after 15th highest enrolled district are combined under "ALL OTHER"</t>
        </r>
      </text>
    </comment>
    <comment ref="G33" authorId="0">
      <text>
        <r>
          <rPr>
            <b/>
            <sz val="8"/>
            <color indexed="81"/>
            <rFont val="Tahoma"/>
            <family val="2"/>
          </rPr>
          <t>Institute:</t>
        </r>
        <r>
          <rPr>
            <sz val="8"/>
            <color indexed="81"/>
            <rFont val="Tahoma"/>
            <family val="2"/>
          </rPr>
          <t xml:space="preserve">
This figure is a weighted average of all other districts' rates under ALL OTHER</t>
        </r>
      </text>
    </comment>
    <comment ref="G69" authorId="0">
      <text>
        <r>
          <rPr>
            <b/>
            <sz val="8"/>
            <color indexed="81"/>
            <rFont val="Tahoma"/>
            <family val="2"/>
          </rPr>
          <t>Institute:</t>
        </r>
        <r>
          <rPr>
            <sz val="8"/>
            <color indexed="81"/>
            <rFont val="Tahoma"/>
            <family val="2"/>
          </rPr>
          <t xml:space="preserve">
Figures represent the average of the Quarterly Budgeted/Revised Budgeted FTE count for each position.</t>
        </r>
      </text>
    </comment>
    <comment ref="D70" authorId="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1" authorId="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2" authorId="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5" authorId="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79" authorId="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3" authorId="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5" authorId="0">
      <text>
        <r>
          <rPr>
            <b/>
            <sz val="8"/>
            <color indexed="81"/>
            <rFont val="Tahoma"/>
            <family val="2"/>
          </rPr>
          <t>Institute:
Sample titles that fall under this line:</t>
        </r>
        <r>
          <rPr>
            <sz val="8"/>
            <color indexed="81"/>
            <rFont val="Tahoma"/>
            <family val="2"/>
          </rPr>
          <t xml:space="preserve">
 - Speech Therapists
 - Social Workers</t>
        </r>
      </text>
    </comment>
    <comment ref="D94" authorId="0">
      <text>
        <r>
          <rPr>
            <b/>
            <sz val="8"/>
            <color indexed="81"/>
            <rFont val="Tahoma"/>
            <family val="2"/>
          </rPr>
          <t>Institute:</t>
        </r>
        <r>
          <rPr>
            <sz val="8"/>
            <color indexed="81"/>
            <rFont val="Tahoma"/>
            <family val="2"/>
          </rPr>
          <t xml:space="preserve">
Cafeteria
Other</t>
        </r>
      </text>
    </comment>
    <comment ref="D101" authorId="0">
      <text>
        <r>
          <rPr>
            <b/>
            <sz val="8"/>
            <color indexed="81"/>
            <rFont val="Tahoma"/>
            <family val="2"/>
          </rPr>
          <t>Institute:</t>
        </r>
        <r>
          <rPr>
            <sz val="8"/>
            <color indexed="81"/>
            <rFont val="Tahoma"/>
            <family val="2"/>
          </rPr>
          <t xml:space="preserve">
Health and Dental
Social Security
Medicare
Unemployment
Other
</t>
        </r>
      </text>
    </comment>
    <comment ref="D116" authorId="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0" authorId="0">
      <text>
        <r>
          <rPr>
            <b/>
            <sz val="8"/>
            <color indexed="81"/>
            <rFont val="Tahoma"/>
            <family val="2"/>
          </rPr>
          <t>Institute:</t>
        </r>
        <r>
          <rPr>
            <sz val="8"/>
            <color indexed="81"/>
            <rFont val="Tahoma"/>
            <family val="2"/>
          </rPr>
          <t xml:space="preserve">
Development
Conferences</t>
        </r>
      </text>
    </comment>
    <comment ref="D124" authorId="0">
      <text>
        <r>
          <rPr>
            <b/>
            <sz val="8"/>
            <color indexed="81"/>
            <rFont val="Tahoma"/>
            <family val="2"/>
          </rPr>
          <t>Institute:</t>
        </r>
        <r>
          <rPr>
            <sz val="8"/>
            <color indexed="81"/>
            <rFont val="Tahoma"/>
            <family val="2"/>
          </rPr>
          <t xml:space="preserve">
Curriculum
</t>
        </r>
      </text>
    </comment>
    <comment ref="D125" authorId="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7" authorId="0">
      <text>
        <r>
          <rPr>
            <b/>
            <sz val="8"/>
            <color indexed="81"/>
            <rFont val="Tahoma"/>
            <family val="2"/>
          </rPr>
          <t>Institute:</t>
        </r>
        <r>
          <rPr>
            <sz val="8"/>
            <color indexed="81"/>
            <rFont val="Tahoma"/>
            <family val="2"/>
          </rPr>
          <t xml:space="preserve">
Hardware
Software
Internet
Wiring
Other</t>
        </r>
      </text>
    </comment>
    <comment ref="D131" authorId="0">
      <text>
        <r>
          <rPr>
            <b/>
            <sz val="8"/>
            <color indexed="81"/>
            <rFont val="Tahoma"/>
            <family val="2"/>
          </rPr>
          <t>Institute:</t>
        </r>
        <r>
          <rPr>
            <sz val="8"/>
            <color indexed="81"/>
            <rFont val="Tahoma"/>
            <family val="2"/>
          </rPr>
          <t xml:space="preserve">
Uniforms
Special Events</t>
        </r>
      </text>
    </comment>
    <comment ref="D132" authorId="0">
      <text>
        <r>
          <rPr>
            <b/>
            <sz val="8"/>
            <color indexed="81"/>
            <rFont val="Tahoma"/>
            <family val="2"/>
          </rPr>
          <t>Institute:</t>
        </r>
        <r>
          <rPr>
            <sz val="8"/>
            <color indexed="81"/>
            <rFont val="Tahoma"/>
            <family val="2"/>
          </rPr>
          <t xml:space="preserve">
Printing
Postage
Copying
All Other</t>
        </r>
      </text>
    </comment>
    <comment ref="D133" authorId="0">
      <text>
        <r>
          <rPr>
            <b/>
            <sz val="8"/>
            <color indexed="81"/>
            <rFont val="Tahoma"/>
            <family val="2"/>
          </rPr>
          <t>Institute:</t>
        </r>
        <r>
          <rPr>
            <sz val="8"/>
            <color indexed="81"/>
            <rFont val="Tahoma"/>
            <family val="2"/>
          </rPr>
          <t xml:space="preserve">
Conferences</t>
        </r>
      </text>
    </comment>
    <comment ref="D139" authorId="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Institute)</t>
        </r>
      </text>
    </comment>
    <comment ref="D145" authorId="1">
      <text>
        <r>
          <rPr>
            <b/>
            <sz val="9"/>
            <color indexed="81"/>
            <rFont val="Tahoma"/>
            <family val="2"/>
          </rPr>
          <t>Institute:</t>
        </r>
        <r>
          <rPr>
            <sz val="9"/>
            <color indexed="81"/>
            <rFont val="Tahoma"/>
            <family val="2"/>
          </rPr>
          <t xml:space="preserve">
Include any Facility Rental/Leasing/Financing costs.</t>
        </r>
      </text>
    </comment>
    <comment ref="D146" authorId="0">
      <text>
        <r>
          <rPr>
            <b/>
            <sz val="8"/>
            <color indexed="81"/>
            <rFont val="Tahoma"/>
            <family val="2"/>
          </rPr>
          <t>Institute:</t>
        </r>
        <r>
          <rPr>
            <sz val="8"/>
            <color indexed="81"/>
            <rFont val="Tahoma"/>
            <family val="2"/>
          </rPr>
          <t xml:space="preserve">
Facility
Equipment</t>
        </r>
      </text>
    </comment>
    <comment ref="D147" authorId="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49" authorId="0">
      <text>
        <r>
          <rPr>
            <b/>
            <sz val="8"/>
            <color indexed="81"/>
            <rFont val="Tahoma"/>
            <family val="2"/>
          </rPr>
          <t>Institute:</t>
        </r>
        <r>
          <rPr>
            <sz val="8"/>
            <color indexed="81"/>
            <rFont val="Tahoma"/>
            <family val="2"/>
          </rPr>
          <t xml:space="preserve">
Electric
Gas
Other</t>
        </r>
      </text>
    </comment>
  </commentList>
</comments>
</file>

<file path=xl/comments5.xml><?xml version="1.0" encoding="utf-8"?>
<comments xmlns="http://schemas.openxmlformats.org/spreadsheetml/2006/main">
  <authors>
    <author>hrubyda</author>
  </authors>
  <commentList>
    <comment ref="C12" authorId="0">
      <text>
        <r>
          <rPr>
            <b/>
            <sz val="8"/>
            <color indexed="81"/>
            <rFont val="Tahoma"/>
            <family val="2"/>
          </rPr>
          <t>Institute:</t>
        </r>
        <r>
          <rPr>
            <sz val="8"/>
            <color indexed="81"/>
            <rFont val="Tahoma"/>
            <family val="2"/>
          </rPr>
          <t xml:space="preserve">
State, Federal or other grants due to the school.</t>
        </r>
      </text>
    </comment>
    <comment ref="C20" authorId="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text>
        <r>
          <rPr>
            <b/>
            <sz val="8"/>
            <color indexed="81"/>
            <rFont val="Tahoma"/>
            <family val="2"/>
          </rPr>
          <t>Institute:</t>
        </r>
        <r>
          <rPr>
            <sz val="8"/>
            <color indexed="81"/>
            <rFont val="Tahoma"/>
            <family val="2"/>
          </rPr>
          <t xml:space="preserve">
Land, Building, Loan(s) related</t>
        </r>
      </text>
    </comment>
    <comment ref="C32" authorId="0">
      <text>
        <r>
          <rPr>
            <b/>
            <sz val="8"/>
            <color indexed="81"/>
            <rFont val="Tahoma"/>
            <family val="2"/>
          </rPr>
          <t>Institute:</t>
        </r>
        <r>
          <rPr>
            <sz val="8"/>
            <color indexed="81"/>
            <rFont val="Tahoma"/>
            <family val="2"/>
          </rPr>
          <t xml:space="preserve">
Obligations under, Capital Leases, Advanced Billing, Due to Affiliate/CMO, 
</t>
        </r>
      </text>
    </comment>
    <comment ref="C35" authorId="0">
      <text>
        <r>
          <rPr>
            <b/>
            <sz val="8"/>
            <color indexed="81"/>
            <rFont val="Tahoma"/>
            <family val="2"/>
          </rPr>
          <t xml:space="preserve">Institute:
</t>
        </r>
        <r>
          <rPr>
            <sz val="8"/>
            <color indexed="81"/>
            <rFont val="Tahoma"/>
            <family val="2"/>
          </rPr>
          <t>Land, Building, Loan(s) related</t>
        </r>
      </text>
    </comment>
  </commentList>
</comments>
</file>

<file path=xl/comments6.xml><?xml version="1.0" encoding="utf-8"?>
<comments xmlns="http://schemas.openxmlformats.org/spreadsheetml/2006/main">
  <authors>
    <author>hrubyda</author>
  </authors>
  <commentList>
    <comment ref="B10" authorId="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text>
        <r>
          <rPr>
            <b/>
            <sz val="8"/>
            <color indexed="81"/>
            <rFont val="Tahoma"/>
            <family val="2"/>
          </rPr>
          <t xml:space="preserve">Institute:
</t>
        </r>
        <r>
          <rPr>
            <sz val="8"/>
            <color indexed="81"/>
            <rFont val="Tahoma"/>
            <family val="2"/>
          </rPr>
          <t>CURRENT YEAR PER PUPIL REVENUE RATE</t>
        </r>
      </text>
    </comment>
    <comment ref="E33" authorId="0">
      <text>
        <r>
          <rPr>
            <b/>
            <sz val="8"/>
            <color indexed="81"/>
            <rFont val="Tahoma"/>
            <family val="2"/>
          </rPr>
          <t>Institute:</t>
        </r>
        <r>
          <rPr>
            <sz val="8"/>
            <color indexed="81"/>
            <rFont val="Tahoma"/>
            <family val="2"/>
          </rPr>
          <t xml:space="preserve">
All Districts after 15th highest enrolled  district go under OTHER</t>
        </r>
      </text>
    </comment>
    <comment ref="G33" authorId="0">
      <text>
        <r>
          <rPr>
            <b/>
            <sz val="8"/>
            <color indexed="81"/>
            <rFont val="Tahoma"/>
            <family val="2"/>
          </rPr>
          <t>Institute:</t>
        </r>
        <r>
          <rPr>
            <sz val="8"/>
            <color indexed="81"/>
            <rFont val="Tahoma"/>
            <family val="2"/>
          </rPr>
          <t xml:space="preserve">
This figure is a weighted average of all other districts' rates under ALL OTHER</t>
        </r>
      </text>
    </comment>
    <comment ref="G69" authorId="0">
      <text>
        <r>
          <rPr>
            <b/>
            <sz val="8"/>
            <color indexed="81"/>
            <rFont val="Tahoma"/>
            <family val="2"/>
          </rPr>
          <t>Institute:</t>
        </r>
        <r>
          <rPr>
            <sz val="8"/>
            <color indexed="81"/>
            <rFont val="Tahoma"/>
            <family val="2"/>
          </rPr>
          <t xml:space="preserve">
Enter FTE Positions each quarter on tab:
</t>
        </r>
        <r>
          <rPr>
            <b/>
            <sz val="8"/>
            <color indexed="81"/>
            <rFont val="Tahoma"/>
            <family val="2"/>
          </rPr>
          <t xml:space="preserve">1.2) Staffing Plan
</t>
        </r>
        <r>
          <rPr>
            <sz val="8"/>
            <color indexed="81"/>
            <rFont val="Tahoma"/>
            <family val="2"/>
          </rPr>
          <t>(Range O13:R41)</t>
        </r>
      </text>
    </comment>
    <comment ref="D70" authorId="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1" authorId="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2" authorId="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5" authorId="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79" authorId="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3" authorId="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5" authorId="0">
      <text>
        <r>
          <rPr>
            <b/>
            <sz val="8"/>
            <color indexed="81"/>
            <rFont val="Tahoma"/>
            <family val="2"/>
          </rPr>
          <t>Institute:
Sample titles that fall under this line:</t>
        </r>
        <r>
          <rPr>
            <sz val="8"/>
            <color indexed="81"/>
            <rFont val="Tahoma"/>
            <family val="2"/>
          </rPr>
          <t xml:space="preserve">
 - Speech Therapists
 - Social Workers</t>
        </r>
      </text>
    </comment>
    <comment ref="D94" authorId="0">
      <text>
        <r>
          <rPr>
            <b/>
            <sz val="8"/>
            <color indexed="81"/>
            <rFont val="Tahoma"/>
            <family val="2"/>
          </rPr>
          <t>Institute:</t>
        </r>
        <r>
          <rPr>
            <sz val="8"/>
            <color indexed="81"/>
            <rFont val="Tahoma"/>
            <family val="2"/>
          </rPr>
          <t xml:space="preserve">
Cafeteria
Other</t>
        </r>
      </text>
    </comment>
    <comment ref="D101" authorId="0">
      <text>
        <r>
          <rPr>
            <b/>
            <sz val="8"/>
            <color indexed="81"/>
            <rFont val="Tahoma"/>
            <family val="2"/>
          </rPr>
          <t>Institute:</t>
        </r>
        <r>
          <rPr>
            <sz val="8"/>
            <color indexed="81"/>
            <rFont val="Tahoma"/>
            <family val="2"/>
          </rPr>
          <t xml:space="preserve">
Health and Dental
Social Security
Medicare
Unemployment
Other
</t>
        </r>
      </text>
    </comment>
    <comment ref="D116" authorId="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0" authorId="0">
      <text>
        <r>
          <rPr>
            <b/>
            <sz val="8"/>
            <color indexed="81"/>
            <rFont val="Tahoma"/>
            <family val="2"/>
          </rPr>
          <t>Institute:</t>
        </r>
        <r>
          <rPr>
            <sz val="8"/>
            <color indexed="81"/>
            <rFont val="Tahoma"/>
            <family val="2"/>
          </rPr>
          <t xml:space="preserve">
Development
Conferences</t>
        </r>
      </text>
    </comment>
    <comment ref="D124" authorId="0">
      <text>
        <r>
          <rPr>
            <b/>
            <sz val="8"/>
            <color indexed="81"/>
            <rFont val="Tahoma"/>
            <family val="2"/>
          </rPr>
          <t>Institute:</t>
        </r>
        <r>
          <rPr>
            <sz val="8"/>
            <color indexed="81"/>
            <rFont val="Tahoma"/>
            <family val="2"/>
          </rPr>
          <t xml:space="preserve">
Curriculum
</t>
        </r>
      </text>
    </comment>
    <comment ref="D125" authorId="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7" authorId="0">
      <text>
        <r>
          <rPr>
            <b/>
            <sz val="8"/>
            <color indexed="81"/>
            <rFont val="Tahoma"/>
            <family val="2"/>
          </rPr>
          <t>Institute:</t>
        </r>
        <r>
          <rPr>
            <sz val="8"/>
            <color indexed="81"/>
            <rFont val="Tahoma"/>
            <family val="2"/>
          </rPr>
          <t xml:space="preserve">
Hardware
Software
Internet
Wiring
Other</t>
        </r>
      </text>
    </comment>
    <comment ref="D131" authorId="0">
      <text>
        <r>
          <rPr>
            <b/>
            <sz val="8"/>
            <color indexed="81"/>
            <rFont val="Tahoma"/>
            <family val="2"/>
          </rPr>
          <t>Institute:</t>
        </r>
        <r>
          <rPr>
            <sz val="8"/>
            <color indexed="81"/>
            <rFont val="Tahoma"/>
            <family val="2"/>
          </rPr>
          <t xml:space="preserve">
Uniforms
Special Events</t>
        </r>
      </text>
    </comment>
    <comment ref="D132" authorId="0">
      <text>
        <r>
          <rPr>
            <b/>
            <sz val="8"/>
            <color indexed="81"/>
            <rFont val="Tahoma"/>
            <family val="2"/>
          </rPr>
          <t>Institute:</t>
        </r>
        <r>
          <rPr>
            <sz val="8"/>
            <color indexed="81"/>
            <rFont val="Tahoma"/>
            <family val="2"/>
          </rPr>
          <t xml:space="preserve">
Printing
Postage
Copying
All Other</t>
        </r>
      </text>
    </comment>
    <comment ref="D133" authorId="0">
      <text>
        <r>
          <rPr>
            <b/>
            <sz val="8"/>
            <color indexed="81"/>
            <rFont val="Tahoma"/>
            <family val="2"/>
          </rPr>
          <t>Institute:</t>
        </r>
        <r>
          <rPr>
            <sz val="8"/>
            <color indexed="81"/>
            <rFont val="Tahoma"/>
            <family val="2"/>
          </rPr>
          <t xml:space="preserve">
Conferences</t>
        </r>
      </text>
    </comment>
    <comment ref="D139" authorId="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D146" authorId="0">
      <text>
        <r>
          <rPr>
            <b/>
            <sz val="9"/>
            <color indexed="81"/>
            <rFont val="Tahoma"/>
            <family val="2"/>
          </rPr>
          <t xml:space="preserve">Institute:
</t>
        </r>
        <r>
          <rPr>
            <sz val="9"/>
            <color indexed="81"/>
            <rFont val="Tahoma"/>
            <family val="2"/>
          </rPr>
          <t>Include any Facility Rental/Leasing/Financing costs.</t>
        </r>
      </text>
    </comment>
    <comment ref="D147" authorId="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49" authorId="0">
      <text>
        <r>
          <rPr>
            <b/>
            <sz val="8"/>
            <color indexed="81"/>
            <rFont val="Tahoma"/>
            <family val="2"/>
          </rPr>
          <t>Institute:</t>
        </r>
        <r>
          <rPr>
            <sz val="8"/>
            <color indexed="81"/>
            <rFont val="Tahoma"/>
            <family val="2"/>
          </rPr>
          <t xml:space="preserve">
Electric
Gas
Other</t>
        </r>
      </text>
    </comment>
  </commentList>
</comments>
</file>

<file path=xl/comments7.xml><?xml version="1.0" encoding="utf-8"?>
<comments xmlns="http://schemas.openxmlformats.org/spreadsheetml/2006/main">
  <authors>
    <author>flackjo</author>
  </authors>
  <commentList>
    <comment ref="C800" authorId="0">
      <text>
        <r>
          <rPr>
            <sz val="9"/>
            <color indexed="81"/>
            <rFont val="Tahoma"/>
            <family val="2"/>
          </rPr>
          <t>2009 = 2009-10</t>
        </r>
      </text>
    </comment>
    <comment ref="D800" authorId="0">
      <text>
        <r>
          <rPr>
            <sz val="9"/>
            <color indexed="81"/>
            <rFont val="Tahoma"/>
            <family val="2"/>
          </rPr>
          <t xml:space="preserve">2016 = 2015-16
</t>
        </r>
      </text>
    </comment>
    <comment ref="K908" authorId="0">
      <text>
        <r>
          <rPr>
            <b/>
            <sz val="9"/>
            <color indexed="81"/>
            <rFont val="Tahoma"/>
            <family val="2"/>
          </rPr>
          <t>flackjo:</t>
        </r>
        <r>
          <rPr>
            <sz val="9"/>
            <color indexed="81"/>
            <rFont val="Tahoma"/>
            <family val="2"/>
          </rPr>
          <t xml:space="preserve">
Formerly "Citizens of the World New York Charter School 1"</t>
        </r>
      </text>
    </comment>
    <comment ref="K909" authorId="0">
      <text>
        <r>
          <rPr>
            <b/>
            <sz val="9"/>
            <color indexed="81"/>
            <rFont val="Tahoma"/>
            <family val="2"/>
          </rPr>
          <t>flackjo:</t>
        </r>
        <r>
          <rPr>
            <sz val="9"/>
            <color indexed="81"/>
            <rFont val="Tahoma"/>
            <family val="2"/>
          </rPr>
          <t xml:space="preserve">
Formerly "Citizens of the World Charter School New York 2"</t>
        </r>
      </text>
    </comment>
  </commentList>
</comments>
</file>

<file path=xl/sharedStrings.xml><?xml version="1.0" encoding="utf-8"?>
<sst xmlns="http://schemas.openxmlformats.org/spreadsheetml/2006/main" count="1631" uniqueCount="1266">
  <si>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</si>
  <si>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</si>
  <si>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</si>
  <si>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</si>
  <si>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</si>
  <si>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</si>
  <si>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</si>
  <si>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</si>
  <si>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</si>
  <si>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</si>
  <si>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</si>
  <si>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</si>
  <si>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</si>
  <si>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</si>
  <si>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</si>
  <si>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</si>
  <si>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</si>
  <si>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</si>
  <si>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</si>
  <si>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</si>
  <si>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No. of Positions</t>
  </si>
  <si>
    <t>Per Pupil Revenue</t>
  </si>
  <si>
    <t>Net Income</t>
  </si>
  <si>
    <t>Total Revenue</t>
  </si>
  <si>
    <t>REVENUE</t>
  </si>
  <si>
    <t>REVENUES FROM STATE SOURCES</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</si>
  <si>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</si>
  <si>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</si>
  <si>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</si>
  <si>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</si>
  <si>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</si>
  <si>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</si>
  <si>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</si>
  <si>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</si>
  <si>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</si>
  <si>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</si>
  <si>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</si>
  <si>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</si>
  <si>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</si>
  <si>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</si>
  <si>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</si>
  <si>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</si>
  <si>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</si>
  <si>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</si>
  <si>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</si>
  <si>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</si>
  <si>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</si>
  <si>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</si>
  <si>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</si>
  <si>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</si>
  <si>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</si>
  <si>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</si>
  <si>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</si>
  <si>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</si>
  <si>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</si>
  <si>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</si>
  <si>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</si>
  <si>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</si>
  <si>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</si>
  <si>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</si>
  <si>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</si>
  <si>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</si>
  <si>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</si>
  <si>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</si>
  <si>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</si>
  <si>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</si>
  <si>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</si>
  <si>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</si>
  <si>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</si>
  <si>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</si>
  <si>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</si>
  <si>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</si>
  <si>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</si>
  <si>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</si>
  <si>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</si>
  <si>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</si>
  <si>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</si>
  <si>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</si>
  <si>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</si>
  <si>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</si>
  <si>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</si>
  <si>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</si>
  <si>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</si>
  <si>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</si>
  <si>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</si>
  <si>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</si>
  <si>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</si>
  <si>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</si>
  <si>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</si>
  <si>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</si>
  <si>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</si>
  <si>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</si>
  <si>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</si>
  <si>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</si>
  <si>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</si>
  <si>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</si>
  <si>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</si>
  <si>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DESCRIPTION OF ASSUMPTIONS</t>
  </si>
  <si>
    <t>CFO / Director of Finance</t>
  </si>
  <si>
    <t>Operation / Business Manager</t>
  </si>
  <si>
    <t>Nurse</t>
  </si>
  <si>
    <t>Librarian</t>
  </si>
  <si>
    <t>Custodian</t>
  </si>
  <si>
    <t>Year 1</t>
  </si>
  <si>
    <t>Year 2</t>
  </si>
  <si>
    <t>Year 3</t>
  </si>
  <si>
    <t>Year 4</t>
  </si>
  <si>
    <t>Year 5</t>
  </si>
  <si>
    <t>District Code</t>
  </si>
  <si>
    <t>School District Name</t>
  </si>
  <si>
    <t>Executive Management</t>
  </si>
  <si>
    <t>Instructional Management</t>
  </si>
  <si>
    <t>Deans, Directors &amp; Coordinators</t>
  </si>
  <si>
    <t>Administrative Staff</t>
  </si>
  <si>
    <t>Contact Name:</t>
  </si>
  <si>
    <t>Contact Email:</t>
  </si>
  <si>
    <t>Contact Phone:</t>
  </si>
  <si>
    <t>Contact Title:</t>
  </si>
  <si>
    <t>Per Pupil Rate</t>
  </si>
  <si>
    <t>CONTROL SHEET</t>
  </si>
  <si>
    <t>DATA VALIDATION LISTS</t>
  </si>
  <si>
    <t>Year</t>
  </si>
  <si>
    <t>Yr1Start</t>
  </si>
  <si>
    <t>Yr1End</t>
  </si>
  <si>
    <t>SELECTION</t>
  </si>
  <si>
    <t>AcadYrs</t>
  </si>
  <si>
    <t>5 YEARS</t>
  </si>
  <si>
    <t>DVList-AcadYr</t>
  </si>
  <si>
    <t>Selection</t>
  </si>
  <si>
    <t>SELECTED ACADEMIC YEARS TABLE</t>
  </si>
  <si>
    <t>User Selection:</t>
  </si>
  <si>
    <t>Charter Funding Alphabetical By NYS School District</t>
  </si>
  <si>
    <t>CENTRAL VALLEY CSD AT ILION-MOHAWK</t>
  </si>
  <si>
    <t>Form Display Options</t>
  </si>
  <si>
    <t>Completion Test</t>
  </si>
  <si>
    <t>School Name</t>
  </si>
  <si>
    <t>User Input:</t>
  </si>
  <si>
    <t>Contact Name</t>
  </si>
  <si>
    <t>Contact Title</t>
  </si>
  <si>
    <t>Contact Email</t>
  </si>
  <si>
    <t>Contact Phone</t>
  </si>
  <si>
    <t>INFORMATION COMPLETION</t>
  </si>
  <si>
    <t>MESSAGES</t>
  </si>
  <si>
    <t>ENROLLMENT</t>
  </si>
  <si>
    <t>Enrollment</t>
  </si>
  <si>
    <t>GRADE LEVELS</t>
  </si>
  <si>
    <t>Elementary School</t>
  </si>
  <si>
    <t>Middle School</t>
  </si>
  <si>
    <t>High School</t>
  </si>
  <si>
    <t>RATE PER PUPIL</t>
  </si>
  <si>
    <t>WEIGHTED AVERAGE - ALL DISTRICTS</t>
  </si>
  <si>
    <t>WEIGHTED AVERAGES</t>
  </si>
  <si>
    <t>PER PUPIL RATE ("PPR") - TABLE DATE</t>
  </si>
  <si>
    <r>
      <rPr>
        <b/>
        <sz val="11.5"/>
        <rFont val="Calibri"/>
        <family val="2"/>
        <scheme val="minor"/>
      </rPr>
      <t xml:space="preserve">Per Pupil Rate - Table Date </t>
    </r>
    <r>
      <rPr>
        <sz val="11.5"/>
        <rFont val="Calibri"/>
        <family val="2"/>
        <scheme val="minor"/>
      </rPr>
      <t>(Determined via formula…</t>
    </r>
    <r>
      <rPr>
        <b/>
        <i/>
        <sz val="11.5"/>
        <rFont val="Calibri"/>
        <family val="2"/>
        <scheme val="minor"/>
      </rPr>
      <t>VERIFY</t>
    </r>
    <r>
      <rPr>
        <sz val="11.5"/>
        <rFont val="Calibri"/>
        <family val="2"/>
        <scheme val="minor"/>
      </rPr>
      <t>!)</t>
    </r>
  </si>
  <si>
    <t>Instructions</t>
  </si>
  <si>
    <t>Funding by District</t>
  </si>
  <si>
    <t>CELL COLORS &amp; GUIDANCE COMMENTS</t>
  </si>
  <si>
    <t>DYCD (Department of Youth and Community Development)</t>
  </si>
  <si>
    <t>PRIMARY District</t>
  </si>
  <si>
    <t>TOTAL PERSONNEL SERVICE FTE</t>
  </si>
  <si>
    <t>ADMINISTRATIVE PERSONNEL FTE</t>
  </si>
  <si>
    <t>INSTRUCTIONAL PERSONNEL FTE</t>
  </si>
  <si>
    <t>NON-INSTRUCTIONAL PERSONNEL FTE</t>
  </si>
  <si>
    <t xml:space="preserve"> = Enter information into the light BLUE shaded cells.</t>
  </si>
  <si>
    <t>=  Cells containing RED triangles in the upper right corner contain "guidance comments" on that particular line item.  Please "mouse-over" the triangle to reveal each comment.</t>
  </si>
  <si>
    <t>Description of Assumptions</t>
  </si>
  <si>
    <t>"0" = No entry
"1" = Entry</t>
  </si>
  <si>
    <t>DISTRICT NAME(S)</t>
  </si>
  <si>
    <t>PRIMARY/OTHER</t>
  </si>
  <si>
    <t xml:space="preserve"> = Cells labeled in ORANGE containe guidance regarding the input of information.</t>
  </si>
  <si>
    <t>NonSelectedSchools</t>
  </si>
  <si>
    <t>Rows</t>
  </si>
  <si>
    <r>
      <t>UNIQUE DROP DOWN LIST</t>
    </r>
    <r>
      <rPr>
        <i/>
        <u/>
        <sz val="11.5"/>
        <color rgb="FFFF0000"/>
        <rFont val="Calibri"/>
        <family val="2"/>
        <scheme val="minor"/>
      </rPr>
      <t xml:space="preserve"> (Array Formula - requires Ctrl-Shift-Enter)</t>
    </r>
  </si>
  <si>
    <t>These formulas must be updated when updating the Funding By District Table.</t>
  </si>
  <si>
    <t>This is used to create the dropdown list on tab 2) Enrollment Chart.</t>
  </si>
  <si>
    <t>IMPORTANT NOTE:</t>
  </si>
  <si>
    <t>&lt;--Not Array Formula</t>
  </si>
  <si>
    <t>(Down v)</t>
  </si>
  <si>
    <t>ARRAY FORMULAS</t>
  </si>
  <si>
    <t>STEPS</t>
  </si>
  <si>
    <t>&lt;</t>
  </si>
  <si>
    <t>1) Select entire Array Formula Range in Column B (# of rows = # of schools in table)</t>
  </si>
  <si>
    <t>4) Update  "Countif" formula in Column C (helper formula for Array Formula to use)</t>
  </si>
  <si>
    <t>2) Press F2 to edit formula (add/delete rows)</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</si>
  <si>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</si>
  <si>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</si>
  <si>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http://www.contextures.com/xlDataVal03.html</t>
  </si>
  <si>
    <t>WEBSITE:</t>
  </si>
  <si>
    <t>BASIC TUITION</t>
  </si>
  <si>
    <t>Current Academic Year:</t>
  </si>
  <si>
    <t>Prior Academic Year:</t>
  </si>
  <si>
    <t>BLANK:</t>
  </si>
  <si>
    <t>blank</t>
  </si>
  <si>
    <t>Prior Period: (Calculated)</t>
  </si>
  <si>
    <t>BALANCE SHEET</t>
  </si>
  <si>
    <t>Prior Year</t>
  </si>
  <si>
    <t>Q1</t>
  </si>
  <si>
    <t>Q2</t>
  </si>
  <si>
    <t>Q3</t>
  </si>
  <si>
    <t>Q4</t>
  </si>
  <si>
    <t>As of 9/30</t>
  </si>
  <si>
    <t>As of 12/31</t>
  </si>
  <si>
    <t>As of 3/31</t>
  </si>
  <si>
    <t>As of 6/30</t>
  </si>
  <si>
    <t>ASSETS</t>
  </si>
  <si>
    <t>CURRENT ASSETS</t>
  </si>
  <si>
    <t xml:space="preserve">Cash and cash equivalents </t>
  </si>
  <si>
    <t>Grants and contracts receivable</t>
  </si>
  <si>
    <t>Accounts receivables</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</si>
  <si>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</si>
  <si>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</si>
  <si>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</si>
  <si>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</si>
  <si>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</si>
  <si>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</si>
  <si>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</si>
  <si>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</si>
  <si>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</si>
  <si>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</si>
  <si>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</si>
  <si>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</si>
  <si>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</si>
  <si>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LONG-TERM DEBT and NOTES PAYABLE, net current maturities</t>
  </si>
  <si>
    <t>TOTAL LIABILITIES</t>
  </si>
  <si>
    <t>NET ASSETS</t>
  </si>
  <si>
    <t>Unrestricted</t>
  </si>
  <si>
    <t>Temporarily restricted</t>
  </si>
  <si>
    <t>TOTAL NET ASSETS</t>
  </si>
  <si>
    <t>TOTAL LIABILITIES AND NET ASSETS</t>
  </si>
  <si>
    <t>Budget / Operating Plan</t>
  </si>
  <si>
    <t>Actual Student Enrollment</t>
  </si>
  <si>
    <t>Total Paid Student Enrollment</t>
  </si>
  <si>
    <t>Prior Year Actual</t>
  </si>
  <si>
    <t>1st Quarter - 7/1 - 9/30</t>
  </si>
  <si>
    <t>2nd Quarter - 10/1 - 12/31</t>
  </si>
  <si>
    <t>3rd Quarter - 1/1 - 3/31</t>
  </si>
  <si>
    <t>4th Quarter - 4/1 - 6/30</t>
  </si>
  <si>
    <t>Total Year</t>
  </si>
  <si>
    <t>VARIANCE</t>
  </si>
  <si>
    <t>Variance</t>
  </si>
  <si>
    <r>
      <rPr>
        <b/>
        <sz val="11.5"/>
        <rFont val="Calibri"/>
        <family val="2"/>
      </rPr>
      <t>CY</t>
    </r>
    <r>
      <rPr>
        <sz val="11.5"/>
        <rFont val="Calibri"/>
        <family val="2"/>
      </rPr>
      <t xml:space="preserve"> Per Pupil Rate</t>
    </r>
  </si>
  <si>
    <t>RESERVES / CONTINGENCY</t>
  </si>
  <si>
    <t>SECONDARY District</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</si>
  <si>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</si>
  <si>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</si>
  <si>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</si>
  <si>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</si>
  <si>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</si>
  <si>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</si>
  <si>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</si>
  <si>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</si>
  <si>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</si>
  <si>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</si>
  <si>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</si>
  <si>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</si>
  <si>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</si>
  <si>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</si>
  <si>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</si>
  <si>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</si>
  <si>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</si>
  <si>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</si>
  <si>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</si>
  <si>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</si>
  <si>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</si>
  <si>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</si>
  <si>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</si>
  <si>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</si>
  <si>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</si>
  <si>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</si>
  <si>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</si>
  <si>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</si>
  <si>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</si>
  <si>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</si>
  <si>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</si>
  <si>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</si>
  <si>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</si>
  <si>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</si>
  <si>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</si>
  <si>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</si>
  <si>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</si>
  <si>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</si>
  <si>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</si>
  <si>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</si>
  <si>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</si>
  <si>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</si>
  <si>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</si>
  <si>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</si>
  <si>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</si>
  <si>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</si>
  <si>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</si>
  <si>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</si>
  <si>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Current Year</t>
  </si>
  <si>
    <t>Original Budget</t>
  </si>
  <si>
    <t>Revised Budget</t>
  </si>
  <si>
    <t>Original Budget vs. PY Budget</t>
  </si>
  <si>
    <t>Revised Budget vs. PY Budget</t>
  </si>
  <si>
    <t>SUM of Basic Tuition for DISTRICTS 16-50</t>
  </si>
  <si>
    <t>COUNT "Others" Districts from 16-50 =</t>
  </si>
  <si>
    <t>AVG COUNT "Others" Enrollment from 16-50 =</t>
  </si>
  <si>
    <t>Weighted Avg Others 16-50</t>
  </si>
  <si>
    <t>Backed-in calc:</t>
  </si>
  <si>
    <t>Rev</t>
  </si>
  <si>
    <t>This section checks to make sure that revenue is NOT reported WITHOUT corresponding enrollment.  #DIV/0! reveals that error.</t>
  </si>
  <si>
    <t>Total</t>
  </si>
  <si>
    <t>Error Check</t>
  </si>
  <si>
    <t>Annual Report Requirement</t>
  </si>
  <si>
    <t>for SUNY Authorized Charter Schools</t>
  </si>
  <si>
    <t>Administrative expenditures per pupil:</t>
  </si>
  <si>
    <t>Per NYS Statute</t>
  </si>
  <si>
    <t>Administrative expenditures per pupil: the sum of all general administration salaries and other general administration expenditures divided by the total number of enrolled students. Employee benefit costs or expenditures should not be reported here.</t>
  </si>
  <si>
    <t>TOTALS AND VARIANCE ANALYSIS</t>
  </si>
  <si>
    <t>Actual</t>
  </si>
  <si>
    <t>Current Budget</t>
  </si>
  <si>
    <t>Current Budget   (Current Quarter)</t>
  </si>
  <si>
    <t>Actual                     vs.                       Current Budget</t>
  </si>
  <si>
    <t>Current Budget - TY</t>
  </si>
  <si>
    <t>Actual          vs.              Current Budget TY</t>
  </si>
  <si>
    <t>Original Budget   (Current Quarter)</t>
  </si>
  <si>
    <t>Actual                  vs.               Original Budget</t>
  </si>
  <si>
    <t>Original Budget - TY</t>
  </si>
  <si>
    <t>Actual              vs.            Original Budget TY</t>
  </si>
  <si>
    <t>PY Actual (PY TY / No. of COMPLETED Actual CY Quarters</t>
  </si>
  <si>
    <t>Actual CY            vs.            Actual PY</t>
  </si>
  <si>
    <t>* Enrollment Data Based on Last Actual Quarter Completed</t>
  </si>
  <si>
    <t>STAFFING PLAN - FULL TIME EQUIVALENT ("FTE")</t>
  </si>
  <si>
    <t>Original Budgeted Enrollment</t>
  </si>
  <si>
    <t>Actual Enrollment</t>
  </si>
  <si>
    <t>QUARTER 1</t>
  </si>
  <si>
    <t>QUARTER 2</t>
  </si>
  <si>
    <t>QUARTER 3</t>
  </si>
  <si>
    <t>QUARTER 4</t>
  </si>
  <si>
    <t>ACTUAL</t>
  </si>
  <si>
    <t>PRIOR YEAR</t>
  </si>
  <si>
    <t>NUMBER OF SCHOOL DISTRICTS ENROLLED:</t>
  </si>
  <si>
    <t>ORIGINAL REVENUE (CALCULATED)</t>
  </si>
  <si>
    <t>REVISED REVENUE (CALCULATED)</t>
  </si>
  <si>
    <t>AVG ENROLLMENT</t>
  </si>
  <si>
    <t>NUMBER OF STUDENTS ENROLLED:</t>
  </si>
  <si>
    <r>
      <rPr>
        <b/>
        <i/>
        <sz val="11.5"/>
        <rFont val="Calibri"/>
        <family val="2"/>
        <scheme val="minor"/>
      </rPr>
      <t>Revised</t>
    </r>
    <r>
      <rPr>
        <sz val="11.5"/>
        <rFont val="Calibri"/>
        <family val="2"/>
        <scheme val="minor"/>
      </rPr>
      <t xml:space="preserve"> Budgeted Enrollment</t>
    </r>
  </si>
  <si>
    <t xml:space="preserve">*NOTE: THIS TAB ONLY NEEDS TO BE COMPLETED FOR Q4 </t>
  </si>
  <si>
    <t>Number of Districts:</t>
  </si>
  <si>
    <t>K</t>
  </si>
  <si>
    <t>GRADES</t>
  </si>
  <si>
    <t>ENROLLMENT BY GRADES</t>
  </si>
  <si>
    <t>ENROLLMENT BY DISTRICT</t>
  </si>
  <si>
    <t>ACTUAL ENROLLMENT BY QUARTER</t>
  </si>
  <si>
    <t>ANNUAL BUDGETED FTE</t>
  </si>
  <si>
    <t>ACTUAL QUARTERLY FTE</t>
  </si>
  <si>
    <r>
      <rPr>
        <b/>
        <i/>
        <sz val="11.5"/>
        <rFont val="Calibri"/>
        <family val="2"/>
        <scheme val="minor"/>
      </rPr>
      <t xml:space="preserve"> *NOTE:</t>
    </r>
    <r>
      <rPr>
        <i/>
        <sz val="11.5"/>
        <rFont val="Calibri"/>
        <family val="2"/>
        <scheme val="minor"/>
      </rPr>
      <t xml:space="preserve">  Enter the number of FTE positions in the "blue" cells.</t>
    </r>
  </si>
  <si>
    <t>Original</t>
  </si>
  <si>
    <t>Revised</t>
  </si>
  <si>
    <t>Building and Land Rent / Lease / Facility Finance Interest</t>
  </si>
  <si>
    <r>
      <t xml:space="preserve">ANNUAL BUDGET
</t>
    </r>
    <r>
      <rPr>
        <sz val="12"/>
        <rFont val="Calibri"/>
        <family val="2"/>
        <scheme val="minor"/>
      </rPr>
      <t>TOTAL DISTRICTS/ENROLLMENT BY QUARTER</t>
    </r>
  </si>
  <si>
    <t>ACTUAL QUARTERLY
TOTAL DISTRICTS/ENROLLMENT</t>
  </si>
  <si>
    <t>ANNUAL BUDGET
ENROLLMENT BY QUARTER</t>
  </si>
  <si>
    <t>TOTAL Per Pupil Revenue (Weighted Average Per Pupil Funding)</t>
  </si>
  <si>
    <t>ALL OTHER School Districts: ( Weighted Avg )</t>
  </si>
  <si>
    <t>1.) Name of School</t>
  </si>
  <si>
    <t>2.) Enrollment</t>
  </si>
  <si>
    <t>3.) Staffing Plan</t>
  </si>
  <si>
    <t>4.) Yearly Budget</t>
  </si>
  <si>
    <t>5.) Balance Sheet</t>
  </si>
  <si>
    <t>6.) Quarterly Report</t>
  </si>
  <si>
    <t>7.) Annual Report Requirement</t>
  </si>
  <si>
    <t>Provides description of tabs and input requirements.</t>
  </si>
  <si>
    <t>INITIAL BUDGETED ENROLLMENT</t>
  </si>
  <si>
    <t>Avg. No. of Positions</t>
  </si>
  <si>
    <t>Complete when submitting Actual Quarter 4.</t>
  </si>
  <si>
    <t>GENERAL INSTRUCTIONS FOR
ANNUAL BUDGET/QUARTERLY REPORT</t>
  </si>
  <si>
    <t>Deferred Revenue</t>
  </si>
  <si>
    <t>ANNUAL BUDGET &amp; QUARTERLY REPORT TEMPLATE</t>
  </si>
  <si>
    <t>*NOTE: Enrollment, Revenue and Expediture Data IN the 'Total and Variance Analysis' Section is Based on LAST ACTUAL Quarter Completed</t>
  </si>
  <si>
    <t>Please complete entering all information  on tab - "1) Name of School"</t>
  </si>
  <si>
    <t>Please enter school name on tab - "1) Name of School"</t>
  </si>
  <si>
    <t>1- GRAY tab contains the Instructions</t>
  </si>
  <si>
    <t>2- BLUE tabs require input of information</t>
  </si>
  <si>
    <t>TEMPLATE TABS</t>
  </si>
  <si>
    <t>ADDISON CSD</t>
  </si>
  <si>
    <t>ADIRONDACK CSD</t>
  </si>
  <si>
    <t>AFTON CSD</t>
  </si>
  <si>
    <t>AKRON CSD</t>
  </si>
  <si>
    <t>ALBANY CITY SD</t>
  </si>
  <si>
    <t>ALBION CSD</t>
  </si>
  <si>
    <t>ALDEN CSD</t>
  </si>
  <si>
    <t>ALEXANDER CSD</t>
  </si>
  <si>
    <t>ALEXANDRIA CSD</t>
  </si>
  <si>
    <t>ALFRED-ALMOND CSD</t>
  </si>
  <si>
    <t>ALLEGANY-LIMESTONE CSD</t>
  </si>
  <si>
    <t>ALTMAR-PARISH-WILLIAMSTOWN CSD</t>
  </si>
  <si>
    <t>AMAGANSETT UFSD</t>
  </si>
  <si>
    <t>AMHERST CSD</t>
  </si>
  <si>
    <t>AMITYVILLE UFSD</t>
  </si>
  <si>
    <t>AMSTERDAM CITY SD</t>
  </si>
  <si>
    <t>ANDES CSD</t>
  </si>
  <si>
    <t>ANDOVER CSD</t>
  </si>
  <si>
    <t>ARDSLEY UFSD</t>
  </si>
  <si>
    <t>ARGYLE CSD</t>
  </si>
  <si>
    <t>ARKPORT CSD</t>
  </si>
  <si>
    <t>ARLINGTON CSD</t>
  </si>
  <si>
    <t>ATTICA CSD</t>
  </si>
  <si>
    <t>AUBURN CITY SD</t>
  </si>
  <si>
    <t>AUSABLE VALLEY CSD</t>
  </si>
  <si>
    <t>AVERILL PARK CSD</t>
  </si>
  <si>
    <t>AVOCA CSD</t>
  </si>
  <si>
    <t>AVON CSD</t>
  </si>
  <si>
    <t>BABYLON UFSD</t>
  </si>
  <si>
    <t>BAINBRIDGE-GUILFORD CSD</t>
  </si>
  <si>
    <t>BALDWIN UFSD</t>
  </si>
  <si>
    <t>BALDWINSVILLE CSD</t>
  </si>
  <si>
    <t>BALLSTON SPA CSD</t>
  </si>
  <si>
    <t>BARKER CSD</t>
  </si>
  <si>
    <t>BATAVIA CITY SD</t>
  </si>
  <si>
    <t>BATH CSD</t>
  </si>
  <si>
    <t>BAY SHORE UFSD</t>
  </si>
  <si>
    <t>BAYPORT-BLUE POINT UFSD</t>
  </si>
  <si>
    <t>BEACON CITY SD</t>
  </si>
  <si>
    <t>BEAVER RIVER CSD</t>
  </si>
  <si>
    <t>BEDFORD CSD</t>
  </si>
  <si>
    <t>BEEKMANTOWN CSD</t>
  </si>
  <si>
    <t>BELFAST CSD</t>
  </si>
  <si>
    <t>BELLEVILLE HENDERSON CSD</t>
  </si>
  <si>
    <t>BELLMORE UFSD</t>
  </si>
  <si>
    <t>BELLMORE-MERRICK CENTRAL HS DISTRICT</t>
  </si>
  <si>
    <t>BEMUS POINT CSD</t>
  </si>
  <si>
    <t>BERLIN CSD</t>
  </si>
  <si>
    <t>BERNE-KNOX-WESTERLO CSD</t>
  </si>
  <si>
    <t>BETHLEHEM CSD</t>
  </si>
  <si>
    <t>BETHPAGE UFSD</t>
  </si>
  <si>
    <t>BINGHAMTON CITY SD</t>
  </si>
  <si>
    <t>BLIND BROOK-RYE UFSD</t>
  </si>
  <si>
    <t>BOLIVAR-RICHBURG CSD</t>
  </si>
  <si>
    <t>BOLTON CSD</t>
  </si>
  <si>
    <t>BRADFORD CSD</t>
  </si>
  <si>
    <t>BRASHER FALLS CSD</t>
  </si>
  <si>
    <t>BRENTWOOD UFSD</t>
  </si>
  <si>
    <t>BREWSTER CSD</t>
  </si>
  <si>
    <t>BRIARCLIFF MANOR UFSD</t>
  </si>
  <si>
    <t>BRIDGEHAMPTON UFSD</t>
  </si>
  <si>
    <t>BRIGHTON CSD</t>
  </si>
  <si>
    <t>BROADALBIN-PERTH CSD</t>
  </si>
  <si>
    <t>BROCKPORT CSD</t>
  </si>
  <si>
    <t>BROCTON CSD</t>
  </si>
  <si>
    <t>BRONXVILLE UFSD</t>
  </si>
  <si>
    <t>BROOKFIELD CSD</t>
  </si>
  <si>
    <t>BROOKHAVEN-COMSEWOGUE UFSD</t>
  </si>
  <si>
    <t>BRUNSWICK CSD (BRITTONKILL)</t>
  </si>
  <si>
    <t>BRUSHTON-MOIRA CSD</t>
  </si>
  <si>
    <t>BUFFALO CITY SD</t>
  </si>
  <si>
    <t>BURNT HILLS-BALLSTON LAKE CSD</t>
  </si>
  <si>
    <t>BYRAM HILLS CSD</t>
  </si>
  <si>
    <t>BYRON-BERGEN CSD</t>
  </si>
  <si>
    <t>CAIRO-DURHAM CSD</t>
  </si>
  <si>
    <t>CALEDONIA-MUMFORD CSD</t>
  </si>
  <si>
    <t>CAMBRIDGE CSD</t>
  </si>
  <si>
    <t>CAMDEN CSD</t>
  </si>
  <si>
    <t>CAMPBELL-SAVONA CSD</t>
  </si>
  <si>
    <t>CANAJOHARIE CSD</t>
  </si>
  <si>
    <t>CANANDAIGUA CITY SD</t>
  </si>
  <si>
    <t>CANASERAGA CSD</t>
  </si>
  <si>
    <t>CANASTOTA CSD</t>
  </si>
  <si>
    <t>CANDOR CSD</t>
  </si>
  <si>
    <t>CANISTEO-GREENWOOD CSD</t>
  </si>
  <si>
    <t>CANTON CSD</t>
  </si>
  <si>
    <t>CARLE PLACE UFSD</t>
  </si>
  <si>
    <t>CARMEL CSD</t>
  </si>
  <si>
    <t>CARTHAGE CSD</t>
  </si>
  <si>
    <t>CASSADAGA VALLEY CSD</t>
  </si>
  <si>
    <t>CATO-MERIDIAN CSD</t>
  </si>
  <si>
    <t>CATSKILL CSD</t>
  </si>
  <si>
    <t>CATTARAUGUS-LITTLE VALLEY CSD</t>
  </si>
  <si>
    <t>CAZENOVIA CSD</t>
  </si>
  <si>
    <t>CENTER MORICHES UFSD</t>
  </si>
  <si>
    <t>CENTRAL ISLIP UFSD</t>
  </si>
  <si>
    <t>CENTRAL SQUARE CSD</t>
  </si>
  <si>
    <t>CHAPPAQUA CSD</t>
  </si>
  <si>
    <t>CHARLOTTE VALLEY CSD</t>
  </si>
  <si>
    <t>CHATEAUGAY CSD</t>
  </si>
  <si>
    <t>CHATHAM CSD</t>
  </si>
  <si>
    <t>CHAUTAUQUA LAKE CSD</t>
  </si>
  <si>
    <t>CHAZY UFSD</t>
  </si>
  <si>
    <t>CHEEKTOWAGA CSD</t>
  </si>
  <si>
    <t>CHEEKTOWAGA-MARYVALE UFSD</t>
  </si>
  <si>
    <t>CHEEKTOWAGA-SLOAN UFSD</t>
  </si>
  <si>
    <t>CHENANGO FORKS CSD</t>
  </si>
  <si>
    <t>CHENANGO VALLEY CSD</t>
  </si>
  <si>
    <t>CHERRY VALLEY-SPRINGFIELD CSD</t>
  </si>
  <si>
    <t>CHESTER UFSD</t>
  </si>
  <si>
    <t>CHITTENANGO CSD</t>
  </si>
  <si>
    <t>CHURCHVILLE-CHILI CSD</t>
  </si>
  <si>
    <t>CINCINNATUS CSD</t>
  </si>
  <si>
    <t>CLARENCE CSD</t>
  </si>
  <si>
    <t>CLARKSTOWN CSD</t>
  </si>
  <si>
    <t>CLEVELAND HILL UFSD</t>
  </si>
  <si>
    <t>CLIFTON-FINE CSD</t>
  </si>
  <si>
    <t>CLINTON CSD</t>
  </si>
  <si>
    <t>CLYDE-SAVANNAH CSD</t>
  </si>
  <si>
    <t>CLYMER CSD</t>
  </si>
  <si>
    <t>COBLESKILL-RICHMONDVILLE CSD</t>
  </si>
  <si>
    <t>COHOES CITY SD</t>
  </si>
  <si>
    <t>COLD SPRING HARBOR CSD</t>
  </si>
  <si>
    <t>COLTON-PIERREPONT CSD</t>
  </si>
  <si>
    <t>COMMACK UFSD</t>
  </si>
  <si>
    <t>CONNETQUOT CSD</t>
  </si>
  <si>
    <t>COOPERSTOWN CSD</t>
  </si>
  <si>
    <t>COPENHAGEN CSD</t>
  </si>
  <si>
    <t>COPIAGUE UFSD</t>
  </si>
  <si>
    <t>CORINTH CSD</t>
  </si>
  <si>
    <t>CORNING CITY SD</t>
  </si>
  <si>
    <t>CORNWALL CSD</t>
  </si>
  <si>
    <t>CORTLAND CITY SD</t>
  </si>
  <si>
    <t>COXSACKIE-ATHENS CSD</t>
  </si>
  <si>
    <t>CROTON-HARMON UFSD</t>
  </si>
  <si>
    <t>CROWN POINT CSD</t>
  </si>
  <si>
    <t>CUBA-RUSHFORD CSD</t>
  </si>
  <si>
    <t>DALTON-NUNDA CSD (KESHEQUA)</t>
  </si>
  <si>
    <t>DANSVILLE CSD</t>
  </si>
  <si>
    <t>DEER PARK UFSD</t>
  </si>
  <si>
    <t>DELAWARE ACADEMY CSD AT DELHI</t>
  </si>
  <si>
    <t>DEPEW UFSD</t>
  </si>
  <si>
    <t>DEPOSIT CSD</t>
  </si>
  <si>
    <t>DERUYTER CSD</t>
  </si>
  <si>
    <t>DOBBS FERRY UFSD</t>
  </si>
  <si>
    <t>DOLGEVILLE CSD</t>
  </si>
  <si>
    <t>DOVER UFSD</t>
  </si>
  <si>
    <t>DOWNSVILLE CSD</t>
  </si>
  <si>
    <t>DRYDEN CSD</t>
  </si>
  <si>
    <t>DUANESBURG CSD</t>
  </si>
  <si>
    <t>DUNDEE CSD</t>
  </si>
  <si>
    <t>DUNKIRK CITY SD</t>
  </si>
  <si>
    <t>EAST AURORA UFSD</t>
  </si>
  <si>
    <t>EAST BLOOMFIELD CSD</t>
  </si>
  <si>
    <t>EAST GREENBUSH CSD</t>
  </si>
  <si>
    <t>EAST HAMPTON UFSD</t>
  </si>
  <si>
    <t>EAST IRONDEQUOIT CSD</t>
  </si>
  <si>
    <t>EAST ISLIP UFSD</t>
  </si>
  <si>
    <t>EAST MEADOW UFSD</t>
  </si>
  <si>
    <t>EAST MORICHES UFSD</t>
  </si>
  <si>
    <t>EAST QUOGUE UFSD</t>
  </si>
  <si>
    <t>EAST RAMAPO CSD (SPRING VALLEY)</t>
  </si>
  <si>
    <t>EAST ROCHESTER UFSD</t>
  </si>
  <si>
    <t>EAST ROCKAWAY UFSD</t>
  </si>
  <si>
    <t>EAST SYRACUSE-MINOA CSD</t>
  </si>
  <si>
    <t>EAST WILLISTON UFSD</t>
  </si>
  <si>
    <t>EASTCHESTER UFSD</t>
  </si>
  <si>
    <t>EASTPORT-SOUTH MANOR CSD</t>
  </si>
  <si>
    <t>EDEN CSD</t>
  </si>
  <si>
    <t>EDGEMONT UFSD</t>
  </si>
  <si>
    <t>EDINBURG COMMON SD</t>
  </si>
  <si>
    <t>EDMESTON CSD</t>
  </si>
  <si>
    <t>EDWARDS-KNOX CSD</t>
  </si>
  <si>
    <t>ELBA CSD</t>
  </si>
  <si>
    <t>ELDRED CSD</t>
  </si>
  <si>
    <t>ELIZABETHTOWN-LEWIS CSD</t>
  </si>
  <si>
    <t>ELLENVILLE CSD</t>
  </si>
  <si>
    <t>ELLICOTTVILLE CSD</t>
  </si>
  <si>
    <t>ELMIRA CITY SD</t>
  </si>
  <si>
    <t>ELMIRA HEIGHTS CSD</t>
  </si>
  <si>
    <t>ELMONT UFSD</t>
  </si>
  <si>
    <t>ELMSFORD UFSD</t>
  </si>
  <si>
    <t>ELWOOD UFSD</t>
  </si>
  <si>
    <t>EVANS-BRANT CSD (LAKE SHORE)</t>
  </si>
  <si>
    <t>FABIUS-POMPEY CSD</t>
  </si>
  <si>
    <t>FAIRPORT CSD</t>
  </si>
  <si>
    <t>FALCONER CSD</t>
  </si>
  <si>
    <t>FALLSBURG CSD</t>
  </si>
  <si>
    <t>FARMINGDALE UFSD</t>
  </si>
  <si>
    <t>FAYETTEVILLE-MANLIUS CSD</t>
  </si>
  <si>
    <t>FILLMORE CSD</t>
  </si>
  <si>
    <t>FIRE ISLAND UFSD</t>
  </si>
  <si>
    <t>FISHERS ISLAND UFSD</t>
  </si>
  <si>
    <t>FLORAL PARK-BELLEROSE UFSD</t>
  </si>
  <si>
    <t>FLORIDA UFSD</t>
  </si>
  <si>
    <t>FONDA-FULTONVILLE CSD</t>
  </si>
  <si>
    <t>FORESTVILLE CSD</t>
  </si>
  <si>
    <t>FORT ANN CSD</t>
  </si>
  <si>
    <t>FORT EDWARD UFSD</t>
  </si>
  <si>
    <t>FORT PLAIN CSD</t>
  </si>
  <si>
    <t>FRANKFORT-SCHUYLER CSD</t>
  </si>
  <si>
    <t>FRANKLIN CSD</t>
  </si>
  <si>
    <t>FRANKLIN SQUARE UFSD</t>
  </si>
  <si>
    <t>FRANKLINVILLE CSD</t>
  </si>
  <si>
    <t>FREDONIA CSD</t>
  </si>
  <si>
    <t>FREEPORT UFSD</t>
  </si>
  <si>
    <t>FREWSBURG CSD</t>
  </si>
  <si>
    <t>FRIENDSHIP CSD</t>
  </si>
  <si>
    <t>FRONTIER CSD</t>
  </si>
  <si>
    <t>FULTON CITY SD</t>
  </si>
  <si>
    <t>GALWAY CSD</t>
  </si>
  <si>
    <t>GANANDA CSD</t>
  </si>
  <si>
    <t>GARDEN CITY UFSD</t>
  </si>
  <si>
    <t>GARRISON UFSD</t>
  </si>
  <si>
    <t>GATES-CHILI CSD</t>
  </si>
  <si>
    <t>GENERAL BROWN CSD</t>
  </si>
  <si>
    <t>GENESEE VALLEY CSD</t>
  </si>
  <si>
    <t>GENESEO CSD</t>
  </si>
  <si>
    <t>GENEVA CITY SD</t>
  </si>
  <si>
    <t>GEORGETOWN-SOUTH OTSELIC CSD</t>
  </si>
  <si>
    <t>GERMANTOWN CSD</t>
  </si>
  <si>
    <t>GILBERTSVILLE-MOUNT UPTON CSD</t>
  </si>
  <si>
    <t>GILBOA-CONESVILLE CSD</t>
  </si>
  <si>
    <t>GLEN COVE CITY SD</t>
  </si>
  <si>
    <t>GLENS FALLS CITY SD</t>
  </si>
  <si>
    <t>GLENS FALLS COMN SD</t>
  </si>
  <si>
    <t>GLOVERSVILLE CITY SD</t>
  </si>
  <si>
    <t>GORHAM-MIDDLESEX CSD (MARCUS WHITMAN</t>
  </si>
  <si>
    <t>GOSHEN CSD</t>
  </si>
  <si>
    <t>GOUVERNEUR CSD</t>
  </si>
  <si>
    <t>GOWANDA CSD</t>
  </si>
  <si>
    <t>GRAND ISLAND CSD</t>
  </si>
  <si>
    <t>GRANVILLE CSD</t>
  </si>
  <si>
    <t>GREAT NECK UFSD</t>
  </si>
  <si>
    <t>GREECE CSD</t>
  </si>
  <si>
    <t>GREEN ISLAND UFSD</t>
  </si>
  <si>
    <t>GREENBURGH CSD</t>
  </si>
  <si>
    <t>GREENE CSD</t>
  </si>
  <si>
    <t>GREENPORT UFSD</t>
  </si>
  <si>
    <t>GREENVILLE CSD</t>
  </si>
  <si>
    <t>GREENWICH CSD</t>
  </si>
  <si>
    <t>GREENWOOD LAKE UFSD</t>
  </si>
  <si>
    <t>GROTON CSD</t>
  </si>
  <si>
    <t>GUILDERLAND CSD</t>
  </si>
  <si>
    <t>HADLEY-LUZERNE CSD</t>
  </si>
  <si>
    <t>HALDANE CSD</t>
  </si>
  <si>
    <t>HALF HOLLOW HILLS CSD</t>
  </si>
  <si>
    <t>HAMBURG CSD</t>
  </si>
  <si>
    <t>HAMILTON CSD</t>
  </si>
  <si>
    <t>HAMMOND CSD</t>
  </si>
  <si>
    <t>HAMMONDSPORT CSD</t>
  </si>
  <si>
    <t>HAMPTON BAYS UFSD</t>
  </si>
  <si>
    <t>HANCOCK CSD</t>
  </si>
  <si>
    <t>HANNIBAL CSD</t>
  </si>
  <si>
    <t>HARBORFIELDS CSD</t>
  </si>
  <si>
    <t>HARPURSVILLE CSD</t>
  </si>
  <si>
    <t>HARRISON CSD</t>
  </si>
  <si>
    <t>HARRISVILLE CSD</t>
  </si>
  <si>
    <t>HARTFORD CSD</t>
  </si>
  <si>
    <t>HASTINGS-ON-HUDSON UFSD</t>
  </si>
  <si>
    <t>HAUPPAUGE UFSD</t>
  </si>
  <si>
    <t>HAVERSTRAW-STONY POINT CSD (NORTH RO</t>
  </si>
  <si>
    <t>HEMPSTEAD UFSD</t>
  </si>
  <si>
    <t>HENDRICK HUDSON CSD</t>
  </si>
  <si>
    <t>HERKIMER CSD</t>
  </si>
  <si>
    <t>HERMON-DEKALB CSD</t>
  </si>
  <si>
    <t>HERRICKS UFSD</t>
  </si>
  <si>
    <t>HEUVELTON CSD</t>
  </si>
  <si>
    <t>HEWLETT-WOODMERE UFSD</t>
  </si>
  <si>
    <t>HICKSVILLE UFSD</t>
  </si>
  <si>
    <t>HIGHLAND CSD</t>
  </si>
  <si>
    <t>HIGHLAND FALLS CSD</t>
  </si>
  <si>
    <t>HILTON CSD</t>
  </si>
  <si>
    <t>HINSDALE CSD</t>
  </si>
  <si>
    <t>HOLLAND CSD</t>
  </si>
  <si>
    <t>HOLLAND PATENT CSD</t>
  </si>
  <si>
    <t>HOLLEY CSD</t>
  </si>
  <si>
    <t>HOMER CSD</t>
  </si>
  <si>
    <t>HONEOYE CSD</t>
  </si>
  <si>
    <t>HONEOYE FALLS-LIMA CSD</t>
  </si>
  <si>
    <t>HOOSIC VALLEY CSD</t>
  </si>
  <si>
    <t>HOOSICK FALLS CSD</t>
  </si>
  <si>
    <t>HORNELL CITY SD</t>
  </si>
  <si>
    <t>HORSEHEADS CSD</t>
  </si>
  <si>
    <t>HUDSON CITY SD</t>
  </si>
  <si>
    <t>HUDSON FALLS CSD</t>
  </si>
  <si>
    <t>HUNTER-TANNERSVILLE CSD</t>
  </si>
  <si>
    <t>HUNTINGTON UFSD</t>
  </si>
  <si>
    <t>HYDE PARK CSD</t>
  </si>
  <si>
    <t>INDIAN LAKE CSD</t>
  </si>
  <si>
    <t>INDIAN RIVER CSD</t>
  </si>
  <si>
    <t>INLET COMN SD</t>
  </si>
  <si>
    <t>IROQUOIS CSD</t>
  </si>
  <si>
    <t>IRVINGTON UFSD</t>
  </si>
  <si>
    <t>ISLAND PARK UFSD</t>
  </si>
  <si>
    <t>ISLAND TREES UFSD</t>
  </si>
  <si>
    <t>ISLIP UFSD</t>
  </si>
  <si>
    <t>ITHACA CITY SD</t>
  </si>
  <si>
    <t>JAMESTOWN CITY SD</t>
  </si>
  <si>
    <t>JAMESVILLE-DEWITT CSD</t>
  </si>
  <si>
    <t>JASPER-TROUPSBURG CSD</t>
  </si>
  <si>
    <t>JEFFERSON CSD</t>
  </si>
  <si>
    <t>JERICHO UFSD</t>
  </si>
  <si>
    <t>JOHNSBURG CSD</t>
  </si>
  <si>
    <t>JOHNSON CITY CSD</t>
  </si>
  <si>
    <t>JOHNSTOWN CITY SD</t>
  </si>
  <si>
    <t>JORDAN-ELBRIDGE CSD</t>
  </si>
  <si>
    <t>KATONAH-LEWISBORO UFSD</t>
  </si>
  <si>
    <t>KEENE CSD</t>
  </si>
  <si>
    <t>KENDALL CSD</t>
  </si>
  <si>
    <t>KENMORE-TONAWANDA UFSD</t>
  </si>
  <si>
    <t>KINDERHOOK CSD</t>
  </si>
  <si>
    <t>KINGS PARK CSD</t>
  </si>
  <si>
    <t>KINGSTON CITY SD</t>
  </si>
  <si>
    <t>KIRYAS JOEL VILLAGE UFSD</t>
  </si>
  <si>
    <t>LA FARGEVILLE CSD</t>
  </si>
  <si>
    <t>LACKAWANNA CITY SD</t>
  </si>
  <si>
    <t>LAFAYETTE CSD</t>
  </si>
  <si>
    <t>LAKE GEORGE CSD</t>
  </si>
  <si>
    <t>LAKE PLACID CSD</t>
  </si>
  <si>
    <t>LAKE PLEASANT CSD</t>
  </si>
  <si>
    <t>LAKELAND CSD</t>
  </si>
  <si>
    <t>LANCASTER CSD</t>
  </si>
  <si>
    <t>LANSING CSD</t>
  </si>
  <si>
    <t>LANSINGBURGH CSD</t>
  </si>
  <si>
    <t>LAURENS CSD</t>
  </si>
  <si>
    <t>LAWRENCE UFSD</t>
  </si>
  <si>
    <t>LE ROY CSD</t>
  </si>
  <si>
    <t>LETCHWORTH CSD</t>
  </si>
  <si>
    <t>LEVITTOWN UFSD</t>
  </si>
  <si>
    <t>LEWISTON-PORTER CSD</t>
  </si>
  <si>
    <t>LIBERTY CSD</t>
  </si>
  <si>
    <t>LINDENHURST UFSD</t>
  </si>
  <si>
    <t>LISBON CSD</t>
  </si>
  <si>
    <t>LITTLE FALLS CITY SD</t>
  </si>
  <si>
    <t>LIVERPOOL CSD</t>
  </si>
  <si>
    <t>LIVINGSTON MANOR CSD</t>
  </si>
  <si>
    <t>LIVONIA CSD</t>
  </si>
  <si>
    <t>LOCKPORT CITY SD</t>
  </si>
  <si>
    <t>LOCUST VALLEY CSD</t>
  </si>
  <si>
    <t>LONG BEACH CITY SD</t>
  </si>
  <si>
    <t>LONG LAKE CSD</t>
  </si>
  <si>
    <t>LONGWOOD CSD</t>
  </si>
  <si>
    <t>LOWVILLE ACADEMY &amp; CSD</t>
  </si>
  <si>
    <t>LYME CSD</t>
  </si>
  <si>
    <t>LYNBROOK UFSD</t>
  </si>
  <si>
    <t>LYNCOURT UFSD</t>
  </si>
  <si>
    <t>LYNDONVILLE CSD</t>
  </si>
  <si>
    <t>LYONS CSD</t>
  </si>
  <si>
    <t>MADISON CSD</t>
  </si>
  <si>
    <t>MADRID-WADDINGTON CSD</t>
  </si>
  <si>
    <t>MAHOPAC CSD</t>
  </si>
  <si>
    <t>MAINE-ENDWELL CSD</t>
  </si>
  <si>
    <t>MALONE CSD</t>
  </si>
  <si>
    <t>MALVERNE UFSD</t>
  </si>
  <si>
    <t>MAMARONECK UFSD</t>
  </si>
  <si>
    <t>MANCHESTER-SHORTSVILLE CSD (RED JACK</t>
  </si>
  <si>
    <t>MANHASSET UFSD</t>
  </si>
  <si>
    <t>MARATHON CSD</t>
  </si>
  <si>
    <t>MARCELLUS CSD</t>
  </si>
  <si>
    <t>MARGARETVILLE CSD</t>
  </si>
  <si>
    <t>MARION CSD</t>
  </si>
  <si>
    <t>MARLBORO CSD</t>
  </si>
  <si>
    <t>MASSAPEQUA UFSD</t>
  </si>
  <si>
    <t>MASSENA CSD</t>
  </si>
  <si>
    <t>MATTITUCK-CUTCHOGUE UFSD</t>
  </si>
  <si>
    <t>MAYFIELD CSD</t>
  </si>
  <si>
    <t>MCGRAW CSD</t>
  </si>
  <si>
    <t>MECHANICVILLE CITY SD</t>
  </si>
  <si>
    <t>MEDINA CSD</t>
  </si>
  <si>
    <t>MENANDS UFSD</t>
  </si>
  <si>
    <t>MERRICK UFSD</t>
  </si>
  <si>
    <t>MEXICO CSD</t>
  </si>
  <si>
    <t>MIDDLE COUNTRY CSD</t>
  </si>
  <si>
    <t>MIDDLEBURGH CSD</t>
  </si>
  <si>
    <t>MIDDLETOWN CITY SD</t>
  </si>
  <si>
    <t>MILFORD CSD</t>
  </si>
  <si>
    <t>MILLBROOK CSD</t>
  </si>
  <si>
    <t>MILLER PLACE UFSD</t>
  </si>
  <si>
    <t>MINEOLA UFSD</t>
  </si>
  <si>
    <t>MINERVA CSD</t>
  </si>
  <si>
    <t>MINISINK VALLEY CSD</t>
  </si>
  <si>
    <t>MONROE-WOODBURY CSD</t>
  </si>
  <si>
    <t>MONTAUK UFSD</t>
  </si>
  <si>
    <t>MONTICELLO CSD</t>
  </si>
  <si>
    <t>MORAVIA CSD</t>
  </si>
  <si>
    <t>MORIAH CSD</t>
  </si>
  <si>
    <t>MORRIS CSD</t>
  </si>
  <si>
    <t>MORRISTOWN CSD</t>
  </si>
  <si>
    <t>MORRISVILLE-EATON CSD</t>
  </si>
  <si>
    <t>MOUNT MARKHAM CSD</t>
  </si>
  <si>
    <t>MT MORRIS CSD</t>
  </si>
  <si>
    <t>MT PLEASANT CSD</t>
  </si>
  <si>
    <t>MT SINAI UFSD</t>
  </si>
  <si>
    <t>MT VERNON SCHOOL DISTRICT</t>
  </si>
  <si>
    <t>NANUET UFSD</t>
  </si>
  <si>
    <t>NAPLES CSD</t>
  </si>
  <si>
    <t>NEW HARTFORD CSD</t>
  </si>
  <si>
    <t>NEW HYDE PARK-GARDEN CITY PARK UFSD</t>
  </si>
  <si>
    <t>NEW LEBANON CSD</t>
  </si>
  <si>
    <t>NEW PALTZ CSD</t>
  </si>
  <si>
    <t>NEW ROCHELLE CITY SD</t>
  </si>
  <si>
    <t>NEW SUFFOLK COMN SD</t>
  </si>
  <si>
    <t>NEWARK CSD</t>
  </si>
  <si>
    <t>NEWARK VALLEY CSD</t>
  </si>
  <si>
    <t>NEWBURGH CITY SD</t>
  </si>
  <si>
    <t>NEWCOMB CSD</t>
  </si>
  <si>
    <t>NEWFANE CSD</t>
  </si>
  <si>
    <t>NEWFIELD CSD</t>
  </si>
  <si>
    <t>NIAGARA FALLS CITY SD</t>
  </si>
  <si>
    <t>NIAGARA-WHEATFIELD CSD</t>
  </si>
  <si>
    <t>NISKAYUNA CSD</t>
  </si>
  <si>
    <t>NORTH BABYLON UFSD</t>
  </si>
  <si>
    <t>NORTH BELLMORE UFSD</t>
  </si>
  <si>
    <t>NORTH COLLINS CSD</t>
  </si>
  <si>
    <t>NORTH COLONIE CSD</t>
  </si>
  <si>
    <t>NORTH GREENBUSH COMN SD (WILLIAMS)</t>
  </si>
  <si>
    <t>NORTH MERRICK UFSD</t>
  </si>
  <si>
    <t>NORTH ROSE-WOLCOTT CSD</t>
  </si>
  <si>
    <t>NORTH SALEM CSD</t>
  </si>
  <si>
    <t>NORTH SHORE CSD</t>
  </si>
  <si>
    <t>NORTH SYRACUSE CSD</t>
  </si>
  <si>
    <t>NORTH TONAWANDA CITY SD</t>
  </si>
  <si>
    <t>NORTH WARREN CSD</t>
  </si>
  <si>
    <t>NORTHEAST CSD</t>
  </si>
  <si>
    <t>NORTHEASTERN CLINTON CSD</t>
  </si>
  <si>
    <t>NORTHERN ADIRONDACK CSD</t>
  </si>
  <si>
    <t>NORTHPORT-EAST NORTHPORT UFSD</t>
  </si>
  <si>
    <t>NORTHVILLE CSD</t>
  </si>
  <si>
    <t>NORWICH CITY SD</t>
  </si>
  <si>
    <t>NORWOOD-NORFOLK CSD</t>
  </si>
  <si>
    <t>NY MILLS UFSD</t>
  </si>
  <si>
    <t>NYACK UFSD</t>
  </si>
  <si>
    <t>NYC CHANCELLOR'S OFFICE</t>
  </si>
  <si>
    <t>OAKFIELD-ALABAMA CSD</t>
  </si>
  <si>
    <t>OCEANSIDE UFSD</t>
  </si>
  <si>
    <t>ODESSA-MONTOUR CSD</t>
  </si>
  <si>
    <t>OGDENSBURG CITY SD</t>
  </si>
  <si>
    <t>OLEAN CITY SD</t>
  </si>
  <si>
    <t>ONEIDA CITY SD</t>
  </si>
  <si>
    <t>ONEONTA CITY SD</t>
  </si>
  <si>
    <t>ONONDAGA CSD</t>
  </si>
  <si>
    <t>ONTEORA CSD</t>
  </si>
  <si>
    <t>OPPENHEIM-EPHRATAH-ST. JOHNSVILLE CSD</t>
  </si>
  <si>
    <t>ORCHARD PARK CSD</t>
  </si>
  <si>
    <t>ORISKANY CSD</t>
  </si>
  <si>
    <t>OSSINING UFSD</t>
  </si>
  <si>
    <t>OSWEGO CITY SD</t>
  </si>
  <si>
    <t>OTEGO-UNADILLA CSD</t>
  </si>
  <si>
    <t>OWEGO-APALACHIN CSD</t>
  </si>
  <si>
    <t>OXFORD ACADEMY &amp; CSD</t>
  </si>
  <si>
    <t>OYSTER BAY-EAST NORWICH CSD</t>
  </si>
  <si>
    <t>OYSTERPONDS UFSD</t>
  </si>
  <si>
    <t>PALMYRA-MACEDON CSD</t>
  </si>
  <si>
    <t>PANAMA CSD</t>
  </si>
  <si>
    <t>PARISHVILLE-HOPKINTON CSD</t>
  </si>
  <si>
    <t>PATCHOGUE-MEDFORD UFSD</t>
  </si>
  <si>
    <t>PAVILION CSD</t>
  </si>
  <si>
    <t>PAWLING CSD</t>
  </si>
  <si>
    <t>PEARL RIVER UFSD</t>
  </si>
  <si>
    <t>PEEKSKILL CITY SD</t>
  </si>
  <si>
    <t>PELHAM UFSD</t>
  </si>
  <si>
    <t>PEMBROKE CSD</t>
  </si>
  <si>
    <t>PENFIELD CSD</t>
  </si>
  <si>
    <t>PENN YAN CSD</t>
  </si>
  <si>
    <t>PERRY CSD</t>
  </si>
  <si>
    <t>PERU CSD</t>
  </si>
  <si>
    <t>PHELPS-CLIFTON SPRINGS CSD</t>
  </si>
  <si>
    <t>PHOENIX CSD</t>
  </si>
  <si>
    <t>PINE BUSH CSD</t>
  </si>
  <si>
    <t>PINE PLAINS CSD</t>
  </si>
  <si>
    <t>PINE VALLEY CSD (SOUTH DAYTON)</t>
  </si>
  <si>
    <t>PITTSFORD CSD</t>
  </si>
  <si>
    <t>PLAINEDGE UFSD</t>
  </si>
  <si>
    <t>PLAINVIEW-OLD BETHPAGE CSD</t>
  </si>
  <si>
    <t>PLATTSBURGH CITY SD</t>
  </si>
  <si>
    <t>PLEASANTVILLE UFSD</t>
  </si>
  <si>
    <t>POCANTICO HILLS CSD</t>
  </si>
  <si>
    <t>POLAND CSD</t>
  </si>
  <si>
    <t>PORT BYRON CSD</t>
  </si>
  <si>
    <t>PORT CHESTER-RYE UFSD</t>
  </si>
  <si>
    <t>PORT JEFFERSON UFSD</t>
  </si>
  <si>
    <t>PORT JERVIS CITY SD</t>
  </si>
  <si>
    <t>PORT WASHINGTON UFSD</t>
  </si>
  <si>
    <t>PORTVILLE CSD</t>
  </si>
  <si>
    <t>POTSDAM CSD</t>
  </si>
  <si>
    <t>POUGHKEEPSIE CITY SD</t>
  </si>
  <si>
    <t>PRATTSBURGH CSD</t>
  </si>
  <si>
    <t>PULASKI CSD</t>
  </si>
  <si>
    <t>PUTNAM CSD</t>
  </si>
  <si>
    <t>PUTNAM VALLEY CSD</t>
  </si>
  <si>
    <t>QUEENSBURY UFSD</t>
  </si>
  <si>
    <t>QUOGUE UFSD</t>
  </si>
  <si>
    <t>RAMAPO CSD (SUFFERN)</t>
  </si>
  <si>
    <t>RANDOLPH CSD</t>
  </si>
  <si>
    <t>RAVENA-COEYMANS-SELKIRK CSD</t>
  </si>
  <si>
    <t>RED CREEK CSD</t>
  </si>
  <si>
    <t>RED HOOK CSD</t>
  </si>
  <si>
    <t>REMSEN CSD</t>
  </si>
  <si>
    <t>REMSENBURG-SPEONK UFSD</t>
  </si>
  <si>
    <t>RENSSELAER CITY SD</t>
  </si>
  <si>
    <t>RHINEBECK CSD</t>
  </si>
  <si>
    <t>RICHFIELD SPRINGS CSD</t>
  </si>
  <si>
    <t>RIPLEY CSD</t>
  </si>
  <si>
    <t>RIVERHEAD CSD</t>
  </si>
  <si>
    <t>ROCHESTER CITY SD</t>
  </si>
  <si>
    <t>ROCKVILLE CENTRE UFSD</t>
  </si>
  <si>
    <t>ROCKY POINT UFSD</t>
  </si>
  <si>
    <t>ROME CITY SD</t>
  </si>
  <si>
    <t>ROMULUS CSD</t>
  </si>
  <si>
    <t>RONDOUT VALLEY CSD</t>
  </si>
  <si>
    <t>ROOSEVELT UFSD</t>
  </si>
  <si>
    <t>ROSCOE CSD</t>
  </si>
  <si>
    <t>ROSLYN UFSD</t>
  </si>
  <si>
    <t>ROTTERDAM-MOHONASEN CSD</t>
  </si>
  <si>
    <t>ROXBURY CSD</t>
  </si>
  <si>
    <t>ROYALTON-HARTLAND CSD</t>
  </si>
  <si>
    <t>RUSH-HENRIETTA CSD</t>
  </si>
  <si>
    <t>RYE CITY SD</t>
  </si>
  <si>
    <t>RYE NECK UFSD</t>
  </si>
  <si>
    <t>SACHEM CSD</t>
  </si>
  <si>
    <t>SACKETS HARBOR CSD</t>
  </si>
  <si>
    <t>SAG HARBOR UFSD</t>
  </si>
  <si>
    <t>SAGAPONACK COMN SD</t>
  </si>
  <si>
    <t>SALAMANCA CITY SD</t>
  </si>
  <si>
    <t>SALEM CSD</t>
  </si>
  <si>
    <t>SALMON RIVER CSD</t>
  </si>
  <si>
    <t>SANDY CREEK CSD</t>
  </si>
  <si>
    <t>SARANAC CSD</t>
  </si>
  <si>
    <t>SARANAC LAKE CSD</t>
  </si>
  <si>
    <t>SARATOGA SPRINGS CITY SD</t>
  </si>
  <si>
    <t>SAUGERTIES CSD</t>
  </si>
  <si>
    <t>SAUQUOIT VALLEY CSD</t>
  </si>
  <si>
    <t>SAYVILLE UFSD</t>
  </si>
  <si>
    <t>SCARSDALE UFSD</t>
  </si>
  <si>
    <t>SCHALMONT CSD</t>
  </si>
  <si>
    <t>SCHENECTADY CITY SD</t>
  </si>
  <si>
    <t>SCHENEVUS CSD</t>
  </si>
  <si>
    <t>SCHODACK CSD</t>
  </si>
  <si>
    <t>SCHOHARIE CSD</t>
  </si>
  <si>
    <t>SCHROON LAKE CSD</t>
  </si>
  <si>
    <t>SCHUYLERVILLE CSD</t>
  </si>
  <si>
    <t>SCIO CSD</t>
  </si>
  <si>
    <t>SCOTIA-GLENVILLE CSD</t>
  </si>
  <si>
    <t>SEAFORD UFSD</t>
  </si>
  <si>
    <t>SENECA FALLS CSD</t>
  </si>
  <si>
    <t>SEWANHAKA CENTRAL HS DISTRICT</t>
  </si>
  <si>
    <t>SHARON SPRINGS CSD</t>
  </si>
  <si>
    <t>SHELTER ISLAND UFSD</t>
  </si>
  <si>
    <t>SHENENDEHOWA CSD</t>
  </si>
  <si>
    <t>SHERBURNE-EARLVILLE CSD</t>
  </si>
  <si>
    <t>SHERMAN CSD</t>
  </si>
  <si>
    <t>SHERRILL CITY SD</t>
  </si>
  <si>
    <t>SHOREHAM-WADING RIVER CSD</t>
  </si>
  <si>
    <t>SIDNEY CSD</t>
  </si>
  <si>
    <t>SILVER CREEK CSD</t>
  </si>
  <si>
    <t>SKANEATELES CSD</t>
  </si>
  <si>
    <t>SMITHTOWN CSD</t>
  </si>
  <si>
    <t>SODUS CSD</t>
  </si>
  <si>
    <t>SOLVAY UFSD</t>
  </si>
  <si>
    <t>SOMERS CSD</t>
  </si>
  <si>
    <t>SOUTH COLONIE CSD</t>
  </si>
  <si>
    <t>SOUTH COUNTRY CSD</t>
  </si>
  <si>
    <t>SOUTH GLENS FALLS CSD</t>
  </si>
  <si>
    <t>SOUTH HUNTINGTON UFSD</t>
  </si>
  <si>
    <t>SOUTH JEFFERSON CSD</t>
  </si>
  <si>
    <t>SOUTH KORTRIGHT CSD</t>
  </si>
  <si>
    <t>SOUTH LEWIS CSD</t>
  </si>
  <si>
    <t>SOUTH ORANGETOWN CSD</t>
  </si>
  <si>
    <t>SOUTH SENECA CSD</t>
  </si>
  <si>
    <t>SOUTHAMPTON UFSD</t>
  </si>
  <si>
    <t>SOUTHERN CAYUGA CSD</t>
  </si>
  <si>
    <t>SOUTHOLD UFSD</t>
  </si>
  <si>
    <t>SOUTHWESTERN CSD AT JAMESTOWN</t>
  </si>
  <si>
    <t>SPACKENKILL UFSD</t>
  </si>
  <si>
    <t>SPENCERPORT CSD</t>
  </si>
  <si>
    <t>SPENCER-VAN ETTEN CSD</t>
  </si>
  <si>
    <t>SPRINGS UFSD</t>
  </si>
  <si>
    <t>SPRINGVILLE-GRIFFITH INST CSD</t>
  </si>
  <si>
    <t>ST REGIS FALLS CSD</t>
  </si>
  <si>
    <t>STAMFORD CSD</t>
  </si>
  <si>
    <t>STARPOINT CSD</t>
  </si>
  <si>
    <t>STILLWATER CSD</t>
  </si>
  <si>
    <t>STOCKBRIDGE VALLEY CSD</t>
  </si>
  <si>
    <t>SULLIVAN WEST CSD</t>
  </si>
  <si>
    <t>SUSQUEHANNA VALLEY CSD</t>
  </si>
  <si>
    <t>SWEET HOME CSD</t>
  </si>
  <si>
    <t>SYOSSET CSD</t>
  </si>
  <si>
    <t>SYRACUSE CITY SD</t>
  </si>
  <si>
    <t>TACONIC HILLS CSD</t>
  </si>
  <si>
    <t>THOUSAND ISLANDS CSD</t>
  </si>
  <si>
    <t>THREE VILLAGE CSD</t>
  </si>
  <si>
    <t>TICONDEROGA CSD</t>
  </si>
  <si>
    <t>TIOGA CSD</t>
  </si>
  <si>
    <t>TONAWANDA CITY SD</t>
  </si>
  <si>
    <t>TOWN OF WEBB UFSD</t>
  </si>
  <si>
    <t>TRI-VALLEY CSD</t>
  </si>
  <si>
    <t>TROY CITY SD</t>
  </si>
  <si>
    <t>TRUMANSBURG CSD</t>
  </si>
  <si>
    <t>TUCKAHOE COMN SD</t>
  </si>
  <si>
    <t>TUCKAHOE UFSD</t>
  </si>
  <si>
    <t>TULLY CSD</t>
  </si>
  <si>
    <t>TUPPER LAKE CSD</t>
  </si>
  <si>
    <t>TUXEDO UFSD</t>
  </si>
  <si>
    <t>UFSD-TARRYTOWNS</t>
  </si>
  <si>
    <t>UNADILLA VALLEY CSD</t>
  </si>
  <si>
    <t>UNION SPRINGS CSD</t>
  </si>
  <si>
    <t>UNIONDALE UFSD</t>
  </si>
  <si>
    <t>UNION-ENDICOTT CSD</t>
  </si>
  <si>
    <t>UTICA CITY SD</t>
  </si>
  <si>
    <t>VALHALLA UFSD</t>
  </si>
  <si>
    <t>VALLEY CSD (MONTGOMERY)</t>
  </si>
  <si>
    <t>VALLEY STREAM 13 UFSD</t>
  </si>
  <si>
    <t>VALLEY STREAM 24 UFSD</t>
  </si>
  <si>
    <t>VALLEY STREAM 30 UFSD</t>
  </si>
  <si>
    <t>VALLEY STREAM CENTRAL HS DISTRICT</t>
  </si>
  <si>
    <t>VAN HORNESVILLE-OWEN D YOUNG CSD</t>
  </si>
  <si>
    <t>VESTAL CSD</t>
  </si>
  <si>
    <t>VICTOR CSD</t>
  </si>
  <si>
    <t>VOORHEESVILLE CSD</t>
  </si>
  <si>
    <t>WAINSCOTT COMN SD</t>
  </si>
  <si>
    <t>WALLKILL CSD</t>
  </si>
  <si>
    <t>WALTON CSD</t>
  </si>
  <si>
    <t>WANTAGH UFSD</t>
  </si>
  <si>
    <t>WAPPINGERS CSD</t>
  </si>
  <si>
    <t>WARRENSBURG CSD</t>
  </si>
  <si>
    <t>WARSAW CSD</t>
  </si>
  <si>
    <t>WARWICK VALLEY CSD</t>
  </si>
  <si>
    <t>WASHINGTONVILLE CSD</t>
  </si>
  <si>
    <t>WATERFORD-HALFMOON UFSD</t>
  </si>
  <si>
    <t>WATERLOO CSD</t>
  </si>
  <si>
    <t>WATERTOWN CITY SD</t>
  </si>
  <si>
    <t>WATERVILLE CSD</t>
  </si>
  <si>
    <t>WATERVLIET CITY SD</t>
  </si>
  <si>
    <t>WATKINS GLEN CSD</t>
  </si>
  <si>
    <t>WAVERLY CSD</t>
  </si>
  <si>
    <t>WAYLAND-COHOCTON CSD</t>
  </si>
  <si>
    <t>WAYNE CSD</t>
  </si>
  <si>
    <t>WEBSTER CSD</t>
  </si>
  <si>
    <t>WEEDSPORT CSD</t>
  </si>
  <si>
    <t>WELLS CSD</t>
  </si>
  <si>
    <t>WELLSVILLE CSD</t>
  </si>
  <si>
    <t>WEST BABYLON UFSD</t>
  </si>
  <si>
    <t>WEST CANADA VALLEY CSD</t>
  </si>
  <si>
    <t>WEST GENESEE CSD</t>
  </si>
  <si>
    <t>WEST HEMPSTEAD UFSD</t>
  </si>
  <si>
    <t>WEST IRONDEQUOIT CSD</t>
  </si>
  <si>
    <t>WEST ISLIP UFSD</t>
  </si>
  <si>
    <t>WEST SENECA CSD</t>
  </si>
  <si>
    <t>WEST VALLEY CSD</t>
  </si>
  <si>
    <t>WESTBURY UFSD</t>
  </si>
  <si>
    <t>WESTFIELD CSD</t>
  </si>
  <si>
    <t>WESTHAMPTON BEACH UFSD</t>
  </si>
  <si>
    <t>WESTHILL CSD</t>
  </si>
  <si>
    <t>WESTMORELAND CSD</t>
  </si>
  <si>
    <t>WESTPORT CSD</t>
  </si>
  <si>
    <t>WHEATLAND-CHILI CSD</t>
  </si>
  <si>
    <t>WHEELERVILLE UFSD</t>
  </si>
  <si>
    <t>WHITE PLAINS CITY SD</t>
  </si>
  <si>
    <t>WHITEHALL CSD</t>
  </si>
  <si>
    <t>WHITESBORO CSD</t>
  </si>
  <si>
    <t>WHITESVILLE CSD</t>
  </si>
  <si>
    <t>WHITNEY POINT CSD</t>
  </si>
  <si>
    <t>WILLIAM FLOYD UFSD</t>
  </si>
  <si>
    <t>WILLIAMSON CSD</t>
  </si>
  <si>
    <t>WILLIAMSVILLE CSD</t>
  </si>
  <si>
    <t>WILLSBORO CSD</t>
  </si>
  <si>
    <t>WILSON CSD</t>
  </si>
  <si>
    <t>WINDHAM-ASHLAND-JEWETT CSD</t>
  </si>
  <si>
    <t>WINDSOR CSD</t>
  </si>
  <si>
    <t>WORCESTER CSD</t>
  </si>
  <si>
    <t>WYANDANCH UFSD</t>
  </si>
  <si>
    <t>WYNANTSKILL UFSD</t>
  </si>
  <si>
    <t>WYOMING CSD</t>
  </si>
  <si>
    <t>YONKERS CITY SD</t>
  </si>
  <si>
    <t>YORK CSD</t>
  </si>
  <si>
    <t>YORKSHIRE-PIONEER CSD</t>
  </si>
  <si>
    <t>YORKTOWN CSD</t>
  </si>
  <si>
    <t>* (Sum of Charter School Basic Tuition and Supplemental Basic Tuition)</t>
  </si>
  <si>
    <t>Final 2015-16 Basic Tuition*</t>
  </si>
  <si>
    <t>enter name</t>
  </si>
  <si>
    <t>enter title</t>
  </si>
  <si>
    <t>enter email address</t>
  </si>
  <si>
    <t>enter phone number</t>
  </si>
  <si>
    <t>SCHOOLS</t>
  </si>
  <si>
    <t>Academy Charter School, The</t>
  </si>
  <si>
    <t>Achievement First Brownsville Charter School</t>
  </si>
  <si>
    <t>Achievement First Bushwick Charter School</t>
  </si>
  <si>
    <t>Achievement First Apollo Charter School</t>
  </si>
  <si>
    <t>Albany Community Charter School</t>
  </si>
  <si>
    <t>Albany Leadership Charter High School for Girls</t>
  </si>
  <si>
    <t>Amber Charter School</t>
  </si>
  <si>
    <t>Bedford Stuyvesant Collegiate Charter School</t>
  </si>
  <si>
    <t>Bronx Charter School for Better Learning</t>
  </si>
  <si>
    <t>Bronx Charter School for Excellence</t>
  </si>
  <si>
    <t>Bronx Preparatory Charter School</t>
  </si>
  <si>
    <t>Brooklyn Dreams Charter School</t>
  </si>
  <si>
    <t>Brooklyn Excelsior Charter School</t>
  </si>
  <si>
    <t>Brooklyn Prospect Charter School</t>
  </si>
  <si>
    <t>Brownsville Collegiate Charter School</t>
  </si>
  <si>
    <t>Buffalo United Charter School</t>
  </si>
  <si>
    <t>Community Partnership Charter School</t>
  </si>
  <si>
    <t>Ocean Hill Collegiate Charter School</t>
  </si>
  <si>
    <t>Brooklyn East Collegiate Charter School</t>
  </si>
  <si>
    <t>Eugenio Maria de Hostos Charter School</t>
  </si>
  <si>
    <t>Excellence Boys Charter School of Bedford Stuyvesant</t>
  </si>
  <si>
    <t>Excellence Girls Charter School</t>
  </si>
  <si>
    <t>Family Life Academy Charter School</t>
  </si>
  <si>
    <t>Girls Preparatory Charter School of New York</t>
  </si>
  <si>
    <t>Girls Preparatory Charter School of the Bronx</t>
  </si>
  <si>
    <t>Grand Concourse Academy Charter School</t>
  </si>
  <si>
    <t>University Prep Charter High School</t>
  </si>
  <si>
    <t>Green Tech High Charter School</t>
  </si>
  <si>
    <t>Harbor Science and Arts Charter School</t>
  </si>
  <si>
    <t>Harlem Prep Charter School</t>
  </si>
  <si>
    <t>Harlem Link Charter School</t>
  </si>
  <si>
    <t>Success Academy Charter School - Harlem 2</t>
  </si>
  <si>
    <t>Success Academy Charter School - Harlem 3</t>
  </si>
  <si>
    <t>Success Academy Charter School - Harlem 4</t>
  </si>
  <si>
    <t>Success Academy Charter School - Harlem 5</t>
  </si>
  <si>
    <t>Success Academy Charter School - Bronx 2</t>
  </si>
  <si>
    <t>Success Academy Charter School - Bronx 1</t>
  </si>
  <si>
    <t>Harlem Village Academy Charter School</t>
  </si>
  <si>
    <t>Harlem Village Academy Leadership Charter School</t>
  </si>
  <si>
    <t>Henry Johnson Charter School</t>
  </si>
  <si>
    <t>Icahn Charter School 1</t>
  </si>
  <si>
    <t>Icahn Charter School 2</t>
  </si>
  <si>
    <t>Icahn Charter School 3</t>
  </si>
  <si>
    <t>Icahn Charter School 4</t>
  </si>
  <si>
    <t>Icahn Charter School 5</t>
  </si>
  <si>
    <t>King Center Charter School</t>
  </si>
  <si>
    <t>Kings Collegiate Charter School</t>
  </si>
  <si>
    <t>KIPP Tech Valley Charter School</t>
  </si>
  <si>
    <t>Leadership Preparatory Bedford Stuyvesant Charter School</t>
  </si>
  <si>
    <t>Leadership Preparatory Brownsville Charter School</t>
  </si>
  <si>
    <t>Leadership Preparatory Ocean Hill Charter School</t>
  </si>
  <si>
    <t>Leadership Preparatory Canarsie Charter School</t>
  </si>
  <si>
    <t>Merrick Academy - Queens Public Charter School</t>
  </si>
  <si>
    <t>New Hope Academy Charter School</t>
  </si>
  <si>
    <t>New Roots Charter School</t>
  </si>
  <si>
    <t>New World Preparatory Charter School</t>
  </si>
  <si>
    <t>Oracle Charter School</t>
  </si>
  <si>
    <t>Our World Neighborhood Charter School</t>
  </si>
  <si>
    <t>Roosevelt Children's Academy Charter School</t>
  </si>
  <si>
    <t>Sisulu-Walker Charter School of Harlem</t>
  </si>
  <si>
    <t>South Buffalo Charter School</t>
  </si>
  <si>
    <t>Tapestry Charter School</t>
  </si>
  <si>
    <t>True North Rochester Preparatory Charter School</t>
  </si>
  <si>
    <t>True North Troy Preparatory Charter School</t>
  </si>
  <si>
    <t>University Preparatory Charter School for Young Men</t>
  </si>
  <si>
    <t>UFT Charter School</t>
  </si>
  <si>
    <t>Academy of the City Charter School</t>
  </si>
  <si>
    <t>Success Academy Charter School - Bed Stuy 1</t>
  </si>
  <si>
    <t>Broome Street Academy Charter High School</t>
  </si>
  <si>
    <t>East Harlem Scholars Academy Charter School</t>
  </si>
  <si>
    <t>Explore Excel Charter School</t>
  </si>
  <si>
    <t>Invictus Preparatory Charter School</t>
  </si>
  <si>
    <t>New Visions Charter High School for Advanced Math and Science</t>
  </si>
  <si>
    <t>New Visions Charter High School for the Humanities</t>
  </si>
  <si>
    <t>True North Rochester Preparatory Charter School - West Campus</t>
  </si>
  <si>
    <t>Success Academy Charter School - Upper West</t>
  </si>
  <si>
    <t>Achievement First Aspire Charter School</t>
  </si>
  <si>
    <t>Beginning with Children Charter School II</t>
  </si>
  <si>
    <t>Success Academy Charter School - Bed Stuy 2</t>
  </si>
  <si>
    <t>Success Academy Charter School - Cobble Hill</t>
  </si>
  <si>
    <t>Success Academy Charter School - Williamsburg</t>
  </si>
  <si>
    <t>Canarsie Ascend Charter School</t>
  </si>
  <si>
    <t>Central Queens Academy Charter School</t>
  </si>
  <si>
    <t>Children's Aid College Prep Charter School</t>
  </si>
  <si>
    <t>Explore Exceed Charter School</t>
  </si>
  <si>
    <t>Family Life Academy Charter School II</t>
  </si>
  <si>
    <t>Heketi Community Charter School</t>
  </si>
  <si>
    <t>Icahn Charter School 6</t>
  </si>
  <si>
    <t>Icahn Charter School 7</t>
  </si>
  <si>
    <t>Manhattan Charter School II</t>
  </si>
  <si>
    <t>ROADS Charter School I</t>
  </si>
  <si>
    <t>ROADS Charter School II</t>
  </si>
  <si>
    <t>Tech International Charter School</t>
  </si>
  <si>
    <t>Boys Preparatory Charter School of New York</t>
  </si>
  <si>
    <t>Success Academy Charter School - Fort Greene</t>
  </si>
  <si>
    <t>Success Academy Charter School - Prospect Heights</t>
  </si>
  <si>
    <t>Success Academy Charter School - Crown Heights</t>
  </si>
  <si>
    <t>Success Academy Charter School - Hell's Kitchen</t>
  </si>
  <si>
    <t>Success Academy Charter School - Union Square</t>
  </si>
  <si>
    <t>Success Academy Charter School - Bronx 3</t>
  </si>
  <si>
    <t>Explore Enrich Charter School</t>
  </si>
  <si>
    <t>Explore Envision Charter School</t>
  </si>
  <si>
    <t>Citizens of the World New York Charter School - Williamsburg</t>
  </si>
  <si>
    <t>Citizens of the World Charter School New York - Crown Heights</t>
  </si>
  <si>
    <t>East Harlem Scholars Academy Charter School II</t>
  </si>
  <si>
    <t>Achievement First North Brooklyn Preparatory Charter School</t>
  </si>
  <si>
    <t>Rochester Preparatory Charter School 3</t>
  </si>
  <si>
    <t>Central Brooklyn Ascend Charter School</t>
  </si>
  <si>
    <t>Middle Village Preparatory Charter School</t>
  </si>
  <si>
    <t>PUC Achieve Charter School</t>
  </si>
  <si>
    <t>Family Life Academy Charter School III</t>
  </si>
  <si>
    <t>Achievement First Linden Charter School</t>
  </si>
  <si>
    <t>Success Academy Charter School - Washington Heights</t>
  </si>
  <si>
    <t>Success Academy Charter School - Bronx 4</t>
  </si>
  <si>
    <t>Success Academy Charter School - Bensonhurst</t>
  </si>
  <si>
    <t>Success Academy Charter School - Bergen Beach</t>
  </si>
  <si>
    <t>Success Academy Charter School - Rosedale</t>
  </si>
  <si>
    <t>Success Academy Charter School - Springfield Gardens</t>
  </si>
  <si>
    <t>Success Academy Charter School - Harlem 1</t>
  </si>
  <si>
    <t>Amber Charter School II</t>
  </si>
  <si>
    <t>Atmosphere Academy Public Charter School</t>
  </si>
  <si>
    <t>Bronx Charter School for Better Learning II</t>
  </si>
  <si>
    <t>Brooklyn Prospect Charter School - Downtown</t>
  </si>
  <si>
    <t>Finn Academy: An Elmira Charter School</t>
  </si>
  <si>
    <t>International Charter School of New York, The</t>
  </si>
  <si>
    <t>Storefront Academy Charter School</t>
  </si>
  <si>
    <t>Explore Charter School</t>
  </si>
  <si>
    <t>Explore Empower Charter School</t>
  </si>
  <si>
    <t>Williamsburg Collegiate Charter School</t>
  </si>
  <si>
    <t>New York City Charter School of the Arts</t>
  </si>
  <si>
    <t>Bronx Charter School for Excellence 2</t>
  </si>
  <si>
    <t>Achievement First Crown Heights Charter School</t>
  </si>
  <si>
    <t>Achievement First East New York Charter School</t>
  </si>
  <si>
    <t>Achievement First Endeavor Charter School</t>
  </si>
  <si>
    <t>Brooklyn Ascend Charter School</t>
  </si>
  <si>
    <t>Brownsville Ascend Charter School</t>
  </si>
  <si>
    <t>Bushwick Ascend Charter School</t>
  </si>
  <si>
    <t>Manhattan Charter School</t>
  </si>
  <si>
    <r>
      <t xml:space="preserve">Select from drop-down list </t>
    </r>
    <r>
      <rPr>
        <sz val="11.5"/>
        <rFont val="Calibri"/>
        <family val="2"/>
      </rPr>
      <t>→</t>
    </r>
  </si>
  <si>
    <r>
      <t xml:space="preserve">Select grade 5 level from drop-down list </t>
    </r>
    <r>
      <rPr>
        <sz val="11.5"/>
        <rFont val="Calibri"/>
        <family val="2"/>
      </rPr>
      <t>→</t>
    </r>
  </si>
  <si>
    <r>
      <t xml:space="preserve">(Select from drop-down list) </t>
    </r>
    <r>
      <rPr>
        <b/>
        <sz val="11.5"/>
        <rFont val="Calibri"/>
        <family val="2"/>
      </rPr>
      <t>→</t>
    </r>
  </si>
  <si>
    <t>(Select from drop-down list) →</t>
  </si>
  <si>
    <t>Charter School Tuition Rates</t>
  </si>
  <si>
    <t>Name:</t>
  </si>
  <si>
    <t>2016-17</t>
  </si>
  <si>
    <t>CONTACT INFORMATION</t>
  </si>
  <si>
    <t>REPORT PERIOD</t>
  </si>
  <si>
    <t>SCHOOL</t>
  </si>
  <si>
    <t>MergedEdCorp</t>
  </si>
  <si>
    <t>NA</t>
  </si>
  <si>
    <t>MergeCorpID</t>
  </si>
  <si>
    <t>MergeName</t>
  </si>
  <si>
    <t>Achievement First Brooklyn Charter Schools</t>
  </si>
  <si>
    <t>Ascend Charter Schools</t>
  </si>
  <si>
    <t>Community Partnership Charter School Education Corporation</t>
  </si>
  <si>
    <t>Citizens of the World Charter School New York 1</t>
  </si>
  <si>
    <t>Explore Charter Schools of Brooklyn</t>
  </si>
  <si>
    <t>Manhattan Charter Schools</t>
  </si>
  <si>
    <t>Public Prep Charter School Academies</t>
  </si>
  <si>
    <t>Success Academy Charter Schools - NYC</t>
  </si>
  <si>
    <t>YrOpen</t>
  </si>
  <si>
    <t>MergeYr</t>
  </si>
  <si>
    <t>Achievement First Voyager Charter School</t>
  </si>
  <si>
    <r>
      <t xml:space="preserve">Select from drop-down list </t>
    </r>
    <r>
      <rPr>
        <sz val="10"/>
        <color theme="1"/>
        <rFont val="Calibri"/>
        <family val="2"/>
      </rPr>
      <t>→</t>
    </r>
  </si>
  <si>
    <t>Select from drop-down list →</t>
  </si>
  <si>
    <t>QTR</t>
  </si>
  <si>
    <t>DATA-INPUT</t>
  </si>
  <si>
    <t>RESULT</t>
  </si>
  <si>
    <t>Most Recent Qtr with Data:</t>
  </si>
  <si>
    <t>QUARTER DATA-INPUT CHECKER</t>
  </si>
  <si>
    <t>*This simply indicates that at least one (1) data item was input for each given quarter.</t>
  </si>
  <si>
    <r>
      <rPr>
        <b/>
        <i/>
        <sz val="11.5"/>
        <rFont val="Calibri"/>
        <family val="2"/>
        <scheme val="minor"/>
      </rPr>
      <t>*NOTE:</t>
    </r>
    <r>
      <rPr>
        <i/>
        <sz val="11.5"/>
        <rFont val="Calibri"/>
        <family val="2"/>
        <scheme val="minor"/>
      </rPr>
      <t xml:space="preserve">  State the assumptions that are being made for personnel FTE levels.</t>
    </r>
  </si>
  <si>
    <r>
      <rPr>
        <b/>
        <i/>
        <sz val="11.5"/>
        <rFont val="Calibri"/>
        <family val="2"/>
        <scheme val="minor"/>
      </rPr>
      <t>*NOTE:</t>
    </r>
    <r>
      <rPr>
        <i/>
        <sz val="11.5"/>
        <rFont val="Calibri"/>
        <family val="2"/>
        <scheme val="minor"/>
      </rPr>
      <t xml:space="preserve">  If there are NO budget revisions at the time of quarterly submittal leave the 'REVISED' Column(s) COMPLETELY BLANK.
If budget revisions ARE made, the entire "REVISED" budget columns for the affected quarter(s) must be completed on tabs 2, 3 and 4.</t>
    </r>
  </si>
  <si>
    <r>
      <rPr>
        <b/>
        <i/>
        <sz val="11.5"/>
        <rFont val="Calibri"/>
        <family val="2"/>
        <scheme val="minor"/>
      </rPr>
      <t xml:space="preserve">*NOTE:  </t>
    </r>
    <r>
      <rPr>
        <i/>
        <sz val="11.5"/>
        <rFont val="Calibri"/>
        <family val="2"/>
        <scheme val="minor"/>
      </rPr>
      <t>Each quarter, the actual FTE should be input.</t>
    </r>
  </si>
  <si>
    <r>
      <rPr>
        <b/>
        <sz val="11.5"/>
        <rFont val="Calibri"/>
        <family val="2"/>
        <scheme val="minor"/>
      </rPr>
      <t>*NOTE:</t>
    </r>
    <r>
      <rPr>
        <sz val="11.5"/>
        <rFont val="Calibri"/>
        <family val="2"/>
        <scheme val="minor"/>
      </rPr>
      <t xml:space="preserv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</si>
  <si>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r>
      <rPr>
        <b/>
        <sz val="11.5"/>
        <rFont val="Calibri"/>
        <family val="2"/>
        <scheme val="minor"/>
      </rPr>
      <t xml:space="preserve">*NOTE: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</si>
  <si>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t>PPR %/Qtr-&gt;</t>
  </si>
  <si>
    <t>TOTAL</t>
  </si>
  <si>
    <t>BS-NeedCode</t>
  </si>
  <si>
    <t>0=EdCorp(StandAlone)</t>
  </si>
  <si>
    <t>1=EdCorp(SurvivingMerge)</t>
  </si>
  <si>
    <t>2=School(Merged)</t>
  </si>
  <si>
    <t>BS_Note_Code</t>
  </si>
  <si>
    <t>BSMessages</t>
  </si>
  <si>
    <t>BSNote1</t>
  </si>
  <si>
    <t>&gt;Select school name from list.
&gt;Enter contact information.</t>
  </si>
  <si>
    <t>Enter enrollment information for Annual Budget (&amp; Revisions) and Quarterly Actuals.  Includes:
&gt;Enrollment by Grade
&gt;Enrollment by District</t>
  </si>
  <si>
    <t>Enter staffing plan information for Annual Budget (&amp; Revisions) and Quarterly Actuals.  Includes:
&gt;Full Time Equivalent (FTE), by Position Category, By Quarter</t>
  </si>
  <si>
    <t>Allocate Per Pupil Revenue by Quarter</t>
  </si>
  <si>
    <t>Enter Balance Sheet information for EdCorps.  Separate schools merged into a primary EdCorp should NOT use this tab.
&gt;"Pior Year" column may be completed based upon preliminary data, and adjusted with Annual Audited data when the Quarter 2 Actuals are being submitted.</t>
  </si>
  <si>
    <r>
      <t xml:space="preserve">Enter Yearly Budget information.  Includes:
&gt;"Pior Year" column may be completed based upon preliminary data, and adjusted with Annual Audited data when the Quarter 2 Actuals are being submitted. (Note: Quarterly Revenue allocation may be set)
&gt;Budgeted Enrollment data and Per Pupil Revenue for the current year are populated based upon input on tab "2.) Enrollment."
&gt;Budgeted FTE for current year is populated based upon input on tab "3.) Staffing Plan."
&gt;All other sources of revenue
&gt;All expenses
&gt;Budget Revisions, as necessary and </t>
    </r>
    <r>
      <rPr>
        <i/>
        <sz val="11.5"/>
        <rFont val="Calibri"/>
        <family val="2"/>
        <scheme val="minor"/>
      </rPr>
      <t>approved</t>
    </r>
    <r>
      <rPr>
        <sz val="11.5"/>
        <rFont val="Calibri"/>
        <family val="2"/>
        <scheme val="minor"/>
      </rPr>
      <t xml:space="preserve"> by the school's Board of Directors, should be submitted when submitting Quarterly Actuals.</t>
    </r>
  </si>
  <si>
    <t>Final 2016-17 Basic Tuition*</t>
  </si>
  <si>
    <t>Enter Actual Quarterly Report information .  Includes:
&gt;Actual Enrollment data and Per Pupil Revenue for the current year are populated based upon input on tab "2.) Enrollment."
&gt;Actual FTE for current year is populated based upon input on tab
"3.) Staffing Plan."
&gt;All other sources of revenue
&gt;All expenses</t>
  </si>
  <si>
    <t>Success Academy Charter School - Bed Stuy 3</t>
  </si>
  <si>
    <t>Success Academy Charter School - Bushwick</t>
  </si>
  <si>
    <t>Success Academy Charter School - Far Rockaway</t>
  </si>
  <si>
    <t>Success Academy Charter School - Flatbush</t>
  </si>
  <si>
    <t>Success Academy Charter School - South Jamaica</t>
  </si>
  <si>
    <t>Uncommon New York City Charter Schools (Merged)</t>
  </si>
  <si>
    <t>Bronx Charter School for Excellence (Merged)</t>
  </si>
  <si>
    <t>Balance Sheet information should NOT be entered for a school which is part of an EdCorp authorized to operate multiple schools.</t>
  </si>
  <si>
    <t>Please enter balance sheet for EdCorp, including data for all chartered schools operated by the EdCorp.</t>
  </si>
  <si>
    <t xml:space="preserve"> </t>
  </si>
  <si>
    <t>Ver. 20160603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</si>
</sst>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_(* #,##0.00_);_(* \(#,##0.00\);_(* &quot;-&quot;_);_(@_)"/>
    <numFmt numFmtId="166" formatCode="##,###"/>
    <numFmt numFmtId="167" formatCode="0.0"/>
    <numFmt numFmtId="168" formatCode="mm/dd/yy"/>
    <numFmt numFmtId="169" formatCode="0_);[Red]\(0\)"/>
    <numFmt numFmtId="170" formatCode="_(* #,##0.00_);_(* \(#,##0.00\);_(* \-??_);_(@_)"/>
    <numFmt numFmtId="171" formatCode="[&lt;=9999999]###\-####;\(###\)\ ###\-####"/>
    <numFmt numFmtId="172" formatCode="_(* #,##0_);_(* \(#,##0\);_(* &quot;-&quot;??_);_(@_)"/>
    <numFmt numFmtId="173" formatCode="_(* #,##0.0_);_(* \(#,##0.0\);_(* &quot;-&quot;_);_(@_)"/>
    <numFmt numFmtId="174" formatCode="0.0%"/>
  </numFmts>
  <fonts count="130">
    <font>
      <sz val="10"/>
      <name val="Arial"/>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b/>
      <u/>
      <sz val="14"/>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i/>
      <u/>
      <sz val="11.5"/>
      <color rgb="FFFF0000"/>
      <name val="Calibri"/>
      <family val="2"/>
      <scheme val="minor"/>
    </font>
    <font>
      <b/>
      <i/>
      <sz val="10"/>
      <name val="Arial"/>
      <family val="2"/>
    </font>
    <font>
      <sz val="11.5"/>
      <name val="Calibri"/>
      <family val="2"/>
    </font>
    <font>
      <b/>
      <sz val="11.5"/>
      <name val="Calibri"/>
      <family val="2"/>
    </font>
    <font>
      <sz val="11.5"/>
      <color rgb="FFFF0000"/>
      <name val="Calibri"/>
      <family val="2"/>
      <scheme val="minor"/>
    </font>
    <font>
      <b/>
      <sz val="11.5"/>
      <color rgb="FFFF0000"/>
      <name val="Calibri"/>
      <family val="2"/>
      <scheme val="minor"/>
    </font>
    <font>
      <b/>
      <sz val="12"/>
      <name val="Calibri"/>
      <family val="2"/>
      <scheme val="minor"/>
    </font>
    <font>
      <sz val="10"/>
      <name val="Calibri"/>
      <family val="2"/>
      <scheme val="minor"/>
    </font>
    <font>
      <b/>
      <sz val="14"/>
      <color theme="0"/>
      <name val="Calibri"/>
      <family val="2"/>
      <scheme val="minor"/>
    </font>
    <font>
      <b/>
      <sz val="16"/>
      <color theme="0"/>
      <name val="Calibri"/>
      <family val="2"/>
      <scheme val="minor"/>
    </font>
    <font>
      <b/>
      <sz val="11.5"/>
      <color theme="0"/>
      <name val="Calibri"/>
      <family val="2"/>
    </font>
    <font>
      <b/>
      <sz val="11.5"/>
      <color theme="1"/>
      <name val="Calibri"/>
      <family val="2"/>
    </font>
    <font>
      <sz val="12"/>
      <name val="Calibri"/>
      <family val="2"/>
      <scheme val="minor"/>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b/>
      <sz val="18"/>
      <name val="Calibri"/>
      <family val="2"/>
      <scheme val="minor"/>
    </font>
    <font>
      <b/>
      <sz val="10"/>
      <color theme="0"/>
      <name val="Arial"/>
      <family val="2"/>
    </font>
    <font>
      <b/>
      <sz val="10"/>
      <color theme="0"/>
      <name val="Calibri"/>
      <family val="2"/>
      <scheme val="minor"/>
    </font>
    <font>
      <sz val="10"/>
      <color theme="1"/>
      <name val="Calibri"/>
      <family val="2"/>
      <scheme val="minor"/>
    </font>
    <font>
      <sz val="10"/>
      <color theme="1"/>
      <name val="Calibri"/>
      <family val="2"/>
    </font>
    <font>
      <b/>
      <sz val="9"/>
      <color indexed="81"/>
      <name val="Tahoma"/>
      <charset val="1"/>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33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3"/>
        <bgColor indexed="64"/>
      </patternFill>
    </fill>
    <fill>
      <patternFill patternType="solid">
        <fgColor theme="6" tint="0.59999389629810485"/>
        <bgColor indexed="64"/>
      </patternFill>
    </fill>
  </fills>
  <borders count="2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right style="thick">
        <color indexed="23"/>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ck">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style="thin">
        <color indexed="55"/>
      </left>
      <right style="thick">
        <color indexed="23"/>
      </right>
      <top style="thin">
        <color indexed="55"/>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right style="thick">
        <color indexed="23"/>
      </right>
      <top style="thin">
        <color indexed="23"/>
      </top>
      <bottom/>
      <diagonal/>
    </border>
    <border>
      <left/>
      <right style="thick">
        <color indexed="23"/>
      </right>
      <top/>
      <bottom style="thin">
        <color indexed="55"/>
      </bottom>
      <diagonal/>
    </border>
    <border>
      <left style="thin">
        <color indexed="23"/>
      </left>
      <right style="thick">
        <color indexed="23"/>
      </right>
      <top style="thin">
        <color indexed="55"/>
      </top>
      <bottom style="thin">
        <color indexed="55"/>
      </bottom>
      <diagonal/>
    </border>
    <border>
      <left/>
      <right style="thick">
        <color indexed="23"/>
      </right>
      <top style="thin">
        <color indexed="55"/>
      </top>
      <bottom/>
      <diagonal/>
    </border>
    <border>
      <left/>
      <right style="thick">
        <color indexed="23"/>
      </right>
      <top style="thin">
        <color indexed="55"/>
      </top>
      <bottom style="thin">
        <color indexed="55"/>
      </bottom>
      <diagonal/>
    </border>
    <border>
      <left style="thin">
        <color indexed="23"/>
      </left>
      <right style="thin">
        <color indexed="55"/>
      </right>
      <top style="thin">
        <color indexed="55"/>
      </top>
      <bottom style="thick">
        <color indexed="23"/>
      </bottom>
      <diagonal/>
    </border>
    <border>
      <left style="thin">
        <color indexed="23"/>
      </left>
      <right style="thick">
        <color indexed="23"/>
      </right>
      <top style="thin">
        <color indexed="55"/>
      </top>
      <bottom style="thick">
        <color indexed="23"/>
      </bottom>
      <diagonal/>
    </border>
    <border>
      <left style="thick">
        <color indexed="23"/>
      </left>
      <right/>
      <top style="thick">
        <color indexed="23"/>
      </top>
      <bottom/>
      <diagonal/>
    </border>
    <border>
      <left/>
      <right style="thick">
        <color indexed="23"/>
      </right>
      <top/>
      <bottom style="thin">
        <color indexed="23"/>
      </bottom>
      <diagonal/>
    </border>
    <border>
      <left style="thin">
        <color indexed="23"/>
      </left>
      <right/>
      <top style="thin">
        <color indexed="55"/>
      </top>
      <bottom style="thin">
        <color indexed="55"/>
      </bottom>
      <diagonal/>
    </border>
    <border>
      <left/>
      <right style="thin">
        <color indexed="23"/>
      </right>
      <top style="thin">
        <color indexed="23"/>
      </top>
      <bottom style="thin">
        <color indexed="23"/>
      </bottom>
      <diagonal/>
    </border>
    <border>
      <left/>
      <right style="thin">
        <color indexed="55"/>
      </right>
      <top style="thin">
        <color indexed="55"/>
      </top>
      <bottom style="thick">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right style="thick">
        <color indexed="55"/>
      </right>
      <top style="thin">
        <color indexed="55"/>
      </top>
      <bottom style="thin">
        <color indexed="55"/>
      </bottom>
      <diagonal/>
    </border>
    <border>
      <left style="thick">
        <color indexed="23"/>
      </left>
      <right/>
      <top/>
      <bottom style="thick">
        <color indexed="23"/>
      </bottom>
      <diagonal/>
    </border>
    <border>
      <left/>
      <right style="thick">
        <color indexed="23"/>
      </right>
      <top style="thick">
        <color indexed="23"/>
      </top>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indexed="64"/>
      </top>
      <bottom style="thin">
        <color auto="1"/>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medium">
        <color indexed="23"/>
      </left>
      <right style="medium">
        <color indexed="23"/>
      </right>
      <top/>
      <bottom/>
      <diagonal/>
    </border>
    <border>
      <left/>
      <right/>
      <top/>
      <bottom style="double">
        <color indexed="64"/>
      </bottom>
      <diagonal/>
    </border>
    <border>
      <left style="thick">
        <color indexed="23"/>
      </left>
      <right style="medium">
        <color indexed="23"/>
      </right>
      <top style="medium">
        <color indexed="23"/>
      </top>
      <bottom/>
      <diagonal/>
    </border>
    <border>
      <left style="thick">
        <color indexed="23"/>
      </left>
      <right style="medium">
        <color indexed="23"/>
      </right>
      <top/>
      <bottom/>
      <diagonal/>
    </border>
    <border>
      <left style="medium">
        <color indexed="23"/>
      </left>
      <right/>
      <top style="thin">
        <color indexed="23"/>
      </top>
      <bottom/>
      <diagonal/>
    </border>
    <border>
      <left/>
      <right style="medium">
        <color indexed="23"/>
      </right>
      <top style="thin">
        <color indexed="23"/>
      </top>
      <bottom/>
      <diagonal/>
    </border>
    <border>
      <left/>
      <right style="medium">
        <color indexed="23"/>
      </right>
      <top/>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ck">
        <color indexed="23"/>
      </left>
      <right/>
      <top style="thin">
        <color indexed="55"/>
      </top>
      <bottom style="thin">
        <color indexed="55"/>
      </bottom>
      <diagonal/>
    </border>
    <border>
      <left style="medium">
        <color indexed="23"/>
      </left>
      <right style="thin">
        <color indexed="55"/>
      </right>
      <top style="thin">
        <color indexed="55"/>
      </top>
      <bottom style="thick">
        <color indexed="23"/>
      </bottom>
      <diagonal/>
    </border>
    <border>
      <left/>
      <right style="thick">
        <color indexed="23"/>
      </right>
      <top style="thin">
        <color indexed="55"/>
      </top>
      <bottom style="thick">
        <color indexed="23"/>
      </bottom>
      <diagonal/>
    </border>
    <border>
      <left style="thick">
        <color indexed="23"/>
      </left>
      <right style="medium">
        <color indexed="23"/>
      </right>
      <top/>
      <bottom style="medium">
        <color indexed="23"/>
      </bottom>
      <diagonal/>
    </border>
    <border>
      <left/>
      <right/>
      <top style="thick">
        <color indexed="55"/>
      </top>
      <bottom/>
      <diagonal/>
    </border>
    <border>
      <left style="thin">
        <color indexed="55"/>
      </left>
      <right/>
      <top/>
      <bottom/>
      <diagonal/>
    </border>
    <border>
      <left style="thick">
        <color indexed="23"/>
      </left>
      <right style="thin">
        <color indexed="55"/>
      </right>
      <top style="thin">
        <color indexed="55"/>
      </top>
      <bottom style="thick">
        <color indexed="2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55"/>
      </right>
      <top/>
      <bottom/>
      <diagonal/>
    </border>
    <border>
      <left style="thick">
        <color indexed="23"/>
      </left>
      <right style="thin">
        <color indexed="23"/>
      </right>
      <top/>
      <bottom/>
      <diagonal/>
    </border>
    <border>
      <left style="thin">
        <color indexed="23"/>
      </left>
      <right style="medium">
        <color indexed="23"/>
      </right>
      <top/>
      <bottom/>
      <diagonal/>
    </border>
    <border>
      <left style="medium">
        <color indexed="23"/>
      </left>
      <right style="thick">
        <color indexed="23"/>
      </right>
      <top/>
      <bottom/>
      <diagonal/>
    </border>
    <border>
      <left style="thin">
        <color indexed="23"/>
      </left>
      <right/>
      <top/>
      <bottom/>
      <diagonal/>
    </border>
    <border>
      <left style="thick">
        <color indexed="23"/>
      </left>
      <right style="thin">
        <color indexed="23"/>
      </right>
      <top/>
      <bottom style="thin">
        <color indexed="23"/>
      </bottom>
      <diagonal/>
    </border>
    <border>
      <left style="medium">
        <color indexed="23"/>
      </left>
      <right style="thin">
        <color indexed="55"/>
      </right>
      <top/>
      <bottom style="thin">
        <color indexed="55"/>
      </bottom>
      <diagonal/>
    </border>
    <border>
      <left style="thin">
        <color indexed="23"/>
      </left>
      <right style="medium">
        <color indexed="23"/>
      </right>
      <top/>
      <bottom style="thin">
        <color indexed="23"/>
      </bottom>
      <diagonal/>
    </border>
    <border>
      <left style="medium">
        <color indexed="23"/>
      </left>
      <right style="thick">
        <color indexed="23"/>
      </right>
      <top/>
      <bottom style="thin">
        <color indexed="23"/>
      </bottom>
      <diagonal/>
    </border>
    <border>
      <left/>
      <right style="medium">
        <color indexed="23"/>
      </right>
      <top style="thin">
        <color indexed="55"/>
      </top>
      <bottom style="thin">
        <color indexed="55"/>
      </bottom>
      <diagonal/>
    </border>
    <border>
      <left style="thick">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23"/>
      </bottom>
      <diagonal/>
    </border>
    <border>
      <left/>
      <right style="medium">
        <color indexed="55"/>
      </right>
      <top style="thin">
        <color indexed="55"/>
      </top>
      <bottom style="thin">
        <color indexed="55"/>
      </bottom>
      <diagonal/>
    </border>
    <border>
      <left style="thick">
        <color indexed="64"/>
      </left>
      <right style="thick">
        <color indexed="64"/>
      </right>
      <top style="thick">
        <color indexed="64"/>
      </top>
      <bottom style="thick">
        <color indexed="64"/>
      </bottom>
      <diagonal/>
    </border>
    <border>
      <left style="thin">
        <color indexed="23"/>
      </left>
      <right style="medium">
        <color indexed="23"/>
      </right>
      <top style="thin">
        <color indexed="55"/>
      </top>
      <bottom style="thin">
        <color indexed="55"/>
      </bottom>
      <diagonal/>
    </border>
    <border>
      <left style="medium">
        <color indexed="23"/>
      </left>
      <right style="thick">
        <color indexed="23"/>
      </right>
      <top style="thin">
        <color indexed="55"/>
      </top>
      <bottom style="thin">
        <color indexed="55"/>
      </bottom>
      <diagonal/>
    </border>
    <border>
      <left style="thin">
        <color indexed="23"/>
      </left>
      <right style="medium">
        <color indexed="55"/>
      </right>
      <top style="thin">
        <color indexed="55"/>
      </top>
      <bottom style="thin">
        <color indexed="55"/>
      </bottom>
      <diagonal/>
    </border>
    <border>
      <left style="medium">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55"/>
      </bottom>
      <diagonal/>
    </border>
    <border>
      <left style="thin">
        <color indexed="23"/>
      </left>
      <right style="medium">
        <color indexed="55"/>
      </right>
      <top style="thin">
        <color indexed="55"/>
      </top>
      <bottom style="thick">
        <color indexed="23"/>
      </bottom>
      <diagonal/>
    </border>
    <border>
      <left style="thick">
        <color indexed="23"/>
      </left>
      <right/>
      <top style="thin">
        <color indexed="55"/>
      </top>
      <bottom style="thick">
        <color indexed="55"/>
      </bottom>
      <diagonal/>
    </border>
    <border>
      <left style="thin">
        <color indexed="23"/>
      </left>
      <right/>
      <top style="thin">
        <color indexed="55"/>
      </top>
      <bottom style="thick">
        <color indexed="55"/>
      </bottom>
      <diagonal/>
    </border>
    <border>
      <left style="thin">
        <color indexed="23"/>
      </left>
      <right style="medium">
        <color indexed="23"/>
      </right>
      <top style="thin">
        <color indexed="55"/>
      </top>
      <bottom style="thick">
        <color indexed="55"/>
      </bottom>
      <diagonal/>
    </border>
    <border>
      <left style="medium">
        <color indexed="23"/>
      </left>
      <right/>
      <top style="thin">
        <color indexed="55"/>
      </top>
      <bottom style="thick">
        <color indexed="55"/>
      </bottom>
      <diagonal/>
    </border>
    <border>
      <left style="thin">
        <color indexed="23"/>
      </left>
      <right style="medium">
        <color indexed="55"/>
      </right>
      <top style="thin">
        <color indexed="55"/>
      </top>
      <bottom style="thick">
        <color indexed="55"/>
      </bottom>
      <diagonal/>
    </border>
    <border>
      <left/>
      <right style="thick">
        <color indexed="23"/>
      </right>
      <top style="thin">
        <color indexed="55"/>
      </top>
      <bottom style="thick">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23"/>
      </right>
      <top style="thin">
        <color indexed="55"/>
      </top>
      <bottom style="thin">
        <color indexed="55"/>
      </bottom>
      <diagonal/>
    </border>
    <border>
      <left/>
      <right style="medium">
        <color indexed="23"/>
      </right>
      <top/>
      <bottom style="medium">
        <color indexed="23"/>
      </bottom>
      <diagonal/>
    </border>
    <border>
      <left style="thick">
        <color indexed="23"/>
      </left>
      <right/>
      <top/>
      <bottom style="thin">
        <color indexed="55"/>
      </bottom>
      <diagonal/>
    </border>
    <border>
      <left style="medium">
        <color indexed="55"/>
      </left>
      <right style="thin">
        <color indexed="23"/>
      </right>
      <top style="thin">
        <color indexed="55"/>
      </top>
      <bottom style="thin">
        <color indexed="23"/>
      </bottom>
      <diagonal/>
    </border>
    <border>
      <left style="medium">
        <color indexed="55"/>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ck">
        <color indexed="55"/>
      </bottom>
      <diagonal/>
    </border>
    <border>
      <left style="thin">
        <color indexed="55"/>
      </left>
      <right/>
      <top/>
      <bottom style="thick">
        <color indexed="55"/>
      </bottom>
      <diagonal/>
    </border>
    <border>
      <left/>
      <right/>
      <top/>
      <bottom style="thick">
        <color indexed="55"/>
      </bottom>
      <diagonal/>
    </border>
    <border>
      <left style="medium">
        <color indexed="55"/>
      </left>
      <right style="thin">
        <color indexed="55"/>
      </right>
      <top style="thin">
        <color indexed="55"/>
      </top>
      <bottom style="thick">
        <color indexed="55"/>
      </bottom>
      <diagonal/>
    </border>
    <border>
      <left style="thin">
        <color indexed="55"/>
      </left>
      <right style="thick">
        <color indexed="23"/>
      </right>
      <top style="thin">
        <color indexed="55"/>
      </top>
      <bottom style="thick">
        <color indexed="55"/>
      </bottom>
      <diagonal/>
    </border>
    <border>
      <left style="thick">
        <color indexed="23"/>
      </left>
      <right/>
      <top/>
      <bottom style="medium">
        <color indexed="64"/>
      </bottom>
      <diagonal/>
    </border>
    <border>
      <left style="medium">
        <color indexed="23"/>
      </left>
      <right style="thin">
        <color indexed="55"/>
      </right>
      <top style="thin">
        <color indexed="55"/>
      </top>
      <bottom style="medium">
        <color indexed="64"/>
      </bottom>
      <diagonal/>
    </border>
    <border>
      <left style="thin">
        <color indexed="23"/>
      </left>
      <right style="thin">
        <color indexed="55"/>
      </right>
      <top style="thin">
        <color indexed="55"/>
      </top>
      <bottom style="medium">
        <color indexed="64"/>
      </bottom>
      <diagonal/>
    </border>
    <border>
      <left style="thin">
        <color indexed="23"/>
      </left>
      <right style="medium">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23"/>
      </left>
      <right style="thick">
        <color indexed="23"/>
      </right>
      <top style="thin">
        <color indexed="55"/>
      </top>
      <bottom style="medium">
        <color indexed="64"/>
      </bottom>
      <diagonal/>
    </border>
    <border>
      <left style="thick">
        <color indexed="23"/>
      </left>
      <right style="thin">
        <color indexed="55"/>
      </right>
      <top style="thin">
        <color indexed="55"/>
      </top>
      <bottom style="medium">
        <color indexed="64"/>
      </bottom>
      <diagonal/>
    </border>
    <border>
      <left style="thin">
        <color indexed="23"/>
      </left>
      <right style="medium">
        <color indexed="23"/>
      </right>
      <top style="thin">
        <color indexed="55"/>
      </top>
      <bottom style="medium">
        <color indexed="64"/>
      </bottom>
      <diagonal/>
    </border>
    <border>
      <left/>
      <right style="thick">
        <color indexed="23"/>
      </right>
      <top style="thin">
        <color indexed="55"/>
      </top>
      <bottom style="medium">
        <color indexed="64"/>
      </bottom>
      <diagonal/>
    </border>
    <border>
      <left/>
      <right style="medium">
        <color indexed="23"/>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medium">
        <color indexed="23"/>
      </right>
      <top style="thick">
        <color indexed="23"/>
      </top>
      <bottom/>
      <diagonal/>
    </border>
    <border>
      <left/>
      <right style="thick">
        <color indexed="55"/>
      </right>
      <top style="thick">
        <color indexed="23"/>
      </top>
      <bottom/>
      <diagonal/>
    </border>
    <border>
      <left style="thick">
        <color indexed="55"/>
      </left>
      <right/>
      <top style="thick">
        <color indexed="23"/>
      </top>
      <bottom/>
      <diagonal/>
    </border>
    <border>
      <left/>
      <right style="thick">
        <color indexed="55"/>
      </right>
      <top/>
      <bottom/>
      <diagonal/>
    </border>
    <border>
      <left style="thick">
        <color indexed="55"/>
      </left>
      <right/>
      <top style="thick">
        <color indexed="55"/>
      </top>
      <bottom/>
      <diagonal/>
    </border>
    <border>
      <left style="thick">
        <color indexed="55"/>
      </left>
      <right/>
      <top/>
      <bottom/>
      <diagonal/>
    </border>
    <border>
      <left/>
      <right style="thick">
        <color indexed="23"/>
      </right>
      <top style="medium">
        <color indexed="23"/>
      </top>
      <bottom/>
      <diagonal/>
    </border>
    <border>
      <left/>
      <right style="medium">
        <color indexed="23"/>
      </right>
      <top/>
      <bottom style="thick">
        <color indexed="23"/>
      </bottom>
      <diagonal/>
    </border>
    <border>
      <left style="thin">
        <color indexed="55"/>
      </left>
      <right style="medium">
        <color indexed="23"/>
      </right>
      <top/>
      <bottom/>
      <diagonal/>
    </border>
    <border>
      <left style="thin">
        <color auto="1"/>
      </left>
      <right style="thin">
        <color auto="1"/>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auto="1"/>
      </left>
      <right style="medium">
        <color indexed="64"/>
      </right>
      <top style="medium">
        <color indexed="64"/>
      </top>
      <bottom style="thin">
        <color auto="1"/>
      </bottom>
      <diagonal/>
    </border>
    <border>
      <left/>
      <right style="thick">
        <color indexed="23"/>
      </right>
      <top style="thin">
        <color indexed="55"/>
      </top>
      <bottom style="thin">
        <color indexed="23"/>
      </bottom>
      <diagonal/>
    </border>
    <border>
      <left/>
      <right style="thick">
        <color indexed="23"/>
      </right>
      <top/>
      <bottom style="thick">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medium">
        <color indexed="23"/>
      </left>
      <right/>
      <top style="thin">
        <color indexed="23"/>
      </top>
      <bottom/>
      <diagonal/>
    </border>
    <border>
      <left/>
      <right style="medium">
        <color indexed="23"/>
      </right>
      <top style="thin">
        <color indexed="55"/>
      </top>
      <bottom/>
      <diagonal/>
    </border>
    <border>
      <left/>
      <right style="thick">
        <color indexed="23"/>
      </right>
      <top style="thin">
        <color indexed="55"/>
      </top>
      <bottom/>
      <diagonal/>
    </border>
    <border>
      <left style="thick">
        <color indexed="23"/>
      </left>
      <right style="thin">
        <color indexed="23"/>
      </right>
      <top style="thin">
        <color indexed="23"/>
      </top>
      <bottom/>
      <diagonal/>
    </border>
    <border>
      <left/>
      <right style="thin">
        <color indexed="23"/>
      </right>
      <top style="thin">
        <color indexed="23"/>
      </top>
      <bottom/>
      <diagonal/>
    </border>
    <border>
      <left style="thin">
        <color indexed="23"/>
      </left>
      <right style="medium">
        <color indexed="23"/>
      </right>
      <top style="thin">
        <color indexed="23"/>
      </top>
      <bottom/>
      <diagonal/>
    </border>
    <border>
      <left style="medium">
        <color indexed="23"/>
      </left>
      <right style="thick">
        <color indexed="23"/>
      </right>
      <top style="thin">
        <color indexed="23"/>
      </top>
      <bottom/>
      <diagonal/>
    </border>
    <border>
      <left style="medium">
        <color indexed="23"/>
      </left>
      <right style="thin">
        <color indexed="23"/>
      </right>
      <top/>
      <bottom style="thin">
        <color indexed="23"/>
      </bottom>
      <diagonal/>
    </border>
    <border>
      <left style="thick">
        <color indexed="23"/>
      </left>
      <right/>
      <top style="thin">
        <color indexed="23"/>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5"/>
      </top>
      <bottom style="thin">
        <color indexed="55"/>
      </bottom>
      <diagonal/>
    </border>
    <border>
      <left style="thin">
        <color auto="1"/>
      </left>
      <right style="thin">
        <color auto="1"/>
      </right>
      <top style="thin">
        <color auto="1"/>
      </top>
      <bottom style="thin">
        <color auto="1"/>
      </bottom>
      <diagonal/>
    </border>
    <border>
      <left style="medium">
        <color indexed="55"/>
      </left>
      <right style="thin">
        <color indexed="55"/>
      </right>
      <top style="thin">
        <color indexed="55"/>
      </top>
      <bottom style="thin">
        <color indexed="55"/>
      </bottom>
      <diagonal/>
    </border>
    <border>
      <left style="thick">
        <color indexed="23"/>
      </left>
      <right style="medium">
        <color indexed="23"/>
      </right>
      <top style="thick">
        <color indexed="23"/>
      </top>
      <bottom/>
      <diagonal/>
    </border>
    <border>
      <left/>
      <right style="medium">
        <color indexed="23"/>
      </right>
      <top style="thin">
        <color indexed="23"/>
      </top>
      <bottom/>
      <diagonal/>
    </border>
    <border>
      <left/>
      <right style="thick">
        <color indexed="23"/>
      </right>
      <top style="thin">
        <color indexed="23"/>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ck">
        <color indexed="23"/>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medium">
        <color indexed="23"/>
      </right>
      <top style="thin">
        <color indexed="55"/>
      </top>
      <bottom style="thin">
        <color indexed="55"/>
      </bottom>
      <diagonal/>
    </border>
    <border>
      <left/>
      <right style="thick">
        <color indexed="23"/>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style="thin">
        <color indexed="55"/>
      </bottom>
      <diagonal/>
    </border>
    <border>
      <left style="thin">
        <color indexed="23"/>
      </left>
      <right style="thick">
        <color indexed="23"/>
      </right>
      <top style="thin">
        <color indexed="55"/>
      </top>
      <bottom style="thin">
        <color indexed="55"/>
      </bottom>
      <diagonal/>
    </border>
    <border>
      <left style="thin">
        <color indexed="23"/>
      </left>
      <right/>
      <top style="thin">
        <color indexed="55"/>
      </top>
      <bottom style="thin">
        <color indexed="55"/>
      </bottom>
      <diagonal/>
    </border>
    <border>
      <left style="thick">
        <color indexed="23"/>
      </left>
      <right/>
      <top style="thin">
        <color indexed="55"/>
      </top>
      <bottom style="thin">
        <color indexed="55"/>
      </bottom>
      <diagonal/>
    </border>
    <border>
      <left/>
      <right/>
      <top style="thin">
        <color indexed="55"/>
      </top>
      <bottom/>
      <diagonal/>
    </border>
    <border>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right/>
      <top style="thin">
        <color indexed="55"/>
      </top>
      <bottom style="thick">
        <color indexed="23"/>
      </bottom>
      <diagonal/>
    </border>
    <border>
      <left style="medium">
        <color indexed="23"/>
      </left>
      <right/>
      <top style="thin">
        <color indexed="55"/>
      </top>
      <bottom style="thick">
        <color indexed="23"/>
      </bottom>
      <diagonal/>
    </border>
    <border>
      <left style="thin">
        <color indexed="23"/>
      </left>
      <right style="thin">
        <color indexed="23"/>
      </right>
      <top style="thin">
        <color indexed="55"/>
      </top>
      <bottom style="thick">
        <color indexed="23"/>
      </bottom>
      <diagonal/>
    </border>
    <border>
      <left style="medium">
        <color indexed="23"/>
      </left>
      <right style="thin">
        <color indexed="55"/>
      </right>
      <top style="thin">
        <color indexed="55"/>
      </top>
      <bottom style="thick">
        <color indexed="23"/>
      </bottom>
      <diagonal/>
    </border>
    <border>
      <left style="thin">
        <color indexed="23"/>
      </left>
      <right style="thin">
        <color indexed="55"/>
      </right>
      <top style="thin">
        <color indexed="55"/>
      </top>
      <bottom style="thick">
        <color indexed="23"/>
      </bottom>
      <diagonal/>
    </border>
    <border>
      <left/>
      <right style="thick">
        <color indexed="55"/>
      </right>
      <top style="thin">
        <color indexed="55"/>
      </top>
      <bottom style="thick">
        <color indexed="23"/>
      </bottom>
      <diagonal/>
    </border>
    <border>
      <left style="thick">
        <color indexed="55"/>
      </left>
      <right style="thin">
        <color indexed="55"/>
      </right>
      <top style="thin">
        <color indexed="55"/>
      </top>
      <bottom/>
      <diagonal/>
    </border>
    <border>
      <left style="thin">
        <color indexed="23"/>
      </left>
      <right style="thin">
        <color indexed="55"/>
      </right>
      <top style="thin">
        <color indexed="55"/>
      </top>
      <bottom/>
      <diagonal/>
    </border>
    <border>
      <left style="medium">
        <color indexed="23"/>
      </left>
      <right style="medium">
        <color indexed="23"/>
      </right>
      <top style="thin">
        <color indexed="55"/>
      </top>
      <bottom/>
      <diagonal/>
    </border>
    <border>
      <left/>
      <right style="thick">
        <color indexed="23"/>
      </right>
      <top style="thin">
        <color indexed="55"/>
      </top>
      <bottom style="medium">
        <color indexed="23"/>
      </bottom>
      <diagonal/>
    </border>
    <border>
      <left style="thin">
        <color indexed="55"/>
      </left>
      <right style="medium">
        <color indexed="55"/>
      </right>
      <top style="thin">
        <color indexed="55"/>
      </top>
      <bottom style="thin">
        <color indexed="55"/>
      </bottom>
      <diagonal/>
    </border>
    <border>
      <left style="thin">
        <color indexed="23"/>
      </left>
      <right style="thick">
        <color indexed="55"/>
      </right>
      <top style="thin">
        <color indexed="55"/>
      </top>
      <bottom style="thick">
        <color indexed="23"/>
      </bottom>
      <diagonal/>
    </border>
    <border>
      <left style="thick">
        <color indexed="55"/>
      </left>
      <right style="thin">
        <color indexed="55"/>
      </right>
      <top style="thin">
        <color indexed="55"/>
      </top>
      <bottom style="thick">
        <color indexed="23"/>
      </bottom>
      <diagonal/>
    </border>
    <border>
      <left style="thin">
        <color indexed="23"/>
      </left>
      <right/>
      <top style="thin">
        <color indexed="55"/>
      </top>
      <bottom style="thick">
        <color indexed="23"/>
      </bottom>
      <diagonal/>
    </border>
    <border>
      <left style="medium">
        <color indexed="23"/>
      </left>
      <right style="medium">
        <color indexed="23"/>
      </right>
      <top style="thin">
        <color indexed="55"/>
      </top>
      <bottom style="thick">
        <color indexed="23"/>
      </bottom>
      <diagonal/>
    </border>
    <border>
      <left/>
      <right style="thick">
        <color indexed="23"/>
      </right>
      <top style="thin">
        <color indexed="55"/>
      </top>
      <bottom style="thick">
        <color indexed="23"/>
      </bottom>
      <diagonal/>
    </border>
    <border>
      <left/>
      <right style="medium">
        <color indexed="23"/>
      </right>
      <top style="thin">
        <color indexed="55"/>
      </top>
      <bottom style="thin">
        <color indexed="55"/>
      </bottom>
      <diagonal/>
    </border>
    <border>
      <left/>
      <right style="medium">
        <color indexed="23"/>
      </right>
      <top style="thin">
        <color indexed="55"/>
      </top>
      <bottom style="thick">
        <color indexed="23"/>
      </bottom>
      <diagonal/>
    </border>
    <border>
      <left style="thin">
        <color indexed="55"/>
      </left>
      <right/>
      <top style="thin">
        <color indexed="55"/>
      </top>
      <bottom style="thick">
        <color indexed="23"/>
      </bottom>
      <diagonal/>
    </border>
    <border>
      <left style="thin">
        <color indexed="55"/>
      </left>
      <right style="thick">
        <color indexed="23"/>
      </right>
      <top style="thin">
        <color indexed="55"/>
      </top>
      <bottom style="thick">
        <color indexed="23"/>
      </bottom>
      <diagonal/>
    </border>
    <border>
      <left style="thick">
        <color indexed="23"/>
      </left>
      <right style="medium">
        <color indexed="23"/>
      </right>
      <top/>
      <bottom style="thick">
        <color indexed="23"/>
      </bottom>
      <diagonal/>
    </border>
    <border>
      <left style="thick">
        <color indexed="55"/>
      </left>
      <right/>
      <top/>
      <bottom style="thin">
        <color indexed="55"/>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right style="thin">
        <color indexed="64"/>
      </right>
      <top style="thin">
        <color indexed="64"/>
      </top>
      <bottom/>
      <diagonal/>
    </border>
    <border>
      <left style="medium">
        <color indexed="23"/>
      </left>
      <right style="medium">
        <color indexed="23"/>
      </right>
      <top style="thin">
        <color indexed="23"/>
      </top>
      <bottom/>
      <diagonal/>
    </border>
    <border>
      <left style="medium">
        <color indexed="23"/>
      </left>
      <right/>
      <top style="thin">
        <color indexed="23"/>
      </top>
      <bottom style="thin">
        <color indexed="55"/>
      </bottom>
      <diagonal/>
    </border>
    <border>
      <left style="medium">
        <color indexed="23"/>
      </left>
      <right style="medium">
        <color indexed="23"/>
      </right>
      <top style="thin">
        <color indexed="23"/>
      </top>
      <bottom style="thin">
        <color indexed="23"/>
      </bottom>
      <diagonal/>
    </border>
    <border>
      <left style="medium">
        <color indexed="23"/>
      </left>
      <right/>
      <top style="thin">
        <color indexed="23"/>
      </top>
      <bottom style="thin">
        <color indexed="23"/>
      </bottom>
      <diagonal/>
    </border>
    <border>
      <left/>
      <right style="medium">
        <color indexed="23"/>
      </right>
      <top style="thin">
        <color indexed="23"/>
      </top>
      <bottom style="thin">
        <color indexed="23"/>
      </bottom>
      <diagonal/>
    </border>
    <border>
      <left/>
      <right style="medium">
        <color indexed="23"/>
      </right>
      <top style="thin">
        <color indexed="23"/>
      </top>
      <bottom style="thin">
        <color indexed="55"/>
      </bottom>
      <diagonal/>
    </border>
  </borders>
  <cellStyleXfs count="6674">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25" fillId="22" borderId="0">
      <alignment horizontal="left"/>
    </xf>
    <xf numFmtId="0" fontId="26" fillId="22" borderId="0">
      <alignment horizontal="right"/>
    </xf>
    <xf numFmtId="0" fontId="6" fillId="23" borderId="0">
      <alignment horizontal="center"/>
    </xf>
    <xf numFmtId="0" fontId="26" fillId="22" borderId="0">
      <alignment horizontal="right"/>
    </xf>
    <xf numFmtId="0" fontId="27" fillId="23" borderId="0">
      <alignment horizontal="left"/>
    </xf>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25" fillId="22" borderId="0">
      <alignment horizontal="left"/>
    </xf>
    <xf numFmtId="0" fontId="28" fillId="23" borderId="0">
      <alignment horizontal="left"/>
    </xf>
    <xf numFmtId="0" fontId="19" fillId="0" borderId="6" applyNumberFormat="0" applyFill="0" applyAlignment="0" applyProtection="0"/>
    <xf numFmtId="0" fontId="20" fillId="24" borderId="0" applyNumberFormat="0" applyBorder="0" applyAlignment="0" applyProtection="0"/>
    <xf numFmtId="0" fontId="29" fillId="0" borderId="0"/>
    <xf numFmtId="0" fontId="38" fillId="0" borderId="0"/>
    <xf numFmtId="0" fontId="8" fillId="25" borderId="7" applyNumberFormat="0" applyFont="0" applyAlignment="0" applyProtection="0"/>
    <xf numFmtId="0" fontId="21" fillId="20" borderId="8" applyNumberFormat="0" applyAlignment="0" applyProtection="0"/>
    <xf numFmtId="164" fontId="30" fillId="23" borderId="0">
      <alignment horizontal="right"/>
    </xf>
    <xf numFmtId="0" fontId="31" fillId="26" borderId="0">
      <alignment horizontal="center"/>
    </xf>
    <xf numFmtId="0" fontId="25" fillId="27" borderId="0"/>
    <xf numFmtId="0" fontId="32" fillId="23" borderId="0" applyBorder="0">
      <alignment horizontal="centerContinuous"/>
    </xf>
    <xf numFmtId="0" fontId="33" fillId="27" borderId="0" applyBorder="0">
      <alignment horizontal="centerContinuous"/>
    </xf>
    <xf numFmtId="0" fontId="28" fillId="24" borderId="0">
      <alignment horizontal="center"/>
    </xf>
    <xf numFmtId="49" fontId="5" fillId="23" borderId="0">
      <alignment horizontal="center"/>
    </xf>
    <xf numFmtId="0" fontId="26" fillId="22" borderId="0">
      <alignment horizontal="center"/>
    </xf>
    <xf numFmtId="0" fontId="26" fillId="22" borderId="0">
      <alignment horizontal="centerContinuous"/>
    </xf>
    <xf numFmtId="0" fontId="7" fillId="23" borderId="0">
      <alignment horizontal="left"/>
    </xf>
    <xf numFmtId="49" fontId="7" fillId="23" borderId="0">
      <alignment horizontal="center"/>
    </xf>
    <xf numFmtId="0" fontId="25" fillId="22" borderId="0">
      <alignment horizontal="left"/>
    </xf>
    <xf numFmtId="49" fontId="7" fillId="23" borderId="0">
      <alignment horizontal="left"/>
    </xf>
    <xf numFmtId="0" fontId="25" fillId="22" borderId="0">
      <alignment horizontal="centerContinuous"/>
    </xf>
    <xf numFmtId="0" fontId="25" fillId="22" borderId="0">
      <alignment horizontal="right"/>
    </xf>
    <xf numFmtId="49" fontId="28" fillId="23" borderId="0">
      <alignment horizontal="left"/>
    </xf>
    <xf numFmtId="0" fontId="26" fillId="22" borderId="0">
      <alignment horizontal="right"/>
    </xf>
    <xf numFmtId="0" fontId="7" fillId="7" borderId="0">
      <alignment horizontal="center"/>
    </xf>
    <xf numFmtId="0" fontId="34" fillId="7" borderId="0">
      <alignment horizontal="center"/>
    </xf>
    <xf numFmtId="0" fontId="39" fillId="0" borderId="0" applyNumberFormat="0" applyBorder="0" applyAlignment="0"/>
    <xf numFmtId="0" fontId="22" fillId="0" borderId="0" applyNumberFormat="0" applyFill="0" applyBorder="0" applyAlignment="0" applyProtection="0"/>
    <xf numFmtId="0" fontId="23" fillId="0" borderId="9" applyNumberFormat="0" applyFill="0" applyAlignment="0" applyProtection="0"/>
    <xf numFmtId="0" fontId="35" fillId="23" borderId="0">
      <alignment horizontal="center"/>
    </xf>
    <xf numFmtId="0" fontId="24" fillId="0" borderId="0" applyNumberFormat="0" applyFill="0" applyBorder="0" applyAlignment="0" applyProtection="0"/>
    <xf numFmtId="0" fontId="43" fillId="0" borderId="0"/>
    <xf numFmtId="43" fontId="43" fillId="0" borderId="0" applyFont="0" applyFill="0" applyBorder="0" applyAlignment="0" applyProtection="0"/>
    <xf numFmtId="44" fontId="43" fillId="0" borderId="0" applyFont="0" applyFill="0" applyBorder="0" applyAlignment="0" applyProtection="0"/>
    <xf numFmtId="0" fontId="29" fillId="0" borderId="0"/>
    <xf numFmtId="166" fontId="25" fillId="30" borderId="0">
      <alignment vertical="center"/>
    </xf>
    <xf numFmtId="0" fontId="42" fillId="0" borderId="0">
      <alignment vertical="center"/>
    </xf>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44" fillId="30" borderId="0">
      <alignment horizontal="center" vertical="center"/>
    </xf>
    <xf numFmtId="0" fontId="29" fillId="0" borderId="0"/>
    <xf numFmtId="0" fontId="29" fillId="0" borderId="0"/>
    <xf numFmtId="0" fontId="45" fillId="0" borderId="0"/>
    <xf numFmtId="0" fontId="29" fillId="0" borderId="0"/>
    <xf numFmtId="0" fontId="29" fillId="0" borderId="0"/>
    <xf numFmtId="0" fontId="29" fillId="0" borderId="0"/>
    <xf numFmtId="9" fontId="29" fillId="0" borderId="0" applyFont="0" applyFill="0" applyBorder="0" applyAlignment="0" applyProtection="0"/>
    <xf numFmtId="9" fontId="29" fillId="0" borderId="0" applyFont="0" applyFill="0" applyBorder="0" applyAlignment="0" applyProtection="0"/>
    <xf numFmtId="0" fontId="44" fillId="30" borderId="0"/>
    <xf numFmtId="41" fontId="45" fillId="0" borderId="0">
      <alignment horizontal="right" vertical="center"/>
    </xf>
    <xf numFmtId="166" fontId="45" fillId="0" borderId="0">
      <alignment horizontal="left" vertical="center" indent="1"/>
    </xf>
    <xf numFmtId="43" fontId="46" fillId="0" borderId="0" applyFont="0" applyFill="0" applyBorder="0" applyAlignment="0" applyProtection="0"/>
    <xf numFmtId="0" fontId="47" fillId="0" borderId="0"/>
    <xf numFmtId="0" fontId="38" fillId="0" borderId="0"/>
    <xf numFmtId="9" fontId="47" fillId="0" borderId="0" applyFont="0" applyFill="0" applyBorder="0" applyAlignment="0" applyProtection="0"/>
    <xf numFmtId="9" fontId="2" fillId="0" borderId="0" applyFont="0" applyFill="0" applyBorder="0" applyAlignment="0" applyProtection="0"/>
    <xf numFmtId="0" fontId="8" fillId="2" borderId="0" applyNumberFormat="0" applyBorder="0" applyAlignment="0" applyProtection="0"/>
    <xf numFmtId="0" fontId="8" fillId="32" borderId="0" applyNumberFormat="0" applyBorder="0" applyAlignment="0" applyProtection="0"/>
    <xf numFmtId="0" fontId="8" fillId="3" borderId="0" applyNumberFormat="0" applyBorder="0" applyAlignment="0" applyProtection="0"/>
    <xf numFmtId="0" fontId="8" fillId="33" borderId="0" applyNumberFormat="0" applyBorder="0" applyAlignment="0" applyProtection="0"/>
    <xf numFmtId="0" fontId="8" fillId="4" borderId="0" applyNumberFormat="0" applyBorder="0" applyAlignment="0" applyProtection="0"/>
    <xf numFmtId="0" fontId="8" fillId="34" borderId="0" applyNumberFormat="0" applyBorder="0" applyAlignment="0" applyProtection="0"/>
    <xf numFmtId="0" fontId="8" fillId="5" borderId="0" applyNumberFormat="0" applyBorder="0" applyAlignment="0" applyProtection="0"/>
    <xf numFmtId="0" fontId="8" fillId="35" borderId="0" applyNumberFormat="0" applyBorder="0" applyAlignment="0" applyProtection="0"/>
    <xf numFmtId="0" fontId="8" fillId="6" borderId="0" applyNumberFormat="0" applyBorder="0" applyAlignment="0" applyProtection="0"/>
    <xf numFmtId="0" fontId="8" fillId="36" borderId="0" applyNumberFormat="0" applyBorder="0" applyAlignment="0" applyProtection="0"/>
    <xf numFmtId="0" fontId="8" fillId="7" borderId="0" applyNumberFormat="0" applyBorder="0" applyAlignment="0" applyProtection="0"/>
    <xf numFmtId="0" fontId="8" fillId="37" borderId="0" applyNumberFormat="0" applyBorder="0" applyAlignment="0" applyProtection="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8" fillId="8" borderId="0" applyNumberFormat="0" applyBorder="0" applyAlignment="0" applyProtection="0"/>
    <xf numFmtId="0" fontId="8" fillId="38" borderId="0" applyNumberFormat="0" applyBorder="0" applyAlignment="0" applyProtection="0"/>
    <xf numFmtId="0" fontId="8" fillId="9" borderId="0" applyNumberFormat="0" applyBorder="0" applyAlignment="0" applyProtection="0"/>
    <xf numFmtId="0" fontId="8" fillId="39" borderId="0" applyNumberFormat="0" applyBorder="0" applyAlignment="0" applyProtection="0"/>
    <xf numFmtId="0" fontId="8" fillId="10" borderId="0" applyNumberFormat="0" applyBorder="0" applyAlignment="0" applyProtection="0"/>
    <xf numFmtId="0" fontId="8" fillId="40" borderId="0" applyNumberFormat="0" applyBorder="0" applyAlignment="0" applyProtection="0"/>
    <xf numFmtId="0" fontId="8" fillId="5" borderId="0" applyNumberFormat="0" applyBorder="0" applyAlignment="0" applyProtection="0"/>
    <xf numFmtId="0" fontId="8" fillId="35" borderId="0" applyNumberFormat="0" applyBorder="0" applyAlignment="0" applyProtection="0"/>
    <xf numFmtId="0" fontId="8" fillId="8" borderId="0" applyNumberFormat="0" applyBorder="0" applyAlignment="0" applyProtection="0"/>
    <xf numFmtId="0" fontId="8" fillId="38" borderId="0" applyNumberFormat="0" applyBorder="0" applyAlignment="0" applyProtection="0"/>
    <xf numFmtId="0" fontId="8" fillId="11" borderId="0" applyNumberFormat="0" applyBorder="0" applyAlignment="0" applyProtection="0"/>
    <xf numFmtId="0" fontId="8" fillId="41"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9" fillId="12" borderId="0" applyNumberFormat="0" applyBorder="0" applyAlignment="0" applyProtection="0"/>
    <xf numFmtId="0" fontId="9" fillId="42" borderId="0" applyNumberFormat="0" applyBorder="0" applyAlignment="0" applyProtection="0"/>
    <xf numFmtId="0" fontId="9" fillId="9" borderId="0" applyNumberFormat="0" applyBorder="0" applyAlignment="0" applyProtection="0"/>
    <xf numFmtId="0" fontId="9" fillId="39" borderId="0" applyNumberFormat="0" applyBorder="0" applyAlignment="0" applyProtection="0"/>
    <xf numFmtId="0" fontId="9" fillId="10" borderId="0" applyNumberFormat="0" applyBorder="0" applyAlignment="0" applyProtection="0"/>
    <xf numFmtId="0" fontId="9" fillId="40" borderId="0" applyNumberFormat="0" applyBorder="0" applyAlignment="0" applyProtection="0"/>
    <xf numFmtId="0" fontId="9" fillId="13" borderId="0" applyNumberFormat="0" applyBorder="0" applyAlignment="0" applyProtection="0"/>
    <xf numFmtId="0" fontId="9" fillId="43" borderId="0" applyNumberFormat="0" applyBorder="0" applyAlignment="0" applyProtection="0"/>
    <xf numFmtId="0" fontId="9" fillId="14" borderId="0" applyNumberFormat="0" applyBorder="0" applyAlignment="0" applyProtection="0"/>
    <xf numFmtId="0" fontId="9" fillId="44" borderId="0" applyNumberFormat="0" applyBorder="0" applyAlignment="0" applyProtection="0"/>
    <xf numFmtId="0" fontId="9" fillId="15" borderId="0" applyNumberFormat="0" applyBorder="0" applyAlignment="0" applyProtection="0"/>
    <xf numFmtId="0" fontId="9" fillId="45"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9" fillId="16" borderId="0" applyNumberFormat="0" applyBorder="0" applyAlignment="0" applyProtection="0"/>
    <xf numFmtId="0" fontId="9" fillId="46" borderId="0" applyNumberFormat="0" applyBorder="0" applyAlignment="0" applyProtection="0"/>
    <xf numFmtId="0" fontId="9" fillId="17" borderId="0" applyNumberFormat="0" applyBorder="0" applyAlignment="0" applyProtection="0"/>
    <xf numFmtId="0" fontId="9" fillId="47" borderId="0" applyNumberFormat="0" applyBorder="0" applyAlignment="0" applyProtection="0"/>
    <xf numFmtId="0" fontId="9" fillId="18" borderId="0" applyNumberFormat="0" applyBorder="0" applyAlignment="0" applyProtection="0"/>
    <xf numFmtId="0" fontId="9" fillId="48" borderId="0" applyNumberFormat="0" applyBorder="0" applyAlignment="0" applyProtection="0"/>
    <xf numFmtId="0" fontId="9" fillId="13" borderId="0" applyNumberFormat="0" applyBorder="0" applyAlignment="0" applyProtection="0"/>
    <xf numFmtId="0" fontId="9" fillId="43" borderId="0" applyNumberFormat="0" applyBorder="0" applyAlignment="0" applyProtection="0"/>
    <xf numFmtId="0" fontId="9" fillId="14" borderId="0" applyNumberFormat="0" applyBorder="0" applyAlignment="0" applyProtection="0"/>
    <xf numFmtId="0" fontId="9" fillId="44" borderId="0" applyNumberFormat="0" applyBorder="0" applyAlignment="0" applyProtection="0"/>
    <xf numFmtId="0" fontId="9" fillId="19" borderId="0" applyNumberFormat="0" applyBorder="0" applyAlignment="0" applyProtection="0"/>
    <xf numFmtId="0" fontId="9" fillId="49"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10" fillId="3" borderId="0" applyNumberFormat="0" applyBorder="0" applyAlignment="0" applyProtection="0"/>
    <xf numFmtId="0" fontId="10" fillId="33" borderId="0" applyNumberFormat="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5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1" borderId="2" applyNumberFormat="0" applyAlignment="0" applyProtection="0"/>
    <xf numFmtId="0" fontId="12" fillId="5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0" fontId="51" fillId="20" borderId="8" applyNumberFormat="0" applyAlignment="0" applyProtection="0"/>
    <xf numFmtId="168" fontId="3" fillId="0" borderId="0" applyFont="0" applyFill="0" applyBorder="0" applyAlignment="0" applyProtection="0"/>
    <xf numFmtId="0" fontId="52" fillId="4" borderId="0" applyNumberFormat="0" applyBorder="0" applyAlignment="0" applyProtection="0"/>
    <xf numFmtId="0" fontId="13" fillId="0" borderId="0" applyNumberFormat="0" applyFill="0" applyBorder="0" applyAlignment="0" applyProtection="0"/>
    <xf numFmtId="169" fontId="3" fillId="0" borderId="0" applyFont="0" applyFill="0" applyBorder="0" applyAlignment="0" applyProtection="0"/>
    <xf numFmtId="0" fontId="14" fillId="4" borderId="0" applyNumberFormat="0" applyBorder="0" applyAlignment="0" applyProtection="0"/>
    <xf numFmtId="0" fontId="14" fillId="3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3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56" fillId="0" borderId="6" applyNumberFormat="0" applyFill="0" applyAlignment="0" applyProtection="0"/>
    <xf numFmtId="0" fontId="57" fillId="21" borderId="2" applyNumberFormat="0" applyAlignment="0" applyProtection="0"/>
    <xf numFmtId="0" fontId="19" fillId="0" borderId="6" applyNumberFormat="0" applyFill="0" applyAlignment="0" applyProtection="0"/>
    <xf numFmtId="0" fontId="58" fillId="0" borderId="3"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20" fillId="24" borderId="0" applyNumberFormat="0" applyBorder="0" applyAlignment="0" applyProtection="0"/>
    <xf numFmtId="0" fontId="20" fillId="52" borderId="0" applyNumberFormat="0" applyBorder="0" applyAlignment="0" applyProtection="0"/>
    <xf numFmtId="0" fontId="61" fillId="24" borderId="0" applyNumberFormat="0" applyBorder="0" applyAlignment="0" applyProtection="0"/>
    <xf numFmtId="0" fontId="3" fillId="0" borderId="0"/>
    <xf numFmtId="0" fontId="47" fillId="0" borderId="0"/>
    <xf numFmtId="0" fontId="3" fillId="0" borderId="0"/>
    <xf numFmtId="0" fontId="3" fillId="0" borderId="0"/>
    <xf numFmtId="0" fontId="3" fillId="0" borderId="0"/>
    <xf numFmtId="0" fontId="2" fillId="0" borderId="0"/>
    <xf numFmtId="0" fontId="38" fillId="0" borderId="0"/>
    <xf numFmtId="0" fontId="2" fillId="0" borderId="0"/>
    <xf numFmtId="0" fontId="3" fillId="0" borderId="0"/>
    <xf numFmtId="0" fontId="45" fillId="0" borderId="0"/>
    <xf numFmtId="0" fontId="2" fillId="0" borderId="0"/>
    <xf numFmtId="0" fontId="2" fillId="0" borderId="0"/>
    <xf numFmtId="0" fontId="3" fillId="0" borderId="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3" fillId="53" borderId="7" applyNumberForma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8" fillId="25" borderId="7" applyNumberFormat="0" applyFon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62" fillId="20" borderId="1"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5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8" fillId="0" borderId="0" applyFont="0" applyFill="0" applyBorder="0" applyAlignment="0" applyProtection="0"/>
    <xf numFmtId="0" fontId="31" fillId="0" borderId="0" applyNumberFormat="0" applyBorder="0" applyAlignment="0"/>
    <xf numFmtId="0" fontId="31" fillId="0" borderId="0" applyNumberFormat="0" applyBorder="0" applyAlignment="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3" fillId="0" borderId="9" applyNumberFormat="0" applyFill="0" applyAlignment="0" applyProtection="0"/>
    <xf numFmtId="0" fontId="64" fillId="0" borderId="0" applyNumberFormat="0" applyFill="0" applyBorder="0" applyAlignment="0" applyProtection="0"/>
    <xf numFmtId="0" fontId="65" fillId="0" borderId="0" applyNumberFormat="0" applyFill="0" applyBorder="0" applyAlignment="0" applyProtection="0"/>
    <xf numFmtId="49" fontId="3"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66" fillId="0" borderId="0" applyNumberFormat="0" applyFill="0" applyBorder="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3" fillId="25" borderId="7" applyNumberFormat="0" applyFont="0" applyAlignment="0" applyProtection="0"/>
    <xf numFmtId="0" fontId="24" fillId="0" borderId="0" applyNumberFormat="0" applyFill="0" applyBorder="0" applyAlignment="0" applyProtection="0"/>
    <xf numFmtId="0" fontId="67" fillId="3" borderId="0" applyNumberFormat="0" applyBorder="0" applyAlignment="0" applyProtection="0"/>
    <xf numFmtId="0" fontId="68" fillId="0" borderId="0"/>
    <xf numFmtId="43" fontId="68" fillId="0" borderId="0" applyFont="0" applyFill="0" applyBorder="0" applyAlignment="0" applyProtection="0"/>
    <xf numFmtId="9" fontId="68" fillId="0" borderId="0" applyFont="0" applyFill="0" applyBorder="0" applyAlignment="0" applyProtection="0"/>
    <xf numFmtId="0" fontId="47" fillId="0" borderId="0"/>
    <xf numFmtId="0" fontId="3" fillId="0" borderId="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170" fontId="3" fillId="0" borderId="0" applyFill="0" applyBorder="0" applyAlignment="0" applyProtection="0"/>
    <xf numFmtId="0" fontId="70" fillId="0" borderId="0" applyNumberFormat="0" applyFill="0" applyBorder="0" applyAlignment="0" applyProtection="0"/>
    <xf numFmtId="0" fontId="78" fillId="0" borderId="0" applyNumberFormat="0" applyFill="0" applyBorder="0" applyAlignment="0" applyProtection="0">
      <alignment vertical="top"/>
      <protection locked="0"/>
    </xf>
    <xf numFmtId="43" fontId="77" fillId="0" borderId="0" applyFont="0" applyFill="0" applyBorder="0" applyAlignment="0" applyProtection="0"/>
    <xf numFmtId="0" fontId="47" fillId="0" borderId="0"/>
    <xf numFmtId="9" fontId="47" fillId="0" borderId="0" applyFont="0" applyFill="0" applyBorder="0" applyAlignment="0" applyProtection="0"/>
    <xf numFmtId="0" fontId="30" fillId="0" borderId="0" applyNumberFormat="0" applyBorder="0" applyAlignment="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20" borderId="223" applyNumberFormat="0" applyAlignment="0" applyProtection="0"/>
    <xf numFmtId="0" fontId="11" fillId="20" borderId="207"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8" fillId="7" borderId="207" applyNumberFormat="0" applyAlignment="0" applyProtection="0"/>
    <xf numFmtId="0" fontId="8" fillId="25" borderId="208" applyNumberFormat="0" applyFont="0" applyAlignment="0" applyProtection="0"/>
    <xf numFmtId="0" fontId="21" fillId="20" borderId="209" applyNumberFormat="0" applyAlignment="0" applyProtection="0"/>
    <xf numFmtId="0" fontId="23" fillId="0" borderId="210" applyNumberFormat="0" applyFill="0" applyAlignment="0" applyProtection="0"/>
    <xf numFmtId="43" fontId="38" fillId="0" borderId="0" applyFont="0" applyFill="0" applyBorder="0" applyAlignment="0" applyProtection="0"/>
    <xf numFmtId="44" fontId="38" fillId="0" borderId="0" applyFont="0" applyFill="0" applyBorder="0" applyAlignment="0" applyProtection="0"/>
    <xf numFmtId="0" fontId="3" fillId="0" borderId="0"/>
    <xf numFmtId="0" fontId="11" fillId="20" borderId="223" applyNumberFormat="0" applyAlignment="0" applyProtection="0"/>
    <xf numFmtId="0" fontId="11" fillId="20" borderId="22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1" fillId="20" borderId="223" applyNumberFormat="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5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5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07"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0" fillId="7" borderId="207"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51" fillId="20" borderId="209"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3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18" fillId="7" borderId="207" applyNumberForma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3" fillId="53" borderId="208" applyNumberForma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8" fillId="25" borderId="208" applyNumberFormat="0" applyFon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62" fillId="20" borderId="207"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5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1" fillId="20" borderId="209" applyNumberFormat="0" applyAlignment="0" applyProtection="0"/>
    <xf numFmtId="0" fontId="23" fillId="0" borderId="226"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6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23" fillId="0" borderId="210" applyNumberFormat="0" applyFill="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3" fillId="25" borderId="208" applyNumberFormat="0" applyFon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21" fillId="20" borderId="225" applyNumberFormat="0" applyAlignment="0" applyProtection="0"/>
    <xf numFmtId="0" fontId="8" fillId="25" borderId="224" applyNumberFormat="0" applyFont="0" applyAlignment="0" applyProtection="0"/>
    <xf numFmtId="0" fontId="18" fillId="7"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53" fillId="0" borderId="0" applyNumberFormat="0" applyFill="0" applyBorder="0" applyAlignment="0" applyProtection="0">
      <alignment vertical="top"/>
      <protection locked="0"/>
    </xf>
    <xf numFmtId="43" fontId="3" fillId="0" borderId="0" applyFont="0" applyFill="0" applyBorder="0" applyAlignment="0" applyProtection="0"/>
    <xf numFmtId="0" fontId="108" fillId="0" borderId="0"/>
    <xf numFmtId="0" fontId="11" fillId="20" borderId="223" applyNumberFormat="0" applyAlignment="0" applyProtection="0"/>
    <xf numFmtId="0" fontId="109" fillId="0" borderId="0"/>
    <xf numFmtId="43" fontId="109" fillId="0" borderId="0" applyFont="0" applyFill="0" applyBorder="0" applyAlignment="0" applyProtection="0"/>
    <xf numFmtId="41" fontId="109" fillId="0" borderId="0" applyFont="0" applyFill="0" applyBorder="0" applyAlignment="0" applyProtection="0"/>
    <xf numFmtId="44" fontId="109" fillId="0" borderId="0" applyFont="0" applyFill="0" applyBorder="0" applyAlignment="0" applyProtection="0"/>
    <xf numFmtId="42" fontId="109" fillId="0" borderId="0" applyFont="0" applyFill="0" applyBorder="0" applyAlignment="0" applyProtection="0"/>
    <xf numFmtId="9" fontId="109" fillId="0" borderId="0" applyFont="0" applyFill="0" applyBorder="0" applyAlignment="0" applyProtection="0"/>
    <xf numFmtId="0" fontId="122" fillId="0" borderId="0" applyNumberFormat="0" applyFill="0" applyBorder="0" applyAlignment="0" applyProtection="0"/>
    <xf numFmtId="0" fontId="116" fillId="0" borderId="214" applyNumberFormat="0" applyFill="0" applyAlignment="0" applyProtection="0"/>
    <xf numFmtId="0" fontId="116" fillId="0" borderId="215" applyNumberFormat="0" applyFill="0" applyAlignment="0" applyProtection="0"/>
    <xf numFmtId="0" fontId="116" fillId="0" borderId="216" applyNumberFormat="0" applyFill="0" applyAlignment="0" applyProtection="0"/>
    <xf numFmtId="0" fontId="116" fillId="0" borderId="0" applyNumberFormat="0" applyFill="0" applyBorder="0" applyAlignment="0" applyProtection="0"/>
    <xf numFmtId="0" fontId="115" fillId="63" borderId="0" applyNumberFormat="0" applyBorder="0" applyAlignment="0" applyProtection="0"/>
    <xf numFmtId="0" fontId="111" fillId="64" borderId="0" applyNumberFormat="0" applyBorder="0" applyAlignment="0" applyProtection="0"/>
    <xf numFmtId="0" fontId="119" fillId="65" borderId="0" applyNumberFormat="0" applyBorder="0" applyAlignment="0" applyProtection="0"/>
    <xf numFmtId="0" fontId="117" fillId="66" borderId="217" applyNumberFormat="0" applyAlignment="0" applyProtection="0"/>
    <xf numFmtId="0" fontId="121" fillId="67" borderId="218" applyNumberFormat="0" applyAlignment="0" applyProtection="0"/>
    <xf numFmtId="0" fontId="112" fillId="67" borderId="217" applyNumberFormat="0" applyAlignment="0" applyProtection="0"/>
    <xf numFmtId="0" fontId="118" fillId="0" borderId="219" applyNumberFormat="0" applyFill="0" applyAlignment="0" applyProtection="0"/>
    <xf numFmtId="0" fontId="113" fillId="68" borderId="220" applyNumberFormat="0" applyAlignment="0" applyProtection="0"/>
    <xf numFmtId="0" fontId="123" fillId="0" borderId="0" applyNumberFormat="0" applyFill="0" applyBorder="0" applyAlignment="0" applyProtection="0"/>
    <xf numFmtId="0" fontId="109" fillId="69" borderId="221" applyNumberFormat="0" applyFont="0" applyAlignment="0" applyProtection="0"/>
    <xf numFmtId="0" fontId="114" fillId="0" borderId="0" applyNumberFormat="0" applyFill="0" applyBorder="0" applyAlignment="0" applyProtection="0"/>
    <xf numFmtId="0" fontId="120" fillId="0" borderId="222" applyNumberFormat="0" applyFill="0" applyAlignment="0" applyProtection="0"/>
    <xf numFmtId="0" fontId="110" fillId="70" borderId="0" applyNumberFormat="0" applyBorder="0" applyAlignment="0" applyProtection="0"/>
    <xf numFmtId="0" fontId="109" fillId="71" borderId="0" applyNumberFormat="0" applyBorder="0" applyAlignment="0" applyProtection="0"/>
    <xf numFmtId="0" fontId="109" fillId="72" borderId="0" applyNumberFormat="0" applyBorder="0" applyAlignment="0" applyProtection="0"/>
    <xf numFmtId="0" fontId="110" fillId="73" borderId="0" applyNumberFormat="0" applyBorder="0" applyAlignment="0" applyProtection="0"/>
    <xf numFmtId="0" fontId="110" fillId="74" borderId="0" applyNumberFormat="0" applyBorder="0" applyAlignment="0" applyProtection="0"/>
    <xf numFmtId="0" fontId="109" fillId="75" borderId="0" applyNumberFormat="0" applyBorder="0" applyAlignment="0" applyProtection="0"/>
    <xf numFmtId="0" fontId="109" fillId="76" borderId="0" applyNumberFormat="0" applyBorder="0" applyAlignment="0" applyProtection="0"/>
    <xf numFmtId="0" fontId="110" fillId="77" borderId="0" applyNumberFormat="0" applyBorder="0" applyAlignment="0" applyProtection="0"/>
    <xf numFmtId="0" fontId="110" fillId="78" borderId="0" applyNumberFormat="0" applyBorder="0" applyAlignment="0" applyProtection="0"/>
    <xf numFmtId="0" fontId="109" fillId="79" borderId="0" applyNumberFormat="0" applyBorder="0" applyAlignment="0" applyProtection="0"/>
    <xf numFmtId="0" fontId="109" fillId="80" borderId="0" applyNumberFormat="0" applyBorder="0" applyAlignment="0" applyProtection="0"/>
    <xf numFmtId="0" fontId="110" fillId="81" borderId="0" applyNumberFormat="0" applyBorder="0" applyAlignment="0" applyProtection="0"/>
    <xf numFmtId="0" fontId="110" fillId="82" borderId="0" applyNumberFormat="0" applyBorder="0" applyAlignment="0" applyProtection="0"/>
    <xf numFmtId="0" fontId="109" fillId="83" borderId="0" applyNumberFormat="0" applyBorder="0" applyAlignment="0" applyProtection="0"/>
    <xf numFmtId="0" fontId="109" fillId="84" borderId="0" applyNumberFormat="0" applyBorder="0" applyAlignment="0" applyProtection="0"/>
    <xf numFmtId="0" fontId="110" fillId="85" borderId="0" applyNumberFormat="0" applyBorder="0" applyAlignment="0" applyProtection="0"/>
    <xf numFmtId="0" fontId="110" fillId="86" borderId="0" applyNumberFormat="0" applyBorder="0" applyAlignment="0" applyProtection="0"/>
    <xf numFmtId="0" fontId="109" fillId="87" borderId="0" applyNumberFormat="0" applyBorder="0" applyAlignment="0" applyProtection="0"/>
    <xf numFmtId="0" fontId="109" fillId="88" borderId="0" applyNumberFormat="0" applyBorder="0" applyAlignment="0" applyProtection="0"/>
    <xf numFmtId="0" fontId="110" fillId="89" borderId="0" applyNumberFormat="0" applyBorder="0" applyAlignment="0" applyProtection="0"/>
    <xf numFmtId="0" fontId="110" fillId="90" borderId="0" applyNumberFormat="0" applyBorder="0" applyAlignment="0" applyProtection="0"/>
    <xf numFmtId="0" fontId="109" fillId="91" borderId="0" applyNumberFormat="0" applyBorder="0" applyAlignment="0" applyProtection="0"/>
    <xf numFmtId="0" fontId="109" fillId="92" borderId="0" applyNumberFormat="0" applyBorder="0" applyAlignment="0" applyProtection="0"/>
    <xf numFmtId="0" fontId="110" fillId="93" borderId="0" applyNumberFormat="0" applyBorder="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11" fillId="20"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0" fillId="7" borderId="223"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51" fillId="20" borderId="225"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3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18" fillId="7" borderId="223" applyNumberForma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3" fillId="53" borderId="224" applyNumberForma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8" fillId="25" borderId="224" applyNumberFormat="0" applyFon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62" fillId="20" borderId="223"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5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21" fillId="20" borderId="225" applyNumberFormat="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6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23" fillId="0" borderId="226" applyNumberFormat="0" applyFill="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0" fontId="3" fillId="25" borderId="224"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1053">
    <xf numFmtId="0" fontId="0" fillId="0" borderId="0" xfId="0"/>
    <xf numFmtId="0" fontId="72" fillId="0" borderId="0" xfId="0" applyFont="1" applyFill="1" applyProtection="1"/>
    <xf numFmtId="0" fontId="72" fillId="0" borderId="0" xfId="0" applyFont="1" applyFill="1" applyAlignment="1" applyProtection="1">
      <alignment horizontal="left" indent="1"/>
    </xf>
    <xf numFmtId="0" fontId="72" fillId="0" borderId="0" xfId="0" applyFont="1" applyFill="1" applyAlignment="1">
      <alignment horizontal="left" indent="1"/>
    </xf>
    <xf numFmtId="0" fontId="72" fillId="0" borderId="0" xfId="0" applyFont="1"/>
    <xf numFmtId="0" fontId="72" fillId="0" borderId="0" xfId="0" applyFont="1" applyAlignment="1">
      <alignment horizontal="center"/>
    </xf>
    <xf numFmtId="0" fontId="72" fillId="0" borderId="0" xfId="0" applyFont="1" applyAlignment="1">
      <alignment wrapText="1"/>
    </xf>
    <xf numFmtId="0" fontId="72" fillId="0" borderId="0" xfId="0" applyNumberFormat="1" applyFont="1"/>
    <xf numFmtId="0" fontId="72" fillId="0" borderId="58" xfId="0" applyFont="1" applyBorder="1" applyAlignment="1">
      <alignment horizontal="center"/>
    </xf>
    <xf numFmtId="0" fontId="72" fillId="0" borderId="53" xfId="0" applyFont="1" applyBorder="1" applyAlignment="1">
      <alignment horizontal="centerContinuous" wrapText="1"/>
    </xf>
    <xf numFmtId="0" fontId="72" fillId="0" borderId="54" xfId="0" applyFont="1" applyBorder="1" applyAlignment="1">
      <alignment horizontal="centerContinuous" wrapText="1"/>
    </xf>
    <xf numFmtId="0" fontId="74" fillId="0" borderId="60" xfId="0" applyFont="1" applyBorder="1" applyAlignment="1">
      <alignment horizontal="centerContinuous" wrapText="1"/>
    </xf>
    <xf numFmtId="0" fontId="76" fillId="56" borderId="60" xfId="0" applyFont="1" applyFill="1" applyBorder="1"/>
    <xf numFmtId="0" fontId="76" fillId="56" borderId="53" xfId="0" applyFont="1" applyFill="1" applyBorder="1"/>
    <xf numFmtId="0" fontId="74" fillId="56" borderId="53" xfId="0" applyFont="1" applyFill="1" applyBorder="1"/>
    <xf numFmtId="0" fontId="74" fillId="56" borderId="54" xfId="0" applyFont="1" applyFill="1" applyBorder="1" applyAlignment="1">
      <alignment horizontal="right"/>
    </xf>
    <xf numFmtId="0" fontId="72" fillId="0" borderId="0" xfId="0" applyFont="1" applyAlignment="1">
      <alignment horizontal="left"/>
    </xf>
    <xf numFmtId="0" fontId="74" fillId="56" borderId="62" xfId="0" applyFont="1" applyFill="1" applyBorder="1"/>
    <xf numFmtId="0" fontId="72" fillId="0" borderId="62" xfId="0" applyFont="1" applyBorder="1"/>
    <xf numFmtId="0" fontId="72" fillId="0" borderId="64" xfId="0" applyFont="1" applyBorder="1"/>
    <xf numFmtId="0" fontId="72" fillId="0" borderId="63" xfId="0" applyFont="1" applyBorder="1"/>
    <xf numFmtId="0" fontId="72" fillId="0" borderId="65" xfId="0" applyFont="1" applyBorder="1"/>
    <xf numFmtId="0" fontId="72" fillId="0" borderId="0" xfId="0" applyFont="1" applyBorder="1"/>
    <xf numFmtId="0" fontId="74" fillId="56" borderId="63" xfId="0" applyFont="1" applyFill="1" applyBorder="1" applyAlignment="1">
      <alignment horizontal="right"/>
    </xf>
    <xf numFmtId="0" fontId="73" fillId="0" borderId="0" xfId="0" applyNumberFormat="1" applyFont="1"/>
    <xf numFmtId="0" fontId="73" fillId="0" borderId="0" xfId="0" applyNumberFormat="1" applyFont="1" applyBorder="1"/>
    <xf numFmtId="0" fontId="72" fillId="28" borderId="0" xfId="2447" applyFont="1" applyFill="1" applyAlignment="1" applyProtection="1">
      <alignment vertical="top"/>
      <protection hidden="1"/>
    </xf>
    <xf numFmtId="0" fontId="72" fillId="28" borderId="0" xfId="2447" applyFont="1" applyFill="1" applyAlignment="1" applyProtection="1">
      <alignment vertical="top" wrapText="1"/>
      <protection hidden="1"/>
    </xf>
    <xf numFmtId="0" fontId="74" fillId="28" borderId="0" xfId="2447" applyFont="1" applyFill="1" applyBorder="1" applyAlignment="1" applyProtection="1">
      <alignment horizontal="left" vertical="top" wrapText="1"/>
      <protection hidden="1"/>
    </xf>
    <xf numFmtId="0" fontId="74" fillId="28" borderId="0" xfId="2447" applyFont="1" applyFill="1" applyBorder="1" applyAlignment="1" applyProtection="1">
      <alignment vertical="top"/>
      <protection hidden="1"/>
    </xf>
    <xf numFmtId="0" fontId="0" fillId="0" borderId="0" xfId="0" applyBorder="1"/>
    <xf numFmtId="0" fontId="0" fillId="55" borderId="0" xfId="0" applyFill="1"/>
    <xf numFmtId="0" fontId="74" fillId="0" borderId="0" xfId="0" applyFont="1"/>
    <xf numFmtId="0" fontId="84" fillId="0" borderId="0" xfId="0" applyNumberFormat="1" applyFont="1"/>
    <xf numFmtId="0" fontId="85" fillId="0" borderId="0" xfId="0" applyFont="1"/>
    <xf numFmtId="0" fontId="86" fillId="0" borderId="0" xfId="0" applyNumberFormat="1" applyFont="1"/>
    <xf numFmtId="0" fontId="72" fillId="0" borderId="0" xfId="0" applyFont="1" applyBorder="1" applyAlignment="1">
      <alignment horizontal="center"/>
    </xf>
    <xf numFmtId="0" fontId="74" fillId="0" borderId="0" xfId="0" applyFont="1" applyBorder="1" applyAlignment="1">
      <alignment horizontal="center" wrapText="1"/>
    </xf>
    <xf numFmtId="0" fontId="72" fillId="0" borderId="0" xfId="0" applyFont="1" applyBorder="1" applyAlignment="1">
      <alignment horizontal="center" wrapText="1"/>
    </xf>
    <xf numFmtId="0" fontId="72" fillId="0" borderId="0" xfId="0" applyFont="1" applyBorder="1" applyAlignment="1">
      <alignment wrapText="1"/>
    </xf>
    <xf numFmtId="0" fontId="0" fillId="0" borderId="0" xfId="0" applyBorder="1" applyAlignment="1">
      <alignment horizontal="center"/>
    </xf>
    <xf numFmtId="0" fontId="72" fillId="0" borderId="0" xfId="0" applyNumberFormat="1" applyFont="1" applyAlignment="1">
      <alignment horizontal="left" vertical="center"/>
    </xf>
    <xf numFmtId="0" fontId="72" fillId="0" borderId="0" xfId="0" applyFont="1" applyAlignment="1">
      <alignment horizontal="left" vertical="center"/>
    </xf>
    <xf numFmtId="43" fontId="72" fillId="56" borderId="65" xfId="2446" applyFont="1" applyFill="1" applyBorder="1" applyAlignment="1">
      <alignment horizontal="left" vertical="center"/>
    </xf>
    <xf numFmtId="0" fontId="74" fillId="56" borderId="62" xfId="0" applyFont="1" applyFill="1" applyBorder="1" applyAlignment="1">
      <alignment horizontal="left" vertical="center"/>
    </xf>
    <xf numFmtId="0" fontId="74" fillId="56" borderId="70" xfId="0" applyFont="1" applyFill="1" applyBorder="1"/>
    <xf numFmtId="0" fontId="72" fillId="56" borderId="62" xfId="0" applyFont="1" applyFill="1" applyBorder="1"/>
    <xf numFmtId="0" fontId="72" fillId="56" borderId="64" xfId="0" applyFont="1" applyFill="1" applyBorder="1"/>
    <xf numFmtId="41" fontId="72" fillId="0" borderId="0" xfId="0" applyNumberFormat="1" applyFont="1"/>
    <xf numFmtId="0" fontId="74" fillId="55" borderId="0" xfId="0" applyFont="1" applyFill="1" applyBorder="1" applyAlignment="1" applyProtection="1">
      <alignment horizontal="centerContinuous" vertical="center"/>
      <protection hidden="1"/>
    </xf>
    <xf numFmtId="3" fontId="72" fillId="0" borderId="0" xfId="0" applyNumberFormat="1" applyFont="1" applyFill="1" applyBorder="1" applyAlignment="1" applyProtection="1"/>
    <xf numFmtId="41" fontId="72" fillId="0" borderId="0" xfId="0" applyNumberFormat="1" applyFont="1" applyFill="1" applyBorder="1" applyAlignment="1" applyProtection="1">
      <alignment horizontal="right" vertical="center" wrapText="1"/>
    </xf>
    <xf numFmtId="41" fontId="72" fillId="0" borderId="27" xfId="0" applyNumberFormat="1" applyFont="1" applyFill="1" applyBorder="1" applyAlignment="1" applyProtection="1">
      <alignment horizontal="right" vertical="center"/>
    </xf>
    <xf numFmtId="0" fontId="72" fillId="0" borderId="0" xfId="0" applyFont="1" applyFill="1" applyBorder="1" applyAlignment="1" applyProtection="1">
      <alignment vertical="center" wrapText="1"/>
    </xf>
    <xf numFmtId="0" fontId="92" fillId="0" borderId="0" xfId="0" applyFont="1" applyFill="1" applyBorder="1" applyAlignment="1" applyProtection="1">
      <alignment vertical="top"/>
    </xf>
    <xf numFmtId="0" fontId="92" fillId="0" borderId="0" xfId="0" applyFont="1" applyBorder="1" applyAlignment="1" applyProtection="1">
      <alignment horizontal="left" vertical="top"/>
    </xf>
    <xf numFmtId="41" fontId="72" fillId="0" borderId="0" xfId="0" applyNumberFormat="1" applyFont="1" applyFill="1" applyBorder="1" applyAlignment="1" applyProtection="1">
      <alignment horizontal="right" vertical="center"/>
    </xf>
    <xf numFmtId="41" fontId="72" fillId="0" borderId="0" xfId="0" applyNumberFormat="1" applyFont="1" applyFill="1" applyBorder="1" applyAlignment="1" applyProtection="1">
      <alignment horizontal="right" wrapText="1"/>
    </xf>
    <xf numFmtId="0" fontId="92" fillId="0" borderId="0" xfId="0" applyFont="1" applyFill="1" applyBorder="1" applyAlignment="1" applyProtection="1">
      <alignment horizontal="left" vertical="top"/>
    </xf>
    <xf numFmtId="41" fontId="72" fillId="0" borderId="0" xfId="0" applyNumberFormat="1" applyFont="1" applyFill="1" applyBorder="1" applyAlignment="1" applyProtection="1">
      <alignment horizontal="right"/>
    </xf>
    <xf numFmtId="0" fontId="93" fillId="0" borderId="0" xfId="0" applyFont="1" applyBorder="1" applyAlignment="1" applyProtection="1">
      <alignment horizontal="left" vertical="top"/>
    </xf>
    <xf numFmtId="3" fontId="72" fillId="0" borderId="0" xfId="0" applyNumberFormat="1" applyFont="1" applyFill="1" applyAlignment="1" applyProtection="1"/>
    <xf numFmtId="0" fontId="72" fillId="0" borderId="0" xfId="0" applyFont="1" applyFill="1" applyAlignment="1" applyProtection="1"/>
    <xf numFmtId="41" fontId="72" fillId="0" borderId="0" xfId="0" applyNumberFormat="1" applyFont="1" applyFill="1" applyAlignment="1" applyProtection="1">
      <alignment horizontal="right"/>
    </xf>
    <xf numFmtId="41" fontId="72" fillId="0" borderId="0" xfId="0" applyNumberFormat="1" applyFont="1" applyFill="1" applyAlignment="1" applyProtection="1"/>
    <xf numFmtId="0" fontId="74" fillId="0" borderId="11" xfId="0" applyFont="1" applyFill="1" applyBorder="1" applyAlignment="1" applyProtection="1"/>
    <xf numFmtId="0" fontId="74" fillId="0" borderId="0" xfId="0" applyFont="1" applyFill="1" applyBorder="1" applyAlignment="1" applyProtection="1"/>
    <xf numFmtId="41" fontId="74" fillId="0" borderId="17" xfId="0" applyNumberFormat="1" applyFont="1" applyFill="1" applyBorder="1" applyAlignment="1" applyProtection="1">
      <alignment horizontal="right"/>
    </xf>
    <xf numFmtId="3" fontId="72" fillId="0" borderId="0" xfId="0" applyNumberFormat="1" applyFont="1" applyFill="1" applyAlignment="1" applyProtection="1">
      <alignment wrapText="1"/>
    </xf>
    <xf numFmtId="0" fontId="72" fillId="0" borderId="0" xfId="0" applyFont="1" applyFill="1" applyBorder="1" applyProtection="1"/>
    <xf numFmtId="41" fontId="74" fillId="0" borderId="42" xfId="0" applyNumberFormat="1" applyFont="1" applyFill="1" applyBorder="1" applyAlignment="1" applyProtection="1">
      <alignment horizontal="center"/>
    </xf>
    <xf numFmtId="41" fontId="74" fillId="0" borderId="0" xfId="0" applyNumberFormat="1" applyFont="1" applyFill="1" applyBorder="1" applyAlignment="1" applyProtection="1">
      <alignment horizontal="center"/>
    </xf>
    <xf numFmtId="41" fontId="74" fillId="0" borderId="12" xfId="0" applyNumberFormat="1" applyFont="1" applyFill="1" applyBorder="1" applyAlignment="1" applyProtection="1">
      <alignment horizontal="center"/>
    </xf>
    <xf numFmtId="0" fontId="74" fillId="0" borderId="16" xfId="0" applyFont="1" applyFill="1" applyBorder="1" applyAlignment="1" applyProtection="1"/>
    <xf numFmtId="0" fontId="74" fillId="0" borderId="17" xfId="0" applyFont="1" applyFill="1" applyBorder="1" applyAlignment="1" applyProtection="1"/>
    <xf numFmtId="0" fontId="72" fillId="0" borderId="17" xfId="0" applyFont="1" applyFill="1" applyBorder="1" applyProtection="1"/>
    <xf numFmtId="41" fontId="72" fillId="0" borderId="17" xfId="0" applyNumberFormat="1" applyFont="1" applyFill="1" applyBorder="1" applyAlignment="1" applyProtection="1">
      <alignment horizontal="right"/>
    </xf>
    <xf numFmtId="41" fontId="74" fillId="0" borderId="18" xfId="0" applyNumberFormat="1" applyFont="1" applyFill="1" applyBorder="1" applyAlignment="1" applyProtection="1">
      <alignment horizontal="center"/>
    </xf>
    <xf numFmtId="41" fontId="74" fillId="0" borderId="17" xfId="0" applyNumberFormat="1" applyFont="1" applyFill="1" applyBorder="1" applyAlignment="1" applyProtection="1">
      <alignment horizontal="center"/>
    </xf>
    <xf numFmtId="41" fontId="74" fillId="0" borderId="43" xfId="0" applyNumberFormat="1" applyFont="1" applyFill="1" applyBorder="1" applyAlignment="1" applyProtection="1">
      <alignment horizontal="center"/>
    </xf>
    <xf numFmtId="41" fontId="74" fillId="0" borderId="38" xfId="0" applyNumberFormat="1" applyFont="1" applyFill="1" applyBorder="1" applyAlignment="1" applyProtection="1">
      <alignment horizontal="center"/>
    </xf>
    <xf numFmtId="0" fontId="72" fillId="0" borderId="11" xfId="0" applyFont="1" applyFill="1" applyBorder="1" applyAlignment="1" applyProtection="1"/>
    <xf numFmtId="0" fontId="72" fillId="0" borderId="0" xfId="0" applyFont="1" applyFill="1" applyBorder="1" applyAlignment="1" applyProtection="1"/>
    <xf numFmtId="41" fontId="72" fillId="0" borderId="0" xfId="0" applyNumberFormat="1" applyFont="1" applyFill="1" applyBorder="1" applyProtection="1"/>
    <xf numFmtId="41" fontId="72" fillId="0" borderId="12" xfId="0" applyNumberFormat="1" applyFont="1" applyFill="1" applyBorder="1" applyProtection="1"/>
    <xf numFmtId="0" fontId="74" fillId="0" borderId="0" xfId="0" applyFont="1" applyFill="1" applyAlignment="1" applyProtection="1">
      <alignment horizontal="center" textRotation="60" wrapText="1"/>
    </xf>
    <xf numFmtId="0" fontId="72" fillId="0" borderId="13" xfId="0" applyFont="1" applyFill="1" applyBorder="1" applyAlignment="1" applyProtection="1"/>
    <xf numFmtId="0" fontId="72" fillId="0" borderId="14" xfId="0" applyFont="1" applyFill="1" applyBorder="1" applyAlignment="1" applyProtection="1"/>
    <xf numFmtId="0" fontId="74" fillId="0" borderId="14" xfId="0" applyFont="1" applyFill="1" applyBorder="1" applyAlignment="1" applyProtection="1">
      <alignment horizontal="left" wrapText="1"/>
    </xf>
    <xf numFmtId="41" fontId="74" fillId="0" borderId="14" xfId="0" applyNumberFormat="1" applyFont="1" applyFill="1" applyBorder="1" applyAlignment="1" applyProtection="1">
      <alignment horizontal="right" wrapText="1"/>
    </xf>
    <xf numFmtId="41" fontId="72" fillId="0" borderId="14" xfId="0" applyNumberFormat="1" applyFont="1" applyFill="1" applyBorder="1" applyAlignment="1" applyProtection="1">
      <alignment horizontal="center" wrapText="1"/>
    </xf>
    <xf numFmtId="41" fontId="72" fillId="0" borderId="30" xfId="0" applyNumberFormat="1" applyFont="1" applyFill="1" applyBorder="1" applyAlignment="1" applyProtection="1">
      <alignment horizontal="center" wrapText="1"/>
    </xf>
    <xf numFmtId="0" fontId="74" fillId="0" borderId="11" xfId="0" applyFont="1" applyFill="1" applyBorder="1" applyAlignment="1" applyProtection="1">
      <alignment vertical="center"/>
    </xf>
    <xf numFmtId="0" fontId="74" fillId="0" borderId="0" xfId="0" applyFont="1" applyFill="1" applyBorder="1" applyAlignment="1" applyProtection="1">
      <alignment vertical="center"/>
    </xf>
    <xf numFmtId="3" fontId="72" fillId="0" borderId="0" xfId="0" applyNumberFormat="1" applyFont="1" applyFill="1" applyBorder="1" applyAlignment="1" applyProtection="1">
      <alignment wrapText="1"/>
    </xf>
    <xf numFmtId="41" fontId="72" fillId="0" borderId="0" xfId="0" applyNumberFormat="1" applyFont="1" applyFill="1" applyBorder="1" applyAlignment="1" applyProtection="1">
      <alignment vertical="center" wrapText="1"/>
    </xf>
    <xf numFmtId="3" fontId="72" fillId="0" borderId="11" xfId="0" applyNumberFormat="1" applyFont="1" applyFill="1" applyBorder="1" applyAlignment="1" applyProtection="1"/>
    <xf numFmtId="0" fontId="72" fillId="0" borderId="0" xfId="0" applyFont="1" applyFill="1" applyBorder="1" applyAlignment="1" applyProtection="1">
      <alignment vertical="center"/>
    </xf>
    <xf numFmtId="41" fontId="72" fillId="0" borderId="20" xfId="0" applyNumberFormat="1" applyFont="1" applyFill="1" applyBorder="1" applyAlignment="1" applyProtection="1">
      <alignment vertical="center" wrapText="1"/>
    </xf>
    <xf numFmtId="41" fontId="72" fillId="0" borderId="31" xfId="0" applyNumberFormat="1" applyFont="1" applyFill="1" applyBorder="1" applyAlignment="1" applyProtection="1">
      <alignment vertical="center" wrapText="1"/>
    </xf>
    <xf numFmtId="41" fontId="72" fillId="29" borderId="29" xfId="0" applyNumberFormat="1" applyFont="1" applyFill="1" applyBorder="1" applyAlignment="1" applyProtection="1">
      <alignment vertical="center" wrapText="1"/>
      <protection locked="0"/>
    </xf>
    <xf numFmtId="41" fontId="72" fillId="0" borderId="21" xfId="0" applyNumberFormat="1" applyFont="1" applyFill="1" applyBorder="1" applyAlignment="1" applyProtection="1">
      <alignment vertical="center" wrapText="1"/>
    </xf>
    <xf numFmtId="41" fontId="72" fillId="0" borderId="29" xfId="0" applyNumberFormat="1" applyFont="1" applyFill="1" applyBorder="1" applyAlignment="1" applyProtection="1">
      <alignment vertical="center" wrapText="1"/>
    </xf>
    <xf numFmtId="41" fontId="72" fillId="0" borderId="32" xfId="0" applyNumberFormat="1" applyFont="1" applyFill="1" applyBorder="1" applyAlignment="1" applyProtection="1">
      <alignment vertical="center" wrapText="1"/>
    </xf>
    <xf numFmtId="41" fontId="72" fillId="0" borderId="23" xfId="0" applyNumberFormat="1" applyFont="1" applyFill="1" applyBorder="1" applyAlignment="1" applyProtection="1">
      <alignment vertical="center" wrapText="1"/>
    </xf>
    <xf numFmtId="41" fontId="72" fillId="0" borderId="34" xfId="0" applyNumberFormat="1" applyFont="1" applyFill="1" applyBorder="1" applyAlignment="1" applyProtection="1">
      <alignment vertical="center" wrapText="1"/>
    </xf>
    <xf numFmtId="41" fontId="90" fillId="29" borderId="29" xfId="0" applyNumberFormat="1" applyFont="1" applyFill="1" applyBorder="1" applyAlignment="1" applyProtection="1">
      <alignment vertical="center" wrapText="1"/>
      <protection locked="0"/>
    </xf>
    <xf numFmtId="41" fontId="72" fillId="0" borderId="22" xfId="0" applyNumberFormat="1" applyFont="1" applyFill="1" applyBorder="1" applyAlignment="1" applyProtection="1">
      <alignment vertical="center" wrapText="1"/>
    </xf>
    <xf numFmtId="41" fontId="72" fillId="0" borderId="33" xfId="0" applyNumberFormat="1" applyFont="1" applyFill="1" applyBorder="1" applyAlignment="1" applyProtection="1">
      <alignment vertical="center" wrapText="1"/>
    </xf>
    <xf numFmtId="0" fontId="74" fillId="0" borderId="24" xfId="0" applyFont="1" applyFill="1" applyBorder="1" applyAlignment="1" applyProtection="1">
      <alignment horizontal="left" vertical="center"/>
    </xf>
    <xf numFmtId="0" fontId="74" fillId="0" borderId="25" xfId="0" applyFont="1" applyFill="1" applyBorder="1" applyAlignment="1" applyProtection="1">
      <alignment horizontal="left" vertical="center"/>
    </xf>
    <xf numFmtId="3" fontId="72" fillId="0" borderId="26" xfId="0" applyNumberFormat="1" applyFont="1" applyFill="1" applyBorder="1" applyAlignment="1" applyProtection="1">
      <alignment wrapText="1"/>
    </xf>
    <xf numFmtId="41" fontId="72" fillId="0" borderId="25" xfId="0" applyNumberFormat="1" applyFont="1" applyFill="1" applyBorder="1" applyAlignment="1" applyProtection="1">
      <alignment horizontal="right" wrapText="1"/>
    </xf>
    <xf numFmtId="41" fontId="91" fillId="0" borderId="41" xfId="0" applyNumberFormat="1" applyFont="1" applyFill="1" applyBorder="1" applyAlignment="1" applyProtection="1">
      <alignment vertical="center" wrapText="1"/>
    </xf>
    <xf numFmtId="41" fontId="91" fillId="0" borderId="35" xfId="0" applyNumberFormat="1" applyFont="1" applyFill="1" applyBorder="1" applyAlignment="1" applyProtection="1">
      <alignment vertical="center" wrapText="1"/>
    </xf>
    <xf numFmtId="41" fontId="91" fillId="0" borderId="36" xfId="0" applyNumberFormat="1" applyFont="1" applyFill="1" applyBorder="1" applyAlignment="1" applyProtection="1">
      <alignment vertical="center" wrapText="1"/>
    </xf>
    <xf numFmtId="3" fontId="72" fillId="0" borderId="10" xfId="0" applyNumberFormat="1" applyFont="1" applyFill="1" applyBorder="1" applyAlignment="1" applyProtection="1">
      <alignment wrapText="1"/>
    </xf>
    <xf numFmtId="41" fontId="72" fillId="0" borderId="10" xfId="0" applyNumberFormat="1" applyFont="1" applyFill="1" applyBorder="1" applyAlignment="1" applyProtection="1">
      <alignment horizontal="right" wrapText="1"/>
    </xf>
    <xf numFmtId="41" fontId="72" fillId="0" borderId="12" xfId="0" applyNumberFormat="1" applyFont="1" applyFill="1" applyBorder="1" applyAlignment="1" applyProtection="1">
      <alignment vertical="center" wrapText="1"/>
    </xf>
    <xf numFmtId="0" fontId="74" fillId="0" borderId="0" xfId="0" applyFont="1" applyFill="1" applyBorder="1" applyAlignment="1" applyProtection="1">
      <alignment horizontal="left" vertical="center"/>
    </xf>
    <xf numFmtId="0" fontId="72" fillId="0" borderId="0" xfId="0" applyFont="1" applyFill="1" applyBorder="1" applyAlignment="1" applyProtection="1">
      <alignment horizontal="left" vertical="center"/>
    </xf>
    <xf numFmtId="41" fontId="72" fillId="0" borderId="29" xfId="0" applyNumberFormat="1" applyFont="1" applyFill="1" applyBorder="1" applyAlignment="1" applyProtection="1">
      <alignment horizontal="right" vertical="center"/>
    </xf>
    <xf numFmtId="41" fontId="72" fillId="0" borderId="21" xfId="0" applyNumberFormat="1" applyFont="1" applyFill="1" applyBorder="1" applyAlignment="1" applyProtection="1">
      <alignment horizontal="right" vertical="center"/>
    </xf>
    <xf numFmtId="0" fontId="79" fillId="0" borderId="0" xfId="0" applyFont="1" applyFill="1" applyBorder="1" applyAlignment="1" applyProtection="1">
      <alignment vertical="center" wrapText="1"/>
    </xf>
    <xf numFmtId="41" fontId="79" fillId="0" borderId="0" xfId="0" applyNumberFormat="1" applyFont="1" applyFill="1" applyBorder="1" applyAlignment="1" applyProtection="1">
      <alignment horizontal="right" vertical="center" wrapText="1"/>
    </xf>
    <xf numFmtId="0" fontId="74" fillId="0" borderId="46" xfId="0" applyFont="1" applyFill="1" applyBorder="1" applyAlignment="1" applyProtection="1">
      <alignment vertical="center"/>
    </xf>
    <xf numFmtId="0" fontId="74" fillId="0" borderId="25" xfId="0" applyFont="1" applyFill="1" applyBorder="1" applyAlignment="1" applyProtection="1">
      <alignment vertical="center"/>
    </xf>
    <xf numFmtId="3" fontId="72" fillId="0" borderId="25" xfId="0" applyNumberFormat="1" applyFont="1" applyFill="1" applyBorder="1" applyAlignment="1" applyProtection="1">
      <alignment wrapText="1"/>
    </xf>
    <xf numFmtId="41" fontId="72" fillId="0" borderId="0" xfId="0" applyNumberFormat="1" applyFont="1" applyFill="1" applyBorder="1" applyAlignment="1" applyProtection="1">
      <alignment wrapText="1"/>
    </xf>
    <xf numFmtId="41" fontId="72" fillId="0" borderId="12" xfId="0" applyNumberFormat="1" applyFont="1" applyFill="1" applyBorder="1" applyAlignment="1" applyProtection="1">
      <alignment wrapText="1"/>
    </xf>
    <xf numFmtId="41" fontId="72" fillId="0" borderId="0" xfId="0" applyNumberFormat="1" applyFont="1" applyFill="1" applyBorder="1" applyAlignment="1" applyProtection="1"/>
    <xf numFmtId="41" fontId="72" fillId="0" borderId="12" xfId="0" applyNumberFormat="1" applyFont="1" applyFill="1" applyBorder="1" applyAlignment="1" applyProtection="1"/>
    <xf numFmtId="41" fontId="72" fillId="0" borderId="20" xfId="0" applyNumberFormat="1" applyFont="1" applyFill="1" applyBorder="1" applyAlignment="1" applyProtection="1"/>
    <xf numFmtId="41" fontId="72" fillId="0" borderId="31" xfId="0" applyNumberFormat="1" applyFont="1" applyFill="1" applyBorder="1" applyAlignment="1" applyProtection="1"/>
    <xf numFmtId="41" fontId="74" fillId="0" borderId="19" xfId="0" applyNumberFormat="1" applyFont="1" applyFill="1" applyBorder="1" applyAlignment="1" applyProtection="1">
      <alignment horizontal="center"/>
    </xf>
    <xf numFmtId="41" fontId="72" fillId="0" borderId="44" xfId="0" applyNumberFormat="1" applyFont="1" applyFill="1" applyBorder="1" applyAlignment="1" applyProtection="1">
      <alignment vertical="center" wrapText="1"/>
    </xf>
    <xf numFmtId="41" fontId="72" fillId="0" borderId="25" xfId="0" applyNumberFormat="1" applyFont="1" applyFill="1" applyBorder="1" applyAlignment="1" applyProtection="1">
      <alignment vertical="center" wrapText="1"/>
    </xf>
    <xf numFmtId="41" fontId="91" fillId="0" borderId="0" xfId="0" applyNumberFormat="1" applyFont="1" applyFill="1" applyBorder="1" applyAlignment="1" applyProtection="1">
      <alignment vertical="center" wrapText="1"/>
    </xf>
    <xf numFmtId="41" fontId="91" fillId="0" borderId="23" xfId="0" applyNumberFormat="1" applyFont="1" applyFill="1" applyBorder="1" applyAlignment="1" applyProtection="1">
      <alignment vertical="center" wrapText="1"/>
    </xf>
    <xf numFmtId="41" fontId="91" fillId="0" borderId="25" xfId="0" applyNumberFormat="1" applyFont="1" applyFill="1" applyBorder="1" applyAlignment="1" applyProtection="1">
      <alignment vertical="center" wrapText="1"/>
    </xf>
    <xf numFmtId="3" fontId="72" fillId="0" borderId="0" xfId="0" applyNumberFormat="1" applyFont="1" applyFill="1" applyBorder="1" applyAlignment="1" applyProtection="1">
      <alignment vertical="center"/>
    </xf>
    <xf numFmtId="41" fontId="72" fillId="0" borderId="0" xfId="0" applyNumberFormat="1" applyFont="1" applyFill="1" applyBorder="1" applyAlignment="1" applyProtection="1">
      <alignment vertical="center"/>
    </xf>
    <xf numFmtId="41" fontId="72" fillId="0" borderId="23" xfId="0" applyNumberFormat="1" applyFont="1" applyFill="1" applyBorder="1" applyAlignment="1" applyProtection="1"/>
    <xf numFmtId="41" fontId="91" fillId="0" borderId="0" xfId="0" applyNumberFormat="1" applyFont="1" applyFill="1" applyBorder="1" applyAlignment="1" applyProtection="1">
      <alignment horizontal="center"/>
    </xf>
    <xf numFmtId="41" fontId="91" fillId="0" borderId="0" xfId="0" applyNumberFormat="1" applyFont="1" applyFill="1" applyBorder="1" applyAlignment="1" applyProtection="1"/>
    <xf numFmtId="0" fontId="72" fillId="55" borderId="0" xfId="2447" applyFont="1" applyFill="1" applyAlignment="1" applyProtection="1">
      <alignment vertical="top"/>
      <protection hidden="1"/>
    </xf>
    <xf numFmtId="0" fontId="72" fillId="55" borderId="0" xfId="2447" applyFont="1" applyFill="1" applyBorder="1" applyAlignment="1" applyProtection="1">
      <alignment vertical="top"/>
      <protection hidden="1"/>
    </xf>
    <xf numFmtId="0" fontId="74" fillId="55" borderId="0" xfId="2447" applyFont="1" applyFill="1" applyAlignment="1" applyProtection="1">
      <alignment vertical="center"/>
      <protection hidden="1"/>
    </xf>
    <xf numFmtId="0" fontId="74" fillId="28" borderId="0" xfId="2447" applyFont="1" applyFill="1" applyBorder="1" applyAlignment="1" applyProtection="1">
      <alignment vertical="top" wrapText="1"/>
      <protection hidden="1"/>
    </xf>
    <xf numFmtId="0" fontId="72" fillId="55" borderId="51" xfId="2447" applyFont="1" applyFill="1" applyBorder="1" applyAlignment="1" applyProtection="1">
      <alignment horizontal="center" vertical="center"/>
      <protection hidden="1"/>
    </xf>
    <xf numFmtId="0" fontId="0" fillId="55" borderId="0" xfId="0" applyFill="1" applyBorder="1"/>
    <xf numFmtId="0" fontId="74" fillId="0" borderId="0" xfId="0" applyFont="1" applyFill="1" applyBorder="1" applyProtection="1"/>
    <xf numFmtId="41" fontId="91" fillId="0" borderId="27" xfId="0" applyNumberFormat="1" applyFont="1" applyFill="1" applyBorder="1" applyAlignment="1" applyProtection="1">
      <alignment vertical="center" wrapText="1"/>
    </xf>
    <xf numFmtId="41" fontId="90" fillId="0" borderId="0" xfId="0" applyNumberFormat="1" applyFont="1" applyFill="1" applyBorder="1" applyAlignment="1" applyProtection="1"/>
    <xf numFmtId="41" fontId="91" fillId="0" borderId="27" xfId="0" applyNumberFormat="1" applyFont="1" applyFill="1" applyBorder="1" applyAlignment="1" applyProtection="1">
      <alignment horizontal="center"/>
    </xf>
    <xf numFmtId="41" fontId="72" fillId="0" borderId="0" xfId="0" applyNumberFormat="1" applyFont="1" applyFill="1" applyBorder="1" applyAlignment="1" applyProtection="1">
      <alignment horizontal="center" wrapText="1"/>
    </xf>
    <xf numFmtId="41" fontId="72" fillId="0" borderId="39" xfId="0" applyNumberFormat="1" applyFont="1" applyFill="1" applyBorder="1" applyAlignment="1" applyProtection="1">
      <alignment vertical="center" wrapText="1"/>
    </xf>
    <xf numFmtId="41" fontId="91" fillId="0" borderId="29" xfId="0" applyNumberFormat="1" applyFont="1" applyFill="1" applyBorder="1" applyAlignment="1" applyProtection="1">
      <alignment vertical="center" wrapText="1"/>
    </xf>
    <xf numFmtId="41" fontId="72" fillId="0" borderId="56" xfId="0" applyNumberFormat="1" applyFont="1" applyFill="1" applyBorder="1" applyAlignment="1" applyProtection="1">
      <alignment vertical="center" wrapText="1"/>
    </xf>
    <xf numFmtId="41" fontId="91" fillId="0" borderId="12" xfId="0" applyNumberFormat="1" applyFont="1" applyFill="1" applyBorder="1" applyAlignment="1" applyProtection="1">
      <alignment vertical="center" wrapText="1"/>
    </xf>
    <xf numFmtId="41" fontId="88" fillId="31" borderId="0" xfId="95" applyNumberFormat="1" applyFont="1" applyFill="1" applyBorder="1" applyAlignment="1" applyProtection="1">
      <alignment horizontal="centerContinuous" vertical="center"/>
    </xf>
    <xf numFmtId="0" fontId="72" fillId="54" borderId="58" xfId="0" applyFont="1" applyFill="1" applyBorder="1" applyProtection="1"/>
    <xf numFmtId="0" fontId="0" fillId="0" borderId="0" xfId="0" applyProtection="1"/>
    <xf numFmtId="0" fontId="72" fillId="57" borderId="58" xfId="0" applyFont="1" applyFill="1" applyBorder="1" applyProtection="1"/>
    <xf numFmtId="0" fontId="72" fillId="28" borderId="58" xfId="0" applyFont="1" applyFill="1" applyBorder="1" applyAlignment="1" applyProtection="1">
      <alignment wrapText="1"/>
    </xf>
    <xf numFmtId="0" fontId="72" fillId="55" borderId="0" xfId="45" applyFont="1" applyFill="1" applyProtection="1"/>
    <xf numFmtId="0" fontId="72" fillId="55" borderId="0" xfId="0" applyFont="1" applyFill="1" applyProtection="1"/>
    <xf numFmtId="0" fontId="73" fillId="55" borderId="0" xfId="45" applyFont="1" applyFill="1" applyAlignment="1" applyProtection="1">
      <alignment horizontal="centerContinuous"/>
    </xf>
    <xf numFmtId="0" fontId="73" fillId="55" borderId="0" xfId="45" applyFont="1" applyFill="1" applyBorder="1" applyAlignment="1" applyProtection="1">
      <alignment horizontal="centerContinuous"/>
    </xf>
    <xf numFmtId="0" fontId="74" fillId="55" borderId="0" xfId="0" applyFont="1" applyFill="1" applyBorder="1" applyAlignment="1" applyProtection="1">
      <alignment horizontal="center"/>
    </xf>
    <xf numFmtId="0" fontId="72" fillId="54" borderId="65" xfId="2447" applyFont="1" applyFill="1" applyBorder="1" applyAlignment="1" applyProtection="1">
      <alignment horizontal="left" vertical="top" wrapText="1"/>
      <protection locked="0"/>
    </xf>
    <xf numFmtId="0" fontId="74" fillId="0" borderId="0" xfId="0" applyFont="1" applyFill="1" applyBorder="1" applyAlignment="1" applyProtection="1">
      <alignment horizontal="centerContinuous" vertical="center"/>
      <protection hidden="1"/>
    </xf>
    <xf numFmtId="0" fontId="74" fillId="28" borderId="0" xfId="2447" applyFont="1" applyFill="1" applyBorder="1" applyAlignment="1" applyProtection="1">
      <alignment vertical="center"/>
      <protection hidden="1"/>
    </xf>
    <xf numFmtId="167" fontId="72" fillId="55" borderId="0" xfId="2447" applyNumberFormat="1" applyFont="1" applyFill="1" applyBorder="1" applyAlignment="1" applyProtection="1">
      <alignment horizontal="center" vertical="center" wrapText="1"/>
    </xf>
    <xf numFmtId="0" fontId="72" fillId="55" borderId="0" xfId="2447" applyFont="1" applyFill="1" applyBorder="1" applyAlignment="1" applyProtection="1">
      <alignment vertical="center"/>
      <protection hidden="1"/>
    </xf>
    <xf numFmtId="2" fontId="72" fillId="28" borderId="0" xfId="2447" applyNumberFormat="1" applyFont="1" applyFill="1" applyBorder="1" applyAlignment="1" applyProtection="1">
      <alignment horizontal="center" vertical="center" wrapText="1"/>
      <protection hidden="1"/>
    </xf>
    <xf numFmtId="0" fontId="82" fillId="55" borderId="0" xfId="0" applyFont="1" applyFill="1" applyBorder="1" applyAlignment="1" applyProtection="1">
      <alignment horizontal="centerContinuous" vertical="center"/>
      <protection hidden="1"/>
    </xf>
    <xf numFmtId="0" fontId="73" fillId="55" borderId="0" xfId="2447" applyFont="1" applyFill="1" applyBorder="1" applyAlignment="1" applyProtection="1">
      <alignment horizontal="center" vertical="center"/>
      <protection hidden="1"/>
    </xf>
    <xf numFmtId="0" fontId="74" fillId="56" borderId="60" xfId="0" applyFont="1" applyFill="1" applyBorder="1"/>
    <xf numFmtId="0" fontId="72" fillId="0" borderId="0" xfId="0" applyFont="1" applyFill="1" applyBorder="1" applyAlignment="1" applyProtection="1">
      <alignment horizontal="center"/>
    </xf>
    <xf numFmtId="0" fontId="72" fillId="0" borderId="0" xfId="0" applyFont="1" applyFill="1" applyAlignment="1" applyProtection="1">
      <alignment wrapText="1"/>
    </xf>
    <xf numFmtId="0" fontId="72" fillId="0" borderId="66" xfId="0" applyFont="1" applyFill="1" applyBorder="1" applyProtection="1"/>
    <xf numFmtId="0" fontId="72" fillId="0" borderId="57" xfId="0" applyFont="1" applyFill="1" applyBorder="1" applyProtection="1"/>
    <xf numFmtId="0" fontId="72" fillId="0" borderId="61" xfId="0" applyFont="1" applyFill="1" applyBorder="1" applyProtection="1"/>
    <xf numFmtId="0" fontId="72" fillId="0" borderId="49" xfId="0" applyFont="1" applyFill="1" applyBorder="1" applyProtection="1"/>
    <xf numFmtId="0" fontId="72" fillId="0" borderId="50" xfId="0" applyFont="1" applyFill="1" applyBorder="1" applyProtection="1"/>
    <xf numFmtId="0" fontId="94" fillId="0" borderId="49" xfId="0" applyFont="1" applyFill="1" applyBorder="1" applyProtection="1"/>
    <xf numFmtId="0" fontId="73" fillId="0" borderId="0" xfId="0" applyFont="1" applyFill="1" applyBorder="1" applyAlignment="1" applyProtection="1">
      <alignment horizontal="centerContinuous" vertical="center" wrapText="1"/>
    </xf>
    <xf numFmtId="0" fontId="73" fillId="0" borderId="0" xfId="0" applyFont="1" applyFill="1" applyBorder="1" applyAlignment="1" applyProtection="1">
      <alignment horizontal="centerContinuous" vertical="center"/>
    </xf>
    <xf numFmtId="0" fontId="94" fillId="0" borderId="0" xfId="0" applyFont="1" applyFill="1" applyBorder="1" applyAlignment="1" applyProtection="1">
      <alignment horizontal="centerContinuous" vertical="center"/>
    </xf>
    <xf numFmtId="0" fontId="94" fillId="0" borderId="50" xfId="0" applyFont="1" applyFill="1" applyBorder="1" applyProtection="1"/>
    <xf numFmtId="0" fontId="72" fillId="0" borderId="49" xfId="0" applyFont="1" applyFill="1" applyBorder="1" applyAlignment="1" applyProtection="1">
      <alignment wrapText="1"/>
    </xf>
    <xf numFmtId="0" fontId="72" fillId="0" borderId="71" xfId="0" applyFont="1" applyFill="1" applyBorder="1" applyProtection="1"/>
    <xf numFmtId="0" fontId="72" fillId="0" borderId="50" xfId="0" applyFont="1" applyFill="1" applyBorder="1" applyAlignment="1" applyProtection="1">
      <alignment wrapText="1"/>
    </xf>
    <xf numFmtId="0" fontId="72" fillId="0" borderId="73" xfId="0" applyFont="1" applyFill="1" applyBorder="1" applyProtection="1"/>
    <xf numFmtId="0" fontId="74" fillId="0" borderId="0" xfId="0" quotePrefix="1" applyFont="1" applyFill="1" applyBorder="1" applyAlignment="1" applyProtection="1">
      <alignment horizontal="left"/>
    </xf>
    <xf numFmtId="0" fontId="72" fillId="0" borderId="59" xfId="0" applyFont="1" applyFill="1" applyBorder="1" applyProtection="1"/>
    <xf numFmtId="0" fontId="72" fillId="0" borderId="0" xfId="0" quotePrefix="1" applyFont="1" applyFill="1" applyBorder="1" applyAlignment="1" applyProtection="1">
      <alignment horizontal="left"/>
    </xf>
    <xf numFmtId="0" fontId="72" fillId="0" borderId="0" xfId="0" applyFont="1" applyFill="1" applyBorder="1" applyAlignment="1" applyProtection="1">
      <alignment horizontal="left"/>
    </xf>
    <xf numFmtId="0" fontId="89" fillId="0" borderId="0" xfId="2445" quotePrefix="1" applyFont="1" applyFill="1" applyBorder="1" applyAlignment="1" applyProtection="1">
      <alignment horizontal="left"/>
    </xf>
    <xf numFmtId="0" fontId="72" fillId="0" borderId="0" xfId="0" quotePrefix="1" applyFont="1" applyFill="1" applyBorder="1" applyAlignment="1" applyProtection="1"/>
    <xf numFmtId="0" fontId="72" fillId="0" borderId="0" xfId="0" applyFont="1" applyFill="1" applyBorder="1" applyAlignment="1" applyProtection="1">
      <alignment wrapText="1"/>
    </xf>
    <xf numFmtId="0" fontId="72" fillId="0" borderId="72" xfId="0" applyFont="1" applyFill="1" applyBorder="1" applyAlignment="1" applyProtection="1">
      <alignment wrapText="1"/>
    </xf>
    <xf numFmtId="0" fontId="72" fillId="0" borderId="72" xfId="0" applyFont="1" applyFill="1" applyBorder="1" applyProtection="1"/>
    <xf numFmtId="0" fontId="74" fillId="0" borderId="58" xfId="0" applyFont="1" applyBorder="1"/>
    <xf numFmtId="0" fontId="72" fillId="60" borderId="58" xfId="0" applyFont="1" applyFill="1" applyBorder="1" applyProtection="1"/>
    <xf numFmtId="0" fontId="74" fillId="0" borderId="58" xfId="0" applyFont="1" applyBorder="1" applyAlignment="1">
      <alignment horizontal="center"/>
    </xf>
    <xf numFmtId="0" fontId="72" fillId="58" borderId="58" xfId="0" applyFont="1" applyFill="1" applyBorder="1" applyAlignment="1">
      <alignment horizontal="center"/>
    </xf>
    <xf numFmtId="0" fontId="72" fillId="0" borderId="78" xfId="0" applyFont="1" applyBorder="1"/>
    <xf numFmtId="0" fontId="79" fillId="0" borderId="49" xfId="0" applyFont="1" applyBorder="1"/>
    <xf numFmtId="41" fontId="72" fillId="0" borderId="0" xfId="0" applyNumberFormat="1" applyFont="1" applyBorder="1"/>
    <xf numFmtId="0" fontId="72" fillId="0" borderId="50" xfId="0" applyFont="1" applyBorder="1"/>
    <xf numFmtId="0" fontId="96" fillId="0" borderId="71" xfId="0" applyFont="1" applyBorder="1"/>
    <xf numFmtId="41" fontId="72" fillId="0" borderId="72" xfId="0" applyNumberFormat="1" applyFont="1" applyBorder="1"/>
    <xf numFmtId="0" fontId="72" fillId="0" borderId="72" xfId="0" applyFont="1" applyBorder="1"/>
    <xf numFmtId="0" fontId="72" fillId="0" borderId="73" xfId="0" applyFont="1" applyBorder="1"/>
    <xf numFmtId="0" fontId="79" fillId="59" borderId="58" xfId="0" applyFont="1" applyFill="1" applyBorder="1"/>
    <xf numFmtId="0" fontId="72" fillId="59" borderId="58" xfId="0" applyFont="1" applyFill="1" applyBorder="1" applyAlignment="1">
      <alignment horizontal="center" vertical="center"/>
    </xf>
    <xf numFmtId="41" fontId="74" fillId="0" borderId="66" xfId="0" applyNumberFormat="1" applyFont="1" applyBorder="1"/>
    <xf numFmtId="41" fontId="72" fillId="0" borderId="78" xfId="0" applyNumberFormat="1" applyFont="1" applyBorder="1"/>
    <xf numFmtId="0" fontId="72" fillId="0" borderId="79" xfId="0" applyFont="1" applyBorder="1" applyAlignment="1">
      <alignment horizontal="center"/>
    </xf>
    <xf numFmtId="41" fontId="72" fillId="0" borderId="49" xfId="0" applyNumberFormat="1" applyFont="1" applyBorder="1"/>
    <xf numFmtId="0" fontId="72" fillId="0" borderId="50" xfId="0" applyFont="1" applyBorder="1" applyAlignment="1">
      <alignment horizontal="center"/>
    </xf>
    <xf numFmtId="41" fontId="72" fillId="0" borderId="71" xfId="0" applyNumberFormat="1" applyFont="1" applyBorder="1"/>
    <xf numFmtId="0" fontId="72" fillId="0" borderId="73" xfId="0" applyFont="1" applyBorder="1" applyAlignment="1">
      <alignment horizontal="center"/>
    </xf>
    <xf numFmtId="0" fontId="0" fillId="0" borderId="49" xfId="0" applyBorder="1"/>
    <xf numFmtId="0" fontId="72" fillId="0" borderId="49" xfId="0" applyFont="1" applyBorder="1"/>
    <xf numFmtId="0" fontId="81" fillId="61" borderId="67" xfId="0" applyFont="1" applyFill="1" applyBorder="1"/>
    <xf numFmtId="0" fontId="80" fillId="61" borderId="68" xfId="0" applyFont="1" applyFill="1" applyBorder="1"/>
    <xf numFmtId="0" fontId="80" fillId="61" borderId="69" xfId="0" applyFont="1" applyFill="1" applyBorder="1"/>
    <xf numFmtId="0" fontId="72" fillId="0" borderId="60" xfId="0" applyFont="1" applyBorder="1"/>
    <xf numFmtId="0" fontId="72" fillId="0" borderId="53" xfId="0" applyFont="1" applyBorder="1"/>
    <xf numFmtId="0" fontId="72" fillId="0" borderId="54" xfId="0" applyFont="1" applyBorder="1"/>
    <xf numFmtId="41" fontId="53" fillId="0" borderId="72" xfId="2445" applyNumberFormat="1" applyFont="1" applyBorder="1" applyAlignment="1" applyProtection="1"/>
    <xf numFmtId="172" fontId="72" fillId="0" borderId="0" xfId="2446" applyNumberFormat="1" applyFont="1"/>
    <xf numFmtId="0" fontId="74" fillId="56" borderId="71" xfId="0" applyFont="1" applyFill="1" applyBorder="1"/>
    <xf numFmtId="0" fontId="72" fillId="56" borderId="53" xfId="0" applyFont="1" applyFill="1" applyBorder="1" applyAlignment="1" applyProtection="1">
      <alignment horizontal="center"/>
      <protection locked="0"/>
    </xf>
    <xf numFmtId="41" fontId="74" fillId="0" borderId="90" xfId="0" applyNumberFormat="1" applyFont="1" applyFill="1" applyBorder="1" applyAlignment="1" applyProtection="1">
      <alignment horizontal="center"/>
    </xf>
    <xf numFmtId="41" fontId="74" fillId="29" borderId="17" xfId="0" applyNumberFormat="1" applyFont="1" applyFill="1" applyBorder="1" applyAlignment="1" applyProtection="1">
      <alignment horizontal="center"/>
      <protection locked="0"/>
    </xf>
    <xf numFmtId="41" fontId="74" fillId="29" borderId="76" xfId="0" applyNumberFormat="1" applyFont="1" applyFill="1" applyBorder="1" applyAlignment="1" applyProtection="1">
      <alignment horizontal="center"/>
      <protection locked="0"/>
    </xf>
    <xf numFmtId="41" fontId="74" fillId="0" borderId="83" xfId="0" applyNumberFormat="1" applyFont="1" applyFill="1" applyBorder="1" applyAlignment="1" applyProtection="1">
      <alignment horizontal="center"/>
    </xf>
    <xf numFmtId="41" fontId="72" fillId="0" borderId="89" xfId="0" applyNumberFormat="1" applyFont="1" applyFill="1" applyBorder="1" applyAlignment="1" applyProtection="1">
      <alignment vertical="center" wrapText="1"/>
    </xf>
    <xf numFmtId="41" fontId="74" fillId="0" borderId="89" xfId="0" applyNumberFormat="1" applyFont="1" applyFill="1" applyBorder="1" applyAlignment="1" applyProtection="1">
      <alignment horizontal="center"/>
    </xf>
    <xf numFmtId="41" fontId="74" fillId="0" borderId="12" xfId="0" applyNumberFormat="1" applyFont="1" applyFill="1" applyBorder="1" applyAlignment="1" applyProtection="1">
      <alignment vertical="center" wrapText="1"/>
    </xf>
    <xf numFmtId="41" fontId="74" fillId="0" borderId="89" xfId="0" applyNumberFormat="1" applyFont="1" applyFill="1" applyBorder="1" applyAlignment="1" applyProtection="1">
      <alignment vertical="center" wrapText="1"/>
    </xf>
    <xf numFmtId="41" fontId="74" fillId="0" borderId="75" xfId="0" applyNumberFormat="1" applyFont="1" applyFill="1" applyBorder="1" applyAlignment="1" applyProtection="1">
      <alignment horizontal="center"/>
    </xf>
    <xf numFmtId="0" fontId="72" fillId="0" borderId="86" xfId="0" applyFont="1" applyFill="1" applyBorder="1" applyProtection="1">
      <protection locked="0"/>
    </xf>
    <xf numFmtId="0" fontId="72" fillId="0" borderId="86" xfId="0" applyFont="1" applyFill="1" applyBorder="1" applyProtection="1"/>
    <xf numFmtId="41" fontId="72" fillId="0" borderId="38" xfId="0" applyNumberFormat="1" applyFont="1" applyFill="1" applyBorder="1" applyProtection="1"/>
    <xf numFmtId="41" fontId="72" fillId="0" borderId="17" xfId="0" applyNumberFormat="1" applyFont="1" applyFill="1" applyBorder="1" applyAlignment="1" applyProtection="1">
      <alignment horizontal="left"/>
    </xf>
    <xf numFmtId="41" fontId="72" fillId="0" borderId="17" xfId="0" applyNumberFormat="1" applyFont="1" applyFill="1" applyBorder="1" applyProtection="1"/>
    <xf numFmtId="0" fontId="74" fillId="0" borderId="17" xfId="0" applyFont="1" applyFill="1" applyBorder="1" applyProtection="1"/>
    <xf numFmtId="0" fontId="72" fillId="0" borderId="17" xfId="0" applyFont="1" applyFill="1" applyBorder="1" applyAlignment="1" applyProtection="1"/>
    <xf numFmtId="0" fontId="74" fillId="0" borderId="86" xfId="0" applyFont="1" applyFill="1" applyBorder="1" applyAlignment="1" applyProtection="1"/>
    <xf numFmtId="0" fontId="73" fillId="0" borderId="86" xfId="0" applyFont="1" applyFill="1" applyBorder="1" applyAlignment="1" applyProtection="1">
      <alignment horizontal="center" vertical="center"/>
    </xf>
    <xf numFmtId="0" fontId="73" fillId="0" borderId="12" xfId="0" applyFont="1" applyFill="1" applyBorder="1" applyAlignment="1" applyProtection="1">
      <alignment horizontal="centerContinuous"/>
    </xf>
    <xf numFmtId="0" fontId="73" fillId="0" borderId="0" xfId="0" applyFont="1" applyFill="1" applyBorder="1" applyAlignment="1" applyProtection="1">
      <alignment horizontal="centerContinuous"/>
    </xf>
    <xf numFmtId="0" fontId="74" fillId="0" borderId="85" xfId="0" applyFont="1" applyFill="1" applyBorder="1" applyAlignment="1" applyProtection="1"/>
    <xf numFmtId="0" fontId="73" fillId="0" borderId="37" xfId="0" applyFont="1" applyFill="1" applyBorder="1" applyAlignment="1" applyProtection="1">
      <alignment horizontal="centerContinuous"/>
    </xf>
    <xf numFmtId="3" fontId="71" fillId="0" borderId="0" xfId="0" applyNumberFormat="1" applyFont="1" applyFill="1" applyProtection="1"/>
    <xf numFmtId="41" fontId="71" fillId="0" borderId="0" xfId="0" applyNumberFormat="1" applyFont="1" applyFill="1" applyAlignment="1" applyProtection="1"/>
    <xf numFmtId="41" fontId="71" fillId="0" borderId="0" xfId="0" applyNumberFormat="1" applyFont="1" applyFill="1" applyAlignment="1" applyProtection="1">
      <alignment horizontal="right"/>
    </xf>
    <xf numFmtId="0" fontId="71" fillId="0" borderId="0" xfId="0" applyFont="1" applyFill="1" applyAlignment="1" applyProtection="1"/>
    <xf numFmtId="3" fontId="71" fillId="0" borderId="0" xfId="0" applyNumberFormat="1" applyFont="1" applyFill="1" applyAlignment="1" applyProtection="1"/>
    <xf numFmtId="0" fontId="73" fillId="0" borderId="37" xfId="0" applyFont="1" applyFill="1" applyBorder="1" applyAlignment="1" applyProtection="1">
      <alignment horizontal="centerContinuous" wrapText="1"/>
    </xf>
    <xf numFmtId="0" fontId="73" fillId="0" borderId="10" xfId="0" applyFont="1" applyFill="1" applyBorder="1" applyAlignment="1" applyProtection="1">
      <alignment horizontal="centerContinuous" wrapText="1"/>
    </xf>
    <xf numFmtId="0" fontId="73" fillId="0" borderId="47" xfId="0" applyFont="1" applyFill="1" applyBorder="1" applyAlignment="1" applyProtection="1">
      <alignment horizontal="centerContinuous" wrapText="1"/>
    </xf>
    <xf numFmtId="41" fontId="74" fillId="0" borderId="91" xfId="0" applyNumberFormat="1" applyFont="1" applyFill="1" applyBorder="1" applyAlignment="1" applyProtection="1">
      <alignment horizontal="center"/>
    </xf>
    <xf numFmtId="41" fontId="74" fillId="0" borderId="76" xfId="0" applyNumberFormat="1" applyFont="1" applyFill="1" applyBorder="1" applyAlignment="1" applyProtection="1">
      <alignment horizontal="center" wrapText="1"/>
    </xf>
    <xf numFmtId="41" fontId="74" fillId="0" borderId="17" xfId="0" applyNumberFormat="1" applyFont="1" applyFill="1" applyBorder="1" applyAlignment="1" applyProtection="1">
      <alignment horizontal="center" wrapText="1"/>
    </xf>
    <xf numFmtId="41" fontId="74" fillId="0" borderId="90" xfId="0" applyNumberFormat="1" applyFont="1" applyFill="1" applyBorder="1" applyAlignment="1" applyProtection="1">
      <alignment horizontal="center" wrapText="1"/>
    </xf>
    <xf numFmtId="41" fontId="74" fillId="0" borderId="38" xfId="0" applyNumberFormat="1" applyFont="1" applyFill="1" applyBorder="1" applyAlignment="1" applyProtection="1">
      <alignment horizontal="center" wrapText="1"/>
    </xf>
    <xf numFmtId="0" fontId="74" fillId="0" borderId="86" xfId="0" applyFont="1" applyFill="1" applyBorder="1" applyAlignment="1" applyProtection="1">
      <alignment horizontal="center" vertical="center"/>
    </xf>
    <xf numFmtId="0" fontId="74" fillId="0" borderId="86" xfId="0" applyFont="1" applyFill="1" applyBorder="1" applyAlignment="1" applyProtection="1">
      <alignment horizontal="center" textRotation="60" wrapText="1"/>
    </xf>
    <xf numFmtId="0" fontId="74" fillId="0" borderId="0" xfId="0" applyFont="1" applyFill="1" applyBorder="1" applyAlignment="1" applyProtection="1">
      <alignment vertical="top" wrapText="1"/>
    </xf>
    <xf numFmtId="0" fontId="74" fillId="0" borderId="12" xfId="0" applyFont="1" applyFill="1" applyBorder="1" applyAlignment="1" applyProtection="1">
      <alignment vertical="top" wrapText="1"/>
    </xf>
    <xf numFmtId="3" fontId="72" fillId="0" borderId="86" xfId="0" applyNumberFormat="1" applyFont="1" applyFill="1" applyBorder="1" applyAlignment="1" applyProtection="1">
      <alignment wrapText="1"/>
    </xf>
    <xf numFmtId="0" fontId="72" fillId="0" borderId="0" xfId="0" applyFont="1" applyFill="1" applyBorder="1" applyAlignment="1" applyProtection="1">
      <alignment horizontal="center" vertical="center"/>
    </xf>
    <xf numFmtId="41" fontId="72" fillId="29" borderId="93" xfId="0" applyNumberFormat="1" applyFont="1" applyFill="1" applyBorder="1" applyAlignment="1" applyProtection="1">
      <alignment vertical="center" wrapText="1"/>
      <protection locked="0"/>
    </xf>
    <xf numFmtId="41" fontId="72" fillId="0" borderId="94" xfId="0" applyNumberFormat="1" applyFont="1" applyFill="1" applyBorder="1" applyAlignment="1" applyProtection="1">
      <alignment vertical="center" wrapText="1"/>
    </xf>
    <xf numFmtId="3" fontId="72" fillId="0" borderId="86" xfId="0" applyNumberFormat="1" applyFont="1" applyFill="1" applyBorder="1" applyAlignment="1" applyProtection="1">
      <alignment horizontal="center" wrapText="1"/>
      <protection locked="0"/>
    </xf>
    <xf numFmtId="3" fontId="71" fillId="0" borderId="0" xfId="0" applyNumberFormat="1" applyFont="1" applyFill="1" applyAlignment="1" applyProtection="1">
      <alignment vertical="center"/>
    </xf>
    <xf numFmtId="3" fontId="72" fillId="0" borderId="11" xfId="0" applyNumberFormat="1" applyFont="1" applyFill="1" applyBorder="1" applyAlignment="1" applyProtection="1">
      <alignment vertical="center"/>
    </xf>
    <xf numFmtId="41" fontId="72" fillId="0" borderId="93" xfId="0" applyNumberFormat="1" applyFont="1" applyFill="1" applyBorder="1" applyAlignment="1" applyProtection="1">
      <alignment vertical="center" wrapText="1"/>
    </xf>
    <xf numFmtId="3" fontId="72" fillId="0" borderId="86" xfId="0" applyNumberFormat="1" applyFont="1" applyFill="1" applyBorder="1" applyAlignment="1" applyProtection="1">
      <alignment horizontal="center" vertical="center" wrapText="1"/>
      <protection locked="0"/>
    </xf>
    <xf numFmtId="41" fontId="72" fillId="0" borderId="96" xfId="0" applyNumberFormat="1" applyFont="1" applyFill="1" applyBorder="1" applyAlignment="1" applyProtection="1">
      <alignment vertical="center" wrapText="1"/>
    </xf>
    <xf numFmtId="41" fontId="90" fillId="29" borderId="93" xfId="0" applyNumberFormat="1" applyFont="1" applyFill="1" applyBorder="1" applyAlignment="1" applyProtection="1">
      <alignment vertical="center" wrapText="1"/>
      <protection locked="0"/>
    </xf>
    <xf numFmtId="41" fontId="90" fillId="0" borderId="94" xfId="0" applyNumberFormat="1" applyFont="1" applyFill="1" applyBorder="1" applyAlignment="1" applyProtection="1">
      <alignment vertical="center" wrapText="1"/>
    </xf>
    <xf numFmtId="41" fontId="91" fillId="0" borderId="97" xfId="0" applyNumberFormat="1" applyFont="1" applyFill="1" applyBorder="1" applyAlignment="1" applyProtection="1">
      <alignment vertical="center" wrapText="1"/>
    </xf>
    <xf numFmtId="41" fontId="91" fillId="0" borderId="98" xfId="0" applyNumberFormat="1" applyFont="1" applyFill="1" applyBorder="1" applyAlignment="1" applyProtection="1">
      <alignment vertical="center" wrapText="1"/>
    </xf>
    <xf numFmtId="3" fontId="72" fillId="0" borderId="99" xfId="0" applyNumberFormat="1" applyFont="1" applyFill="1" applyBorder="1" applyAlignment="1" applyProtection="1">
      <alignment horizontal="center" wrapText="1"/>
      <protection locked="0"/>
    </xf>
    <xf numFmtId="41" fontId="72" fillId="0" borderId="100" xfId="0" applyNumberFormat="1" applyFont="1" applyFill="1" applyBorder="1" applyAlignment="1" applyProtection="1">
      <alignment horizontal="center" vertical="center" wrapText="1"/>
    </xf>
    <xf numFmtId="41" fontId="72" fillId="0" borderId="100" xfId="0" applyNumberFormat="1" applyFont="1" applyFill="1" applyBorder="1" applyAlignment="1" applyProtection="1">
      <alignment vertical="center" wrapText="1"/>
    </xf>
    <xf numFmtId="3" fontId="72" fillId="0" borderId="89" xfId="0" applyNumberFormat="1" applyFont="1" applyFill="1" applyBorder="1" applyAlignment="1" applyProtection="1">
      <alignment horizontal="center" wrapText="1"/>
      <protection locked="0"/>
    </xf>
    <xf numFmtId="41" fontId="72" fillId="0" borderId="0" xfId="0" applyNumberFormat="1" applyFont="1" applyFill="1" applyBorder="1" applyAlignment="1" applyProtection="1">
      <alignment horizontal="center" vertical="center" wrapText="1"/>
    </xf>
    <xf numFmtId="41" fontId="74" fillId="0" borderId="0" xfId="0" applyNumberFormat="1" applyFont="1" applyFill="1" applyBorder="1" applyAlignment="1" applyProtection="1">
      <alignment horizontal="center" vertical="center" wrapText="1"/>
    </xf>
    <xf numFmtId="41" fontId="72" fillId="0" borderId="94" xfId="0" applyNumberFormat="1" applyFont="1" applyFill="1" applyBorder="1" applyAlignment="1" applyProtection="1">
      <alignment horizontal="right" vertical="center"/>
    </xf>
    <xf numFmtId="165" fontId="72" fillId="0" borderId="0" xfId="0" applyNumberFormat="1" applyFont="1" applyFill="1" applyBorder="1" applyAlignment="1" applyProtection="1">
      <alignment horizontal="right" vertical="center"/>
    </xf>
    <xf numFmtId="165" fontId="72" fillId="0" borderId="0" xfId="0" applyNumberFormat="1" applyFont="1" applyFill="1" applyBorder="1" applyAlignment="1" applyProtection="1">
      <alignment horizontal="right" wrapText="1"/>
    </xf>
    <xf numFmtId="41" fontId="72" fillId="0" borderId="101" xfId="0" applyNumberFormat="1" applyFont="1" applyFill="1" applyBorder="1" applyAlignment="1" applyProtection="1">
      <alignment vertical="center" wrapText="1"/>
    </xf>
    <xf numFmtId="165" fontId="72" fillId="0" borderId="0" xfId="0" applyNumberFormat="1" applyFont="1" applyFill="1" applyBorder="1" applyAlignment="1" applyProtection="1">
      <alignment horizontal="right"/>
    </xf>
    <xf numFmtId="41" fontId="91" fillId="0" borderId="92" xfId="0" applyNumberFormat="1" applyFont="1" applyFill="1" applyBorder="1" applyAlignment="1" applyProtection="1">
      <alignment vertical="center" wrapText="1"/>
    </xf>
    <xf numFmtId="41" fontId="91" fillId="0" borderId="102" xfId="0" applyNumberFormat="1" applyFont="1" applyFill="1" applyBorder="1" applyAlignment="1" applyProtection="1">
      <alignment vertical="center" wrapText="1"/>
    </xf>
    <xf numFmtId="0" fontId="72" fillId="0" borderId="10" xfId="0" applyFont="1" applyFill="1" applyBorder="1" applyAlignment="1" applyProtection="1"/>
    <xf numFmtId="41" fontId="72" fillId="0" borderId="10" xfId="0" applyNumberFormat="1" applyFont="1" applyFill="1" applyBorder="1" applyAlignment="1" applyProtection="1">
      <alignment wrapText="1"/>
    </xf>
    <xf numFmtId="41" fontId="72" fillId="0" borderId="10" xfId="0" applyNumberFormat="1" applyFont="1" applyFill="1" applyBorder="1" applyAlignment="1" applyProtection="1">
      <alignment horizontal="center" wrapText="1"/>
    </xf>
    <xf numFmtId="173" fontId="80" fillId="0" borderId="0" xfId="0" applyNumberFormat="1" applyFont="1" applyFill="1" applyBorder="1" applyAlignment="1" applyProtection="1">
      <alignment horizontal="right"/>
      <protection hidden="1"/>
    </xf>
    <xf numFmtId="41" fontId="91" fillId="0" borderId="93" xfId="0" applyNumberFormat="1" applyFont="1" applyFill="1" applyBorder="1" applyAlignment="1" applyProtection="1"/>
    <xf numFmtId="41" fontId="91" fillId="0" borderId="21" xfId="0" applyNumberFormat="1" applyFont="1" applyFill="1" applyBorder="1" applyAlignment="1" applyProtection="1"/>
    <xf numFmtId="41" fontId="72" fillId="0" borderId="34" xfId="0" applyNumberFormat="1" applyFont="1" applyFill="1" applyBorder="1" applyAlignment="1" applyProtection="1"/>
    <xf numFmtId="41" fontId="91" fillId="0" borderId="93" xfId="0" applyNumberFormat="1" applyFont="1" applyFill="1" applyBorder="1" applyAlignment="1" applyProtection="1">
      <alignment horizontal="center"/>
    </xf>
    <xf numFmtId="41" fontId="91" fillId="0" borderId="56" xfId="0" applyNumberFormat="1" applyFont="1" applyFill="1" applyBorder="1" applyAlignment="1" applyProtection="1">
      <alignment horizontal="center"/>
    </xf>
    <xf numFmtId="0" fontId="72" fillId="0" borderId="25" xfId="0" applyFont="1" applyFill="1" applyBorder="1" applyAlignment="1" applyProtection="1"/>
    <xf numFmtId="41" fontId="72" fillId="0" borderId="25" xfId="0" applyNumberFormat="1" applyFont="1" applyFill="1" applyBorder="1" applyAlignment="1" applyProtection="1">
      <alignment horizontal="right"/>
    </xf>
    <xf numFmtId="41" fontId="91" fillId="0" borderId="25" xfId="0" applyNumberFormat="1" applyFont="1" applyFill="1" applyBorder="1" applyAlignment="1" applyProtection="1"/>
    <xf numFmtId="41" fontId="91" fillId="0" borderId="97" xfId="0" applyNumberFormat="1" applyFont="1" applyFill="1" applyBorder="1" applyAlignment="1" applyProtection="1">
      <alignment horizontal="center"/>
    </xf>
    <xf numFmtId="41" fontId="91" fillId="0" borderId="35" xfId="0" applyNumberFormat="1" applyFont="1" applyFill="1" applyBorder="1" applyAlignment="1" applyProtection="1">
      <alignment horizontal="center"/>
    </xf>
    <xf numFmtId="41" fontId="91" fillId="0" borderId="25" xfId="0" applyNumberFormat="1" applyFont="1" applyFill="1" applyBorder="1" applyAlignment="1" applyProtection="1">
      <alignment horizontal="center"/>
    </xf>
    <xf numFmtId="41" fontId="72" fillId="0" borderId="0" xfId="0" applyNumberFormat="1" applyFont="1" applyFill="1" applyBorder="1" applyAlignment="1" applyProtection="1">
      <alignment horizontal="center"/>
    </xf>
    <xf numFmtId="41" fontId="72" fillId="0" borderId="17" xfId="0" applyNumberFormat="1" applyFont="1" applyFill="1" applyBorder="1" applyAlignment="1" applyProtection="1">
      <alignment horizontal="center"/>
    </xf>
    <xf numFmtId="0" fontId="74" fillId="0" borderId="0" xfId="0" applyFont="1" applyFill="1" applyBorder="1" applyAlignment="1" applyProtection="1">
      <alignment horizontal="center"/>
    </xf>
    <xf numFmtId="0" fontId="72" fillId="0" borderId="0" xfId="0" applyFont="1" applyFill="1" applyBorder="1" applyAlignment="1" applyProtection="1">
      <alignment vertical="center" wrapText="1"/>
      <protection hidden="1"/>
    </xf>
    <xf numFmtId="41" fontId="72" fillId="0" borderId="27" xfId="0" applyNumberFormat="1" applyFont="1" applyFill="1" applyBorder="1" applyAlignment="1" applyProtection="1">
      <alignment horizontal="right" vertical="center"/>
      <protection hidden="1"/>
    </xf>
    <xf numFmtId="43" fontId="0" fillId="0" borderId="0" xfId="2446" applyFont="1"/>
    <xf numFmtId="0" fontId="3" fillId="0" borderId="0" xfId="0" applyFont="1" applyAlignment="1">
      <alignment horizontal="right"/>
    </xf>
    <xf numFmtId="172" fontId="72" fillId="0" borderId="72" xfId="2446" applyNumberFormat="1" applyFont="1" applyBorder="1"/>
    <xf numFmtId="43" fontId="74" fillId="56" borderId="65" xfId="2446" applyFont="1" applyFill="1" applyBorder="1" applyAlignment="1">
      <alignment horizontal="left" vertical="center"/>
    </xf>
    <xf numFmtId="0" fontId="72" fillId="56" borderId="65" xfId="0" applyFont="1" applyFill="1" applyBorder="1" applyAlignment="1">
      <alignment horizontal="center"/>
    </xf>
    <xf numFmtId="0" fontId="76" fillId="56" borderId="63" xfId="0" applyFont="1" applyFill="1" applyBorder="1"/>
    <xf numFmtId="43" fontId="74" fillId="56" borderId="65" xfId="2446" applyFont="1" applyFill="1" applyBorder="1" applyAlignment="1"/>
    <xf numFmtId="0" fontId="72" fillId="0" borderId="0" xfId="0" applyFont="1" applyAlignment="1">
      <alignment horizontal="right"/>
    </xf>
    <xf numFmtId="0" fontId="76" fillId="0" borderId="105" xfId="0" applyFont="1" applyBorder="1" applyAlignment="1">
      <alignment horizontal="right"/>
    </xf>
    <xf numFmtId="0" fontId="76" fillId="0" borderId="106" xfId="0" applyFont="1" applyBorder="1" applyAlignment="1">
      <alignment horizontal="right"/>
    </xf>
    <xf numFmtId="0" fontId="74" fillId="0" borderId="106" xfId="0" applyFont="1" applyBorder="1" applyAlignment="1">
      <alignment horizontal="right"/>
    </xf>
    <xf numFmtId="0" fontId="76" fillId="0" borderId="108" xfId="0" applyFont="1" applyBorder="1"/>
    <xf numFmtId="0" fontId="76" fillId="0" borderId="65" xfId="0" applyFont="1" applyBorder="1"/>
    <xf numFmtId="0" fontId="76" fillId="0" borderId="112" xfId="0" applyFont="1" applyBorder="1"/>
    <xf numFmtId="0" fontId="74" fillId="0" borderId="104" xfId="0" applyFont="1" applyBorder="1"/>
    <xf numFmtId="43" fontId="74" fillId="0" borderId="110" xfId="2446" applyFont="1" applyBorder="1"/>
    <xf numFmtId="0" fontId="74" fillId="0" borderId="103" xfId="0" applyFont="1" applyBorder="1"/>
    <xf numFmtId="0" fontId="74" fillId="56" borderId="103" xfId="0" applyFont="1" applyFill="1" applyBorder="1" applyAlignment="1">
      <alignment horizontal="center"/>
    </xf>
    <xf numFmtId="43" fontId="0" fillId="0" borderId="0" xfId="0" applyNumberFormat="1"/>
    <xf numFmtId="0" fontId="74" fillId="0" borderId="65" xfId="0" applyFont="1" applyBorder="1" applyAlignment="1">
      <alignment horizontal="center" vertical="center"/>
    </xf>
    <xf numFmtId="0" fontId="72" fillId="0" borderId="0" xfId="0" applyFont="1" applyProtection="1"/>
    <xf numFmtId="0" fontId="72" fillId="28" borderId="66" xfId="0" applyFont="1" applyFill="1" applyBorder="1" applyProtection="1"/>
    <xf numFmtId="0" fontId="72" fillId="28" borderId="78" xfId="0" applyFont="1" applyFill="1" applyBorder="1" applyProtection="1"/>
    <xf numFmtId="0" fontId="72" fillId="28" borderId="79" xfId="0" applyFont="1" applyFill="1" applyBorder="1" applyProtection="1"/>
    <xf numFmtId="0" fontId="72" fillId="28" borderId="49" xfId="0" applyFont="1" applyFill="1" applyBorder="1" applyProtection="1"/>
    <xf numFmtId="0" fontId="72" fillId="28" borderId="0" xfId="0" applyFont="1" applyFill="1" applyBorder="1" applyProtection="1"/>
    <xf numFmtId="0" fontId="72" fillId="28" borderId="50" xfId="0" applyFont="1" applyFill="1" applyBorder="1" applyProtection="1"/>
    <xf numFmtId="0" fontId="100" fillId="0" borderId="0" xfId="0" applyFont="1" applyProtection="1"/>
    <xf numFmtId="41" fontId="71" fillId="0" borderId="0" xfId="0" applyNumberFormat="1" applyFont="1" applyFill="1" applyBorder="1" applyAlignment="1" applyProtection="1"/>
    <xf numFmtId="41" fontId="71" fillId="0" borderId="0" xfId="0" applyNumberFormat="1" applyFont="1" applyFill="1" applyAlignment="1" applyProtection="1">
      <alignment horizontal="center"/>
    </xf>
    <xf numFmtId="0" fontId="94" fillId="0" borderId="11" xfId="0" applyFont="1" applyFill="1" applyBorder="1" applyAlignment="1" applyProtection="1"/>
    <xf numFmtId="0" fontId="94" fillId="0" borderId="0" xfId="0" applyFont="1" applyFill="1" applyBorder="1" applyAlignment="1" applyProtection="1"/>
    <xf numFmtId="0" fontId="73" fillId="0" borderId="0" xfId="0" applyFont="1" applyFill="1" applyBorder="1" applyProtection="1"/>
    <xf numFmtId="41" fontId="73" fillId="0" borderId="0" xfId="0" applyNumberFormat="1" applyFont="1" applyFill="1" applyBorder="1" applyAlignment="1" applyProtection="1">
      <alignment horizontal="right"/>
    </xf>
    <xf numFmtId="41" fontId="94" fillId="0" borderId="0" xfId="0" applyNumberFormat="1" applyFont="1" applyFill="1" applyBorder="1" applyProtection="1"/>
    <xf numFmtId="41" fontId="94" fillId="0" borderId="17" xfId="0" applyNumberFormat="1" applyFont="1" applyFill="1" applyBorder="1" applyProtection="1"/>
    <xf numFmtId="41" fontId="94" fillId="0" borderId="17" xfId="0" applyNumberFormat="1" applyFont="1" applyFill="1" applyBorder="1" applyAlignment="1" applyProtection="1">
      <alignment horizontal="left"/>
    </xf>
    <xf numFmtId="41" fontId="94" fillId="0" borderId="38" xfId="0" applyNumberFormat="1" applyFont="1" applyFill="1" applyBorder="1" applyAlignment="1" applyProtection="1">
      <alignment horizontal="left"/>
    </xf>
    <xf numFmtId="0" fontId="72" fillId="0" borderId="12" xfId="0" applyFont="1" applyFill="1" applyBorder="1" applyProtection="1"/>
    <xf numFmtId="41" fontId="74" fillId="0" borderId="113" xfId="0" applyNumberFormat="1" applyFont="1" applyFill="1" applyBorder="1" applyAlignment="1" applyProtection="1">
      <alignment vertical="center" wrapText="1"/>
    </xf>
    <xf numFmtId="41" fontId="74" fillId="0" borderId="114" xfId="0" applyNumberFormat="1" applyFont="1" applyFill="1" applyBorder="1" applyAlignment="1" applyProtection="1">
      <alignment horizontal="center"/>
    </xf>
    <xf numFmtId="41" fontId="74" fillId="0" borderId="115" xfId="0" applyNumberFormat="1" applyFont="1" applyFill="1" applyBorder="1" applyAlignment="1" applyProtection="1">
      <alignment horizontal="center"/>
    </xf>
    <xf numFmtId="41" fontId="74" fillId="0" borderId="116" xfId="0" applyNumberFormat="1" applyFont="1" applyFill="1" applyBorder="1" applyAlignment="1" applyProtection="1">
      <alignment horizontal="center"/>
    </xf>
    <xf numFmtId="41" fontId="74" fillId="0" borderId="117" xfId="0" applyNumberFormat="1" applyFont="1" applyFill="1" applyBorder="1" applyAlignment="1" applyProtection="1">
      <alignment horizontal="center"/>
    </xf>
    <xf numFmtId="0" fontId="74" fillId="0" borderId="86" xfId="0" applyFont="1" applyFill="1" applyBorder="1" applyProtection="1">
      <protection locked="0"/>
    </xf>
    <xf numFmtId="0" fontId="74" fillId="0" borderId="0" xfId="0" applyFont="1" applyFill="1" applyProtection="1"/>
    <xf numFmtId="41" fontId="74" fillId="0" borderId="118" xfId="0" applyNumberFormat="1" applyFont="1" applyFill="1" applyBorder="1" applyAlignment="1" applyProtection="1">
      <alignment vertical="center" wrapText="1"/>
    </xf>
    <xf numFmtId="41" fontId="74" fillId="0" borderId="43" xfId="0" applyNumberFormat="1" applyFont="1" applyFill="1" applyBorder="1" applyAlignment="1" applyProtection="1">
      <alignment vertical="center" wrapText="1"/>
    </xf>
    <xf numFmtId="41" fontId="74" fillId="0" borderId="119" xfId="0" applyNumberFormat="1" applyFont="1" applyFill="1" applyBorder="1" applyAlignment="1" applyProtection="1">
      <alignment vertical="center" wrapText="1"/>
    </xf>
    <xf numFmtId="41" fontId="74" fillId="0" borderId="120" xfId="0" applyNumberFormat="1" applyFont="1" applyFill="1" applyBorder="1" applyAlignment="1" applyProtection="1">
      <alignment horizontal="center"/>
    </xf>
    <xf numFmtId="41" fontId="74" fillId="0" borderId="121" xfId="0" applyNumberFormat="1" applyFont="1" applyFill="1" applyBorder="1" applyAlignment="1" applyProtection="1">
      <alignment horizontal="center"/>
    </xf>
    <xf numFmtId="41" fontId="72" fillId="0" borderId="38" xfId="0" applyNumberFormat="1" applyFont="1" applyFill="1" applyBorder="1" applyAlignment="1" applyProtection="1">
      <alignment horizontal="center"/>
    </xf>
    <xf numFmtId="0" fontId="74" fillId="0" borderId="11" xfId="0" applyFont="1" applyFill="1" applyBorder="1" applyAlignment="1" applyProtection="1">
      <alignment vertical="top" wrapText="1"/>
    </xf>
    <xf numFmtId="41" fontId="74" fillId="0" borderId="16" xfId="0" applyNumberFormat="1" applyFont="1" applyFill="1" applyBorder="1" applyAlignment="1" applyProtection="1">
      <alignment horizontal="center" wrapText="1"/>
    </xf>
    <xf numFmtId="41" fontId="72" fillId="0" borderId="12" xfId="0" applyNumberFormat="1" applyFont="1" applyFill="1" applyBorder="1" applyAlignment="1" applyProtection="1">
      <alignment horizontal="center" vertical="center" wrapText="1"/>
    </xf>
    <xf numFmtId="41" fontId="72" fillId="0" borderId="17" xfId="0" applyNumberFormat="1" applyFont="1" applyFill="1" applyBorder="1" applyAlignment="1" applyProtection="1">
      <alignment vertical="center" wrapText="1"/>
    </xf>
    <xf numFmtId="3" fontId="72" fillId="0" borderId="86" xfId="0" applyNumberFormat="1" applyFont="1" applyFill="1" applyBorder="1" applyAlignment="1" applyProtection="1">
      <alignment horizontal="center" wrapText="1"/>
    </xf>
    <xf numFmtId="41" fontId="72" fillId="0" borderId="122" xfId="0" applyNumberFormat="1" applyFont="1" applyFill="1" applyBorder="1" applyAlignment="1" applyProtection="1">
      <alignment vertical="center" wrapText="1"/>
    </xf>
    <xf numFmtId="41" fontId="72" fillId="0" borderId="123" xfId="0" applyNumberFormat="1" applyFont="1" applyFill="1" applyBorder="1" applyAlignment="1" applyProtection="1">
      <alignment vertical="center" wrapText="1"/>
    </xf>
    <xf numFmtId="41" fontId="72" fillId="0" borderId="1" xfId="0" applyNumberFormat="1" applyFont="1" applyFill="1" applyBorder="1" applyAlignment="1" applyProtection="1">
      <alignment vertical="center" wrapText="1"/>
    </xf>
    <xf numFmtId="41" fontId="72" fillId="0" borderId="124" xfId="0" applyNumberFormat="1" applyFont="1" applyFill="1" applyBorder="1" applyAlignment="1" applyProtection="1">
      <alignment vertical="center" wrapText="1"/>
    </xf>
    <xf numFmtId="41" fontId="72" fillId="0" borderId="40" xfId="0" applyNumberFormat="1" applyFont="1" applyFill="1" applyBorder="1" applyAlignment="1" applyProtection="1">
      <alignment vertical="center" wrapText="1"/>
    </xf>
    <xf numFmtId="41" fontId="72" fillId="0" borderId="125" xfId="0" applyNumberFormat="1" applyFont="1" applyFill="1" applyBorder="1" applyAlignment="1" applyProtection="1">
      <alignment vertical="center" wrapText="1"/>
    </xf>
    <xf numFmtId="3" fontId="72" fillId="0" borderId="126" xfId="0" applyNumberFormat="1" applyFont="1" applyFill="1" applyBorder="1" applyAlignment="1" applyProtection="1">
      <alignment horizontal="center" wrapText="1"/>
    </xf>
    <xf numFmtId="41" fontId="72" fillId="0" borderId="127" xfId="0" applyNumberFormat="1" applyFont="1" applyFill="1" applyBorder="1" applyAlignment="1" applyProtection="1">
      <alignment vertical="center" wrapText="1"/>
    </xf>
    <xf numFmtId="41" fontId="72" fillId="0" borderId="128" xfId="0" applyNumberFormat="1" applyFont="1" applyFill="1" applyBorder="1" applyAlignment="1" applyProtection="1">
      <alignment vertical="center" wrapText="1"/>
    </xf>
    <xf numFmtId="3" fontId="72" fillId="0" borderId="0" xfId="0" applyNumberFormat="1" applyFont="1" applyFill="1" applyAlignment="1" applyProtection="1">
      <alignment vertical="center" wrapText="1"/>
    </xf>
    <xf numFmtId="41" fontId="72" fillId="0" borderId="28" xfId="0" applyNumberFormat="1" applyFont="1" applyFill="1" applyBorder="1" applyAlignment="1" applyProtection="1">
      <alignment vertical="center" wrapText="1"/>
    </xf>
    <xf numFmtId="41" fontId="90" fillId="0" borderId="122" xfId="0" applyNumberFormat="1" applyFont="1" applyFill="1" applyBorder="1" applyAlignment="1" applyProtection="1">
      <alignment vertical="center" wrapText="1"/>
    </xf>
    <xf numFmtId="41" fontId="90" fillId="0" borderId="34" xfId="0" applyNumberFormat="1" applyFont="1" applyFill="1" applyBorder="1" applyAlignment="1" applyProtection="1">
      <alignment vertical="center" wrapText="1"/>
    </xf>
    <xf numFmtId="41" fontId="90" fillId="0" borderId="1" xfId="0" applyNumberFormat="1" applyFont="1" applyFill="1" applyBorder="1" applyAlignment="1" applyProtection="1">
      <alignment vertical="center" wrapText="1"/>
    </xf>
    <xf numFmtId="41" fontId="90" fillId="0" borderId="124" xfId="0" applyNumberFormat="1" applyFont="1" applyFill="1" applyBorder="1" applyAlignment="1" applyProtection="1">
      <alignment vertical="center" wrapText="1"/>
    </xf>
    <xf numFmtId="41" fontId="90" fillId="0" borderId="40" xfId="0" applyNumberFormat="1" applyFont="1" applyFill="1" applyBorder="1" applyAlignment="1" applyProtection="1">
      <alignment vertical="center" wrapText="1"/>
    </xf>
    <xf numFmtId="41" fontId="90" fillId="0" borderId="125" xfId="0" applyNumberFormat="1" applyFont="1" applyFill="1" applyBorder="1" applyAlignment="1" applyProtection="1">
      <alignment vertical="center" wrapText="1"/>
    </xf>
    <xf numFmtId="41" fontId="72" fillId="0" borderId="129" xfId="0" applyNumberFormat="1" applyFont="1" applyFill="1" applyBorder="1" applyAlignment="1" applyProtection="1">
      <alignment vertical="center" wrapText="1"/>
    </xf>
    <xf numFmtId="41" fontId="72" fillId="0" borderId="81" xfId="0" applyNumberFormat="1" applyFont="1" applyFill="1" applyBorder="1" applyAlignment="1" applyProtection="1">
      <alignment vertical="center" wrapText="1"/>
    </xf>
    <xf numFmtId="41" fontId="72" fillId="0" borderId="130" xfId="0" applyNumberFormat="1" applyFont="1" applyFill="1" applyBorder="1" applyAlignment="1" applyProtection="1">
      <alignment vertical="center" wrapText="1"/>
    </xf>
    <xf numFmtId="41" fontId="72" fillId="0" borderId="131" xfId="0" applyNumberFormat="1" applyFont="1" applyFill="1" applyBorder="1" applyAlignment="1" applyProtection="1">
      <alignment vertical="center" wrapText="1"/>
    </xf>
    <xf numFmtId="41" fontId="72" fillId="0" borderId="82" xfId="0" applyNumberFormat="1" applyFont="1" applyFill="1" applyBorder="1" applyAlignment="1" applyProtection="1">
      <alignment vertical="center" wrapText="1"/>
    </xf>
    <xf numFmtId="41" fontId="91" fillId="0" borderId="132" xfId="0" applyNumberFormat="1" applyFont="1" applyFill="1" applyBorder="1" applyAlignment="1" applyProtection="1">
      <alignment vertical="center" wrapText="1"/>
    </xf>
    <xf numFmtId="41" fontId="91" fillId="0" borderId="133" xfId="0" applyNumberFormat="1" applyFont="1" applyFill="1" applyBorder="1" applyAlignment="1" applyProtection="1">
      <alignment vertical="center" wrapText="1"/>
    </xf>
    <xf numFmtId="41" fontId="91" fillId="0" borderId="134" xfId="0" applyNumberFormat="1" applyFont="1" applyFill="1" applyBorder="1" applyAlignment="1" applyProtection="1">
      <alignment vertical="center" wrapText="1"/>
    </xf>
    <xf numFmtId="41" fontId="91" fillId="0" borderId="135" xfId="0" applyNumberFormat="1" applyFont="1" applyFill="1" applyBorder="1" applyAlignment="1" applyProtection="1">
      <alignment vertical="center" wrapText="1"/>
    </xf>
    <xf numFmtId="41" fontId="91" fillId="0" borderId="136" xfId="0" applyNumberFormat="1" applyFont="1" applyFill="1" applyBorder="1" applyAlignment="1" applyProtection="1">
      <alignment vertical="center" wrapText="1"/>
    </xf>
    <xf numFmtId="41" fontId="91" fillId="0" borderId="137" xfId="0" applyNumberFormat="1" applyFont="1" applyFill="1" applyBorder="1" applyAlignment="1" applyProtection="1">
      <alignment vertical="center" wrapText="1"/>
    </xf>
    <xf numFmtId="41" fontId="91" fillId="0" borderId="138" xfId="0" applyNumberFormat="1" applyFont="1" applyFill="1" applyBorder="1" applyAlignment="1" applyProtection="1">
      <alignment vertical="center" wrapText="1"/>
    </xf>
    <xf numFmtId="3" fontId="72" fillId="0" borderId="0" xfId="0" applyNumberFormat="1" applyFont="1" applyFill="1" applyBorder="1" applyAlignment="1" applyProtection="1">
      <alignment horizontal="center" wrapText="1"/>
      <protection locked="0"/>
    </xf>
    <xf numFmtId="41" fontId="72" fillId="0" borderId="139" xfId="0" applyNumberFormat="1" applyFont="1" applyFill="1" applyBorder="1" applyAlignment="1" applyProtection="1">
      <alignment horizontal="right" vertical="center"/>
    </xf>
    <xf numFmtId="41" fontId="72" fillId="0" borderId="140" xfId="0" applyNumberFormat="1" applyFont="1" applyFill="1" applyBorder="1" applyAlignment="1" applyProtection="1">
      <alignment horizontal="right" vertical="center"/>
    </xf>
    <xf numFmtId="41" fontId="72" fillId="0" borderId="34" xfId="0" applyNumberFormat="1" applyFont="1" applyFill="1" applyBorder="1" applyAlignment="1" applyProtection="1">
      <alignment horizontal="right" vertical="center"/>
    </xf>
    <xf numFmtId="41" fontId="72" fillId="0" borderId="45" xfId="0" applyNumberFormat="1" applyFont="1" applyFill="1" applyBorder="1" applyAlignment="1" applyProtection="1">
      <alignment horizontal="right" vertical="center"/>
    </xf>
    <xf numFmtId="41" fontId="91" fillId="0" borderId="44" xfId="0" applyNumberFormat="1" applyFont="1" applyFill="1" applyBorder="1" applyAlignment="1" applyProtection="1">
      <alignment vertical="center" wrapText="1"/>
    </xf>
    <xf numFmtId="41" fontId="91" fillId="0" borderId="34" xfId="0" applyNumberFormat="1" applyFont="1" applyFill="1" applyBorder="1" applyAlignment="1" applyProtection="1">
      <alignment vertical="center" wrapText="1"/>
    </xf>
    <xf numFmtId="41" fontId="91" fillId="0" borderId="96" xfId="0" applyNumberFormat="1" applyFont="1" applyFill="1" applyBorder="1" applyAlignment="1" applyProtection="1">
      <alignment vertical="center" wrapText="1"/>
    </xf>
    <xf numFmtId="41" fontId="91" fillId="0" borderId="125" xfId="0" applyNumberFormat="1" applyFont="1" applyFill="1" applyBorder="1" applyAlignment="1" applyProtection="1">
      <alignment vertical="center" wrapText="1"/>
    </xf>
    <xf numFmtId="3" fontId="72" fillId="0" borderId="141" xfId="0" applyNumberFormat="1" applyFont="1" applyFill="1" applyBorder="1" applyAlignment="1" applyProtection="1">
      <alignment horizontal="center" wrapText="1"/>
      <protection locked="0"/>
    </xf>
    <xf numFmtId="3" fontId="72" fillId="0" borderId="74" xfId="0" applyNumberFormat="1" applyFont="1" applyFill="1" applyBorder="1" applyAlignment="1" applyProtection="1">
      <alignment horizontal="center" wrapText="1"/>
      <protection locked="0"/>
    </xf>
    <xf numFmtId="41" fontId="72" fillId="0" borderId="11" xfId="0" applyNumberFormat="1" applyFont="1" applyFill="1" applyBorder="1" applyAlignment="1" applyProtection="1">
      <alignment wrapText="1"/>
    </xf>
    <xf numFmtId="41" fontId="74" fillId="0" borderId="142" xfId="0" applyNumberFormat="1" applyFont="1" applyFill="1" applyBorder="1" applyAlignment="1" applyProtection="1"/>
    <xf numFmtId="41" fontId="72" fillId="0" borderId="48" xfId="0" applyNumberFormat="1" applyFont="1" applyFill="1" applyBorder="1" applyAlignment="1" applyProtection="1">
      <alignment vertical="center" wrapText="1"/>
    </xf>
    <xf numFmtId="41" fontId="72" fillId="0" borderId="15" xfId="0" applyNumberFormat="1" applyFont="1" applyFill="1" applyBorder="1" applyAlignment="1" applyProtection="1">
      <alignment vertical="center" wrapText="1"/>
    </xf>
    <xf numFmtId="41" fontId="72" fillId="0" borderId="14" xfId="0" applyNumberFormat="1" applyFont="1" applyFill="1" applyBorder="1" applyAlignment="1" applyProtection="1">
      <alignment vertical="center" wrapText="1"/>
    </xf>
    <xf numFmtId="41" fontId="72" fillId="0" borderId="143" xfId="0" applyNumberFormat="1" applyFont="1" applyFill="1" applyBorder="1" applyAlignment="1" applyProtection="1">
      <alignment vertical="center" wrapText="1"/>
    </xf>
    <xf numFmtId="41" fontId="72" fillId="0" borderId="117" xfId="0" applyNumberFormat="1" applyFont="1" applyFill="1" applyBorder="1" applyAlignment="1" applyProtection="1">
      <alignment vertical="center" wrapText="1"/>
    </xf>
    <xf numFmtId="41" fontId="91" fillId="0" borderId="56" xfId="0" applyNumberFormat="1" applyFont="1" applyFill="1" applyBorder="1" applyAlignment="1" applyProtection="1"/>
    <xf numFmtId="41" fontId="91" fillId="0" borderId="129" xfId="0" applyNumberFormat="1" applyFont="1" applyFill="1" applyBorder="1" applyAlignment="1" applyProtection="1"/>
    <xf numFmtId="41" fontId="91" fillId="0" borderId="29" xfId="0" applyNumberFormat="1" applyFont="1" applyFill="1" applyBorder="1" applyAlignment="1" applyProtection="1"/>
    <xf numFmtId="41" fontId="91" fillId="0" borderId="32" xfId="0" applyNumberFormat="1" applyFont="1" applyFill="1" applyBorder="1" applyAlignment="1" applyProtection="1"/>
    <xf numFmtId="41" fontId="91" fillId="0" borderId="94" xfId="0" applyNumberFormat="1" applyFont="1" applyFill="1" applyBorder="1" applyAlignment="1" applyProtection="1"/>
    <xf numFmtId="41" fontId="91" fillId="0" borderId="39" xfId="0" applyNumberFormat="1" applyFont="1" applyFill="1" applyBorder="1" applyAlignment="1" applyProtection="1"/>
    <xf numFmtId="41" fontId="91" fillId="0" borderId="117" xfId="0" applyNumberFormat="1" applyFont="1" applyFill="1" applyBorder="1" applyAlignment="1" applyProtection="1"/>
    <xf numFmtId="41" fontId="91" fillId="0" borderId="144" xfId="0" applyNumberFormat="1" applyFont="1" applyFill="1" applyBorder="1" applyAlignment="1" applyProtection="1"/>
    <xf numFmtId="41" fontId="91" fillId="0" borderId="81" xfId="0" applyNumberFormat="1" applyFont="1" applyFill="1" applyBorder="1" applyAlignment="1" applyProtection="1"/>
    <xf numFmtId="41" fontId="72" fillId="0" borderId="21" xfId="0" applyNumberFormat="1" applyFont="1" applyFill="1" applyBorder="1" applyAlignment="1" applyProtection="1"/>
    <xf numFmtId="41" fontId="91" fillId="0" borderId="129" xfId="0" applyNumberFormat="1" applyFont="1" applyFill="1" applyBorder="1" applyAlignment="1" applyProtection="1">
      <alignment horizontal="center"/>
    </xf>
    <xf numFmtId="41" fontId="91" fillId="0" borderId="29" xfId="0" applyNumberFormat="1" applyFont="1" applyFill="1" applyBorder="1" applyAlignment="1" applyProtection="1">
      <alignment horizontal="center"/>
    </xf>
    <xf numFmtId="41" fontId="91" fillId="0" borderId="32" xfId="0" applyNumberFormat="1" applyFont="1" applyFill="1" applyBorder="1" applyAlignment="1" applyProtection="1">
      <alignment horizontal="center"/>
    </xf>
    <xf numFmtId="41" fontId="91" fillId="0" borderId="96" xfId="0" applyNumberFormat="1" applyFont="1" applyFill="1" applyBorder="1" applyAlignment="1" applyProtection="1">
      <alignment horizontal="center"/>
    </xf>
    <xf numFmtId="41" fontId="91" fillId="0" borderId="101" xfId="0" applyNumberFormat="1" applyFont="1" applyFill="1" applyBorder="1" applyAlignment="1" applyProtection="1">
      <alignment horizontal="center"/>
    </xf>
    <xf numFmtId="41" fontId="91" fillId="0" borderId="145" xfId="0" applyNumberFormat="1" applyFont="1" applyFill="1" applyBorder="1" applyAlignment="1" applyProtection="1">
      <alignment horizontal="center"/>
    </xf>
    <xf numFmtId="41" fontId="91" fillId="0" borderId="21" xfId="0" applyNumberFormat="1" applyFont="1" applyFill="1" applyBorder="1" applyAlignment="1" applyProtection="1">
      <alignment horizontal="center"/>
    </xf>
    <xf numFmtId="41" fontId="91" fillId="0" borderId="132" xfId="0" applyNumberFormat="1" applyFont="1" applyFill="1" applyBorder="1" applyAlignment="1" applyProtection="1">
      <alignment horizontal="center"/>
    </xf>
    <xf numFmtId="41" fontId="91" fillId="0" borderId="41" xfId="0" applyNumberFormat="1" applyFont="1" applyFill="1" applyBorder="1" applyAlignment="1" applyProtection="1">
      <alignment horizontal="center"/>
    </xf>
    <xf numFmtId="41" fontId="91" fillId="0" borderId="36" xfId="0" applyNumberFormat="1" applyFont="1" applyFill="1" applyBorder="1" applyAlignment="1" applyProtection="1">
      <alignment horizontal="center"/>
    </xf>
    <xf numFmtId="41" fontId="91" fillId="0" borderId="133" xfId="0" applyNumberFormat="1" applyFont="1" applyFill="1" applyBorder="1" applyAlignment="1" applyProtection="1">
      <alignment horizontal="center"/>
    </xf>
    <xf numFmtId="41" fontId="91" fillId="0" borderId="146" xfId="0" applyNumberFormat="1" applyFont="1" applyFill="1" applyBorder="1" applyAlignment="1" applyProtection="1">
      <alignment horizontal="center"/>
    </xf>
    <xf numFmtId="41" fontId="91" fillId="0" borderId="147" xfId="0" applyNumberFormat="1" applyFont="1" applyFill="1" applyBorder="1" applyAlignment="1" applyProtection="1">
      <alignment horizontal="center"/>
    </xf>
    <xf numFmtId="41" fontId="91" fillId="0" borderId="148" xfId="0" applyNumberFormat="1" applyFont="1" applyFill="1" applyBorder="1" applyAlignment="1" applyProtection="1">
      <alignment horizontal="center"/>
    </xf>
    <xf numFmtId="41" fontId="91" fillId="0" borderId="149" xfId="0" applyNumberFormat="1" applyFont="1" applyFill="1" applyBorder="1" applyAlignment="1" applyProtection="1">
      <alignment horizontal="center"/>
    </xf>
    <xf numFmtId="41" fontId="91" fillId="0" borderId="150" xfId="0" applyNumberFormat="1" applyFont="1" applyFill="1" applyBorder="1" applyAlignment="1" applyProtection="1">
      <alignment horizontal="center"/>
    </xf>
    <xf numFmtId="3" fontId="72" fillId="0" borderId="99" xfId="0" applyNumberFormat="1" applyFont="1" applyFill="1" applyBorder="1" applyAlignment="1" applyProtection="1">
      <protection locked="0"/>
    </xf>
    <xf numFmtId="41" fontId="72" fillId="0" borderId="10" xfId="0" applyNumberFormat="1" applyFont="1" applyFill="1" applyBorder="1" applyAlignment="1" applyProtection="1"/>
    <xf numFmtId="41" fontId="72" fillId="0" borderId="0" xfId="0" applyNumberFormat="1" applyFont="1" applyFill="1" applyAlignment="1" applyProtection="1">
      <alignment horizontal="center"/>
    </xf>
    <xf numFmtId="0" fontId="72" fillId="55" borderId="0" xfId="2447" applyFont="1" applyFill="1" applyAlignment="1" applyProtection="1">
      <alignment vertical="top" wrapText="1"/>
      <protection hidden="1"/>
    </xf>
    <xf numFmtId="3" fontId="72" fillId="0" borderId="151" xfId="0" applyNumberFormat="1" applyFont="1" applyFill="1" applyBorder="1" applyAlignment="1" applyProtection="1"/>
    <xf numFmtId="0" fontId="92" fillId="0" borderId="72" xfId="0" applyFont="1" applyBorder="1" applyAlignment="1" applyProtection="1">
      <alignment horizontal="left" vertical="top"/>
    </xf>
    <xf numFmtId="3" fontId="72" fillId="0" borderId="72" xfId="0" applyNumberFormat="1" applyFont="1" applyFill="1" applyBorder="1" applyAlignment="1" applyProtection="1">
      <alignment wrapText="1"/>
    </xf>
    <xf numFmtId="0" fontId="72" fillId="0" borderId="72" xfId="0" applyFont="1" applyFill="1" applyBorder="1" applyAlignment="1" applyProtection="1">
      <alignment horizontal="left" vertical="center"/>
    </xf>
    <xf numFmtId="41" fontId="72" fillId="0" borderId="72" xfId="0" applyNumberFormat="1" applyFont="1" applyFill="1" applyBorder="1" applyAlignment="1" applyProtection="1">
      <alignment horizontal="right" vertical="center"/>
    </xf>
    <xf numFmtId="41" fontId="72" fillId="0" borderId="72" xfId="0" applyNumberFormat="1" applyFont="1" applyFill="1" applyBorder="1" applyAlignment="1" applyProtection="1">
      <alignment vertical="center" wrapText="1"/>
    </xf>
    <xf numFmtId="41" fontId="72" fillId="0" borderId="152" xfId="0" applyNumberFormat="1" applyFont="1" applyFill="1" applyBorder="1" applyAlignment="1" applyProtection="1">
      <alignment vertical="center" wrapText="1"/>
    </xf>
    <xf numFmtId="41" fontId="72" fillId="0" borderId="153" xfId="0" applyNumberFormat="1" applyFont="1" applyFill="1" applyBorder="1" applyAlignment="1" applyProtection="1">
      <alignment vertical="center" wrapText="1"/>
    </xf>
    <xf numFmtId="41" fontId="72" fillId="0" borderId="154" xfId="0" applyNumberFormat="1" applyFont="1" applyFill="1" applyBorder="1" applyAlignment="1" applyProtection="1">
      <alignment vertical="center" wrapText="1"/>
    </xf>
    <xf numFmtId="41" fontId="72" fillId="0" borderId="155" xfId="0" applyNumberFormat="1" applyFont="1" applyFill="1" applyBorder="1" applyAlignment="1" applyProtection="1">
      <alignment vertical="center" wrapText="1"/>
    </xf>
    <xf numFmtId="41" fontId="72" fillId="0" borderId="156" xfId="0" applyNumberFormat="1" applyFont="1" applyFill="1" applyBorder="1" applyAlignment="1" applyProtection="1">
      <alignment vertical="center" wrapText="1"/>
    </xf>
    <xf numFmtId="41" fontId="72" fillId="0" borderId="157" xfId="0" applyNumberFormat="1" applyFont="1" applyFill="1" applyBorder="1" applyAlignment="1" applyProtection="1">
      <alignment vertical="center" wrapText="1"/>
    </xf>
    <xf numFmtId="41" fontId="72" fillId="0" borderId="158" xfId="0" applyNumberFormat="1" applyFont="1" applyFill="1" applyBorder="1" applyAlignment="1" applyProtection="1">
      <alignment vertical="center" wrapText="1"/>
    </xf>
    <xf numFmtId="41" fontId="72" fillId="0" borderId="159" xfId="0" applyNumberFormat="1" applyFont="1" applyFill="1" applyBorder="1" applyAlignment="1" applyProtection="1">
      <alignment vertical="center" wrapText="1"/>
    </xf>
    <xf numFmtId="3" fontId="72" fillId="0" borderId="160" xfId="0" applyNumberFormat="1" applyFont="1" applyFill="1" applyBorder="1" applyAlignment="1" applyProtection="1">
      <alignment horizontal="center" wrapText="1"/>
      <protection locked="0"/>
    </xf>
    <xf numFmtId="0" fontId="3" fillId="0" borderId="0" xfId="0" applyFont="1"/>
    <xf numFmtId="0" fontId="72" fillId="0" borderId="0" xfId="0" applyFont="1" applyFill="1" applyAlignment="1" applyProtection="1">
      <alignment vertical="top"/>
      <protection hidden="1"/>
    </xf>
    <xf numFmtId="0" fontId="72" fillId="0" borderId="0" xfId="0" applyFont="1" applyFill="1" applyAlignment="1" applyProtection="1">
      <alignment horizontal="centerContinuous" vertical="center"/>
      <protection hidden="1"/>
    </xf>
    <xf numFmtId="0" fontId="83" fillId="0" borderId="0" xfId="0" applyFont="1" applyFill="1" applyAlignment="1" applyProtection="1">
      <alignment horizontal="center" vertical="top"/>
      <protection hidden="1"/>
    </xf>
    <xf numFmtId="43" fontId="74" fillId="0" borderId="0" xfId="0" applyNumberFormat="1" applyFont="1" applyFill="1" applyBorder="1" applyAlignment="1" applyProtection="1">
      <alignment horizontal="center" vertical="center"/>
    </xf>
    <xf numFmtId="0" fontId="74" fillId="0" borderId="0" xfId="0" applyFont="1" applyFill="1" applyBorder="1" applyAlignment="1" applyProtection="1">
      <alignment horizontal="center" vertical="center"/>
    </xf>
    <xf numFmtId="0" fontId="74" fillId="0" borderId="0" xfId="0" applyFont="1" applyFill="1" applyBorder="1" applyProtection="1">
      <protection hidden="1"/>
    </xf>
    <xf numFmtId="0" fontId="72" fillId="0" borderId="0" xfId="0" applyFont="1" applyFill="1" applyProtection="1">
      <protection hidden="1"/>
    </xf>
    <xf numFmtId="0" fontId="73" fillId="0" borderId="0" xfId="0" applyFont="1" applyFill="1" applyBorder="1" applyAlignment="1" applyProtection="1">
      <alignment horizontal="centerContinuous" vertical="center"/>
      <protection hidden="1"/>
    </xf>
    <xf numFmtId="0" fontId="74" fillId="0" borderId="63" xfId="0" applyFont="1" applyFill="1" applyBorder="1" applyAlignment="1" applyProtection="1">
      <alignment horizontal="left"/>
      <protection hidden="1"/>
    </xf>
    <xf numFmtId="0" fontId="72" fillId="0" borderId="65" xfId="0" applyFont="1" applyBorder="1" applyAlignment="1">
      <alignment horizontal="center"/>
    </xf>
    <xf numFmtId="3" fontId="102" fillId="0" borderId="0" xfId="0" applyNumberFormat="1" applyFont="1" applyFill="1" applyAlignment="1" applyProtection="1"/>
    <xf numFmtId="3" fontId="102" fillId="0" borderId="0" xfId="0" applyNumberFormat="1" applyFont="1" applyFill="1" applyProtection="1"/>
    <xf numFmtId="3" fontId="102" fillId="0" borderId="0" xfId="0" applyNumberFormat="1" applyFont="1" applyFill="1" applyAlignment="1" applyProtection="1">
      <alignment vertical="center"/>
    </xf>
    <xf numFmtId="0" fontId="102" fillId="0" borderId="0" xfId="0" applyFont="1"/>
    <xf numFmtId="0" fontId="72" fillId="0" borderId="77" xfId="0" applyFont="1" applyBorder="1" applyAlignment="1">
      <alignment horizontal="center"/>
    </xf>
    <xf numFmtId="0" fontId="72" fillId="0" borderId="103" xfId="0" applyFont="1" applyBorder="1" applyAlignment="1">
      <alignment horizontal="center"/>
    </xf>
    <xf numFmtId="41" fontId="72" fillId="0" borderId="93" xfId="0" applyNumberFormat="1" applyFont="1" applyFill="1" applyBorder="1" applyAlignment="1" applyProtection="1"/>
    <xf numFmtId="0" fontId="76" fillId="0" borderId="0" xfId="0" applyFont="1"/>
    <xf numFmtId="0" fontId="76" fillId="0" borderId="65" xfId="0" applyFont="1" applyBorder="1" applyAlignment="1">
      <alignment horizontal="right"/>
    </xf>
    <xf numFmtId="0" fontId="76" fillId="0" borderId="65" xfId="0" applyFont="1" applyFill="1" applyBorder="1" applyAlignment="1">
      <alignment horizontal="right"/>
    </xf>
    <xf numFmtId="0" fontId="74" fillId="0" borderId="0" xfId="0" applyFont="1" applyFill="1" applyBorder="1" applyAlignment="1" applyProtection="1">
      <alignment horizontal="left"/>
      <protection hidden="1"/>
    </xf>
    <xf numFmtId="0" fontId="0" fillId="0" borderId="72" xfId="0" applyBorder="1"/>
    <xf numFmtId="0" fontId="74" fillId="0" borderId="163" xfId="0" applyFont="1" applyFill="1" applyBorder="1" applyAlignment="1" applyProtection="1">
      <alignment horizontal="left"/>
      <protection hidden="1"/>
    </xf>
    <xf numFmtId="0" fontId="72" fillId="0" borderId="0" xfId="0" applyNumberFormat="1" applyFont="1" applyFill="1" applyBorder="1" applyAlignment="1" applyProtection="1">
      <alignment horizontal="left" vertical="center" wrapText="1"/>
    </xf>
    <xf numFmtId="41" fontId="72" fillId="0" borderId="47" xfId="0" applyNumberFormat="1" applyFont="1" applyFill="1" applyBorder="1" applyAlignment="1" applyProtection="1">
      <alignment horizontal="center" wrapText="1"/>
    </xf>
    <xf numFmtId="3" fontId="72" fillId="0" borderId="85" xfId="0" applyNumberFormat="1" applyFont="1" applyFill="1" applyBorder="1" applyAlignment="1" applyProtection="1">
      <alignment horizontal="center" wrapText="1"/>
      <protection locked="0"/>
    </xf>
    <xf numFmtId="41" fontId="72" fillId="0" borderId="165" xfId="0" applyNumberFormat="1" applyFont="1" applyFill="1" applyBorder="1" applyAlignment="1" applyProtection="1">
      <alignment wrapText="1"/>
    </xf>
    <xf numFmtId="41" fontId="72" fillId="0" borderId="166" xfId="0" applyNumberFormat="1" applyFont="1" applyFill="1" applyBorder="1" applyAlignment="1" applyProtection="1">
      <alignment horizontal="center" wrapText="1"/>
    </xf>
    <xf numFmtId="41" fontId="72" fillId="0" borderId="167" xfId="0" applyNumberFormat="1" applyFont="1" applyFill="1" applyBorder="1" applyAlignment="1" applyProtection="1">
      <alignment vertical="center" wrapText="1"/>
    </xf>
    <xf numFmtId="41" fontId="72" fillId="0" borderId="168" xfId="0" applyNumberFormat="1" applyFont="1" applyFill="1" applyBorder="1" applyAlignment="1" applyProtection="1">
      <alignment horizontal="center" vertical="center" wrapText="1"/>
    </xf>
    <xf numFmtId="41" fontId="72" fillId="0" borderId="169" xfId="0" applyNumberFormat="1" applyFont="1" applyFill="1" applyBorder="1" applyAlignment="1" applyProtection="1">
      <alignment horizontal="center" vertical="center" wrapText="1"/>
    </xf>
    <xf numFmtId="41" fontId="72" fillId="0" borderId="170" xfId="0" applyNumberFormat="1" applyFont="1" applyFill="1" applyBorder="1" applyAlignment="1" applyProtection="1">
      <alignment horizontal="center" vertical="center" wrapText="1"/>
    </xf>
    <xf numFmtId="0" fontId="73" fillId="0" borderId="89" xfId="0" applyFont="1" applyFill="1" applyBorder="1" applyAlignment="1" applyProtection="1">
      <alignment horizontal="centerContinuous"/>
    </xf>
    <xf numFmtId="41" fontId="72" fillId="0" borderId="90" xfId="0" applyNumberFormat="1" applyFont="1" applyFill="1" applyBorder="1" applyProtection="1"/>
    <xf numFmtId="41" fontId="72" fillId="0" borderId="89" xfId="0" applyNumberFormat="1" applyFont="1" applyFill="1" applyBorder="1" applyProtection="1"/>
    <xf numFmtId="41" fontId="72" fillId="0" borderId="171" xfId="0" applyNumberFormat="1" applyFont="1" applyFill="1" applyBorder="1" applyAlignment="1" applyProtection="1">
      <alignment vertical="center" wrapText="1"/>
    </xf>
    <xf numFmtId="41" fontId="72" fillId="0" borderId="172" xfId="0" applyNumberFormat="1" applyFont="1" applyFill="1" applyBorder="1" applyAlignment="1" applyProtection="1">
      <alignment vertical="center" wrapText="1"/>
    </xf>
    <xf numFmtId="41" fontId="91" fillId="0" borderId="89" xfId="0" applyNumberFormat="1" applyFont="1" applyFill="1" applyBorder="1" applyAlignment="1" applyProtection="1">
      <alignment vertical="center" wrapText="1"/>
    </xf>
    <xf numFmtId="41" fontId="91" fillId="0" borderId="171" xfId="0" applyNumberFormat="1" applyFont="1" applyFill="1" applyBorder="1" applyAlignment="1" applyProtection="1">
      <alignment vertical="center" wrapText="1"/>
    </xf>
    <xf numFmtId="41" fontId="72" fillId="0" borderId="164" xfId="0" applyNumberFormat="1" applyFont="1" applyFill="1" applyBorder="1" applyAlignment="1" applyProtection="1">
      <alignment wrapText="1"/>
    </xf>
    <xf numFmtId="41" fontId="72" fillId="0" borderId="89" xfId="0" applyNumberFormat="1" applyFont="1" applyFill="1" applyBorder="1" applyAlignment="1" applyProtection="1">
      <alignment wrapText="1"/>
    </xf>
    <xf numFmtId="41" fontId="72" fillId="0" borderId="89" xfId="0" applyNumberFormat="1" applyFont="1" applyFill="1" applyBorder="1" applyAlignment="1" applyProtection="1"/>
    <xf numFmtId="41" fontId="90" fillId="0" borderId="89" xfId="0" applyNumberFormat="1" applyFont="1" applyFill="1" applyBorder="1" applyAlignment="1" applyProtection="1"/>
    <xf numFmtId="41" fontId="91" fillId="0" borderId="89" xfId="0" applyNumberFormat="1" applyFont="1" applyFill="1" applyBorder="1" applyAlignment="1" applyProtection="1"/>
    <xf numFmtId="41" fontId="91" fillId="0" borderId="171" xfId="0" applyNumberFormat="1" applyFont="1" applyFill="1" applyBorder="1" applyAlignment="1" applyProtection="1"/>
    <xf numFmtId="0" fontId="72" fillId="0" borderId="0" xfId="0" applyFont="1" applyFill="1" applyAlignment="1" applyProtection="1">
      <alignment horizontal="centerContinuous"/>
    </xf>
    <xf numFmtId="43" fontId="72" fillId="0" borderId="0" xfId="2446" applyFont="1" applyFill="1" applyProtection="1"/>
    <xf numFmtId="0" fontId="72" fillId="0" borderId="0" xfId="0" applyFont="1" applyFill="1" applyAlignment="1" applyProtection="1">
      <alignment vertical="center"/>
    </xf>
    <xf numFmtId="0" fontId="74" fillId="0" borderId="65" xfId="0" applyFont="1" applyFill="1" applyBorder="1" applyAlignment="1" applyProtection="1">
      <alignment horizontal="center"/>
    </xf>
    <xf numFmtId="0" fontId="74" fillId="0" borderId="65" xfId="0" applyFont="1" applyFill="1" applyBorder="1" applyAlignment="1" applyProtection="1">
      <alignment horizontal="center" vertical="center"/>
    </xf>
    <xf numFmtId="0" fontId="72" fillId="0" borderId="0" xfId="0" applyFont="1" applyFill="1" applyBorder="1" applyAlignment="1" applyProtection="1">
      <alignment horizontal="left" indent="1"/>
    </xf>
    <xf numFmtId="0" fontId="73" fillId="0" borderId="11" xfId="0" applyFont="1" applyFill="1" applyBorder="1" applyAlignment="1" applyProtection="1">
      <alignment horizontal="centerContinuous" vertical="center"/>
    </xf>
    <xf numFmtId="0" fontId="73" fillId="0" borderId="12" xfId="0" applyFont="1" applyFill="1" applyBorder="1" applyAlignment="1" applyProtection="1">
      <alignment horizontal="centerContinuous" vertical="center"/>
    </xf>
    <xf numFmtId="0" fontId="74" fillId="0" borderId="86" xfId="0" applyFont="1" applyFill="1" applyBorder="1" applyAlignment="1" applyProtection="1">
      <alignment horizontal="centerContinuous" vertical="center"/>
    </xf>
    <xf numFmtId="0" fontId="72" fillId="55" borderId="0" xfId="2447" applyFont="1" applyFill="1" applyBorder="1" applyAlignment="1" applyProtection="1">
      <alignment horizontal="center" vertical="center"/>
      <protection hidden="1"/>
    </xf>
    <xf numFmtId="0" fontId="72" fillId="55" borderId="0" xfId="2447" applyFont="1" applyFill="1" applyAlignment="1" applyProtection="1">
      <alignment horizontal="center" vertical="center"/>
      <protection hidden="1"/>
    </xf>
    <xf numFmtId="0" fontId="74" fillId="0" borderId="162" xfId="0" applyFont="1" applyFill="1" applyBorder="1" applyAlignment="1" applyProtection="1">
      <alignment horizontal="left"/>
      <protection hidden="1"/>
    </xf>
    <xf numFmtId="0" fontId="74" fillId="0" borderId="161" xfId="0" applyFont="1" applyFill="1" applyBorder="1" applyAlignment="1" applyProtection="1">
      <alignment horizontal="center"/>
    </xf>
    <xf numFmtId="0" fontId="72" fillId="0" borderId="78" xfId="0" applyFont="1" applyFill="1" applyBorder="1" applyProtection="1"/>
    <xf numFmtId="0" fontId="83" fillId="0" borderId="0" xfId="0" applyFont="1" applyFill="1" applyBorder="1" applyAlignment="1" applyProtection="1">
      <alignment horizontal="center" vertical="top"/>
      <protection hidden="1"/>
    </xf>
    <xf numFmtId="0" fontId="72" fillId="0" borderId="0" xfId="0" applyFont="1" applyFill="1" applyBorder="1" applyAlignment="1" applyProtection="1">
      <alignment horizontal="center"/>
      <protection locked="0"/>
    </xf>
    <xf numFmtId="0" fontId="72" fillId="0" borderId="173" xfId="0" applyFont="1" applyFill="1" applyBorder="1" applyAlignment="1" applyProtection="1">
      <alignment horizontal="center"/>
    </xf>
    <xf numFmtId="0" fontId="72" fillId="0" borderId="173" xfId="0" applyFont="1" applyFill="1" applyBorder="1" applyAlignment="1" applyProtection="1">
      <alignment horizontal="center" vertical="center"/>
    </xf>
    <xf numFmtId="0" fontId="72" fillId="0" borderId="80" xfId="0" applyFont="1" applyFill="1" applyBorder="1" applyAlignment="1" applyProtection="1">
      <alignment horizontal="center" vertical="center"/>
    </xf>
    <xf numFmtId="0" fontId="74" fillId="0" borderId="173" xfId="0" applyFont="1" applyFill="1" applyBorder="1" applyAlignment="1" applyProtection="1">
      <alignment horizontal="center"/>
    </xf>
    <xf numFmtId="0" fontId="74" fillId="0" borderId="173" xfId="0" applyFont="1" applyFill="1" applyBorder="1" applyAlignment="1" applyProtection="1">
      <alignment horizontal="center" vertical="center"/>
    </xf>
    <xf numFmtId="0" fontId="72" fillId="0" borderId="173" xfId="0" applyFont="1" applyFill="1" applyBorder="1" applyAlignment="1" applyProtection="1">
      <alignment horizontal="center" wrapText="1"/>
    </xf>
    <xf numFmtId="0" fontId="81" fillId="62" borderId="68" xfId="0" applyFont="1" applyFill="1" applyBorder="1" applyAlignment="1" applyProtection="1">
      <alignment horizontal="centerContinuous" vertical="top"/>
      <protection hidden="1"/>
    </xf>
    <xf numFmtId="0" fontId="80" fillId="62" borderId="68" xfId="0" applyFont="1" applyFill="1" applyBorder="1" applyAlignment="1" applyProtection="1">
      <alignment horizontal="centerContinuous"/>
    </xf>
    <xf numFmtId="43" fontId="80" fillId="62" borderId="68" xfId="2446" applyFont="1" applyFill="1" applyBorder="1" applyAlignment="1" applyProtection="1">
      <alignment horizontal="centerContinuous"/>
    </xf>
    <xf numFmtId="0" fontId="80" fillId="62" borderId="69" xfId="0" applyFont="1" applyFill="1" applyBorder="1" applyAlignment="1" applyProtection="1">
      <alignment horizontal="centerContinuous"/>
    </xf>
    <xf numFmtId="0" fontId="81" fillId="62" borderId="67" xfId="0" applyFont="1" applyFill="1" applyBorder="1" applyAlignment="1" applyProtection="1">
      <alignment horizontal="centerContinuous" vertical="top"/>
      <protection hidden="1"/>
    </xf>
    <xf numFmtId="0" fontId="103" fillId="62" borderId="68" xfId="0" applyFont="1" applyFill="1" applyBorder="1" applyAlignment="1" applyProtection="1">
      <alignment horizontal="centerContinuous" vertical="top"/>
      <protection hidden="1"/>
    </xf>
    <xf numFmtId="0" fontId="74" fillId="0" borderId="177" xfId="0" applyFont="1" applyFill="1" applyBorder="1" applyAlignment="1" applyProtection="1">
      <alignment horizontal="left"/>
      <protection hidden="1"/>
    </xf>
    <xf numFmtId="0" fontId="72" fillId="0" borderId="66" xfId="0" applyFont="1" applyFill="1" applyBorder="1" applyAlignment="1" applyProtection="1">
      <alignment vertical="center"/>
    </xf>
    <xf numFmtId="0" fontId="72" fillId="0" borderId="78" xfId="0" applyFont="1" applyFill="1" applyBorder="1" applyAlignment="1" applyProtection="1">
      <alignment vertical="center"/>
    </xf>
    <xf numFmtId="0" fontId="72" fillId="0" borderId="79" xfId="0" applyFont="1" applyFill="1" applyBorder="1" applyProtection="1"/>
    <xf numFmtId="0" fontId="74" fillId="0" borderId="51" xfId="0" applyFont="1" applyFill="1" applyBorder="1" applyAlignment="1" applyProtection="1">
      <alignment horizontal="left"/>
      <protection hidden="1"/>
    </xf>
    <xf numFmtId="0" fontId="72" fillId="0" borderId="173" xfId="0" applyFont="1" applyFill="1" applyBorder="1" applyAlignment="1" applyProtection="1">
      <alignment vertical="center"/>
    </xf>
    <xf numFmtId="0" fontId="80" fillId="55" borderId="79" xfId="0" applyFont="1" applyFill="1" applyBorder="1" applyAlignment="1" applyProtection="1">
      <alignment horizontal="centerContinuous"/>
    </xf>
    <xf numFmtId="0" fontId="101" fillId="0" borderId="178" xfId="0" applyFont="1" applyFill="1" applyBorder="1" applyAlignment="1" applyProtection="1">
      <alignment horizontal="left"/>
      <protection hidden="1"/>
    </xf>
    <xf numFmtId="0" fontId="81" fillId="55" borderId="0" xfId="0" applyFont="1" applyFill="1" applyBorder="1" applyAlignment="1" applyProtection="1">
      <alignment horizontal="centerContinuous" vertical="top"/>
      <protection hidden="1"/>
    </xf>
    <xf numFmtId="0" fontId="103" fillId="55" borderId="0" xfId="0" applyFont="1" applyFill="1" applyBorder="1" applyAlignment="1" applyProtection="1">
      <alignment horizontal="centerContinuous" vertical="top"/>
      <protection hidden="1"/>
    </xf>
    <xf numFmtId="0" fontId="80" fillId="55" borderId="0" xfId="0" applyFont="1" applyFill="1" applyBorder="1" applyAlignment="1" applyProtection="1">
      <alignment horizontal="centerContinuous"/>
    </xf>
    <xf numFmtId="43" fontId="80" fillId="55" borderId="0" xfId="2446" applyFont="1" applyFill="1" applyBorder="1" applyAlignment="1" applyProtection="1">
      <alignment horizontal="centerContinuous"/>
    </xf>
    <xf numFmtId="41" fontId="74" fillId="0" borderId="63" xfId="95" applyNumberFormat="1" applyFont="1" applyFill="1" applyBorder="1" applyAlignment="1" applyProtection="1">
      <alignment horizontal="centerContinuous" vertical="center"/>
    </xf>
    <xf numFmtId="41" fontId="88" fillId="0" borderId="80" xfId="95" applyNumberFormat="1" applyFont="1" applyFill="1" applyBorder="1" applyAlignment="1" applyProtection="1">
      <alignment horizontal="centerContinuous" vertical="center"/>
    </xf>
    <xf numFmtId="0" fontId="81" fillId="62" borderId="53" xfId="0" applyFont="1" applyFill="1" applyBorder="1" applyAlignment="1" applyProtection="1">
      <alignment horizontal="centerContinuous" vertical="center"/>
      <protection hidden="1"/>
    </xf>
    <xf numFmtId="41" fontId="88" fillId="62" borderId="65" xfId="95" applyNumberFormat="1" applyFont="1" applyFill="1" applyBorder="1" applyAlignment="1">
      <alignment horizontal="centerContinuous" vertical="center"/>
    </xf>
    <xf numFmtId="0" fontId="104" fillId="62" borderId="62" xfId="0" applyFont="1" applyFill="1" applyBorder="1" applyAlignment="1" applyProtection="1">
      <alignment horizontal="centerContinuous" vertical="center"/>
      <protection hidden="1"/>
    </xf>
    <xf numFmtId="0" fontId="104" fillId="62" borderId="53" xfId="0" applyFont="1" applyFill="1" applyBorder="1" applyAlignment="1" applyProtection="1">
      <alignment horizontal="centerContinuous" vertical="center"/>
      <protection hidden="1"/>
    </xf>
    <xf numFmtId="0" fontId="81" fillId="62" borderId="63" xfId="0" applyFont="1" applyFill="1" applyBorder="1" applyAlignment="1" applyProtection="1">
      <alignment horizontal="centerContinuous" vertical="center"/>
      <protection hidden="1"/>
    </xf>
    <xf numFmtId="0" fontId="72" fillId="28" borderId="0" xfId="2447" applyFont="1" applyFill="1" applyBorder="1" applyAlignment="1" applyProtection="1">
      <alignment horizontal="left" vertical="top" indent="1"/>
      <protection hidden="1"/>
    </xf>
    <xf numFmtId="0" fontId="72" fillId="28" borderId="0" xfId="2447" applyFont="1" applyFill="1" applyBorder="1" applyAlignment="1" applyProtection="1">
      <alignment horizontal="left" vertical="center" indent="1"/>
      <protection hidden="1"/>
    </xf>
    <xf numFmtId="41" fontId="72" fillId="0" borderId="89" xfId="0" applyNumberFormat="1" applyFont="1" applyFill="1" applyBorder="1" applyAlignment="1" applyProtection="1">
      <alignment vertical="center"/>
    </xf>
    <xf numFmtId="41" fontId="72" fillId="0" borderId="0" xfId="0" applyNumberFormat="1" applyFont="1" applyFill="1" applyBorder="1" applyAlignment="1" applyProtection="1">
      <alignment horizontal="center" vertical="center"/>
    </xf>
    <xf numFmtId="41" fontId="72" fillId="0" borderId="12" xfId="0" applyNumberFormat="1" applyFont="1" applyFill="1" applyBorder="1" applyAlignment="1" applyProtection="1">
      <alignment horizontal="center" vertical="center"/>
    </xf>
    <xf numFmtId="0" fontId="0" fillId="0" borderId="0" xfId="0" applyAlignment="1">
      <alignment vertical="center"/>
    </xf>
    <xf numFmtId="41" fontId="74" fillId="0" borderId="91" xfId="0" applyNumberFormat="1" applyFont="1" applyFill="1" applyBorder="1" applyAlignment="1" applyProtection="1">
      <alignment horizontal="center" wrapText="1"/>
    </xf>
    <xf numFmtId="41" fontId="74" fillId="0" borderId="121" xfId="0" applyNumberFormat="1" applyFont="1" applyFill="1" applyBorder="1" applyAlignment="1" applyProtection="1">
      <alignment horizontal="center" wrapText="1"/>
    </xf>
    <xf numFmtId="41" fontId="90" fillId="0" borderId="27" xfId="0" applyNumberFormat="1" applyFont="1" applyFill="1" applyBorder="1" applyAlignment="1" applyProtection="1">
      <alignment vertical="center" wrapText="1"/>
    </xf>
    <xf numFmtId="0" fontId="72" fillId="54" borderId="65" xfId="0" applyFont="1" applyFill="1" applyBorder="1" applyAlignment="1" applyProtection="1">
      <alignment horizontal="center"/>
      <protection locked="0"/>
    </xf>
    <xf numFmtId="0" fontId="72" fillId="54" borderId="161" xfId="0" applyFont="1" applyFill="1" applyBorder="1" applyAlignment="1" applyProtection="1">
      <alignment horizontal="center"/>
      <protection locked="0"/>
    </xf>
    <xf numFmtId="41" fontId="74" fillId="54" borderId="17" xfId="0" applyNumberFormat="1" applyFont="1" applyFill="1" applyBorder="1" applyAlignment="1" applyProtection="1">
      <alignment horizontal="center"/>
      <protection locked="0"/>
    </xf>
    <xf numFmtId="41" fontId="72" fillId="0" borderId="29" xfId="0" applyNumberFormat="1" applyFont="1" applyFill="1" applyBorder="1" applyAlignment="1" applyProtection="1"/>
    <xf numFmtId="3" fontId="102" fillId="0" borderId="0" xfId="0" applyNumberFormat="1" applyFont="1" applyFill="1" applyBorder="1" applyProtection="1"/>
    <xf numFmtId="41" fontId="72" fillId="0" borderId="180" xfId="0" applyNumberFormat="1" applyFont="1" applyFill="1" applyBorder="1" applyAlignment="1" applyProtection="1">
      <alignment vertical="center" wrapText="1"/>
    </xf>
    <xf numFmtId="41" fontId="72" fillId="0" borderId="12" xfId="0" applyNumberFormat="1" applyFont="1" applyFill="1" applyBorder="1" applyAlignment="1" applyProtection="1">
      <alignment horizontal="center" wrapText="1"/>
    </xf>
    <xf numFmtId="41" fontId="91" fillId="0" borderId="12" xfId="0" applyNumberFormat="1" applyFont="1" applyFill="1" applyBorder="1" applyAlignment="1" applyProtection="1">
      <alignment horizontal="center"/>
    </xf>
    <xf numFmtId="41" fontId="91" fillId="0" borderId="181" xfId="0" applyNumberFormat="1" applyFont="1" applyFill="1" applyBorder="1" applyAlignment="1" applyProtection="1">
      <alignment horizontal="center"/>
    </xf>
    <xf numFmtId="0" fontId="101" fillId="0" borderId="176" xfId="0" applyFont="1" applyFill="1" applyBorder="1" applyAlignment="1" applyProtection="1">
      <alignment horizontal="left"/>
      <protection hidden="1"/>
    </xf>
    <xf numFmtId="41" fontId="101" fillId="0" borderId="62" xfId="95" applyNumberFormat="1" applyFont="1" applyFill="1" applyBorder="1" applyAlignment="1" applyProtection="1">
      <alignment horizontal="centerContinuous" vertical="center" wrapText="1"/>
    </xf>
    <xf numFmtId="0" fontId="72" fillId="0" borderId="177" xfId="0" applyFont="1" applyFill="1" applyBorder="1" applyProtection="1"/>
    <xf numFmtId="0" fontId="72" fillId="0" borderId="163" xfId="0" applyFont="1" applyFill="1" applyBorder="1" applyProtection="1"/>
    <xf numFmtId="0" fontId="72" fillId="0" borderId="176" xfId="0" applyFont="1" applyFill="1" applyBorder="1" applyProtection="1"/>
    <xf numFmtId="0" fontId="72" fillId="0" borderId="178" xfId="0" applyFont="1" applyFill="1" applyBorder="1" applyProtection="1"/>
    <xf numFmtId="3" fontId="72" fillId="0" borderId="0" xfId="0" applyNumberFormat="1" applyFont="1" applyFill="1" applyBorder="1" applyAlignment="1" applyProtection="1">
      <alignment horizontal="right"/>
    </xf>
    <xf numFmtId="41" fontId="72" fillId="55" borderId="0" xfId="0" applyNumberFormat="1" applyFont="1" applyFill="1" applyBorder="1" applyAlignment="1" applyProtection="1">
      <alignment horizontal="right" vertical="center"/>
      <protection locked="0"/>
    </xf>
    <xf numFmtId="41" fontId="72" fillId="55" borderId="182" xfId="0" applyNumberFormat="1" applyFont="1" applyFill="1" applyBorder="1" applyAlignment="1" applyProtection="1">
      <alignment horizontal="right" vertical="center" wrapText="1"/>
    </xf>
    <xf numFmtId="0" fontId="97" fillId="0" borderId="0" xfId="0" applyFont="1" applyFill="1" applyBorder="1" applyAlignment="1" applyProtection="1">
      <alignment horizontal="right" vertical="center"/>
    </xf>
    <xf numFmtId="0" fontId="53" fillId="0" borderId="0" xfId="2445" applyFont="1" applyFill="1" applyAlignment="1" applyProtection="1"/>
    <xf numFmtId="0" fontId="72" fillId="0" borderId="0" xfId="0" quotePrefix="1" applyFont="1" applyFill="1" applyBorder="1" applyAlignment="1" applyProtection="1">
      <alignment horizontal="left" vertical="top" wrapText="1"/>
    </xf>
    <xf numFmtId="0" fontId="72" fillId="0" borderId="174" xfId="0" applyFont="1" applyFill="1" applyBorder="1" applyProtection="1"/>
    <xf numFmtId="0" fontId="53" fillId="0" borderId="183" xfId="2445" applyFont="1" applyFill="1" applyBorder="1" applyAlignment="1" applyProtection="1">
      <alignment horizontal="left" vertical="top"/>
    </xf>
    <xf numFmtId="0" fontId="72" fillId="0" borderId="183" xfId="0" applyFont="1" applyFill="1" applyBorder="1" applyAlignment="1" applyProtection="1">
      <alignment horizontal="left" vertical="top" wrapText="1"/>
    </xf>
    <xf numFmtId="0" fontId="72" fillId="0" borderId="58" xfId="0" applyFont="1" applyFill="1" applyBorder="1" applyAlignment="1" applyProtection="1">
      <alignment wrapText="1"/>
    </xf>
    <xf numFmtId="0" fontId="101" fillId="0" borderId="62" xfId="0" applyFont="1" applyFill="1" applyBorder="1" applyAlignment="1" applyProtection="1">
      <alignment horizontal="centerContinuous" wrapText="1"/>
    </xf>
    <xf numFmtId="0" fontId="101" fillId="0" borderId="64" xfId="0" applyFont="1" applyFill="1" applyBorder="1" applyAlignment="1" applyProtection="1">
      <alignment horizontal="centerContinuous"/>
    </xf>
    <xf numFmtId="0" fontId="73" fillId="55" borderId="0" xfId="2447" applyFont="1" applyFill="1" applyBorder="1" applyAlignment="1" applyProtection="1">
      <alignment horizontal="center" vertical="center" wrapText="1"/>
      <protection hidden="1"/>
    </xf>
    <xf numFmtId="0" fontId="73" fillId="28" borderId="0" xfId="0" applyFont="1" applyFill="1" applyBorder="1" applyAlignment="1" applyProtection="1">
      <alignment wrapText="1"/>
    </xf>
    <xf numFmtId="0" fontId="73" fillId="0" borderId="0" xfId="0" applyFont="1" applyFill="1" applyBorder="1" applyAlignment="1" applyProtection="1">
      <alignment wrapText="1"/>
    </xf>
    <xf numFmtId="0" fontId="73" fillId="0" borderId="63" xfId="0" applyFont="1" applyFill="1" applyBorder="1" applyAlignment="1" applyProtection="1">
      <alignment horizontal="left" wrapText="1"/>
      <protection hidden="1"/>
    </xf>
    <xf numFmtId="0" fontId="74" fillId="0" borderId="71" xfId="0" applyFont="1" applyFill="1" applyBorder="1" applyProtection="1"/>
    <xf numFmtId="0" fontId="99" fillId="55" borderId="50" xfId="0" applyFont="1" applyFill="1" applyBorder="1" applyAlignment="1" applyProtection="1"/>
    <xf numFmtId="0" fontId="72" fillId="55" borderId="73" xfId="0" applyFont="1" applyFill="1" applyBorder="1" applyAlignment="1" applyProtection="1">
      <alignment horizontal="left" vertical="top" wrapText="1"/>
    </xf>
    <xf numFmtId="0" fontId="72" fillId="55" borderId="0" xfId="2447" applyFont="1" applyFill="1" applyAlignment="1" applyProtection="1">
      <alignment horizontal="centerContinuous" vertical="top"/>
      <protection hidden="1"/>
    </xf>
    <xf numFmtId="0" fontId="72" fillId="55" borderId="0" xfId="2447" applyFont="1" applyFill="1" applyBorder="1" applyAlignment="1" applyProtection="1">
      <alignment horizontal="centerContinuous" vertical="top"/>
      <protection hidden="1"/>
    </xf>
    <xf numFmtId="0" fontId="0" fillId="55" borderId="0" xfId="0" applyFill="1" applyAlignment="1">
      <alignment horizontal="centerContinuous"/>
    </xf>
    <xf numFmtId="41" fontId="72" fillId="0" borderId="19" xfId="0" applyNumberFormat="1" applyFont="1" applyFill="1" applyBorder="1" applyAlignment="1" applyProtection="1">
      <alignment horizontal="center"/>
    </xf>
    <xf numFmtId="0" fontId="74" fillId="0" borderId="190" xfId="0" applyFont="1" applyFill="1" applyBorder="1" applyAlignment="1" applyProtection="1"/>
    <xf numFmtId="0" fontId="72" fillId="0" borderId="190" xfId="0" applyFont="1" applyFill="1" applyBorder="1" applyProtection="1"/>
    <xf numFmtId="41" fontId="72" fillId="0" borderId="190" xfId="0" applyNumberFormat="1" applyFont="1" applyFill="1" applyBorder="1" applyAlignment="1" applyProtection="1">
      <alignment horizontal="right"/>
    </xf>
    <xf numFmtId="41" fontId="74" fillId="0" borderId="190" xfId="0" applyNumberFormat="1" applyFont="1" applyFill="1" applyBorder="1" applyAlignment="1" applyProtection="1">
      <alignment horizontal="center"/>
    </xf>
    <xf numFmtId="41" fontId="74" fillId="0" borderId="191" xfId="0" applyNumberFormat="1" applyFont="1" applyFill="1" applyBorder="1" applyAlignment="1" applyProtection="1">
      <alignment horizontal="center"/>
    </xf>
    <xf numFmtId="41" fontId="74" fillId="0" borderId="192" xfId="0" applyNumberFormat="1" applyFont="1" applyFill="1" applyBorder="1" applyAlignment="1" applyProtection="1">
      <alignment vertical="center" wrapText="1"/>
    </xf>
    <xf numFmtId="41" fontId="74" fillId="0" borderId="193" xfId="0" applyNumberFormat="1" applyFont="1" applyFill="1" applyBorder="1" applyAlignment="1" applyProtection="1">
      <alignment vertical="center" wrapText="1"/>
    </xf>
    <xf numFmtId="41" fontId="74" fillId="0" borderId="194" xfId="0" applyNumberFormat="1" applyFont="1" applyFill="1" applyBorder="1" applyAlignment="1" applyProtection="1">
      <alignment horizontal="center"/>
    </xf>
    <xf numFmtId="41" fontId="74" fillId="0" borderId="195" xfId="0" applyNumberFormat="1" applyFont="1" applyFill="1" applyBorder="1" applyAlignment="1" applyProtection="1">
      <alignment horizontal="center"/>
    </xf>
    <xf numFmtId="41" fontId="74" fillId="0" borderId="196" xfId="0" applyNumberFormat="1" applyFont="1" applyFill="1" applyBorder="1" applyAlignment="1" applyProtection="1">
      <alignment horizontal="center"/>
    </xf>
    <xf numFmtId="41" fontId="74" fillId="0" borderId="197" xfId="0" applyNumberFormat="1" applyFont="1" applyFill="1" applyBorder="1" applyAlignment="1" applyProtection="1">
      <alignment horizontal="center"/>
    </xf>
    <xf numFmtId="41" fontId="74" fillId="0" borderId="76" xfId="0" applyNumberFormat="1" applyFont="1" applyFill="1" applyBorder="1" applyAlignment="1" applyProtection="1">
      <alignment horizontal="center"/>
    </xf>
    <xf numFmtId="41" fontId="74" fillId="0" borderId="118" xfId="0" applyNumberFormat="1" applyFont="1" applyFill="1" applyBorder="1" applyAlignment="1" applyProtection="1">
      <alignment horizontal="center"/>
    </xf>
    <xf numFmtId="41" fontId="74" fillId="0" borderId="198" xfId="0" applyNumberFormat="1" applyFont="1" applyFill="1" applyBorder="1" applyAlignment="1" applyProtection="1">
      <alignment horizontal="center"/>
    </xf>
    <xf numFmtId="0" fontId="74" fillId="0" borderId="199" xfId="0" applyFont="1" applyFill="1" applyBorder="1" applyAlignment="1" applyProtection="1"/>
    <xf numFmtId="0" fontId="72" fillId="0" borderId="50" xfId="0" applyFont="1" applyBorder="1" applyProtection="1"/>
    <xf numFmtId="0" fontId="74" fillId="55" borderId="49" xfId="0" applyFont="1" applyFill="1" applyBorder="1" applyAlignment="1" applyProtection="1">
      <alignment horizontal="center"/>
    </xf>
    <xf numFmtId="0" fontId="74" fillId="55" borderId="50" xfId="0" applyFont="1" applyFill="1" applyBorder="1" applyAlignment="1" applyProtection="1">
      <alignment horizontal="center"/>
    </xf>
    <xf numFmtId="165" fontId="72" fillId="0" borderId="27" xfId="0" applyNumberFormat="1" applyFont="1" applyFill="1" applyBorder="1" applyAlignment="1" applyProtection="1">
      <alignment horizontal="right" vertical="center"/>
      <protection hidden="1"/>
    </xf>
    <xf numFmtId="41" fontId="72" fillId="0" borderId="95" xfId="0" applyNumberFormat="1" applyFont="1" applyFill="1" applyBorder="1" applyAlignment="1" applyProtection="1">
      <alignment horizontal="right" vertical="center" wrapText="1"/>
      <protection hidden="1"/>
    </xf>
    <xf numFmtId="41" fontId="72" fillId="55" borderId="182" xfId="0" applyNumberFormat="1" applyFont="1" applyFill="1" applyBorder="1" applyAlignment="1" applyProtection="1">
      <alignment horizontal="right" vertical="center" wrapText="1"/>
      <protection hidden="1"/>
    </xf>
    <xf numFmtId="165" fontId="90" fillId="0" borderId="27" xfId="0" applyNumberFormat="1" applyFont="1" applyFill="1" applyBorder="1" applyAlignment="1" applyProtection="1">
      <alignment horizontal="right" vertical="center"/>
      <protection hidden="1"/>
    </xf>
    <xf numFmtId="165" fontId="72" fillId="0" borderId="0" xfId="0" applyNumberFormat="1" applyFont="1" applyFill="1" applyBorder="1" applyAlignment="1" applyProtection="1">
      <alignment horizontal="right" vertical="center"/>
      <protection hidden="1"/>
    </xf>
    <xf numFmtId="165" fontId="72" fillId="0" borderId="0" xfId="0" applyNumberFormat="1" applyFont="1" applyFill="1" applyBorder="1" applyAlignment="1" applyProtection="1">
      <alignment horizontal="right" wrapText="1"/>
      <protection hidden="1"/>
    </xf>
    <xf numFmtId="165" fontId="72" fillId="0" borderId="0" xfId="0" applyNumberFormat="1" applyFont="1" applyFill="1" applyBorder="1" applyAlignment="1" applyProtection="1">
      <alignment horizontal="right"/>
      <protection hidden="1"/>
    </xf>
    <xf numFmtId="165" fontId="72" fillId="0" borderId="56" xfId="0" applyNumberFormat="1" applyFont="1" applyFill="1" applyBorder="1" applyAlignment="1" applyProtection="1">
      <alignment vertical="center" wrapText="1"/>
      <protection hidden="1"/>
    </xf>
    <xf numFmtId="167" fontId="72" fillId="55" borderId="183" xfId="2447" applyNumberFormat="1" applyFont="1" applyFill="1" applyBorder="1" applyAlignment="1" applyProtection="1">
      <alignment horizontal="center" vertical="top" wrapText="1"/>
    </xf>
    <xf numFmtId="0" fontId="0" fillId="55" borderId="183" xfId="0" applyFill="1" applyBorder="1" applyAlignment="1">
      <alignment horizontal="centerContinuous"/>
    </xf>
    <xf numFmtId="41" fontId="74" fillId="55" borderId="183" xfId="95" applyNumberFormat="1" applyFont="1" applyFill="1" applyBorder="1" applyAlignment="1">
      <alignment horizontal="centerContinuous" vertical="center"/>
    </xf>
    <xf numFmtId="0" fontId="81" fillId="62" borderId="185" xfId="2447" applyFont="1" applyFill="1" applyBorder="1" applyAlignment="1" applyProtection="1">
      <alignment horizontal="centerContinuous" vertical="top" wrapText="1"/>
      <protection hidden="1"/>
    </xf>
    <xf numFmtId="41" fontId="74" fillId="55" borderId="183" xfId="95" applyNumberFormat="1" applyFont="1" applyFill="1" applyBorder="1" applyAlignment="1">
      <alignment horizontal="center" vertical="center"/>
    </xf>
    <xf numFmtId="167" fontId="72" fillId="55" borderId="183" xfId="2447" applyNumberFormat="1" applyFont="1" applyFill="1" applyBorder="1" applyAlignment="1" applyProtection="1">
      <alignment horizontal="center" vertical="center" wrapText="1"/>
    </xf>
    <xf numFmtId="0" fontId="74" fillId="55" borderId="0" xfId="0" applyFont="1" applyFill="1" applyBorder="1" applyAlignment="1" applyProtection="1">
      <alignment horizontal="centerContinuous" vertical="center" wrapText="1"/>
    </xf>
    <xf numFmtId="0" fontId="73" fillId="55" borderId="50" xfId="0" applyFont="1" applyFill="1" applyBorder="1" applyAlignment="1" applyProtection="1">
      <alignment horizontal="centerContinuous" vertical="center" wrapText="1"/>
    </xf>
    <xf numFmtId="0" fontId="74" fillId="55" borderId="49" xfId="0" applyFont="1" applyFill="1" applyBorder="1" applyAlignment="1">
      <alignment horizontal="centerContinuous" vertical="center"/>
    </xf>
    <xf numFmtId="0" fontId="74" fillId="55" borderId="0" xfId="0" applyFont="1" applyFill="1" applyBorder="1" applyAlignment="1">
      <alignment horizontal="centerContinuous" vertical="center"/>
    </xf>
    <xf numFmtId="0" fontId="74" fillId="55" borderId="50" xfId="0" applyFont="1" applyFill="1" applyBorder="1" applyAlignment="1">
      <alignment horizontal="centerContinuous" vertical="center"/>
    </xf>
    <xf numFmtId="0" fontId="53" fillId="0" borderId="58" xfId="2445" applyFont="1" applyFill="1" applyBorder="1" applyAlignment="1" applyProtection="1">
      <alignment horizontal="left"/>
    </xf>
    <xf numFmtId="0" fontId="74" fillId="55" borderId="0" xfId="45" applyFont="1" applyFill="1" applyBorder="1" applyAlignment="1" applyProtection="1"/>
    <xf numFmtId="0" fontId="74" fillId="55" borderId="183" xfId="45" applyFont="1" applyFill="1" applyBorder="1" applyAlignment="1" applyProtection="1">
      <alignment horizontal="center" wrapText="1"/>
    </xf>
    <xf numFmtId="0" fontId="0" fillId="0" borderId="183" xfId="0" applyBorder="1" applyAlignment="1">
      <alignment horizontal="left" wrapText="1"/>
    </xf>
    <xf numFmtId="0" fontId="0" fillId="0" borderId="183" xfId="0" applyBorder="1" applyAlignment="1">
      <alignment wrapText="1"/>
    </xf>
    <xf numFmtId="43" fontId="0" fillId="0" borderId="206" xfId="2446" applyFont="1" applyBorder="1"/>
    <xf numFmtId="0" fontId="0" fillId="0" borderId="206" xfId="0" applyBorder="1"/>
    <xf numFmtId="0" fontId="76" fillId="0" borderId="65" xfId="0" applyFont="1" applyBorder="1" applyAlignment="1">
      <alignment horizontal="center"/>
    </xf>
    <xf numFmtId="0" fontId="76" fillId="0" borderId="65" xfId="0" applyFont="1" applyFill="1" applyBorder="1" applyAlignment="1">
      <alignment horizontal="center"/>
    </xf>
    <xf numFmtId="0" fontId="71" fillId="0" borderId="73" xfId="0" applyFont="1" applyFill="1" applyBorder="1" applyAlignment="1" applyProtection="1">
      <alignment horizontal="right"/>
    </xf>
    <xf numFmtId="0" fontId="72" fillId="54" borderId="228" xfId="1134" applyFont="1" applyFill="1" applyBorder="1" applyAlignment="1" applyProtection="1">
      <alignment horizontal="center"/>
      <protection locked="0"/>
    </xf>
    <xf numFmtId="0" fontId="72" fillId="54" borderId="228" xfId="1134" applyFont="1" applyFill="1" applyBorder="1" applyAlignment="1" applyProtection="1">
      <alignment horizontal="left" indent="1"/>
      <protection locked="0"/>
    </xf>
    <xf numFmtId="41" fontId="90" fillId="29" borderId="227" xfId="1134" applyNumberFormat="1" applyFont="1" applyFill="1" applyBorder="1" applyAlignment="1" applyProtection="1">
      <alignment vertical="center" wrapText="1"/>
      <protection locked="0"/>
    </xf>
    <xf numFmtId="43" fontId="72" fillId="29" borderId="213" xfId="1134" applyNumberFormat="1" applyFont="1" applyFill="1" applyBorder="1" applyAlignment="1" applyProtection="1">
      <alignment vertical="center" wrapText="1"/>
      <protection locked="0"/>
    </xf>
    <xf numFmtId="41" fontId="72" fillId="29" borderId="212" xfId="1134" applyNumberFormat="1" applyFont="1" applyFill="1" applyBorder="1" applyAlignment="1" applyProtection="1">
      <alignment vertical="center" wrapText="1"/>
      <protection locked="0"/>
    </xf>
    <xf numFmtId="41" fontId="90" fillId="29" borderId="213" xfId="1134" applyNumberFormat="1" applyFont="1" applyFill="1" applyBorder="1" applyAlignment="1" applyProtection="1">
      <alignment vertical="center" wrapText="1"/>
      <protection locked="0"/>
    </xf>
    <xf numFmtId="41" fontId="72" fillId="29" borderId="213" xfId="1134" applyNumberFormat="1" applyFont="1" applyFill="1" applyBorder="1" applyAlignment="1" applyProtection="1">
      <alignment vertical="center" wrapText="1"/>
      <protection locked="0"/>
    </xf>
    <xf numFmtId="41" fontId="72" fillId="29" borderId="227" xfId="1134" applyNumberFormat="1" applyFont="1" applyFill="1" applyBorder="1" applyAlignment="1" applyProtection="1">
      <alignment vertical="center" wrapText="1"/>
      <protection locked="0"/>
    </xf>
    <xf numFmtId="167" fontId="72" fillId="54" borderId="183" xfId="2447" applyNumberFormat="1" applyFont="1" applyFill="1" applyBorder="1" applyAlignment="1" applyProtection="1">
      <alignment horizontal="center" vertical="top" wrapText="1"/>
      <protection locked="0"/>
    </xf>
    <xf numFmtId="41" fontId="72" fillId="0" borderId="229" xfId="0" applyNumberFormat="1" applyFont="1" applyFill="1" applyBorder="1" applyAlignment="1" applyProtection="1">
      <alignment horizontal="right" vertical="center"/>
    </xf>
    <xf numFmtId="172" fontId="72" fillId="0" borderId="0" xfId="0" applyNumberFormat="1" applyFont="1"/>
    <xf numFmtId="0" fontId="72" fillId="0" borderId="0" xfId="0" applyFont="1" applyFill="1" applyBorder="1" applyAlignment="1" applyProtection="1">
      <alignment vertical="top" wrapText="1"/>
    </xf>
    <xf numFmtId="0" fontId="72" fillId="0" borderId="17" xfId="0" applyFont="1" applyFill="1" applyBorder="1" applyAlignment="1" applyProtection="1">
      <alignment vertical="top" wrapText="1"/>
    </xf>
    <xf numFmtId="0" fontId="81" fillId="55" borderId="211" xfId="0" applyFont="1" applyFill="1" applyBorder="1" applyAlignment="1" applyProtection="1">
      <alignment horizontal="centerContinuous" vertical="top"/>
      <protection hidden="1"/>
    </xf>
    <xf numFmtId="0" fontId="101" fillId="0" borderId="228" xfId="0" applyFont="1" applyFill="1" applyBorder="1" applyAlignment="1" applyProtection="1">
      <alignment horizontal="center"/>
    </xf>
    <xf numFmtId="41" fontId="74" fillId="0" borderId="64" xfId="95" applyNumberFormat="1" applyFont="1" applyFill="1" applyBorder="1" applyAlignment="1" applyProtection="1">
      <alignment horizontal="centerContinuous" vertical="center"/>
    </xf>
    <xf numFmtId="41" fontId="88" fillId="0" borderId="64" xfId="95" applyNumberFormat="1" applyFont="1" applyFill="1" applyBorder="1" applyAlignment="1" applyProtection="1">
      <alignment horizontal="centerContinuous" vertical="center"/>
    </xf>
    <xf numFmtId="0" fontId="101" fillId="0" borderId="211" xfId="0" applyFont="1" applyFill="1" applyBorder="1" applyAlignment="1" applyProtection="1">
      <alignment horizontal="left"/>
      <protection hidden="1"/>
    </xf>
    <xf numFmtId="0" fontId="74" fillId="0" borderId="228" xfId="0" applyFont="1" applyFill="1" applyBorder="1" applyAlignment="1" applyProtection="1">
      <alignment horizontal="centerContinuous"/>
    </xf>
    <xf numFmtId="0" fontId="74" fillId="0" borderId="228" xfId="0" applyFont="1" applyFill="1" applyBorder="1" applyAlignment="1" applyProtection="1">
      <alignment horizontal="centerContinuous" vertical="center"/>
    </xf>
    <xf numFmtId="0" fontId="74" fillId="0" borderId="228" xfId="0" applyFont="1" applyFill="1" applyBorder="1" applyAlignment="1" applyProtection="1">
      <alignment horizontal="center"/>
    </xf>
    <xf numFmtId="0" fontId="74" fillId="0" borderId="201" xfId="0" applyFont="1" applyFill="1" applyBorder="1" applyAlignment="1" applyProtection="1">
      <alignment horizontal="center"/>
    </xf>
    <xf numFmtId="0" fontId="72" fillId="0" borderId="228" xfId="0" applyFont="1" applyFill="1" applyBorder="1" applyAlignment="1" applyProtection="1">
      <alignment horizontal="center" wrapText="1"/>
    </xf>
    <xf numFmtId="0" fontId="79" fillId="0" borderId="228" xfId="0" applyFont="1" applyFill="1" applyBorder="1" applyAlignment="1" applyProtection="1">
      <alignment horizontal="center" wrapText="1"/>
    </xf>
    <xf numFmtId="0" fontId="72" fillId="0" borderId="201" xfId="0" applyFont="1" applyFill="1" applyBorder="1" applyAlignment="1" applyProtection="1">
      <alignment horizontal="center" wrapText="1"/>
    </xf>
    <xf numFmtId="0" fontId="74" fillId="0" borderId="202" xfId="0" applyFont="1" applyFill="1" applyBorder="1" applyAlignment="1" applyProtection="1">
      <alignment horizontal="left"/>
      <protection hidden="1"/>
    </xf>
    <xf numFmtId="0" fontId="72" fillId="0" borderId="228" xfId="0" applyFont="1" applyFill="1" applyBorder="1" applyAlignment="1" applyProtection="1">
      <alignment horizontal="center" vertical="center"/>
    </xf>
    <xf numFmtId="0" fontId="72" fillId="0" borderId="201" xfId="0" applyFont="1" applyFill="1" applyBorder="1" applyAlignment="1" applyProtection="1">
      <alignment horizontal="center" vertical="center"/>
    </xf>
    <xf numFmtId="0" fontId="74" fillId="0" borderId="211" xfId="0" applyFont="1" applyFill="1" applyBorder="1" applyProtection="1">
      <protection hidden="1"/>
    </xf>
    <xf numFmtId="0" fontId="72" fillId="0" borderId="64" xfId="0" applyFont="1" applyFill="1" applyBorder="1" applyAlignment="1" applyProtection="1">
      <alignment horizontal="center" vertical="center"/>
    </xf>
    <xf numFmtId="0" fontId="101" fillId="0" borderId="228" xfId="0" applyFont="1" applyFill="1" applyBorder="1" applyAlignment="1" applyProtection="1">
      <alignment horizontal="centerContinuous"/>
    </xf>
    <xf numFmtId="0" fontId="101" fillId="0" borderId="201" xfId="0" applyFont="1" applyFill="1" applyBorder="1" applyAlignment="1" applyProtection="1">
      <alignment horizontal="centerContinuous"/>
    </xf>
    <xf numFmtId="0" fontId="74" fillId="0" borderId="228" xfId="0" applyFont="1" applyFill="1" applyBorder="1" applyAlignment="1" applyProtection="1">
      <alignment horizontal="center" vertical="center"/>
    </xf>
    <xf numFmtId="0" fontId="74" fillId="0" borderId="200" xfId="0" applyFont="1" applyFill="1" applyBorder="1" applyProtection="1"/>
    <xf numFmtId="0" fontId="74" fillId="0" borderId="228" xfId="0" applyFont="1" applyFill="1" applyBorder="1" applyProtection="1"/>
    <xf numFmtId="0" fontId="72" fillId="0" borderId="200" xfId="0" applyFont="1" applyFill="1" applyBorder="1" applyAlignment="1" applyProtection="1">
      <protection hidden="1"/>
    </xf>
    <xf numFmtId="0" fontId="72" fillId="54" borderId="228" xfId="0" applyFont="1" applyFill="1" applyBorder="1" applyAlignment="1" applyProtection="1">
      <alignment horizontal="center"/>
      <protection locked="0"/>
    </xf>
    <xf numFmtId="0" fontId="72" fillId="54" borderId="201" xfId="0" applyFont="1" applyFill="1" applyBorder="1" applyAlignment="1" applyProtection="1">
      <alignment horizontal="center"/>
      <protection locked="0"/>
    </xf>
    <xf numFmtId="0" fontId="72" fillId="0" borderId="203" xfId="0" applyFont="1" applyFill="1" applyBorder="1" applyAlignment="1" applyProtection="1">
      <protection hidden="1"/>
    </xf>
    <xf numFmtId="0" fontId="72" fillId="54" borderId="204" xfId="0" applyFont="1" applyFill="1" applyBorder="1" applyAlignment="1" applyProtection="1">
      <alignment horizontal="left" indent="1"/>
      <protection locked="0"/>
    </xf>
    <xf numFmtId="0" fontId="72" fillId="0" borderId="206" xfId="0" applyFont="1" applyFill="1" applyBorder="1" applyAlignment="1" applyProtection="1">
      <alignment horizontal="left" indent="1"/>
    </xf>
    <xf numFmtId="0" fontId="72" fillId="0" borderId="175" xfId="0" applyFont="1" applyFill="1" applyBorder="1" applyAlignment="1" applyProtection="1">
      <alignment horizontal="left" indent="1"/>
    </xf>
    <xf numFmtId="0" fontId="72" fillId="0" borderId="206" xfId="0" applyFont="1" applyFill="1" applyBorder="1" applyProtection="1"/>
    <xf numFmtId="0" fontId="72" fillId="54" borderId="205" xfId="0" applyFont="1" applyFill="1" applyBorder="1" applyAlignment="1" applyProtection="1">
      <alignment horizontal="left" indent="1"/>
      <protection locked="0"/>
    </xf>
    <xf numFmtId="0" fontId="72" fillId="0" borderId="211" xfId="0" applyFont="1" applyFill="1" applyBorder="1" applyProtection="1"/>
    <xf numFmtId="0" fontId="3" fillId="0" borderId="58" xfId="2445" applyFont="1" applyFill="1" applyBorder="1" applyAlignment="1" applyProtection="1">
      <alignment wrapText="1"/>
    </xf>
    <xf numFmtId="0" fontId="78" fillId="0" borderId="183" xfId="2445" applyFill="1" applyBorder="1" applyAlignment="1" applyProtection="1">
      <alignment horizontal="left" vertical="top"/>
    </xf>
    <xf numFmtId="0" fontId="78" fillId="0" borderId="228" xfId="2445" applyBorder="1" applyAlignment="1" applyProtection="1"/>
    <xf numFmtId="41" fontId="72" fillId="0" borderId="16" xfId="0" applyNumberFormat="1" applyFont="1" applyFill="1" applyBorder="1" applyAlignment="1" applyProtection="1">
      <alignment horizontal="center"/>
    </xf>
    <xf numFmtId="0" fontId="72" fillId="0" borderId="38" xfId="0" applyFont="1" applyFill="1" applyBorder="1" applyProtection="1"/>
    <xf numFmtId="41" fontId="72" fillId="0" borderId="190" xfId="0" applyNumberFormat="1" applyFont="1" applyFill="1" applyBorder="1" applyAlignment="1" applyProtection="1">
      <alignment horizontal="center" wrapText="1"/>
    </xf>
    <xf numFmtId="41" fontId="72" fillId="0" borderId="199" xfId="0" applyNumberFormat="1" applyFont="1" applyFill="1" applyBorder="1" applyAlignment="1" applyProtection="1">
      <alignment horizontal="center" wrapText="1"/>
    </xf>
    <xf numFmtId="41" fontId="72" fillId="0" borderId="142" xfId="0" applyNumberFormat="1" applyFont="1" applyFill="1" applyBorder="1" applyAlignment="1" applyProtection="1">
      <alignment vertical="center" wrapText="1"/>
    </xf>
    <xf numFmtId="0" fontId="0" fillId="0" borderId="11" xfId="0" applyBorder="1"/>
    <xf numFmtId="0" fontId="0" fillId="0" borderId="75" xfId="0" applyBorder="1"/>
    <xf numFmtId="0" fontId="0" fillId="0" borderId="86" xfId="0" applyBorder="1" applyAlignment="1">
      <alignment horizontal="centerContinuous"/>
    </xf>
    <xf numFmtId="0" fontId="0" fillId="0" borderId="37" xfId="0" applyBorder="1"/>
    <xf numFmtId="0" fontId="73" fillId="0" borderId="10" xfId="0" applyFont="1" applyFill="1" applyBorder="1" applyAlignment="1" applyProtection="1">
      <alignment horizontal="centerContinuous"/>
    </xf>
    <xf numFmtId="0" fontId="73" fillId="0" borderId="164" xfId="0" applyFont="1" applyFill="1" applyBorder="1" applyAlignment="1" applyProtection="1">
      <alignment horizontal="centerContinuous"/>
    </xf>
    <xf numFmtId="0" fontId="73" fillId="0" borderId="47" xfId="0" applyFont="1" applyFill="1" applyBorder="1" applyAlignment="1" applyProtection="1">
      <alignment horizontal="centerContinuous"/>
    </xf>
    <xf numFmtId="0" fontId="74" fillId="0" borderId="230" xfId="0" applyFont="1" applyFill="1" applyBorder="1" applyAlignment="1" applyProtection="1">
      <alignment horizontal="centerContinuous"/>
    </xf>
    <xf numFmtId="0" fontId="72" fillId="0" borderId="16" xfId="0" applyFont="1" applyFill="1" applyBorder="1" applyAlignment="1" applyProtection="1"/>
    <xf numFmtId="41" fontId="74" fillId="0" borderId="231" xfId="0" applyNumberFormat="1" applyFont="1" applyFill="1" applyBorder="1" applyAlignment="1" applyProtection="1">
      <alignment horizontal="center"/>
    </xf>
    <xf numFmtId="41" fontId="74" fillId="0" borderId="231" xfId="0" applyNumberFormat="1" applyFont="1" applyFill="1" applyBorder="1" applyAlignment="1" applyProtection="1">
      <alignment vertical="center" wrapText="1"/>
    </xf>
    <xf numFmtId="41" fontId="74" fillId="0" borderId="232" xfId="0" applyNumberFormat="1" applyFont="1" applyFill="1" applyBorder="1" applyAlignment="1" applyProtection="1">
      <alignment vertical="center" wrapText="1"/>
    </xf>
    <xf numFmtId="0" fontId="72" fillId="0" borderId="199" xfId="0" applyFont="1" applyFill="1" applyBorder="1" applyAlignment="1" applyProtection="1"/>
    <xf numFmtId="0" fontId="72" fillId="0" borderId="190" xfId="0" applyFont="1" applyFill="1" applyBorder="1" applyAlignment="1" applyProtection="1"/>
    <xf numFmtId="0" fontId="74" fillId="0" borderId="190" xfId="0" applyFont="1" applyFill="1" applyBorder="1" applyAlignment="1" applyProtection="1">
      <alignment horizontal="left" wrapText="1"/>
    </xf>
    <xf numFmtId="41" fontId="74" fillId="0" borderId="190" xfId="0" applyNumberFormat="1" applyFont="1" applyFill="1" applyBorder="1" applyAlignment="1" applyProtection="1">
      <alignment horizontal="right" wrapText="1"/>
    </xf>
    <xf numFmtId="41" fontId="72" fillId="0" borderId="231" xfId="0" applyNumberFormat="1" applyFont="1" applyFill="1" applyBorder="1" applyAlignment="1" applyProtection="1">
      <alignment horizontal="center" wrapText="1"/>
    </xf>
    <xf numFmtId="41" fontId="72" fillId="0" borderId="232" xfId="0" applyNumberFormat="1" applyFont="1" applyFill="1" applyBorder="1" applyAlignment="1" applyProtection="1">
      <alignment horizontal="center" wrapText="1"/>
    </xf>
    <xf numFmtId="41" fontId="72" fillId="0" borderId="233" xfId="0" applyNumberFormat="1" applyFont="1" applyFill="1" applyBorder="1" applyAlignment="1" applyProtection="1">
      <alignment horizontal="right" vertical="center"/>
      <protection hidden="1"/>
    </xf>
    <xf numFmtId="41" fontId="72" fillId="0" borderId="213" xfId="0" applyNumberFormat="1" applyFont="1" applyFill="1" applyBorder="1" applyAlignment="1" applyProtection="1">
      <alignment vertical="center" wrapText="1"/>
    </xf>
    <xf numFmtId="41" fontId="72" fillId="0" borderId="233" xfId="0" applyNumberFormat="1" applyFont="1" applyFill="1" applyBorder="1" applyAlignment="1" applyProtection="1">
      <alignment vertical="center" wrapText="1"/>
    </xf>
    <xf numFmtId="41" fontId="72" fillId="0" borderId="234" xfId="0" applyNumberFormat="1" applyFont="1" applyFill="1" applyBorder="1" applyAlignment="1" applyProtection="1">
      <alignment vertical="center" wrapText="1"/>
    </xf>
    <xf numFmtId="41" fontId="72" fillId="0" borderId="235" xfId="0" applyNumberFormat="1" applyFont="1" applyFill="1" applyBorder="1" applyAlignment="1" applyProtection="1">
      <alignment vertical="center" wrapText="1"/>
    </xf>
    <xf numFmtId="41" fontId="72" fillId="0" borderId="236" xfId="0" applyNumberFormat="1" applyFont="1" applyFill="1" applyBorder="1" applyAlignment="1" applyProtection="1">
      <alignment vertical="center" wrapText="1"/>
    </xf>
    <xf numFmtId="41" fontId="72" fillId="0" borderId="237" xfId="0" applyNumberFormat="1" applyFont="1" applyFill="1" applyBorder="1" applyAlignment="1" applyProtection="1">
      <alignment vertical="center" wrapText="1"/>
    </xf>
    <xf numFmtId="41" fontId="72" fillId="0" borderId="238" xfId="0" applyNumberFormat="1" applyFont="1" applyFill="1" applyBorder="1" applyAlignment="1" applyProtection="1">
      <alignment vertical="center" wrapText="1"/>
    </xf>
    <xf numFmtId="41" fontId="72" fillId="0" borderId="239" xfId="0" applyNumberFormat="1" applyFont="1" applyFill="1" applyBorder="1" applyAlignment="1" applyProtection="1">
      <alignment vertical="center" wrapText="1"/>
    </xf>
    <xf numFmtId="41" fontId="72" fillId="29" borderId="227" xfId="0" applyNumberFormat="1" applyFont="1" applyFill="1" applyBorder="1" applyAlignment="1" applyProtection="1">
      <alignment vertical="center" wrapText="1"/>
      <protection locked="0"/>
    </xf>
    <xf numFmtId="41" fontId="72" fillId="0" borderId="240" xfId="0" applyNumberFormat="1" applyFont="1" applyFill="1" applyBorder="1" applyAlignment="1" applyProtection="1">
      <alignment horizontal="right" vertical="center" wrapText="1"/>
    </xf>
    <xf numFmtId="41" fontId="72" fillId="0" borderId="241" xfId="0" applyNumberFormat="1" applyFont="1" applyFill="1" applyBorder="1" applyAlignment="1" applyProtection="1">
      <alignment vertical="center" wrapText="1"/>
    </xf>
    <xf numFmtId="41" fontId="72" fillId="0" borderId="242" xfId="0" applyNumberFormat="1" applyFont="1" applyFill="1" applyBorder="1" applyAlignment="1" applyProtection="1">
      <alignment vertical="center" wrapText="1"/>
    </xf>
    <xf numFmtId="41" fontId="72" fillId="0" borderId="243" xfId="0" applyNumberFormat="1" applyFont="1" applyFill="1" applyBorder="1" applyAlignment="1" applyProtection="1">
      <alignment vertical="center" wrapText="1"/>
    </xf>
    <xf numFmtId="41" fontId="72" fillId="29" borderId="213" xfId="0" applyNumberFormat="1" applyFont="1" applyFill="1" applyBorder="1" applyAlignment="1" applyProtection="1">
      <alignment vertical="center" wrapText="1"/>
      <protection locked="0"/>
    </xf>
    <xf numFmtId="41" fontId="72" fillId="29" borderId="233" xfId="0" applyNumberFormat="1" applyFont="1" applyFill="1" applyBorder="1" applyAlignment="1" applyProtection="1">
      <alignment vertical="center" wrapText="1"/>
      <protection locked="0"/>
    </xf>
    <xf numFmtId="41" fontId="72" fillId="29" borderId="212" xfId="0" applyNumberFormat="1" applyFont="1" applyFill="1" applyBorder="1" applyAlignment="1" applyProtection="1">
      <alignment vertical="center" wrapText="1"/>
      <protection locked="0"/>
    </xf>
    <xf numFmtId="41" fontId="72" fillId="29" borderId="241" xfId="0" applyNumberFormat="1" applyFont="1" applyFill="1" applyBorder="1" applyAlignment="1" applyProtection="1">
      <alignment vertical="center" wrapText="1"/>
      <protection locked="0"/>
    </xf>
    <xf numFmtId="41" fontId="72" fillId="0" borderId="227" xfId="0" applyNumberFormat="1" applyFont="1" applyFill="1" applyBorder="1" applyAlignment="1" applyProtection="1">
      <alignment vertical="center" wrapText="1"/>
    </xf>
    <xf numFmtId="41" fontId="72" fillId="0" borderId="244" xfId="0" applyNumberFormat="1" applyFont="1" applyFill="1" applyBorder="1" applyAlignment="1" applyProtection="1">
      <alignment vertical="center" wrapText="1"/>
    </xf>
    <xf numFmtId="41" fontId="90" fillId="29" borderId="227" xfId="0" applyNumberFormat="1" applyFont="1" applyFill="1" applyBorder="1" applyAlignment="1" applyProtection="1">
      <alignment vertical="center" wrapText="1"/>
      <protection locked="0"/>
    </xf>
    <xf numFmtId="41" fontId="90" fillId="29" borderId="213" xfId="0" applyNumberFormat="1" applyFont="1" applyFill="1" applyBorder="1" applyAlignment="1" applyProtection="1">
      <alignment vertical="center" wrapText="1"/>
      <protection locked="0"/>
    </xf>
    <xf numFmtId="41" fontId="90" fillId="29" borderId="233" xfId="0" applyNumberFormat="1" applyFont="1" applyFill="1" applyBorder="1" applyAlignment="1" applyProtection="1">
      <alignment vertical="center" wrapText="1"/>
      <protection locked="0"/>
    </xf>
    <xf numFmtId="41" fontId="90" fillId="0" borderId="234" xfId="0" applyNumberFormat="1" applyFont="1" applyFill="1" applyBorder="1" applyAlignment="1" applyProtection="1">
      <alignment vertical="center" wrapText="1"/>
    </xf>
    <xf numFmtId="41" fontId="90" fillId="29" borderId="212" xfId="0" applyNumberFormat="1" applyFont="1" applyFill="1" applyBorder="1" applyAlignment="1" applyProtection="1">
      <alignment vertical="center" wrapText="1"/>
      <protection locked="0"/>
    </xf>
    <xf numFmtId="41" fontId="90" fillId="29" borderId="241" xfId="0" applyNumberFormat="1" applyFont="1" applyFill="1" applyBorder="1" applyAlignment="1" applyProtection="1">
      <alignment vertical="center" wrapText="1"/>
      <protection locked="0"/>
    </xf>
    <xf numFmtId="41" fontId="90" fillId="0" borderId="235" xfId="0" applyNumberFormat="1" applyFont="1" applyFill="1" applyBorder="1" applyAlignment="1" applyProtection="1">
      <alignment vertical="center" wrapText="1"/>
    </xf>
    <xf numFmtId="41" fontId="90" fillId="0" borderId="236" xfId="0" applyNumberFormat="1" applyFont="1" applyFill="1" applyBorder="1" applyAlignment="1" applyProtection="1">
      <alignment vertical="center" wrapText="1"/>
    </xf>
    <xf numFmtId="41" fontId="90" fillId="0" borderId="237" xfId="0" applyNumberFormat="1" applyFont="1" applyFill="1" applyBorder="1" applyAlignment="1" applyProtection="1">
      <alignment vertical="center" wrapText="1"/>
    </xf>
    <xf numFmtId="41" fontId="90" fillId="0" borderId="238" xfId="0" applyNumberFormat="1" applyFont="1" applyFill="1" applyBorder="1" applyAlignment="1" applyProtection="1">
      <alignment vertical="center" wrapText="1"/>
    </xf>
    <xf numFmtId="41" fontId="90" fillId="0" borderId="239" xfId="0" applyNumberFormat="1" applyFont="1" applyFill="1" applyBorder="1" applyAlignment="1" applyProtection="1">
      <alignment vertical="center" wrapText="1"/>
    </xf>
    <xf numFmtId="41" fontId="72" fillId="0" borderId="245" xfId="0" applyNumberFormat="1" applyFont="1" applyFill="1" applyBorder="1" applyAlignment="1" applyProtection="1">
      <alignment vertical="center" wrapText="1"/>
    </xf>
    <xf numFmtId="41" fontId="72" fillId="0" borderId="193" xfId="0" applyNumberFormat="1" applyFont="1" applyFill="1" applyBorder="1" applyAlignment="1" applyProtection="1">
      <alignment vertical="center" wrapText="1"/>
    </xf>
    <xf numFmtId="41" fontId="72" fillId="0" borderId="246" xfId="0" applyNumberFormat="1" applyFont="1" applyFill="1" applyBorder="1" applyAlignment="1" applyProtection="1">
      <alignment vertical="center" wrapText="1"/>
    </xf>
    <xf numFmtId="41" fontId="72" fillId="0" borderId="247" xfId="0" applyNumberFormat="1" applyFont="1" applyFill="1" applyBorder="1" applyAlignment="1" applyProtection="1">
      <alignment vertical="center" wrapText="1"/>
    </xf>
    <xf numFmtId="41" fontId="91" fillId="0" borderId="248" xfId="0" applyNumberFormat="1" applyFont="1" applyFill="1" applyBorder="1" applyAlignment="1" applyProtection="1">
      <alignment vertical="center" wrapText="1"/>
    </xf>
    <xf numFmtId="41" fontId="91" fillId="0" borderId="249" xfId="0" applyNumberFormat="1" applyFont="1" applyFill="1" applyBorder="1" applyAlignment="1" applyProtection="1">
      <alignment vertical="center" wrapText="1"/>
    </xf>
    <xf numFmtId="41" fontId="91" fillId="0" borderId="250" xfId="0" applyNumberFormat="1" applyFont="1" applyFill="1" applyBorder="1" applyAlignment="1" applyProtection="1">
      <alignment vertical="center" wrapText="1"/>
    </xf>
    <xf numFmtId="41" fontId="91" fillId="0" borderId="251" xfId="0" applyNumberFormat="1" applyFont="1" applyFill="1" applyBorder="1" applyAlignment="1" applyProtection="1">
      <alignment vertical="center" wrapText="1"/>
    </xf>
    <xf numFmtId="41" fontId="91" fillId="0" borderId="252" xfId="0" applyNumberFormat="1" applyFont="1" applyFill="1" applyBorder="1" applyAlignment="1" applyProtection="1">
      <alignment vertical="center" wrapText="1"/>
    </xf>
    <xf numFmtId="41" fontId="91" fillId="0" borderId="253" xfId="0" applyNumberFormat="1" applyFont="1" applyFill="1" applyBorder="1" applyAlignment="1" applyProtection="1">
      <alignment vertical="center" wrapText="1"/>
    </xf>
    <xf numFmtId="41" fontId="91" fillId="0" borderId="254" xfId="0" applyNumberFormat="1" applyFont="1" applyFill="1" applyBorder="1" applyAlignment="1" applyProtection="1">
      <alignment vertical="center" wrapText="1"/>
    </xf>
    <xf numFmtId="41" fontId="91" fillId="0" borderId="255" xfId="0" applyNumberFormat="1" applyFont="1" applyFill="1" applyBorder="1" applyAlignment="1" applyProtection="1">
      <alignment vertical="center" wrapText="1"/>
    </xf>
    <xf numFmtId="41" fontId="91" fillId="0" borderId="245" xfId="0" applyNumberFormat="1" applyFont="1" applyFill="1" applyBorder="1" applyAlignment="1" applyProtection="1">
      <alignment vertical="center" wrapText="1"/>
    </xf>
    <xf numFmtId="41" fontId="91" fillId="0" borderId="256" xfId="0" applyNumberFormat="1" applyFont="1" applyFill="1" applyBorder="1" applyAlignment="1" applyProtection="1">
      <alignment vertical="center" wrapText="1"/>
    </xf>
    <xf numFmtId="41" fontId="91" fillId="0" borderId="257" xfId="0" applyNumberFormat="1" applyFont="1" applyFill="1" applyBorder="1" applyAlignment="1" applyProtection="1">
      <alignment vertical="center" wrapText="1"/>
    </xf>
    <xf numFmtId="165" fontId="72" fillId="0" borderId="233" xfId="0" applyNumberFormat="1" applyFont="1" applyFill="1" applyBorder="1" applyAlignment="1" applyProtection="1">
      <alignment horizontal="right" vertical="center"/>
      <protection hidden="1"/>
    </xf>
    <xf numFmtId="41" fontId="72" fillId="29" borderId="238" xfId="0" applyNumberFormat="1" applyFont="1" applyFill="1" applyBorder="1" applyAlignment="1" applyProtection="1">
      <alignment vertical="center" wrapText="1"/>
      <protection locked="0"/>
    </xf>
    <xf numFmtId="41" fontId="72" fillId="0" borderId="229" xfId="0" applyNumberFormat="1" applyFont="1" applyFill="1" applyBorder="1" applyAlignment="1" applyProtection="1">
      <alignment vertical="center" wrapText="1"/>
    </xf>
    <xf numFmtId="41" fontId="72" fillId="0" borderId="258" xfId="0" applyNumberFormat="1" applyFont="1" applyFill="1" applyBorder="1" applyAlignment="1" applyProtection="1">
      <alignment vertical="center" wrapText="1"/>
    </xf>
    <xf numFmtId="165" fontId="90" fillId="0" borderId="233" xfId="0" applyNumberFormat="1" applyFont="1" applyFill="1" applyBorder="1" applyAlignment="1" applyProtection="1">
      <alignment horizontal="right" vertical="center"/>
      <protection hidden="1"/>
    </xf>
    <xf numFmtId="41" fontId="90" fillId="0" borderId="258" xfId="0" applyNumberFormat="1" applyFont="1" applyFill="1" applyBorder="1" applyAlignment="1" applyProtection="1">
      <alignment vertical="center" wrapText="1"/>
    </xf>
    <xf numFmtId="41" fontId="72" fillId="0" borderId="238" xfId="0" applyNumberFormat="1" applyFont="1" applyFill="1" applyBorder="1" applyAlignment="1" applyProtection="1">
      <alignment horizontal="right" vertical="center"/>
    </xf>
    <xf numFmtId="41" fontId="72" fillId="0" borderId="233" xfId="0" applyNumberFormat="1" applyFont="1" applyFill="1" applyBorder="1" applyAlignment="1" applyProtection="1">
      <alignment horizontal="right" vertical="center"/>
    </xf>
    <xf numFmtId="41" fontId="72" fillId="0" borderId="258" xfId="0" applyNumberFormat="1" applyFont="1" applyFill="1" applyBorder="1" applyAlignment="1" applyProtection="1">
      <alignment horizontal="right" vertical="center"/>
    </xf>
    <xf numFmtId="41" fontId="72" fillId="0" borderId="235" xfId="0" applyNumberFormat="1" applyFont="1" applyFill="1" applyBorder="1" applyAlignment="1" applyProtection="1">
      <alignment horizontal="right" vertical="center"/>
    </xf>
    <xf numFmtId="41" fontId="72" fillId="0" borderId="236" xfId="0" applyNumberFormat="1" applyFont="1" applyFill="1" applyBorder="1" applyAlignment="1" applyProtection="1">
      <alignment horizontal="right" vertical="center"/>
    </xf>
    <xf numFmtId="41" fontId="72" fillId="0" borderId="234" xfId="0" applyNumberFormat="1" applyFont="1" applyFill="1" applyBorder="1" applyAlignment="1" applyProtection="1">
      <alignment horizontal="right" vertical="center"/>
    </xf>
    <xf numFmtId="41" fontId="72" fillId="0" borderId="239" xfId="0" applyNumberFormat="1" applyFont="1" applyFill="1" applyBorder="1" applyAlignment="1" applyProtection="1">
      <alignment horizontal="right" vertical="center"/>
    </xf>
    <xf numFmtId="41" fontId="72" fillId="0" borderId="227" xfId="0" applyNumberFormat="1" applyFont="1" applyFill="1" applyBorder="1" applyAlignment="1" applyProtection="1">
      <alignment horizontal="right" vertical="center"/>
    </xf>
    <xf numFmtId="41" fontId="72" fillId="0" borderId="213" xfId="0" applyNumberFormat="1" applyFont="1" applyFill="1" applyBorder="1" applyAlignment="1" applyProtection="1">
      <alignment horizontal="right" vertical="center"/>
    </xf>
    <xf numFmtId="41" fontId="91" fillId="0" borderId="227" xfId="0" applyNumberFormat="1" applyFont="1" applyFill="1" applyBorder="1" applyAlignment="1" applyProtection="1">
      <alignment vertical="center" wrapText="1"/>
    </xf>
    <xf numFmtId="41" fontId="91" fillId="0" borderId="213" xfId="0" applyNumberFormat="1" applyFont="1" applyFill="1" applyBorder="1" applyAlignment="1" applyProtection="1">
      <alignment vertical="center" wrapText="1"/>
    </xf>
    <xf numFmtId="41" fontId="91" fillId="0" borderId="241" xfId="0" applyNumberFormat="1" applyFont="1" applyFill="1" applyBorder="1" applyAlignment="1" applyProtection="1">
      <alignment vertical="center" wrapText="1"/>
    </xf>
    <xf numFmtId="41" fontId="91" fillId="0" borderId="242" xfId="0" applyNumberFormat="1" applyFont="1" applyFill="1" applyBorder="1" applyAlignment="1" applyProtection="1">
      <alignment vertical="center" wrapText="1"/>
    </xf>
    <xf numFmtId="41" fontId="91" fillId="0" borderId="236" xfId="0" applyNumberFormat="1" applyFont="1" applyFill="1" applyBorder="1" applyAlignment="1" applyProtection="1">
      <alignment vertical="center" wrapText="1"/>
    </xf>
    <xf numFmtId="41" fontId="91" fillId="0" borderId="243" xfId="0" applyNumberFormat="1" applyFont="1" applyFill="1" applyBorder="1" applyAlignment="1" applyProtection="1">
      <alignment vertical="center" wrapText="1"/>
    </xf>
    <xf numFmtId="41" fontId="91" fillId="0" borderId="238" xfId="0" applyNumberFormat="1" applyFont="1" applyFill="1" applyBorder="1" applyAlignment="1" applyProtection="1">
      <alignment vertical="center" wrapText="1"/>
    </xf>
    <xf numFmtId="41" fontId="91" fillId="0" borderId="239" xfId="0" applyNumberFormat="1" applyFont="1" applyFill="1" applyBorder="1" applyAlignment="1" applyProtection="1">
      <alignment vertical="center" wrapText="1"/>
    </xf>
    <xf numFmtId="41" fontId="91" fillId="0" borderId="259" xfId="0" applyNumberFormat="1" applyFont="1" applyFill="1" applyBorder="1" applyAlignment="1" applyProtection="1">
      <alignment vertical="center" wrapText="1"/>
    </xf>
    <xf numFmtId="41" fontId="91" fillId="0" borderId="260" xfId="0" applyNumberFormat="1" applyFont="1" applyFill="1" applyBorder="1" applyAlignment="1" applyProtection="1">
      <alignment vertical="center" wrapText="1"/>
    </xf>
    <xf numFmtId="41" fontId="91" fillId="0" borderId="261" xfId="0" applyNumberFormat="1" applyFont="1" applyFill="1" applyBorder="1" applyAlignment="1" applyProtection="1">
      <alignment vertical="center" wrapText="1"/>
    </xf>
    <xf numFmtId="41" fontId="91" fillId="0" borderId="262" xfId="0" applyNumberFormat="1" applyFont="1" applyFill="1" applyBorder="1" applyAlignment="1" applyProtection="1">
      <alignment vertical="center" wrapText="1"/>
    </xf>
    <xf numFmtId="41" fontId="91" fillId="0" borderId="263" xfId="0" applyNumberFormat="1" applyFont="1" applyFill="1" applyBorder="1" applyAlignment="1" applyProtection="1">
      <alignment vertical="center" wrapText="1"/>
    </xf>
    <xf numFmtId="41" fontId="72" fillId="0" borderId="264" xfId="0" applyNumberFormat="1" applyFont="1" applyFill="1" applyBorder="1" applyAlignment="1" applyProtection="1">
      <alignment vertical="center"/>
    </xf>
    <xf numFmtId="41" fontId="72" fillId="0" borderId="238" xfId="0" applyNumberFormat="1" applyFont="1" applyFill="1" applyBorder="1" applyAlignment="1" applyProtection="1">
      <alignment vertical="center"/>
    </xf>
    <xf numFmtId="41" fontId="72" fillId="0" borderId="213" xfId="0" applyNumberFormat="1" applyFont="1" applyFill="1" applyBorder="1" applyAlignment="1" applyProtection="1">
      <alignment vertical="center"/>
    </xf>
    <xf numFmtId="41" fontId="72" fillId="0" borderId="264" xfId="0" applyNumberFormat="1" applyFont="1" applyFill="1" applyBorder="1" applyAlignment="1" applyProtection="1"/>
    <xf numFmtId="41" fontId="72" fillId="0" borderId="238" xfId="0" applyNumberFormat="1" applyFont="1" applyFill="1" applyBorder="1" applyAlignment="1" applyProtection="1"/>
    <xf numFmtId="41" fontId="72" fillId="0" borderId="213" xfId="0" applyNumberFormat="1" applyFont="1" applyFill="1" applyBorder="1" applyAlignment="1" applyProtection="1"/>
    <xf numFmtId="41" fontId="91" fillId="0" borderId="264" xfId="0" applyNumberFormat="1" applyFont="1" applyFill="1" applyBorder="1" applyAlignment="1" applyProtection="1"/>
    <xf numFmtId="41" fontId="91" fillId="0" borderId="213" xfId="0" applyNumberFormat="1" applyFont="1" applyFill="1" applyBorder="1" applyAlignment="1" applyProtection="1"/>
    <xf numFmtId="41" fontId="91" fillId="0" borderId="233" xfId="0" applyNumberFormat="1" applyFont="1" applyFill="1" applyBorder="1" applyAlignment="1" applyProtection="1"/>
    <xf numFmtId="41" fontId="91" fillId="0" borderId="235" xfId="0" applyNumberFormat="1" applyFont="1" applyFill="1" applyBorder="1" applyAlignment="1" applyProtection="1"/>
    <xf numFmtId="41" fontId="72" fillId="0" borderId="227" xfId="0" applyNumberFormat="1" applyFont="1" applyFill="1" applyBorder="1" applyAlignment="1" applyProtection="1"/>
    <xf numFmtId="41" fontId="72" fillId="0" borderId="239" xfId="0" applyNumberFormat="1" applyFont="1" applyFill="1" applyBorder="1" applyAlignment="1" applyProtection="1"/>
    <xf numFmtId="41" fontId="91" fillId="0" borderId="264" xfId="0" applyNumberFormat="1" applyFont="1" applyFill="1" applyBorder="1" applyAlignment="1" applyProtection="1">
      <alignment horizontal="center"/>
    </xf>
    <xf numFmtId="41" fontId="91" fillId="0" borderId="213" xfId="0" applyNumberFormat="1" applyFont="1" applyFill="1" applyBorder="1" applyAlignment="1" applyProtection="1">
      <alignment horizontal="center"/>
    </xf>
    <xf numFmtId="41" fontId="91" fillId="0" borderId="241" xfId="0" applyNumberFormat="1" applyFont="1" applyFill="1" applyBorder="1" applyAlignment="1" applyProtection="1">
      <alignment horizontal="center"/>
    </xf>
    <xf numFmtId="41" fontId="91" fillId="0" borderId="234" xfId="0" applyNumberFormat="1" applyFont="1" applyFill="1" applyBorder="1" applyAlignment="1" applyProtection="1">
      <alignment vertical="center" wrapText="1"/>
    </xf>
    <xf numFmtId="41" fontId="91" fillId="0" borderId="235" xfId="0" applyNumberFormat="1" applyFont="1" applyFill="1" applyBorder="1" applyAlignment="1" applyProtection="1">
      <alignment vertical="center" wrapText="1"/>
    </xf>
    <xf numFmtId="41" fontId="91" fillId="0" borderId="265" xfId="0" applyNumberFormat="1" applyFont="1" applyFill="1" applyBorder="1" applyAlignment="1" applyProtection="1">
      <alignment horizontal="center"/>
    </xf>
    <xf numFmtId="41" fontId="91" fillId="0" borderId="251" xfId="0" applyNumberFormat="1" applyFont="1" applyFill="1" applyBorder="1" applyAlignment="1" applyProtection="1">
      <alignment horizontal="center"/>
    </xf>
    <xf numFmtId="41" fontId="91" fillId="0" borderId="252" xfId="0" applyNumberFormat="1" applyFont="1" applyFill="1" applyBorder="1" applyAlignment="1" applyProtection="1">
      <alignment horizontal="center"/>
    </xf>
    <xf numFmtId="41" fontId="91" fillId="0" borderId="266" xfId="0" applyNumberFormat="1" applyFont="1" applyFill="1" applyBorder="1" applyAlignment="1" applyProtection="1">
      <alignment vertical="center" wrapText="1"/>
    </xf>
    <xf numFmtId="41" fontId="91" fillId="0" borderId="267" xfId="0" applyNumberFormat="1" applyFont="1" applyFill="1" applyBorder="1" applyAlignment="1" applyProtection="1">
      <alignment vertical="center" wrapText="1"/>
    </xf>
    <xf numFmtId="3" fontId="72" fillId="0" borderId="268" xfId="0" applyNumberFormat="1" applyFont="1" applyFill="1" applyBorder="1" applyAlignment="1" applyProtection="1">
      <alignment horizontal="center" wrapText="1"/>
      <protection locked="0"/>
    </xf>
    <xf numFmtId="0" fontId="0" fillId="0" borderId="12" xfId="0" applyBorder="1"/>
    <xf numFmtId="41" fontId="72" fillId="0" borderId="168" xfId="0" applyNumberFormat="1" applyFont="1" applyFill="1" applyBorder="1" applyAlignment="1" applyProtection="1">
      <alignment vertical="center" wrapText="1"/>
    </xf>
    <xf numFmtId="41" fontId="72" fillId="0" borderId="169" xfId="0" applyNumberFormat="1" applyFont="1" applyFill="1" applyBorder="1" applyAlignment="1" applyProtection="1">
      <alignment vertical="center" wrapText="1"/>
    </xf>
    <xf numFmtId="41" fontId="72" fillId="0" borderId="269" xfId="0" applyNumberFormat="1" applyFont="1" applyFill="1" applyBorder="1" applyAlignment="1" applyProtection="1">
      <alignment vertical="center" wrapText="1"/>
    </xf>
    <xf numFmtId="41" fontId="72" fillId="0" borderId="37" xfId="0" applyNumberFormat="1" applyFont="1" applyFill="1" applyBorder="1" applyAlignment="1" applyProtection="1">
      <alignment wrapText="1"/>
    </xf>
    <xf numFmtId="41" fontId="72" fillId="29" borderId="229" xfId="0" applyNumberFormat="1" applyFont="1" applyFill="1" applyBorder="1" applyAlignment="1" applyProtection="1">
      <alignment vertical="center" wrapText="1"/>
      <protection locked="0"/>
    </xf>
    <xf numFmtId="0" fontId="72" fillId="54" borderId="204" xfId="1134" applyFont="1" applyFill="1" applyBorder="1" applyAlignment="1" applyProtection="1">
      <alignment horizontal="left" indent="1"/>
      <protection locked="0"/>
    </xf>
    <xf numFmtId="0" fontId="0" fillId="0" borderId="0" xfId="0" applyFill="1"/>
    <xf numFmtId="0" fontId="0" fillId="0" borderId="0" xfId="0" applyFill="1" applyBorder="1"/>
    <xf numFmtId="0" fontId="74" fillId="0" borderId="0" xfId="0" applyFont="1" applyFill="1" applyBorder="1" applyAlignment="1" applyProtection="1">
      <alignment horizontal="left"/>
    </xf>
    <xf numFmtId="0" fontId="74" fillId="0" borderId="0" xfId="0" applyFont="1" applyFill="1"/>
    <xf numFmtId="0" fontId="76" fillId="0" borderId="183" xfId="0" applyFont="1" applyFill="1" applyBorder="1" applyAlignment="1">
      <alignment horizontal="left" indent="1"/>
    </xf>
    <xf numFmtId="0" fontId="74" fillId="0" borderId="183" xfId="0" applyFont="1" applyFill="1" applyBorder="1" applyAlignment="1" applyProtection="1">
      <alignment horizontal="left" vertical="center" indent="1"/>
    </xf>
    <xf numFmtId="0" fontId="74" fillId="0" borderId="183" xfId="0" applyFont="1" applyFill="1" applyBorder="1" applyAlignment="1" applyProtection="1">
      <alignment horizontal="left" indent="1"/>
    </xf>
    <xf numFmtId="0" fontId="72" fillId="0" borderId="183" xfId="0" applyFont="1" applyFill="1" applyBorder="1" applyAlignment="1" applyProtection="1">
      <alignment horizontal="left" indent="1"/>
    </xf>
    <xf numFmtId="0" fontId="102" fillId="0" borderId="0" xfId="0" applyFont="1" applyFill="1"/>
    <xf numFmtId="0" fontId="102" fillId="0" borderId="0" xfId="0" applyFont="1" applyFill="1" applyBorder="1"/>
    <xf numFmtId="0" fontId="127" fillId="95" borderId="270" xfId="0" applyFont="1" applyFill="1" applyBorder="1" applyAlignment="1">
      <alignment horizontal="center"/>
    </xf>
    <xf numFmtId="0" fontId="125" fillId="94" borderId="0" xfId="0" applyFont="1" applyFill="1" applyBorder="1" applyAlignment="1">
      <alignment vertical="top"/>
    </xf>
    <xf numFmtId="0" fontId="125" fillId="94" borderId="271" xfId="0" applyFont="1" applyFill="1" applyBorder="1" applyAlignment="1">
      <alignment vertical="top" wrapText="1"/>
    </xf>
    <xf numFmtId="0" fontId="126" fillId="94" borderId="271" xfId="0" applyFont="1" applyFill="1" applyBorder="1" applyAlignment="1">
      <alignment vertical="top" wrapText="1"/>
    </xf>
    <xf numFmtId="0" fontId="126" fillId="94" borderId="271" xfId="0" applyFont="1" applyFill="1" applyBorder="1" applyAlignment="1">
      <alignment vertical="top"/>
    </xf>
    <xf numFmtId="0" fontId="126" fillId="94" borderId="271" xfId="0" applyFont="1" applyFill="1" applyBorder="1" applyAlignment="1">
      <alignment horizontal="center" vertical="top"/>
    </xf>
    <xf numFmtId="0" fontId="127" fillId="96" borderId="274" xfId="0" applyFont="1" applyFill="1" applyBorder="1"/>
    <xf numFmtId="0" fontId="127" fillId="96" borderId="270" xfId="0" applyFont="1" applyFill="1" applyBorder="1"/>
    <xf numFmtId="0" fontId="127" fillId="96" borderId="270" xfId="0" applyFont="1" applyFill="1" applyBorder="1" applyAlignment="1">
      <alignment horizontal="center"/>
    </xf>
    <xf numFmtId="0" fontId="127" fillId="95" borderId="274" xfId="0" applyFont="1" applyFill="1" applyBorder="1"/>
    <xf numFmtId="0" fontId="127" fillId="95" borderId="270" xfId="0" applyFont="1" applyFill="1" applyBorder="1"/>
    <xf numFmtId="14" fontId="127" fillId="96" borderId="270" xfId="0" applyNumberFormat="1" applyFont="1" applyFill="1" applyBorder="1"/>
    <xf numFmtId="0" fontId="127" fillId="96" borderId="272" xfId="0" applyFont="1" applyFill="1" applyBorder="1"/>
    <xf numFmtId="0" fontId="127" fillId="96" borderId="273" xfId="0" applyFont="1" applyFill="1" applyBorder="1" applyAlignment="1">
      <alignment horizontal="right"/>
    </xf>
    <xf numFmtId="0" fontId="127" fillId="96" borderId="273" xfId="0" applyFont="1" applyFill="1" applyBorder="1"/>
    <xf numFmtId="0" fontId="127" fillId="96" borderId="273" xfId="0" applyFont="1" applyFill="1" applyBorder="1" applyAlignment="1">
      <alignment horizontal="center"/>
    </xf>
    <xf numFmtId="0" fontId="72" fillId="0" borderId="183" xfId="0" applyFont="1" applyFill="1" applyBorder="1" applyAlignment="1" applyProtection="1">
      <alignment horizontal="left" indent="1"/>
      <protection hidden="1"/>
    </xf>
    <xf numFmtId="0" fontId="124" fillId="0" borderId="0" xfId="1134" applyFont="1" applyFill="1" applyBorder="1" applyAlignment="1" applyProtection="1">
      <alignment horizontal="center" vertical="center" wrapText="1"/>
    </xf>
    <xf numFmtId="0" fontId="105" fillId="62" borderId="183" xfId="0" applyFont="1" applyFill="1" applyBorder="1" applyAlignment="1">
      <alignment horizontal="center"/>
    </xf>
    <xf numFmtId="0" fontId="106" fillId="55" borderId="183" xfId="0" quotePrefix="1" applyFont="1" applyFill="1" applyBorder="1" applyAlignment="1">
      <alignment horizontal="center"/>
    </xf>
    <xf numFmtId="0" fontId="106" fillId="55" borderId="183" xfId="0" applyFont="1" applyFill="1" applyBorder="1" applyAlignment="1">
      <alignment horizontal="center"/>
    </xf>
    <xf numFmtId="0" fontId="72" fillId="28" borderId="275" xfId="2447" applyFont="1" applyFill="1" applyBorder="1" applyAlignment="1" applyProtection="1">
      <alignment vertical="top"/>
      <protection hidden="1"/>
    </xf>
    <xf numFmtId="0" fontId="81" fillId="62" borderId="183" xfId="2447" applyFont="1" applyFill="1" applyBorder="1" applyAlignment="1" applyProtection="1">
      <alignment horizontal="centerContinuous" vertical="top" wrapText="1"/>
      <protection hidden="1"/>
    </xf>
    <xf numFmtId="0" fontId="72" fillId="55" borderId="275" xfId="2447" applyFont="1" applyFill="1" applyBorder="1" applyAlignment="1" applyProtection="1">
      <alignment horizontal="center" vertical="center"/>
      <protection hidden="1"/>
    </xf>
    <xf numFmtId="0" fontId="80" fillId="62" borderId="275" xfId="2447" applyFont="1" applyFill="1" applyBorder="1" applyAlignment="1" applyProtection="1">
      <alignment horizontal="centerContinuous" vertical="top"/>
      <protection hidden="1"/>
    </xf>
    <xf numFmtId="0" fontId="80" fillId="62" borderId="186" xfId="2447" applyFont="1" applyFill="1" applyBorder="1" applyAlignment="1" applyProtection="1">
      <alignment horizontal="centerContinuous" vertical="top"/>
      <protection hidden="1"/>
    </xf>
    <xf numFmtId="0" fontId="0" fillId="55" borderId="275" xfId="0" applyFill="1" applyBorder="1"/>
    <xf numFmtId="0" fontId="72" fillId="28" borderId="183" xfId="2447" applyFont="1" applyFill="1" applyBorder="1" applyAlignment="1" applyProtection="1">
      <alignment horizontal="left" vertical="top" indent="1"/>
      <protection hidden="1"/>
    </xf>
    <xf numFmtId="0" fontId="72" fillId="28" borderId="183" xfId="2447" applyFont="1" applyFill="1" applyBorder="1" applyAlignment="1" applyProtection="1">
      <alignment horizontal="left" vertical="center" indent="1"/>
      <protection hidden="1"/>
    </xf>
    <xf numFmtId="0" fontId="74" fillId="28" borderId="183" xfId="2447" applyFont="1" applyFill="1" applyBorder="1" applyAlignment="1" applyProtection="1">
      <alignment vertical="center"/>
      <protection hidden="1"/>
    </xf>
    <xf numFmtId="41" fontId="72" fillId="0" borderId="183" xfId="0" applyNumberFormat="1" applyFont="1" applyFill="1" applyBorder="1" applyAlignment="1" applyProtection="1">
      <alignment horizontal="center"/>
    </xf>
    <xf numFmtId="0" fontId="72" fillId="0" borderId="183" xfId="0" applyFont="1" applyBorder="1" applyAlignment="1">
      <alignment horizontal="center"/>
    </xf>
    <xf numFmtId="41" fontId="72" fillId="0" borderId="204" xfId="0" applyNumberFormat="1" applyFont="1" applyFill="1" applyBorder="1" applyAlignment="1" applyProtection="1">
      <alignment horizontal="center"/>
    </xf>
    <xf numFmtId="0" fontId="76" fillId="0" borderId="106" xfId="0" applyFont="1" applyBorder="1" applyAlignment="1">
      <alignment horizontal="center"/>
    </xf>
    <xf numFmtId="0" fontId="3" fillId="0" borderId="200" xfId="0" applyFont="1" applyBorder="1" applyAlignment="1">
      <alignment horizontal="center"/>
    </xf>
    <xf numFmtId="0" fontId="0" fillId="0" borderId="201" xfId="0" applyBorder="1" applyAlignment="1">
      <alignment horizontal="center"/>
    </xf>
    <xf numFmtId="0" fontId="3" fillId="0" borderId="203" xfId="0" applyFont="1" applyBorder="1" applyAlignment="1">
      <alignment horizontal="center"/>
    </xf>
    <xf numFmtId="0" fontId="0" fillId="0" borderId="205" xfId="0" applyBorder="1" applyAlignment="1">
      <alignment horizontal="center"/>
    </xf>
    <xf numFmtId="0" fontId="74" fillId="0" borderId="105" xfId="0" applyFont="1" applyBorder="1" applyAlignment="1">
      <alignment horizontal="center"/>
    </xf>
    <xf numFmtId="0" fontId="76" fillId="0" borderId="179" xfId="0" applyFont="1" applyBorder="1" applyAlignment="1">
      <alignment horizontal="center"/>
    </xf>
    <xf numFmtId="0" fontId="76" fillId="0" borderId="278" xfId="0" applyFont="1" applyFill="1" applyBorder="1" applyAlignment="1">
      <alignment horizontal="left"/>
    </xf>
    <xf numFmtId="0" fontId="0" fillId="0" borderId="277" xfId="0" applyFill="1" applyBorder="1" applyAlignment="1">
      <alignment horizontal="center"/>
    </xf>
    <xf numFmtId="0" fontId="42" fillId="0" borderId="279" xfId="0" applyFont="1" applyFill="1" applyBorder="1" applyAlignment="1">
      <alignment horizontal="center"/>
    </xf>
    <xf numFmtId="0" fontId="73" fillId="0" borderId="17" xfId="0" applyFont="1" applyFill="1" applyBorder="1" applyAlignment="1" applyProtection="1"/>
    <xf numFmtId="0" fontId="82" fillId="0" borderId="10" xfId="0" applyFont="1" applyFill="1" applyBorder="1" applyAlignment="1" applyProtection="1">
      <alignment vertical="center"/>
    </xf>
    <xf numFmtId="0" fontId="82" fillId="0" borderId="46" xfId="0" applyFont="1" applyFill="1" applyBorder="1" applyAlignment="1" applyProtection="1">
      <alignment vertical="center"/>
    </xf>
    <xf numFmtId="0" fontId="82" fillId="0" borderId="25" xfId="0" applyFont="1" applyFill="1" applyBorder="1" applyAlignment="1" applyProtection="1">
      <alignment vertical="center"/>
    </xf>
    <xf numFmtId="0" fontId="72" fillId="0" borderId="37" xfId="0" applyFont="1" applyFill="1" applyBorder="1" applyProtection="1"/>
    <xf numFmtId="0" fontId="82" fillId="55" borderId="10" xfId="0" applyFont="1" applyFill="1" applyBorder="1" applyAlignment="1" applyProtection="1">
      <alignment horizontal="center" vertical="center"/>
    </xf>
    <xf numFmtId="0" fontId="87" fillId="57" borderId="183" xfId="2447" applyFont="1" applyFill="1" applyBorder="1" applyAlignment="1" applyProtection="1">
      <alignment horizontal="left" vertical="top" wrapText="1" indent="1"/>
    </xf>
    <xf numFmtId="0" fontId="87" fillId="55" borderId="275" xfId="2447" applyFont="1" applyFill="1" applyBorder="1" applyAlignment="1" applyProtection="1">
      <alignment vertical="top" wrapText="1"/>
    </xf>
    <xf numFmtId="0" fontId="71" fillId="0" borderId="0" xfId="0" applyNumberFormat="1" applyFont="1" applyFill="1" applyAlignment="1" applyProtection="1"/>
    <xf numFmtId="1" fontId="71" fillId="0" borderId="0" xfId="0" applyNumberFormat="1" applyFont="1" applyFill="1" applyAlignment="1"/>
    <xf numFmtId="0" fontId="73" fillId="0" borderId="0" xfId="0" applyNumberFormat="1" applyFont="1" applyFill="1" applyAlignment="1" applyProtection="1">
      <alignment horizontal="centerContinuous"/>
    </xf>
    <xf numFmtId="0" fontId="72" fillId="0" borderId="0" xfId="0" applyNumberFormat="1" applyFont="1" applyFill="1" applyAlignment="1" applyProtection="1"/>
    <xf numFmtId="41" fontId="74" fillId="0" borderId="72" xfId="0" applyNumberFormat="1" applyFont="1" applyFill="1" applyBorder="1" applyAlignment="1" applyProtection="1">
      <alignment horizontal="center"/>
    </xf>
    <xf numFmtId="41" fontId="74" fillId="0" borderId="0" xfId="0" applyNumberFormat="1" applyFont="1" applyFill="1" applyBorder="1" applyAlignment="1" applyProtection="1"/>
    <xf numFmtId="0" fontId="73" fillId="0" borderId="0" xfId="0" applyNumberFormat="1" applyFont="1" applyFill="1" applyAlignment="1" applyProtection="1">
      <alignment wrapText="1"/>
    </xf>
    <xf numFmtId="0" fontId="74" fillId="0" borderId="72" xfId="0" applyNumberFormat="1" applyFont="1" applyFill="1" applyBorder="1" applyAlignment="1" applyProtection="1">
      <alignment horizontal="center" wrapText="1"/>
    </xf>
    <xf numFmtId="0" fontId="74" fillId="0" borderId="0" xfId="0" applyNumberFormat="1" applyFont="1" applyFill="1" applyAlignment="1" applyProtection="1">
      <alignment horizontal="center" wrapText="1"/>
    </xf>
    <xf numFmtId="0" fontId="74" fillId="0" borderId="0" xfId="0" applyNumberFormat="1" applyFont="1" applyFill="1" applyBorder="1" applyAlignment="1" applyProtection="1">
      <alignment horizontal="center" wrapText="1"/>
    </xf>
    <xf numFmtId="0" fontId="86" fillId="0" borderId="0" xfId="0" applyNumberFormat="1" applyFont="1" applyFill="1" applyAlignment="1" applyProtection="1">
      <alignment horizontal="left"/>
    </xf>
    <xf numFmtId="0" fontId="86" fillId="0" borderId="0" xfId="0" applyNumberFormat="1" applyFont="1" applyFill="1" applyAlignment="1" applyProtection="1">
      <alignment wrapText="1"/>
    </xf>
    <xf numFmtId="0" fontId="86" fillId="0" borderId="0" xfId="0" applyNumberFormat="1" applyFont="1" applyFill="1" applyAlignment="1" applyProtection="1">
      <alignment horizontal="center" wrapText="1"/>
    </xf>
    <xf numFmtId="41" fontId="74" fillId="0" borderId="0" xfId="0" applyNumberFormat="1" applyFont="1" applyFill="1" applyAlignment="1" applyProtection="1">
      <alignment wrapText="1"/>
    </xf>
    <xf numFmtId="41" fontId="72" fillId="0" borderId="0" xfId="0" applyNumberFormat="1" applyFont="1" applyFill="1" applyAlignment="1" applyProtection="1">
      <alignment wrapText="1"/>
    </xf>
    <xf numFmtId="0" fontId="72" fillId="0" borderId="0" xfId="0" applyNumberFormat="1" applyFont="1" applyFill="1" applyAlignment="1" applyProtection="1">
      <alignment wrapText="1"/>
    </xf>
    <xf numFmtId="42" fontId="72" fillId="0" borderId="0" xfId="0" applyNumberFormat="1" applyFont="1" applyFill="1" applyAlignment="1" applyProtection="1">
      <alignment wrapText="1"/>
    </xf>
    <xf numFmtId="0" fontId="74" fillId="0" borderId="0" xfId="0" applyNumberFormat="1" applyFont="1" applyFill="1" applyAlignment="1" applyProtection="1">
      <alignment horizontal="left" wrapText="1"/>
    </xf>
    <xf numFmtId="0" fontId="86" fillId="0" borderId="0" xfId="0" applyNumberFormat="1" applyFont="1" applyFill="1" applyAlignment="1" applyProtection="1"/>
    <xf numFmtId="0" fontId="74" fillId="0" borderId="0" xfId="0" applyNumberFormat="1" applyFont="1" applyFill="1" applyAlignment="1" applyProtection="1">
      <alignment horizontal="left"/>
    </xf>
    <xf numFmtId="41" fontId="74" fillId="0" borderId="84" xfId="0" applyNumberFormat="1" applyFont="1" applyFill="1" applyBorder="1" applyAlignment="1" applyProtection="1"/>
    <xf numFmtId="0" fontId="74" fillId="0" borderId="0" xfId="0" applyNumberFormat="1" applyFont="1" applyFill="1" applyAlignment="1" applyProtection="1">
      <alignment wrapText="1"/>
    </xf>
    <xf numFmtId="41" fontId="90" fillId="0" borderId="0" xfId="0" applyNumberFormat="1" applyFont="1" applyFill="1" applyBorder="1" applyAlignment="1" applyProtection="1">
      <alignment wrapText="1"/>
    </xf>
    <xf numFmtId="0" fontId="74" fillId="0" borderId="0" xfId="0" applyNumberFormat="1" applyFont="1" applyFill="1" applyAlignment="1" applyProtection="1"/>
    <xf numFmtId="41" fontId="90" fillId="0" borderId="0" xfId="0" applyNumberFormat="1" applyFont="1" applyFill="1" applyAlignment="1" applyProtection="1">
      <alignment wrapText="1"/>
    </xf>
    <xf numFmtId="41" fontId="74" fillId="0" borderId="84" xfId="0" applyNumberFormat="1" applyFont="1" applyFill="1" applyBorder="1" applyAlignment="1" applyProtection="1">
      <alignment wrapText="1"/>
    </xf>
    <xf numFmtId="174" fontId="72" fillId="98" borderId="17" xfId="2502" applyNumberFormat="1" applyFont="1" applyFill="1" applyBorder="1" applyAlignment="1" applyProtection="1">
      <alignment vertical="top" wrapText="1"/>
      <protection locked="0"/>
    </xf>
    <xf numFmtId="174" fontId="72" fillId="98" borderId="20" xfId="2502" applyNumberFormat="1" applyFont="1" applyFill="1" applyBorder="1" applyAlignment="1" applyProtection="1">
      <alignment vertical="center" wrapText="1"/>
    </xf>
    <xf numFmtId="41" fontId="72" fillId="98" borderId="31" xfId="0" applyNumberFormat="1" applyFont="1" applyFill="1" applyBorder="1" applyAlignment="1" applyProtection="1">
      <alignment vertical="center" wrapText="1"/>
    </xf>
    <xf numFmtId="0" fontId="74" fillId="0" borderId="183" xfId="0" applyFont="1" applyBorder="1" applyAlignment="1">
      <alignment horizontal="center"/>
    </xf>
    <xf numFmtId="43" fontId="72" fillId="0" borderId="0" xfId="0" applyNumberFormat="1" applyFont="1" applyBorder="1" applyAlignment="1">
      <alignment horizontal="center"/>
    </xf>
    <xf numFmtId="43" fontId="72" fillId="0" borderId="206" xfId="0" applyNumberFormat="1" applyFont="1" applyBorder="1" applyAlignment="1">
      <alignment horizontal="center"/>
    </xf>
    <xf numFmtId="43" fontId="0" fillId="0" borderId="78" xfId="2446" applyFont="1" applyBorder="1"/>
    <xf numFmtId="43" fontId="72" fillId="0" borderId="78" xfId="0" applyNumberFormat="1" applyFont="1" applyBorder="1" applyAlignment="1">
      <alignment horizontal="center"/>
    </xf>
    <xf numFmtId="0" fontId="0" fillId="0" borderId="78" xfId="0" applyBorder="1"/>
    <xf numFmtId="0" fontId="127" fillId="95" borderId="271" xfId="0" applyFont="1" applyFill="1" applyBorder="1"/>
    <xf numFmtId="0" fontId="74" fillId="56" borderId="183" xfId="0" applyFont="1" applyFill="1" applyBorder="1" applyAlignment="1">
      <alignment horizontal="center"/>
    </xf>
    <xf numFmtId="0" fontId="72" fillId="0" borderId="184" xfId="0" applyFont="1" applyBorder="1"/>
    <xf numFmtId="0" fontId="0" fillId="0" borderId="282" xfId="0" applyBorder="1"/>
    <xf numFmtId="0" fontId="72" fillId="0" borderId="59" xfId="0" applyFont="1" applyBorder="1"/>
    <xf numFmtId="0" fontId="102" fillId="0" borderId="59" xfId="0" applyFont="1" applyFill="1" applyBorder="1"/>
    <xf numFmtId="0" fontId="0" fillId="0" borderId="163" xfId="0" applyBorder="1"/>
    <xf numFmtId="0" fontId="72" fillId="0" borderId="275" xfId="0" applyFont="1" applyBorder="1"/>
    <xf numFmtId="0" fontId="102" fillId="0" borderId="275" xfId="0" applyFont="1" applyFill="1" applyBorder="1"/>
    <xf numFmtId="0" fontId="0" fillId="0" borderId="186" xfId="0" applyBorder="1"/>
    <xf numFmtId="0" fontId="102" fillId="0" borderId="77" xfId="0" applyFont="1" applyFill="1" applyBorder="1" applyAlignment="1">
      <alignment horizontal="center"/>
    </xf>
    <xf numFmtId="0" fontId="102" fillId="0" borderId="185" xfId="0" applyFont="1" applyFill="1" applyBorder="1"/>
    <xf numFmtId="0" fontId="0" fillId="0" borderId="0" xfId="0" applyAlignment="1">
      <alignment vertical="center" wrapText="1"/>
    </xf>
    <xf numFmtId="3" fontId="0" fillId="0" borderId="0" xfId="0" applyNumberFormat="1" applyAlignment="1">
      <alignment horizontal="right" vertical="center" wrapText="1"/>
    </xf>
    <xf numFmtId="0" fontId="106" fillId="0" borderId="0" xfId="0" applyFont="1" applyAlignment="1">
      <alignment horizontal="center" vertical="center" wrapText="1"/>
    </xf>
    <xf numFmtId="3" fontId="72" fillId="0" borderId="0" xfId="0" applyNumberFormat="1" applyFont="1"/>
    <xf numFmtId="0" fontId="3" fillId="0" borderId="0" xfId="0" applyFont="1" applyAlignment="1">
      <alignment vertical="center" wrapText="1"/>
    </xf>
    <xf numFmtId="3" fontId="72" fillId="55" borderId="0" xfId="45" applyNumberFormat="1" applyFont="1" applyFill="1" applyProtection="1"/>
    <xf numFmtId="0" fontId="74" fillId="55" borderId="49" xfId="0" applyFont="1" applyFill="1" applyBorder="1" applyAlignment="1" applyProtection="1">
      <alignment horizontal="centerContinuous" vertical="center" wrapText="1"/>
    </xf>
    <xf numFmtId="0" fontId="106" fillId="0" borderId="183" xfId="0" applyFont="1" applyBorder="1" applyAlignment="1">
      <alignment horizontal="center" vertical="center" wrapText="1"/>
    </xf>
    <xf numFmtId="3" fontId="0" fillId="0" borderId="183" xfId="0" applyNumberFormat="1" applyBorder="1" applyAlignment="1">
      <alignment horizontal="center" vertical="center" wrapText="1"/>
    </xf>
    <xf numFmtId="0" fontId="72" fillId="0" borderId="200" xfId="0" applyFont="1" applyFill="1" applyBorder="1" applyAlignment="1" applyProtection="1">
      <alignment wrapText="1"/>
      <protection hidden="1"/>
    </xf>
    <xf numFmtId="0" fontId="72" fillId="98" borderId="285" xfId="0" applyFont="1" applyFill="1" applyBorder="1" applyAlignment="1" applyProtection="1">
      <alignment vertical="top"/>
    </xf>
    <xf numFmtId="174" fontId="72" fillId="98" borderId="286" xfId="2502" applyNumberFormat="1" applyFont="1" applyFill="1" applyBorder="1" applyAlignment="1" applyProtection="1">
      <alignment vertical="top" wrapText="1"/>
      <protection locked="0"/>
    </xf>
    <xf numFmtId="41" fontId="72" fillId="29" borderId="238" xfId="1134" applyNumberFormat="1" applyFont="1" applyFill="1" applyBorder="1" applyAlignment="1" applyProtection="1">
      <alignment vertical="center" wrapText="1"/>
      <protection locked="0"/>
    </xf>
    <xf numFmtId="0" fontId="72" fillId="98" borderId="287" xfId="0" applyFont="1" applyFill="1" applyBorder="1" applyAlignment="1" applyProtection="1">
      <alignment vertical="top" wrapText="1"/>
    </xf>
    <xf numFmtId="41" fontId="72" fillId="0" borderId="140" xfId="0" applyNumberFormat="1" applyFont="1" applyFill="1" applyBorder="1" applyAlignment="1" applyProtection="1">
      <alignment vertical="center" wrapText="1"/>
    </xf>
    <xf numFmtId="41" fontId="72" fillId="98" borderId="288" xfId="0" applyNumberFormat="1" applyFont="1" applyFill="1" applyBorder="1" applyAlignment="1" applyProtection="1">
      <alignment vertical="center" wrapText="1"/>
    </xf>
    <xf numFmtId="174" fontId="72" fillId="98" borderId="284" xfId="2502" applyNumberFormat="1" applyFont="1" applyFill="1" applyBorder="1" applyAlignment="1" applyProtection="1">
      <alignment vertical="center" wrapText="1"/>
    </xf>
    <xf numFmtId="0" fontId="71" fillId="0" borderId="0" xfId="0" applyNumberFormat="1" applyFont="1" applyFill="1" applyAlignment="1" applyProtection="1">
      <alignment horizontal="left"/>
    </xf>
    <xf numFmtId="0" fontId="72" fillId="0" borderId="183" xfId="0" applyFont="1" applyFill="1" applyBorder="1" applyAlignment="1">
      <alignment horizontal="center"/>
    </xf>
    <xf numFmtId="0" fontId="74" fillId="56" borderId="276" xfId="0" applyFont="1" applyFill="1" applyBorder="1" applyAlignment="1">
      <alignment horizontal="center"/>
    </xf>
    <xf numFmtId="0" fontId="72" fillId="0" borderId="52" xfId="0" quotePrefix="1" applyFont="1" applyFill="1" applyBorder="1" applyAlignment="1" applyProtection="1">
      <alignment horizontal="left" vertical="top" wrapText="1"/>
    </xf>
    <xf numFmtId="0" fontId="72" fillId="0" borderId="0" xfId="0" applyFont="1" applyFill="1" applyBorder="1" applyAlignment="1" applyProtection="1">
      <alignment horizontal="left" vertical="top" wrapText="1"/>
    </xf>
    <xf numFmtId="0" fontId="72" fillId="0" borderId="183" xfId="1134" applyFont="1" applyFill="1" applyBorder="1" applyAlignment="1" applyProtection="1">
      <alignment horizontal="left" vertical="center" indent="1"/>
      <protection locked="0"/>
    </xf>
    <xf numFmtId="171" fontId="72" fillId="0" borderId="183" xfId="1134" applyNumberFormat="1" applyFont="1" applyFill="1" applyBorder="1" applyAlignment="1" applyProtection="1">
      <alignment horizontal="left" vertical="center" indent="1"/>
      <protection locked="0"/>
    </xf>
    <xf numFmtId="0" fontId="73" fillId="0" borderId="0" xfId="0" applyFont="1" applyFill="1" applyBorder="1" applyAlignment="1" applyProtection="1">
      <alignment horizontal="center" wrapText="1"/>
    </xf>
    <xf numFmtId="0" fontId="124" fillId="0" borderId="0" xfId="1134" applyFont="1" applyFill="1" applyBorder="1" applyAlignment="1" applyProtection="1">
      <alignment horizontal="center" vertical="center" wrapText="1"/>
      <protection hidden="1"/>
    </xf>
    <xf numFmtId="0" fontId="72" fillId="0" borderId="185" xfId="0" applyFont="1" applyFill="1" applyBorder="1" applyAlignment="1" applyProtection="1">
      <alignment horizontal="left" indent="1"/>
      <protection locked="0"/>
    </xf>
    <xf numFmtId="0" fontId="72" fillId="0" borderId="186" xfId="0" applyFont="1" applyFill="1" applyBorder="1" applyAlignment="1" applyProtection="1">
      <alignment horizontal="left" indent="1"/>
      <protection locked="0"/>
    </xf>
    <xf numFmtId="0" fontId="72" fillId="57" borderId="62" xfId="0" applyFont="1" applyFill="1" applyBorder="1" applyAlignment="1" applyProtection="1">
      <alignment horizontal="left" wrapText="1" indent="1"/>
    </xf>
    <xf numFmtId="0" fontId="72" fillId="57" borderId="64" xfId="0" applyFont="1" applyFill="1" applyBorder="1" applyAlignment="1" applyProtection="1">
      <alignment horizontal="left" wrapText="1" indent="1"/>
    </xf>
    <xf numFmtId="0" fontId="72" fillId="57" borderId="63" xfId="0" applyFont="1" applyFill="1" applyBorder="1" applyAlignment="1" applyProtection="1">
      <alignment horizontal="left" wrapText="1" indent="1"/>
    </xf>
    <xf numFmtId="0" fontId="87" fillId="57" borderId="185" xfId="2447" applyFont="1" applyFill="1" applyBorder="1" applyAlignment="1" applyProtection="1">
      <alignment horizontal="left" vertical="top" wrapText="1" indent="1"/>
    </xf>
    <xf numFmtId="0" fontId="87" fillId="57" borderId="275" xfId="2447" applyFont="1" applyFill="1" applyBorder="1" applyAlignment="1" applyProtection="1">
      <alignment horizontal="left" vertical="top" wrapText="1" indent="1"/>
    </xf>
    <xf numFmtId="0" fontId="87" fillId="57" borderId="186" xfId="2447" applyFont="1" applyFill="1" applyBorder="1" applyAlignment="1" applyProtection="1">
      <alignment horizontal="left" vertical="top" wrapText="1" indent="1"/>
    </xf>
    <xf numFmtId="0" fontId="87" fillId="57" borderId="64" xfId="2447" applyFont="1" applyFill="1" applyBorder="1" applyAlignment="1" applyProtection="1">
      <alignment horizontal="left" vertical="top" wrapText="1" indent="1"/>
    </xf>
    <xf numFmtId="0" fontId="87" fillId="55" borderId="276" xfId="2447" applyFont="1" applyFill="1" applyBorder="1" applyAlignment="1" applyProtection="1">
      <alignment horizontal="left" vertical="top" wrapText="1"/>
    </xf>
    <xf numFmtId="0" fontId="87" fillId="55" borderId="77" xfId="2447" applyFont="1" applyFill="1" applyBorder="1" applyAlignment="1" applyProtection="1">
      <alignment horizontal="left" vertical="top" wrapText="1"/>
    </xf>
    <xf numFmtId="0" fontId="73" fillId="0" borderId="11" xfId="0" applyFont="1" applyFill="1" applyBorder="1" applyAlignment="1" applyProtection="1">
      <alignment horizontal="center"/>
    </xf>
    <xf numFmtId="0" fontId="73" fillId="0" borderId="0" xfId="0" applyFont="1" applyFill="1" applyBorder="1" applyAlignment="1" applyProtection="1">
      <alignment horizontal="center"/>
    </xf>
    <xf numFmtId="0" fontId="73" fillId="0" borderId="12" xfId="0" applyFont="1" applyFill="1" applyBorder="1" applyAlignment="1" applyProtection="1">
      <alignment horizontal="center"/>
    </xf>
    <xf numFmtId="3" fontId="72" fillId="0" borderId="0" xfId="0" applyNumberFormat="1" applyFont="1" applyFill="1" applyBorder="1" applyAlignment="1" applyProtection="1">
      <alignment vertical="center" wrapText="1"/>
    </xf>
    <xf numFmtId="41" fontId="74" fillId="0" borderId="191" xfId="0" applyNumberFormat="1" applyFont="1" applyFill="1" applyBorder="1" applyAlignment="1" applyProtection="1">
      <alignment horizontal="center" wrapText="1"/>
    </xf>
    <xf numFmtId="41" fontId="74" fillId="0" borderId="190" xfId="0" applyNumberFormat="1" applyFont="1" applyFill="1" applyBorder="1" applyAlignment="1" applyProtection="1">
      <alignment horizontal="center" wrapText="1"/>
    </xf>
    <xf numFmtId="41" fontId="74" fillId="0" borderId="232" xfId="0" applyNumberFormat="1" applyFont="1" applyFill="1" applyBorder="1" applyAlignment="1" applyProtection="1">
      <alignment horizontal="center" wrapText="1"/>
    </xf>
    <xf numFmtId="41" fontId="74" fillId="0" borderId="199" xfId="0" applyNumberFormat="1" applyFont="1" applyFill="1" applyBorder="1" applyAlignment="1" applyProtection="1">
      <alignment horizontal="center"/>
    </xf>
    <xf numFmtId="41" fontId="74" fillId="0" borderId="190" xfId="0" applyNumberFormat="1" applyFont="1" applyFill="1" applyBorder="1" applyAlignment="1" applyProtection="1">
      <alignment horizontal="center"/>
    </xf>
    <xf numFmtId="41" fontId="74" fillId="0" borderId="231" xfId="0" applyNumberFormat="1" applyFont="1" applyFill="1" applyBorder="1" applyAlignment="1" applyProtection="1">
      <alignment horizontal="center"/>
    </xf>
    <xf numFmtId="41" fontId="74" fillId="0" borderId="232" xfId="0" applyNumberFormat="1" applyFont="1" applyFill="1" applyBorder="1" applyAlignment="1" applyProtection="1">
      <alignment horizontal="center"/>
    </xf>
    <xf numFmtId="0" fontId="72" fillId="0" borderId="11" xfId="0" applyFont="1" applyFill="1" applyBorder="1" applyAlignment="1" applyProtection="1">
      <alignment vertical="top" wrapText="1"/>
    </xf>
    <xf numFmtId="0" fontId="72" fillId="0" borderId="0" xfId="0" applyFont="1" applyFill="1" applyBorder="1" applyAlignment="1" applyProtection="1">
      <alignment vertical="top" wrapText="1"/>
    </xf>
    <xf numFmtId="0" fontId="72" fillId="0" borderId="16" xfId="0" applyFont="1" applyFill="1" applyBorder="1" applyAlignment="1" applyProtection="1">
      <alignment vertical="top" wrapText="1"/>
    </xf>
    <xf numFmtId="0" fontId="72" fillId="0" borderId="17" xfId="0" applyFont="1" applyFill="1" applyBorder="1" applyAlignment="1" applyProtection="1">
      <alignment vertical="top" wrapText="1"/>
    </xf>
    <xf numFmtId="41" fontId="72" fillId="0" borderId="0" xfId="0" applyNumberFormat="1" applyFont="1" applyFill="1" applyBorder="1" applyAlignment="1" applyProtection="1">
      <alignment horizontal="center" vertical="top" wrapText="1"/>
    </xf>
    <xf numFmtId="41" fontId="72" fillId="0" borderId="17" xfId="0" applyNumberFormat="1" applyFont="1" applyFill="1" applyBorder="1" applyAlignment="1" applyProtection="1">
      <alignment horizontal="center" vertical="top" wrapText="1"/>
    </xf>
    <xf numFmtId="41" fontId="72" fillId="0" borderId="89" xfId="0" applyNumberFormat="1" applyFont="1" applyFill="1" applyBorder="1" applyAlignment="1" applyProtection="1">
      <alignment horizontal="center"/>
    </xf>
    <xf numFmtId="41" fontId="72" fillId="0" borderId="90" xfId="0" applyNumberFormat="1" applyFont="1" applyFill="1" applyBorder="1" applyAlignment="1" applyProtection="1">
      <alignment horizontal="center"/>
    </xf>
    <xf numFmtId="41" fontId="74" fillId="0" borderId="231" xfId="0" applyNumberFormat="1" applyFont="1" applyFill="1" applyBorder="1" applyAlignment="1" applyProtection="1">
      <alignment horizontal="center" wrapText="1"/>
    </xf>
    <xf numFmtId="0" fontId="72" fillId="98" borderId="283" xfId="0" applyFont="1" applyFill="1" applyBorder="1" applyAlignment="1" applyProtection="1">
      <alignment horizontal="center" vertical="top" wrapText="1"/>
    </xf>
    <xf numFmtId="0" fontId="72" fillId="98" borderId="83" xfId="0" applyFont="1" applyFill="1" applyBorder="1" applyAlignment="1" applyProtection="1">
      <alignment horizontal="center" vertical="top" wrapText="1"/>
    </xf>
    <xf numFmtId="0" fontId="72" fillId="98" borderId="91" xfId="0" applyFont="1" applyFill="1" applyBorder="1" applyAlignment="1" applyProtection="1">
      <alignment horizontal="center" vertical="top" wrapText="1"/>
    </xf>
    <xf numFmtId="0" fontId="72" fillId="57" borderId="190" xfId="0" applyFont="1" applyFill="1" applyBorder="1" applyAlignment="1" applyProtection="1">
      <alignment horizontal="center" vertical="center" wrapText="1"/>
    </xf>
    <xf numFmtId="0" fontId="72" fillId="57" borderId="232" xfId="0" applyFont="1" applyFill="1" applyBorder="1" applyAlignment="1" applyProtection="1">
      <alignment horizontal="center" vertical="center" wrapText="1"/>
    </xf>
    <xf numFmtId="0" fontId="72" fillId="57" borderId="0" xfId="0" applyFont="1" applyFill="1" applyBorder="1" applyAlignment="1" applyProtection="1">
      <alignment horizontal="center" vertical="center" wrapText="1"/>
    </xf>
    <xf numFmtId="0" fontId="72" fillId="57" borderId="12" xfId="0" applyFont="1" applyFill="1" applyBorder="1" applyAlignment="1" applyProtection="1">
      <alignment horizontal="center" vertical="center" wrapText="1"/>
    </xf>
    <xf numFmtId="0" fontId="72" fillId="57" borderId="17" xfId="0" applyFont="1" applyFill="1" applyBorder="1" applyAlignment="1" applyProtection="1">
      <alignment horizontal="center" vertical="center" wrapText="1"/>
    </xf>
    <xf numFmtId="0" fontId="72" fillId="57" borderId="38" xfId="0" applyFont="1" applyFill="1" applyBorder="1" applyAlignment="1" applyProtection="1">
      <alignment horizontal="center" vertical="center" wrapText="1"/>
    </xf>
    <xf numFmtId="0" fontId="73" fillId="0" borderId="0" xfId="0" applyNumberFormat="1" applyFont="1" applyFill="1" applyAlignment="1" applyProtection="1">
      <alignment horizontal="center" wrapText="1"/>
      <protection hidden="1"/>
    </xf>
    <xf numFmtId="0" fontId="73" fillId="0" borderId="0" xfId="0" applyNumberFormat="1" applyFont="1" applyFill="1" applyAlignment="1" applyProtection="1">
      <alignment horizontal="center"/>
      <protection hidden="1"/>
    </xf>
    <xf numFmtId="0" fontId="86" fillId="0" borderId="0" xfId="0" applyNumberFormat="1" applyFont="1" applyFill="1" applyAlignment="1" applyProtection="1">
      <alignment horizontal="center" wrapText="1"/>
    </xf>
    <xf numFmtId="41" fontId="74" fillId="0" borderId="13" xfId="0" applyNumberFormat="1" applyFont="1" applyFill="1" applyBorder="1" applyAlignment="1" applyProtection="1">
      <alignment horizontal="center"/>
    </xf>
    <xf numFmtId="41" fontId="74" fillId="0" borderId="14" xfId="0" applyNumberFormat="1" applyFont="1" applyFill="1" applyBorder="1" applyAlignment="1" applyProtection="1">
      <alignment horizontal="center"/>
    </xf>
    <xf numFmtId="41" fontId="74" fillId="0" borderId="30" xfId="0" applyNumberFormat="1" applyFont="1" applyFill="1" applyBorder="1" applyAlignment="1" applyProtection="1">
      <alignment horizontal="center"/>
    </xf>
    <xf numFmtId="0" fontId="74" fillId="0" borderId="187" xfId="0" applyFont="1" applyFill="1" applyBorder="1" applyAlignment="1" applyProtection="1">
      <alignment horizontal="center" vertical="top" wrapText="1"/>
    </xf>
    <xf numFmtId="0" fontId="74" fillId="0" borderId="188" xfId="0" applyFont="1" applyFill="1" applyBorder="1" applyAlignment="1" applyProtection="1">
      <alignment horizontal="center" vertical="top" wrapText="1"/>
    </xf>
    <xf numFmtId="0" fontId="74" fillId="0" borderId="189" xfId="0" applyFont="1" applyFill="1" applyBorder="1" applyAlignment="1" applyProtection="1">
      <alignment horizontal="center" vertical="top" wrapText="1"/>
    </xf>
    <xf numFmtId="0" fontId="73" fillId="0" borderId="37" xfId="0" applyFont="1" applyFill="1" applyBorder="1" applyAlignment="1" applyProtection="1">
      <alignment horizontal="center"/>
    </xf>
    <xf numFmtId="0" fontId="73" fillId="0" borderId="10" xfId="0" applyFont="1" applyFill="1" applyBorder="1" applyAlignment="1" applyProtection="1">
      <alignment horizontal="center"/>
    </xf>
    <xf numFmtId="41" fontId="74" fillId="0" borderId="87" xfId="0" applyNumberFormat="1" applyFont="1" applyFill="1" applyBorder="1" applyAlignment="1" applyProtection="1">
      <alignment horizontal="center"/>
    </xf>
    <xf numFmtId="41" fontId="74" fillId="0" borderId="88" xfId="0" applyNumberFormat="1" applyFont="1" applyFill="1" applyBorder="1" applyAlignment="1" applyProtection="1">
      <alignment horizontal="center"/>
    </xf>
    <xf numFmtId="0" fontId="73" fillId="0" borderId="47" xfId="0" applyFont="1" applyFill="1" applyBorder="1" applyAlignment="1" applyProtection="1">
      <alignment horizontal="center"/>
    </xf>
    <xf numFmtId="0" fontId="73" fillId="0" borderId="25" xfId="0" applyFont="1" applyFill="1" applyBorder="1" applyAlignment="1" applyProtection="1">
      <alignment horizontal="center"/>
    </xf>
    <xf numFmtId="0" fontId="73" fillId="0" borderId="181" xfId="0" applyFont="1" applyFill="1" applyBorder="1" applyAlignment="1" applyProtection="1">
      <alignment horizontal="center"/>
    </xf>
    <xf numFmtId="0" fontId="73" fillId="0" borderId="280" xfId="0" applyFont="1" applyFill="1" applyBorder="1" applyAlignment="1" applyProtection="1">
      <alignment horizontal="center"/>
    </xf>
    <xf numFmtId="0" fontId="73" fillId="0" borderId="281" xfId="0" applyFont="1" applyFill="1" applyBorder="1" applyAlignment="1" applyProtection="1">
      <alignment horizontal="center"/>
    </xf>
    <xf numFmtId="0" fontId="72" fillId="28" borderId="71" xfId="0" applyFont="1" applyFill="1" applyBorder="1" applyAlignment="1" applyProtection="1">
      <alignment horizontal="left" vertical="top"/>
    </xf>
    <xf numFmtId="0" fontId="72" fillId="28" borderId="72" xfId="0" applyFont="1" applyFill="1" applyBorder="1" applyAlignment="1" applyProtection="1">
      <alignment horizontal="left" vertical="top"/>
    </xf>
    <xf numFmtId="0" fontId="73" fillId="28" borderId="49" xfId="0" applyFont="1" applyFill="1" applyBorder="1" applyAlignment="1" applyProtection="1">
      <alignment horizontal="center"/>
    </xf>
    <xf numFmtId="0" fontId="73" fillId="28" borderId="0" xfId="0" applyFont="1" applyFill="1" applyBorder="1" applyAlignment="1" applyProtection="1">
      <alignment horizontal="center"/>
    </xf>
    <xf numFmtId="0" fontId="73" fillId="28" borderId="50" xfId="0" applyFont="1" applyFill="1" applyBorder="1" applyAlignment="1" applyProtection="1">
      <alignment horizontal="center"/>
    </xf>
    <xf numFmtId="0" fontId="75" fillId="55" borderId="49" xfId="0" applyFont="1" applyFill="1" applyBorder="1" applyAlignment="1" applyProtection="1">
      <alignment horizontal="center"/>
    </xf>
    <xf numFmtId="0" fontId="75" fillId="55" borderId="0" xfId="0" applyFont="1" applyFill="1" applyBorder="1" applyAlignment="1" applyProtection="1">
      <alignment horizontal="center"/>
    </xf>
    <xf numFmtId="0" fontId="75" fillId="55" borderId="50" xfId="0" applyFont="1" applyFill="1" applyBorder="1" applyAlignment="1" applyProtection="1">
      <alignment horizontal="center"/>
    </xf>
    <xf numFmtId="0" fontId="72" fillId="28" borderId="49" xfId="0" applyFont="1" applyFill="1" applyBorder="1" applyAlignment="1" applyProtection="1">
      <alignment horizontal="left" vertical="top" wrapText="1"/>
    </xf>
    <xf numFmtId="0" fontId="72" fillId="28" borderId="0" xfId="0" applyFont="1" applyFill="1" applyBorder="1" applyAlignment="1" applyProtection="1">
      <alignment horizontal="left" vertical="top" wrapText="1"/>
    </xf>
    <xf numFmtId="7" fontId="72" fillId="54" borderId="50" xfId="0" applyNumberFormat="1" applyFont="1" applyFill="1" applyBorder="1" applyAlignment="1" applyProtection="1">
      <alignment horizontal="left" vertical="center" indent="1"/>
      <protection locked="0"/>
    </xf>
    <xf numFmtId="0" fontId="72" fillId="28" borderId="49" xfId="0" applyFont="1" applyFill="1" applyBorder="1" applyAlignment="1" applyProtection="1">
      <alignment horizontal="left"/>
    </xf>
    <xf numFmtId="0" fontId="72" fillId="28" borderId="0" xfId="0" applyFont="1" applyFill="1" applyBorder="1" applyAlignment="1" applyProtection="1">
      <alignment horizontal="left"/>
    </xf>
    <xf numFmtId="0" fontId="72" fillId="0" borderId="55" xfId="0" applyFont="1" applyBorder="1" applyAlignment="1">
      <alignment horizontal="center" wrapText="1"/>
    </xf>
    <xf numFmtId="0" fontId="72" fillId="0" borderId="77" xfId="0" applyFont="1" applyBorder="1" applyAlignment="1">
      <alignment horizontal="center" wrapText="1"/>
    </xf>
    <xf numFmtId="0" fontId="76" fillId="0" borderId="107" xfId="0" applyFont="1" applyBorder="1" applyAlignment="1">
      <alignment vertical="center" wrapText="1"/>
    </xf>
    <xf numFmtId="0" fontId="76" fillId="0" borderId="109" xfId="0" applyFont="1" applyBorder="1" applyAlignment="1">
      <alignment vertical="center" wrapText="1"/>
    </xf>
    <xf numFmtId="0" fontId="76" fillId="0" borderId="111" xfId="0" applyFont="1" applyBorder="1" applyAlignment="1">
      <alignment vertical="center" wrapText="1"/>
    </xf>
    <xf numFmtId="0" fontId="3" fillId="0" borderId="67" xfId="0" applyFont="1" applyFill="1" applyBorder="1" applyAlignment="1">
      <alignment horizontal="center" wrapText="1"/>
    </xf>
    <xf numFmtId="0" fontId="3" fillId="0" borderId="68" xfId="0" applyFont="1" applyFill="1" applyBorder="1" applyAlignment="1">
      <alignment horizontal="center" wrapText="1"/>
    </xf>
    <xf numFmtId="0" fontId="3" fillId="0" borderId="69" xfId="0" applyFont="1" applyFill="1" applyBorder="1" applyAlignment="1">
      <alignment horizontal="center" wrapText="1"/>
    </xf>
    <xf numFmtId="0" fontId="125" fillId="97" borderId="67" xfId="0" applyFont="1" applyFill="1" applyBorder="1" applyAlignment="1">
      <alignment horizontal="center"/>
    </xf>
    <xf numFmtId="0" fontId="125" fillId="97" borderId="68" xfId="0" applyFont="1" applyFill="1" applyBorder="1" applyAlignment="1">
      <alignment horizontal="center"/>
    </xf>
    <xf numFmtId="0" fontId="125" fillId="97" borderId="69" xfId="0" applyFont="1" applyFill="1" applyBorder="1" applyAlignment="1">
      <alignment horizontal="center"/>
    </xf>
    <xf numFmtId="0" fontId="76" fillId="0" borderId="67" xfId="0" applyFont="1" applyBorder="1" applyAlignment="1">
      <alignment horizontal="center"/>
    </xf>
    <xf numFmtId="0" fontId="76" fillId="0" borderId="68" xfId="0" applyFont="1" applyBorder="1" applyAlignment="1">
      <alignment horizontal="center"/>
    </xf>
    <xf numFmtId="0" fontId="76" fillId="0" borderId="69" xfId="0" applyFont="1" applyBorder="1" applyAlignment="1">
      <alignment horizontal="center"/>
    </xf>
  </cellXfs>
  <cellStyles count="6674">
    <cellStyle name="20% - Accent1" xfId="1" builtinId="30" customBuiltin="1"/>
    <cellStyle name="20% - Accent1 2" xfId="98"/>
    <cellStyle name="20% - Accent1 2 2" xfId="99"/>
    <cellStyle name="20% - Accent1 3" xfId="4760"/>
    <cellStyle name="20% - Accent2" xfId="2" builtinId="34" customBuiltin="1"/>
    <cellStyle name="20% - Accent2 2" xfId="100"/>
    <cellStyle name="20% - Accent2 2 2" xfId="101"/>
    <cellStyle name="20% - Accent2 3" xfId="4764"/>
    <cellStyle name="20% - Accent3" xfId="3" builtinId="38" customBuiltin="1"/>
    <cellStyle name="20% - Accent3 2" xfId="102"/>
    <cellStyle name="20% - Accent3 2 2" xfId="103"/>
    <cellStyle name="20% - Accent3 3" xfId="4768"/>
    <cellStyle name="20% - Accent4" xfId="4" builtinId="42" customBuiltin="1"/>
    <cellStyle name="20% - Accent4 2" xfId="104"/>
    <cellStyle name="20% - Accent4 2 2" xfId="105"/>
    <cellStyle name="20% - Accent4 3" xfId="4772"/>
    <cellStyle name="20% - Accent5" xfId="5" builtinId="46" customBuiltin="1"/>
    <cellStyle name="20% - Accent5 2" xfId="106"/>
    <cellStyle name="20% - Accent5 2 2" xfId="107"/>
    <cellStyle name="20% - Accent5 3" xfId="4776"/>
    <cellStyle name="20% - Accent6" xfId="6" builtinId="50" customBuiltin="1"/>
    <cellStyle name="20% - Accent6 2" xfId="108"/>
    <cellStyle name="20% - Accent6 2 2" xfId="109"/>
    <cellStyle name="20% - Accent6 3" xfId="4780"/>
    <cellStyle name="20% - akcent 1" xfId="110"/>
    <cellStyle name="20% - akcent 2" xfId="111"/>
    <cellStyle name="20% - akcent 3" xfId="112"/>
    <cellStyle name="20% - akcent 4" xfId="113"/>
    <cellStyle name="20% - akcent 5" xfId="114"/>
    <cellStyle name="20% - akcent 6" xfId="115"/>
    <cellStyle name="40% - Accent1" xfId="7" builtinId="31" customBuiltin="1"/>
    <cellStyle name="40% - Accent1 2" xfId="116"/>
    <cellStyle name="40% - Accent1 2 2" xfId="117"/>
    <cellStyle name="40% - Accent1 3" xfId="4761"/>
    <cellStyle name="40% - Accent2" xfId="8" builtinId="35" customBuiltin="1"/>
    <cellStyle name="40% - Accent2 2" xfId="118"/>
    <cellStyle name="40% - Accent2 2 2" xfId="119"/>
    <cellStyle name="40% - Accent2 3" xfId="4765"/>
    <cellStyle name="40% - Accent3" xfId="9" builtinId="39" customBuiltin="1"/>
    <cellStyle name="40% - Accent3 2" xfId="120"/>
    <cellStyle name="40% - Accent3 2 2" xfId="121"/>
    <cellStyle name="40% - Accent3 3" xfId="4769"/>
    <cellStyle name="40% - Accent4" xfId="10" builtinId="43" customBuiltin="1"/>
    <cellStyle name="40% - Accent4 2" xfId="122"/>
    <cellStyle name="40% - Accent4 2 2" xfId="123"/>
    <cellStyle name="40% - Accent4 3" xfId="4773"/>
    <cellStyle name="40% - Accent5" xfId="11" builtinId="47" customBuiltin="1"/>
    <cellStyle name="40% - Accent5 2" xfId="124"/>
    <cellStyle name="40% - Accent5 2 2" xfId="125"/>
    <cellStyle name="40% - Accent5 3" xfId="4777"/>
    <cellStyle name="40% - Accent6" xfId="12" builtinId="51" customBuiltin="1"/>
    <cellStyle name="40% - Accent6 2" xfId="126"/>
    <cellStyle name="40% - Accent6 2 2" xfId="127"/>
    <cellStyle name="40% - Accent6 3" xfId="4781"/>
    <cellStyle name="40% - akcent 1" xfId="128"/>
    <cellStyle name="40% - akcent 2" xfId="129"/>
    <cellStyle name="40% - akcent 3" xfId="130"/>
    <cellStyle name="40% - akcent 4" xfId="131"/>
    <cellStyle name="40% - akcent 5" xfId="132"/>
    <cellStyle name="40% - akcent 6" xfId="133"/>
    <cellStyle name="60% - Accent1" xfId="13" builtinId="32" customBuiltin="1"/>
    <cellStyle name="60% - Accent1 2" xfId="134"/>
    <cellStyle name="60% - Accent1 2 2" xfId="135"/>
    <cellStyle name="60% - Accent1 3" xfId="4762"/>
    <cellStyle name="60% - Accent2" xfId="14" builtinId="36" customBuiltin="1"/>
    <cellStyle name="60% - Accent2 2" xfId="136"/>
    <cellStyle name="60% - Accent2 2 2" xfId="137"/>
    <cellStyle name="60% - Accent2 3" xfId="4766"/>
    <cellStyle name="60% - Accent3" xfId="15" builtinId="40" customBuiltin="1"/>
    <cellStyle name="60% - Accent3 2" xfId="138"/>
    <cellStyle name="60% - Accent3 2 2" xfId="139"/>
    <cellStyle name="60% - Accent3 3" xfId="4770"/>
    <cellStyle name="60% - Accent4" xfId="16" builtinId="44" customBuiltin="1"/>
    <cellStyle name="60% - Accent4 2" xfId="140"/>
    <cellStyle name="60% - Accent4 2 2" xfId="141"/>
    <cellStyle name="60% - Accent4 3" xfId="4774"/>
    <cellStyle name="60% - Accent5" xfId="17" builtinId="48" customBuiltin="1"/>
    <cellStyle name="60% - Accent5 2" xfId="142"/>
    <cellStyle name="60% - Accent5 2 2" xfId="143"/>
    <cellStyle name="60% - Accent5 3" xfId="4778"/>
    <cellStyle name="60% - Accent6" xfId="18" builtinId="52" customBuiltin="1"/>
    <cellStyle name="60% - Accent6 2" xfId="144"/>
    <cellStyle name="60% - Accent6 2 2" xfId="145"/>
    <cellStyle name="60% - Accent6 3" xfId="4782"/>
    <cellStyle name="60% - akcent 1" xfId="146"/>
    <cellStyle name="60% - akcent 2" xfId="147"/>
    <cellStyle name="60% - akcent 3" xfId="148"/>
    <cellStyle name="60% - akcent 4" xfId="149"/>
    <cellStyle name="60% - akcent 5" xfId="150"/>
    <cellStyle name="60% - akcent 6" xfId="151"/>
    <cellStyle name="Accent1" xfId="19" builtinId="29" customBuiltin="1"/>
    <cellStyle name="Accent1 2" xfId="152"/>
    <cellStyle name="Accent1 2 2" xfId="153"/>
    <cellStyle name="Accent1 3" xfId="4759"/>
    <cellStyle name="Accent2" xfId="20" builtinId="33" customBuiltin="1"/>
    <cellStyle name="Accent2 2" xfId="154"/>
    <cellStyle name="Accent2 2 2" xfId="155"/>
    <cellStyle name="Accent2 3" xfId="4763"/>
    <cellStyle name="Accent3" xfId="21" builtinId="37" customBuiltin="1"/>
    <cellStyle name="Accent3 2" xfId="156"/>
    <cellStyle name="Accent3 2 2" xfId="157"/>
    <cellStyle name="Accent3 3" xfId="4767"/>
    <cellStyle name="Accent4" xfId="22" builtinId="41" customBuiltin="1"/>
    <cellStyle name="Accent4 2" xfId="158"/>
    <cellStyle name="Accent4 2 2" xfId="159"/>
    <cellStyle name="Accent4 3" xfId="4771"/>
    <cellStyle name="Accent5" xfId="23" builtinId="45" customBuiltin="1"/>
    <cellStyle name="Accent5 2" xfId="160"/>
    <cellStyle name="Accent5 2 2" xfId="161"/>
    <cellStyle name="Accent5 3" xfId="4775"/>
    <cellStyle name="Accent6" xfId="24" builtinId="49" customBuiltin="1"/>
    <cellStyle name="Accent6 2" xfId="162"/>
    <cellStyle name="Accent6 2 2" xfId="163"/>
    <cellStyle name="Accent6 3" xfId="4779"/>
    <cellStyle name="Akcent 1" xfId="164"/>
    <cellStyle name="Akcent 2" xfId="165"/>
    <cellStyle name="Akcent 3" xfId="166"/>
    <cellStyle name="Akcent 4" xfId="167"/>
    <cellStyle name="Akcent 5" xfId="168"/>
    <cellStyle name="Akcent 6" xfId="169"/>
    <cellStyle name="Bad" xfId="25" builtinId="27" customBuiltin="1"/>
    <cellStyle name="Bad 2" xfId="170"/>
    <cellStyle name="Bad 2 2" xfId="171"/>
    <cellStyle name="Bad 3" xfId="4748"/>
    <cellStyle name="BottomTotalRow1" xfId="76"/>
    <cellStyle name="Calculation" xfId="26" builtinId="22" customBuiltin="1"/>
    <cellStyle name="Calculation 2" xfId="172"/>
    <cellStyle name="Calculation 2 10" xfId="173"/>
    <cellStyle name="Calculation 2 10 10" xfId="174"/>
    <cellStyle name="Calculation 2 10 10 2" xfId="2581"/>
    <cellStyle name="Calculation 2 10 10 3" xfId="3156"/>
    <cellStyle name="Calculation 2 10 11" xfId="175"/>
    <cellStyle name="Calculation 2 10 11 2" xfId="2582"/>
    <cellStyle name="Calculation 2 10 11 3" xfId="2483"/>
    <cellStyle name="Calculation 2 10 12" xfId="176"/>
    <cellStyle name="Calculation 2 10 12 2" xfId="2583"/>
    <cellStyle name="Calculation 2 10 12 3" xfId="3155"/>
    <cellStyle name="Calculation 2 10 13" xfId="177"/>
    <cellStyle name="Calculation 2 10 13 2" xfId="2584"/>
    <cellStyle name="Calculation 2 10 13 3" xfId="2497"/>
    <cellStyle name="Calculation 2 10 14" xfId="178"/>
    <cellStyle name="Calculation 2 10 14 2" xfId="2585"/>
    <cellStyle name="Calculation 2 10 14 3" xfId="3154"/>
    <cellStyle name="Calculation 2 10 15" xfId="179"/>
    <cellStyle name="Calculation 2 10 15 2" xfId="2586"/>
    <cellStyle name="Calculation 2 10 15 3" xfId="2482"/>
    <cellStyle name="Calculation 2 10 16" xfId="180"/>
    <cellStyle name="Calculation 2 10 16 2" xfId="2587"/>
    <cellStyle name="Calculation 2 10 16 3" xfId="3153"/>
    <cellStyle name="Calculation 2 10 17" xfId="181"/>
    <cellStyle name="Calculation 2 10 17 2" xfId="2588"/>
    <cellStyle name="Calculation 2 10 17 3" xfId="3152"/>
    <cellStyle name="Calculation 2 10 18" xfId="182"/>
    <cellStyle name="Calculation 2 10 18 2" xfId="2589"/>
    <cellStyle name="Calculation 2 10 18 3" xfId="3013"/>
    <cellStyle name="Calculation 2 10 19" xfId="183"/>
    <cellStyle name="Calculation 2 10 19 2" xfId="2590"/>
    <cellStyle name="Calculation 2 10 19 3" xfId="3012"/>
    <cellStyle name="Calculation 2 10 2" xfId="184"/>
    <cellStyle name="Calculation 2 10 2 2" xfId="2591"/>
    <cellStyle name="Calculation 2 10 2 3" xfId="3011"/>
    <cellStyle name="Calculation 2 10 20" xfId="185"/>
    <cellStyle name="Calculation 2 10 20 2" xfId="2592"/>
    <cellStyle name="Calculation 2 10 20 3" xfId="3010"/>
    <cellStyle name="Calculation 2 10 21" xfId="186"/>
    <cellStyle name="Calculation 2 10 21 2" xfId="2593"/>
    <cellStyle name="Calculation 2 10 21 3" xfId="3009"/>
    <cellStyle name="Calculation 2 10 22" xfId="187"/>
    <cellStyle name="Calculation 2 10 22 2" xfId="2594"/>
    <cellStyle name="Calculation 2 10 22 3" xfId="3008"/>
    <cellStyle name="Calculation 2 10 23" xfId="188"/>
    <cellStyle name="Calculation 2 10 23 2" xfId="2595"/>
    <cellStyle name="Calculation 2 10 23 3" xfId="4735"/>
    <cellStyle name="Calculation 2 10 24" xfId="2580"/>
    <cellStyle name="Calculation 2 10 25" xfId="3157"/>
    <cellStyle name="Calculation 2 10 3" xfId="189"/>
    <cellStyle name="Calculation 2 10 3 2" xfId="2596"/>
    <cellStyle name="Calculation 2 10 3 3" xfId="3007"/>
    <cellStyle name="Calculation 2 10 4" xfId="190"/>
    <cellStyle name="Calculation 2 10 4 2" xfId="2597"/>
    <cellStyle name="Calculation 2 10 4 3" xfId="3006"/>
    <cellStyle name="Calculation 2 10 5" xfId="191"/>
    <cellStyle name="Calculation 2 10 5 2" xfId="2598"/>
    <cellStyle name="Calculation 2 10 5 3" xfId="3005"/>
    <cellStyle name="Calculation 2 10 6" xfId="192"/>
    <cellStyle name="Calculation 2 10 6 2" xfId="2599"/>
    <cellStyle name="Calculation 2 10 6 3" xfId="3004"/>
    <cellStyle name="Calculation 2 10 7" xfId="193"/>
    <cellStyle name="Calculation 2 10 7 2" xfId="2600"/>
    <cellStyle name="Calculation 2 10 7 3" xfId="3003"/>
    <cellStyle name="Calculation 2 10 8" xfId="194"/>
    <cellStyle name="Calculation 2 10 8 2" xfId="2601"/>
    <cellStyle name="Calculation 2 10 8 3" xfId="3002"/>
    <cellStyle name="Calculation 2 10 9" xfId="195"/>
    <cellStyle name="Calculation 2 10 9 2" xfId="2602"/>
    <cellStyle name="Calculation 2 10 9 3" xfId="3001"/>
    <cellStyle name="Calculation 2 11" xfId="196"/>
    <cellStyle name="Calculation 2 11 10" xfId="197"/>
    <cellStyle name="Calculation 2 11 10 2" xfId="2604"/>
    <cellStyle name="Calculation 2 11 10 3" xfId="2999"/>
    <cellStyle name="Calculation 2 11 11" xfId="198"/>
    <cellStyle name="Calculation 2 11 11 2" xfId="2605"/>
    <cellStyle name="Calculation 2 11 11 3" xfId="2998"/>
    <cellStyle name="Calculation 2 11 12" xfId="199"/>
    <cellStyle name="Calculation 2 11 12 2" xfId="2606"/>
    <cellStyle name="Calculation 2 11 12 3" xfId="2997"/>
    <cellStyle name="Calculation 2 11 13" xfId="200"/>
    <cellStyle name="Calculation 2 11 13 2" xfId="2607"/>
    <cellStyle name="Calculation 2 11 13 3" xfId="2996"/>
    <cellStyle name="Calculation 2 11 14" xfId="201"/>
    <cellStyle name="Calculation 2 11 14 2" xfId="2608"/>
    <cellStyle name="Calculation 2 11 14 3" xfId="2995"/>
    <cellStyle name="Calculation 2 11 15" xfId="202"/>
    <cellStyle name="Calculation 2 11 15 2" xfId="2609"/>
    <cellStyle name="Calculation 2 11 15 3" xfId="2994"/>
    <cellStyle name="Calculation 2 11 16" xfId="203"/>
    <cellStyle name="Calculation 2 11 16 2" xfId="2610"/>
    <cellStyle name="Calculation 2 11 16 3" xfId="2993"/>
    <cellStyle name="Calculation 2 11 17" xfId="204"/>
    <cellStyle name="Calculation 2 11 17 2" xfId="2611"/>
    <cellStyle name="Calculation 2 11 17 3" xfId="2992"/>
    <cellStyle name="Calculation 2 11 18" xfId="205"/>
    <cellStyle name="Calculation 2 11 18 2" xfId="2612"/>
    <cellStyle name="Calculation 2 11 18 3" xfId="2991"/>
    <cellStyle name="Calculation 2 11 19" xfId="206"/>
    <cellStyle name="Calculation 2 11 19 2" xfId="2613"/>
    <cellStyle name="Calculation 2 11 19 3" xfId="2990"/>
    <cellStyle name="Calculation 2 11 2" xfId="207"/>
    <cellStyle name="Calculation 2 11 2 2" xfId="2614"/>
    <cellStyle name="Calculation 2 11 2 3" xfId="2989"/>
    <cellStyle name="Calculation 2 11 20" xfId="208"/>
    <cellStyle name="Calculation 2 11 20 2" xfId="2615"/>
    <cellStyle name="Calculation 2 11 20 3" xfId="2988"/>
    <cellStyle name="Calculation 2 11 21" xfId="209"/>
    <cellStyle name="Calculation 2 11 21 2" xfId="2616"/>
    <cellStyle name="Calculation 2 11 21 3" xfId="2987"/>
    <cellStyle name="Calculation 2 11 22" xfId="210"/>
    <cellStyle name="Calculation 2 11 22 2" xfId="2617"/>
    <cellStyle name="Calculation 2 11 22 3" xfId="2986"/>
    <cellStyle name="Calculation 2 11 23" xfId="211"/>
    <cellStyle name="Calculation 2 11 23 2" xfId="2618"/>
    <cellStyle name="Calculation 2 11 23 3" xfId="2985"/>
    <cellStyle name="Calculation 2 11 24" xfId="2603"/>
    <cellStyle name="Calculation 2 11 25" xfId="3000"/>
    <cellStyle name="Calculation 2 11 3" xfId="212"/>
    <cellStyle name="Calculation 2 11 3 2" xfId="2619"/>
    <cellStyle name="Calculation 2 11 3 3" xfId="2984"/>
    <cellStyle name="Calculation 2 11 4" xfId="213"/>
    <cellStyle name="Calculation 2 11 4 2" xfId="2620"/>
    <cellStyle name="Calculation 2 11 4 3" xfId="4731"/>
    <cellStyle name="Calculation 2 11 5" xfId="214"/>
    <cellStyle name="Calculation 2 11 5 2" xfId="2621"/>
    <cellStyle name="Calculation 2 11 5 3" xfId="2983"/>
    <cellStyle name="Calculation 2 11 6" xfId="215"/>
    <cellStyle name="Calculation 2 11 6 2" xfId="2622"/>
    <cellStyle name="Calculation 2 11 6 3" xfId="2982"/>
    <cellStyle name="Calculation 2 11 7" xfId="216"/>
    <cellStyle name="Calculation 2 11 7 2" xfId="2623"/>
    <cellStyle name="Calculation 2 11 7 3" xfId="2981"/>
    <cellStyle name="Calculation 2 11 8" xfId="217"/>
    <cellStyle name="Calculation 2 11 8 2" xfId="2624"/>
    <cellStyle name="Calculation 2 11 8 3" xfId="2980"/>
    <cellStyle name="Calculation 2 11 9" xfId="218"/>
    <cellStyle name="Calculation 2 11 9 2" xfId="2625"/>
    <cellStyle name="Calculation 2 11 9 3" xfId="2979"/>
    <cellStyle name="Calculation 2 12" xfId="219"/>
    <cellStyle name="Calculation 2 12 10" xfId="220"/>
    <cellStyle name="Calculation 2 12 10 2" xfId="2627"/>
    <cellStyle name="Calculation 2 12 10 3" xfId="2977"/>
    <cellStyle name="Calculation 2 12 11" xfId="221"/>
    <cellStyle name="Calculation 2 12 11 2" xfId="2628"/>
    <cellStyle name="Calculation 2 12 11 3" xfId="2976"/>
    <cellStyle name="Calculation 2 12 12" xfId="222"/>
    <cellStyle name="Calculation 2 12 12 2" xfId="2629"/>
    <cellStyle name="Calculation 2 12 12 3" xfId="4730"/>
    <cellStyle name="Calculation 2 12 13" xfId="223"/>
    <cellStyle name="Calculation 2 12 13 2" xfId="2630"/>
    <cellStyle name="Calculation 2 12 13 3" xfId="2975"/>
    <cellStyle name="Calculation 2 12 14" xfId="224"/>
    <cellStyle name="Calculation 2 12 14 2" xfId="2631"/>
    <cellStyle name="Calculation 2 12 14 3" xfId="2974"/>
    <cellStyle name="Calculation 2 12 15" xfId="225"/>
    <cellStyle name="Calculation 2 12 15 2" xfId="2632"/>
    <cellStyle name="Calculation 2 12 15 3" xfId="2973"/>
    <cellStyle name="Calculation 2 12 16" xfId="226"/>
    <cellStyle name="Calculation 2 12 16 2" xfId="2633"/>
    <cellStyle name="Calculation 2 12 16 3" xfId="2972"/>
    <cellStyle name="Calculation 2 12 17" xfId="227"/>
    <cellStyle name="Calculation 2 12 17 2" xfId="2634"/>
    <cellStyle name="Calculation 2 12 17 3" xfId="2971"/>
    <cellStyle name="Calculation 2 12 18" xfId="228"/>
    <cellStyle name="Calculation 2 12 18 2" xfId="2635"/>
    <cellStyle name="Calculation 2 12 18 3" xfId="2970"/>
    <cellStyle name="Calculation 2 12 19" xfId="229"/>
    <cellStyle name="Calculation 2 12 19 2" xfId="2636"/>
    <cellStyle name="Calculation 2 12 19 3" xfId="2969"/>
    <cellStyle name="Calculation 2 12 2" xfId="230"/>
    <cellStyle name="Calculation 2 12 2 2" xfId="2637"/>
    <cellStyle name="Calculation 2 12 2 3" xfId="2968"/>
    <cellStyle name="Calculation 2 12 20" xfId="231"/>
    <cellStyle name="Calculation 2 12 20 2" xfId="2638"/>
    <cellStyle name="Calculation 2 12 20 3" xfId="2967"/>
    <cellStyle name="Calculation 2 12 21" xfId="232"/>
    <cellStyle name="Calculation 2 12 21 2" xfId="2639"/>
    <cellStyle name="Calculation 2 12 21 3" xfId="2966"/>
    <cellStyle name="Calculation 2 12 22" xfId="233"/>
    <cellStyle name="Calculation 2 12 22 2" xfId="2640"/>
    <cellStyle name="Calculation 2 12 22 3" xfId="2965"/>
    <cellStyle name="Calculation 2 12 23" xfId="234"/>
    <cellStyle name="Calculation 2 12 23 2" xfId="2641"/>
    <cellStyle name="Calculation 2 12 23 3" xfId="2964"/>
    <cellStyle name="Calculation 2 12 24" xfId="2626"/>
    <cellStyle name="Calculation 2 12 25" xfId="2978"/>
    <cellStyle name="Calculation 2 12 3" xfId="235"/>
    <cellStyle name="Calculation 2 12 3 2" xfId="2642"/>
    <cellStyle name="Calculation 2 12 3 3" xfId="2963"/>
    <cellStyle name="Calculation 2 12 4" xfId="236"/>
    <cellStyle name="Calculation 2 12 4 2" xfId="2643"/>
    <cellStyle name="Calculation 2 12 4 3" xfId="2962"/>
    <cellStyle name="Calculation 2 12 5" xfId="237"/>
    <cellStyle name="Calculation 2 12 5 2" xfId="2644"/>
    <cellStyle name="Calculation 2 12 5 3" xfId="2961"/>
    <cellStyle name="Calculation 2 12 6" xfId="238"/>
    <cellStyle name="Calculation 2 12 6 2" xfId="2645"/>
    <cellStyle name="Calculation 2 12 6 3" xfId="2960"/>
    <cellStyle name="Calculation 2 12 7" xfId="239"/>
    <cellStyle name="Calculation 2 12 7 2" xfId="2646"/>
    <cellStyle name="Calculation 2 12 7 3" xfId="2959"/>
    <cellStyle name="Calculation 2 12 8" xfId="240"/>
    <cellStyle name="Calculation 2 12 8 2" xfId="2647"/>
    <cellStyle name="Calculation 2 12 8 3" xfId="2958"/>
    <cellStyle name="Calculation 2 12 9" xfId="241"/>
    <cellStyle name="Calculation 2 12 9 2" xfId="2648"/>
    <cellStyle name="Calculation 2 12 9 3" xfId="2957"/>
    <cellStyle name="Calculation 2 13" xfId="242"/>
    <cellStyle name="Calculation 2 13 10" xfId="243"/>
    <cellStyle name="Calculation 2 13 10 2" xfId="2650"/>
    <cellStyle name="Calculation 2 13 10 3" xfId="2955"/>
    <cellStyle name="Calculation 2 13 11" xfId="244"/>
    <cellStyle name="Calculation 2 13 11 2" xfId="2651"/>
    <cellStyle name="Calculation 2 13 11 3" xfId="2954"/>
    <cellStyle name="Calculation 2 13 12" xfId="245"/>
    <cellStyle name="Calculation 2 13 12 2" xfId="2652"/>
    <cellStyle name="Calculation 2 13 12 3" xfId="2953"/>
    <cellStyle name="Calculation 2 13 13" xfId="246"/>
    <cellStyle name="Calculation 2 13 13 2" xfId="2653"/>
    <cellStyle name="Calculation 2 13 13 3" xfId="2952"/>
    <cellStyle name="Calculation 2 13 14" xfId="247"/>
    <cellStyle name="Calculation 2 13 14 2" xfId="2654"/>
    <cellStyle name="Calculation 2 13 14 3" xfId="2951"/>
    <cellStyle name="Calculation 2 13 15" xfId="248"/>
    <cellStyle name="Calculation 2 13 15 2" xfId="2655"/>
    <cellStyle name="Calculation 2 13 15 3" xfId="2950"/>
    <cellStyle name="Calculation 2 13 16" xfId="249"/>
    <cellStyle name="Calculation 2 13 16 2" xfId="2656"/>
    <cellStyle name="Calculation 2 13 16 3" xfId="2949"/>
    <cellStyle name="Calculation 2 13 17" xfId="250"/>
    <cellStyle name="Calculation 2 13 17 2" xfId="2657"/>
    <cellStyle name="Calculation 2 13 17 3" xfId="2948"/>
    <cellStyle name="Calculation 2 13 18" xfId="251"/>
    <cellStyle name="Calculation 2 13 18 2" xfId="2658"/>
    <cellStyle name="Calculation 2 13 18 3" xfId="2947"/>
    <cellStyle name="Calculation 2 13 19" xfId="252"/>
    <cellStyle name="Calculation 2 13 19 2" xfId="2659"/>
    <cellStyle name="Calculation 2 13 19 3" xfId="2946"/>
    <cellStyle name="Calculation 2 13 2" xfId="253"/>
    <cellStyle name="Calculation 2 13 2 2" xfId="2660"/>
    <cellStyle name="Calculation 2 13 2 3" xfId="2945"/>
    <cellStyle name="Calculation 2 13 20" xfId="254"/>
    <cellStyle name="Calculation 2 13 20 2" xfId="2661"/>
    <cellStyle name="Calculation 2 13 20 3" xfId="2944"/>
    <cellStyle name="Calculation 2 13 21" xfId="255"/>
    <cellStyle name="Calculation 2 13 21 2" xfId="2662"/>
    <cellStyle name="Calculation 2 13 21 3" xfId="2943"/>
    <cellStyle name="Calculation 2 13 22" xfId="256"/>
    <cellStyle name="Calculation 2 13 22 2" xfId="2663"/>
    <cellStyle name="Calculation 2 13 22 3" xfId="2942"/>
    <cellStyle name="Calculation 2 13 23" xfId="257"/>
    <cellStyle name="Calculation 2 13 23 2" xfId="2664"/>
    <cellStyle name="Calculation 2 13 23 3" xfId="2941"/>
    <cellStyle name="Calculation 2 13 24" xfId="2649"/>
    <cellStyle name="Calculation 2 13 25" xfId="2956"/>
    <cellStyle name="Calculation 2 13 3" xfId="258"/>
    <cellStyle name="Calculation 2 13 3 2" xfId="2665"/>
    <cellStyle name="Calculation 2 13 3 3" xfId="2940"/>
    <cellStyle name="Calculation 2 13 4" xfId="259"/>
    <cellStyle name="Calculation 2 13 4 2" xfId="2666"/>
    <cellStyle name="Calculation 2 13 4 3" xfId="2939"/>
    <cellStyle name="Calculation 2 13 5" xfId="260"/>
    <cellStyle name="Calculation 2 13 5 2" xfId="2667"/>
    <cellStyle name="Calculation 2 13 5 3" xfId="2938"/>
    <cellStyle name="Calculation 2 13 6" xfId="261"/>
    <cellStyle name="Calculation 2 13 6 2" xfId="2668"/>
    <cellStyle name="Calculation 2 13 6 3" xfId="2937"/>
    <cellStyle name="Calculation 2 13 7" xfId="262"/>
    <cellStyle name="Calculation 2 13 7 2" xfId="2669"/>
    <cellStyle name="Calculation 2 13 7 3" xfId="2936"/>
    <cellStyle name="Calculation 2 13 8" xfId="263"/>
    <cellStyle name="Calculation 2 13 8 2" xfId="2670"/>
    <cellStyle name="Calculation 2 13 8 3" xfId="2935"/>
    <cellStyle name="Calculation 2 13 9" xfId="264"/>
    <cellStyle name="Calculation 2 13 9 2" xfId="2671"/>
    <cellStyle name="Calculation 2 13 9 3" xfId="2934"/>
    <cellStyle name="Calculation 2 14" xfId="265"/>
    <cellStyle name="Calculation 2 14 10" xfId="266"/>
    <cellStyle name="Calculation 2 14 10 2" xfId="2673"/>
    <cellStyle name="Calculation 2 14 10 3" xfId="2932"/>
    <cellStyle name="Calculation 2 14 11" xfId="267"/>
    <cellStyle name="Calculation 2 14 11 2" xfId="2674"/>
    <cellStyle name="Calculation 2 14 11 3" xfId="2931"/>
    <cellStyle name="Calculation 2 14 12" xfId="268"/>
    <cellStyle name="Calculation 2 14 12 2" xfId="2675"/>
    <cellStyle name="Calculation 2 14 12 3" xfId="2930"/>
    <cellStyle name="Calculation 2 14 13" xfId="269"/>
    <cellStyle name="Calculation 2 14 13 2" xfId="2676"/>
    <cellStyle name="Calculation 2 14 13 3" xfId="2929"/>
    <cellStyle name="Calculation 2 14 14" xfId="270"/>
    <cellStyle name="Calculation 2 14 14 2" xfId="2677"/>
    <cellStyle name="Calculation 2 14 14 3" xfId="2928"/>
    <cellStyle name="Calculation 2 14 15" xfId="271"/>
    <cellStyle name="Calculation 2 14 15 2" xfId="2678"/>
    <cellStyle name="Calculation 2 14 15 3" xfId="2927"/>
    <cellStyle name="Calculation 2 14 16" xfId="272"/>
    <cellStyle name="Calculation 2 14 16 2" xfId="2679"/>
    <cellStyle name="Calculation 2 14 16 3" xfId="2926"/>
    <cellStyle name="Calculation 2 14 17" xfId="273"/>
    <cellStyle name="Calculation 2 14 17 2" xfId="2680"/>
    <cellStyle name="Calculation 2 14 17 3" xfId="2481"/>
    <cellStyle name="Calculation 2 14 18" xfId="274"/>
    <cellStyle name="Calculation 2 14 18 2" xfId="2681"/>
    <cellStyle name="Calculation 2 14 18 3" xfId="2480"/>
    <cellStyle name="Calculation 2 14 19" xfId="275"/>
    <cellStyle name="Calculation 2 14 19 2" xfId="2682"/>
    <cellStyle name="Calculation 2 14 19 3" xfId="2479"/>
    <cellStyle name="Calculation 2 14 2" xfId="276"/>
    <cellStyle name="Calculation 2 14 2 2" xfId="2683"/>
    <cellStyle name="Calculation 2 14 2 3" xfId="2478"/>
    <cellStyle name="Calculation 2 14 20" xfId="277"/>
    <cellStyle name="Calculation 2 14 20 2" xfId="2684"/>
    <cellStyle name="Calculation 2 14 20 3" xfId="2477"/>
    <cellStyle name="Calculation 2 14 21" xfId="278"/>
    <cellStyle name="Calculation 2 14 21 2" xfId="2685"/>
    <cellStyle name="Calculation 2 14 21 3" xfId="2493"/>
    <cellStyle name="Calculation 2 14 22" xfId="279"/>
    <cellStyle name="Calculation 2 14 22 2" xfId="2686"/>
    <cellStyle name="Calculation 2 14 22 3" xfId="2925"/>
    <cellStyle name="Calculation 2 14 23" xfId="280"/>
    <cellStyle name="Calculation 2 14 23 2" xfId="2687"/>
    <cellStyle name="Calculation 2 14 23 3" xfId="2924"/>
    <cellStyle name="Calculation 2 14 24" xfId="2672"/>
    <cellStyle name="Calculation 2 14 25" xfId="2933"/>
    <cellStyle name="Calculation 2 14 3" xfId="281"/>
    <cellStyle name="Calculation 2 14 3 2" xfId="2688"/>
    <cellStyle name="Calculation 2 14 3 3" xfId="2476"/>
    <cellStyle name="Calculation 2 14 4" xfId="282"/>
    <cellStyle name="Calculation 2 14 4 2" xfId="2689"/>
    <cellStyle name="Calculation 2 14 4 3" xfId="2492"/>
    <cellStyle name="Calculation 2 14 5" xfId="283"/>
    <cellStyle name="Calculation 2 14 5 2" xfId="2690"/>
    <cellStyle name="Calculation 2 14 5 3" xfId="2578"/>
    <cellStyle name="Calculation 2 14 6" xfId="284"/>
    <cellStyle name="Calculation 2 14 6 2" xfId="2691"/>
    <cellStyle name="Calculation 2 14 6 3" xfId="2577"/>
    <cellStyle name="Calculation 2 14 7" xfId="285"/>
    <cellStyle name="Calculation 2 14 7 2" xfId="2692"/>
    <cellStyle name="Calculation 2 14 7 3" xfId="2474"/>
    <cellStyle name="Calculation 2 14 8" xfId="286"/>
    <cellStyle name="Calculation 2 14 8 2" xfId="2693"/>
    <cellStyle name="Calculation 2 14 8 3" xfId="2576"/>
    <cellStyle name="Calculation 2 14 9" xfId="287"/>
    <cellStyle name="Calculation 2 14 9 2" xfId="2694"/>
    <cellStyle name="Calculation 2 14 9 3" xfId="2575"/>
    <cellStyle name="Calculation 2 15" xfId="288"/>
    <cellStyle name="Calculation 2 15 10" xfId="289"/>
    <cellStyle name="Calculation 2 15 10 2" xfId="2696"/>
    <cellStyle name="Calculation 2 15 10 3" xfId="2573"/>
    <cellStyle name="Calculation 2 15 11" xfId="290"/>
    <cellStyle name="Calculation 2 15 11 2" xfId="2697"/>
    <cellStyle name="Calculation 2 15 11 3" xfId="2572"/>
    <cellStyle name="Calculation 2 15 12" xfId="291"/>
    <cellStyle name="Calculation 2 15 12 2" xfId="2698"/>
    <cellStyle name="Calculation 2 15 12 3" xfId="2571"/>
    <cellStyle name="Calculation 2 15 13" xfId="292"/>
    <cellStyle name="Calculation 2 15 13 2" xfId="2699"/>
    <cellStyle name="Calculation 2 15 13 3" xfId="2570"/>
    <cellStyle name="Calculation 2 15 14" xfId="293"/>
    <cellStyle name="Calculation 2 15 14 2" xfId="2700"/>
    <cellStyle name="Calculation 2 15 14 3" xfId="2569"/>
    <cellStyle name="Calculation 2 15 15" xfId="294"/>
    <cellStyle name="Calculation 2 15 15 2" xfId="2701"/>
    <cellStyle name="Calculation 2 15 15 3" xfId="2473"/>
    <cellStyle name="Calculation 2 15 16" xfId="295"/>
    <cellStyle name="Calculation 2 15 16 2" xfId="2702"/>
    <cellStyle name="Calculation 2 15 16 3" xfId="2568"/>
    <cellStyle name="Calculation 2 15 17" xfId="296"/>
    <cellStyle name="Calculation 2 15 17 2" xfId="2703"/>
    <cellStyle name="Calculation 2 15 17 3" xfId="2567"/>
    <cellStyle name="Calculation 2 15 18" xfId="297"/>
    <cellStyle name="Calculation 2 15 18 2" xfId="2704"/>
    <cellStyle name="Calculation 2 15 18 3" xfId="2472"/>
    <cellStyle name="Calculation 2 15 19" xfId="298"/>
    <cellStyle name="Calculation 2 15 19 2" xfId="2705"/>
    <cellStyle name="Calculation 2 15 19 3" xfId="2566"/>
    <cellStyle name="Calculation 2 15 2" xfId="299"/>
    <cellStyle name="Calculation 2 15 2 2" xfId="2706"/>
    <cellStyle name="Calculation 2 15 2 3" xfId="2565"/>
    <cellStyle name="Calculation 2 15 20" xfId="300"/>
    <cellStyle name="Calculation 2 15 20 2" xfId="2707"/>
    <cellStyle name="Calculation 2 15 20 3" xfId="2471"/>
    <cellStyle name="Calculation 2 15 21" xfId="301"/>
    <cellStyle name="Calculation 2 15 21 2" xfId="2708"/>
    <cellStyle name="Calculation 2 15 21 3" xfId="2564"/>
    <cellStyle name="Calculation 2 15 22" xfId="302"/>
    <cellStyle name="Calculation 2 15 22 2" xfId="2709"/>
    <cellStyle name="Calculation 2 15 22 3" xfId="2563"/>
    <cellStyle name="Calculation 2 15 23" xfId="303"/>
    <cellStyle name="Calculation 2 15 23 2" xfId="2710"/>
    <cellStyle name="Calculation 2 15 23 3" xfId="2470"/>
    <cellStyle name="Calculation 2 15 24" xfId="2695"/>
    <cellStyle name="Calculation 2 15 25" xfId="2574"/>
    <cellStyle name="Calculation 2 15 3" xfId="304"/>
    <cellStyle name="Calculation 2 15 3 2" xfId="2711"/>
    <cellStyle name="Calculation 2 15 3 3" xfId="2562"/>
    <cellStyle name="Calculation 2 15 4" xfId="305"/>
    <cellStyle name="Calculation 2 15 4 2" xfId="2712"/>
    <cellStyle name="Calculation 2 15 4 3" xfId="2561"/>
    <cellStyle name="Calculation 2 15 5" xfId="306"/>
    <cellStyle name="Calculation 2 15 5 2" xfId="2713"/>
    <cellStyle name="Calculation 2 15 5 3" xfId="2469"/>
    <cellStyle name="Calculation 2 15 6" xfId="307"/>
    <cellStyle name="Calculation 2 15 6 2" xfId="2714"/>
    <cellStyle name="Calculation 2 15 6 3" xfId="2560"/>
    <cellStyle name="Calculation 2 15 7" xfId="308"/>
    <cellStyle name="Calculation 2 15 7 2" xfId="2715"/>
    <cellStyle name="Calculation 2 15 7 3" xfId="2559"/>
    <cellStyle name="Calculation 2 15 8" xfId="309"/>
    <cellStyle name="Calculation 2 15 8 2" xfId="2716"/>
    <cellStyle name="Calculation 2 15 8 3" xfId="2468"/>
    <cellStyle name="Calculation 2 15 9" xfId="310"/>
    <cellStyle name="Calculation 2 15 9 2" xfId="2717"/>
    <cellStyle name="Calculation 2 15 9 3" xfId="2558"/>
    <cellStyle name="Calculation 2 16" xfId="311"/>
    <cellStyle name="Calculation 2 16 2" xfId="2718"/>
    <cellStyle name="Calculation 2 16 3" xfId="2557"/>
    <cellStyle name="Calculation 2 17" xfId="312"/>
    <cellStyle name="Calculation 2 17 2" xfId="2719"/>
    <cellStyle name="Calculation 2 17 3" xfId="2556"/>
    <cellStyle name="Calculation 2 18" xfId="313"/>
    <cellStyle name="Calculation 2 18 2" xfId="2720"/>
    <cellStyle name="Calculation 2 18 3" xfId="2555"/>
    <cellStyle name="Calculation 2 19" xfId="314"/>
    <cellStyle name="Calculation 2 19 2" xfId="2721"/>
    <cellStyle name="Calculation 2 19 3" xfId="2554"/>
    <cellStyle name="Calculation 2 2" xfId="315"/>
    <cellStyle name="Calculation 2 2 10" xfId="316"/>
    <cellStyle name="Calculation 2 2 10 2" xfId="2723"/>
    <cellStyle name="Calculation 2 2 10 3" xfId="2552"/>
    <cellStyle name="Calculation 2 2 11" xfId="317"/>
    <cellStyle name="Calculation 2 2 11 2" xfId="2724"/>
    <cellStyle name="Calculation 2 2 11 3" xfId="2551"/>
    <cellStyle name="Calculation 2 2 12" xfId="318"/>
    <cellStyle name="Calculation 2 2 12 2" xfId="2725"/>
    <cellStyle name="Calculation 2 2 12 3" xfId="2467"/>
    <cellStyle name="Calculation 2 2 13" xfId="319"/>
    <cellStyle name="Calculation 2 2 13 2" xfId="2726"/>
    <cellStyle name="Calculation 2 2 13 3" xfId="2550"/>
    <cellStyle name="Calculation 2 2 14" xfId="320"/>
    <cellStyle name="Calculation 2 2 14 2" xfId="2727"/>
    <cellStyle name="Calculation 2 2 14 3" xfId="2549"/>
    <cellStyle name="Calculation 2 2 15" xfId="321"/>
    <cellStyle name="Calculation 2 2 15 2" xfId="2728"/>
    <cellStyle name="Calculation 2 2 15 3" xfId="2466"/>
    <cellStyle name="Calculation 2 2 16" xfId="322"/>
    <cellStyle name="Calculation 2 2 16 2" xfId="2729"/>
    <cellStyle name="Calculation 2 2 16 3" xfId="2548"/>
    <cellStyle name="Calculation 2 2 17" xfId="323"/>
    <cellStyle name="Calculation 2 2 17 2" xfId="2730"/>
    <cellStyle name="Calculation 2 2 17 3" xfId="2547"/>
    <cellStyle name="Calculation 2 2 18" xfId="324"/>
    <cellStyle name="Calculation 2 2 18 2" xfId="2731"/>
    <cellStyle name="Calculation 2 2 18 3" xfId="2465"/>
    <cellStyle name="Calculation 2 2 19" xfId="325"/>
    <cellStyle name="Calculation 2 2 19 2" xfId="2732"/>
    <cellStyle name="Calculation 2 2 19 3" xfId="2546"/>
    <cellStyle name="Calculation 2 2 2" xfId="326"/>
    <cellStyle name="Calculation 2 2 2 2" xfId="2733"/>
    <cellStyle name="Calculation 2 2 2 3" xfId="2545"/>
    <cellStyle name="Calculation 2 2 20" xfId="327"/>
    <cellStyle name="Calculation 2 2 20 2" xfId="2734"/>
    <cellStyle name="Calculation 2 2 20 3" xfId="2464"/>
    <cellStyle name="Calculation 2 2 21" xfId="328"/>
    <cellStyle name="Calculation 2 2 21 2" xfId="2735"/>
    <cellStyle name="Calculation 2 2 21 3" xfId="2544"/>
    <cellStyle name="Calculation 2 2 22" xfId="329"/>
    <cellStyle name="Calculation 2 2 22 2" xfId="2736"/>
    <cellStyle name="Calculation 2 2 22 3" xfId="2543"/>
    <cellStyle name="Calculation 2 2 23" xfId="330"/>
    <cellStyle name="Calculation 2 2 23 2" xfId="2737"/>
    <cellStyle name="Calculation 2 2 23 3" xfId="2463"/>
    <cellStyle name="Calculation 2 2 24" xfId="2722"/>
    <cellStyle name="Calculation 2 2 25" xfId="2553"/>
    <cellStyle name="Calculation 2 2 3" xfId="331"/>
    <cellStyle name="Calculation 2 2 3 2" xfId="2738"/>
    <cellStyle name="Calculation 2 2 3 3" xfId="2542"/>
    <cellStyle name="Calculation 2 2 4" xfId="332"/>
    <cellStyle name="Calculation 2 2 4 2" xfId="2739"/>
    <cellStyle name="Calculation 2 2 4 3" xfId="2541"/>
    <cellStyle name="Calculation 2 2 5" xfId="333"/>
    <cellStyle name="Calculation 2 2 5 2" xfId="2740"/>
    <cellStyle name="Calculation 2 2 5 3" xfId="2462"/>
    <cellStyle name="Calculation 2 2 6" xfId="334"/>
    <cellStyle name="Calculation 2 2 6 2" xfId="2741"/>
    <cellStyle name="Calculation 2 2 6 3" xfId="2540"/>
    <cellStyle name="Calculation 2 2 7" xfId="335"/>
    <cellStyle name="Calculation 2 2 7 2" xfId="2742"/>
    <cellStyle name="Calculation 2 2 7 3" xfId="2539"/>
    <cellStyle name="Calculation 2 2 8" xfId="336"/>
    <cellStyle name="Calculation 2 2 8 2" xfId="2743"/>
    <cellStyle name="Calculation 2 2 8 3" xfId="2538"/>
    <cellStyle name="Calculation 2 2 9" xfId="337"/>
    <cellStyle name="Calculation 2 2 9 2" xfId="2744"/>
    <cellStyle name="Calculation 2 2 9 3" xfId="2537"/>
    <cellStyle name="Calculation 2 20" xfId="338"/>
    <cellStyle name="Calculation 2 20 2" xfId="2745"/>
    <cellStyle name="Calculation 2 20 3" xfId="2536"/>
    <cellStyle name="Calculation 2 21" xfId="339"/>
    <cellStyle name="Calculation 2 21 2" xfId="2746"/>
    <cellStyle name="Calculation 2 21 3" xfId="2535"/>
    <cellStyle name="Calculation 2 22" xfId="340"/>
    <cellStyle name="Calculation 2 22 2" xfId="2747"/>
    <cellStyle name="Calculation 2 22 3" xfId="2534"/>
    <cellStyle name="Calculation 2 23" xfId="341"/>
    <cellStyle name="Calculation 2 23 2" xfId="2748"/>
    <cellStyle name="Calculation 2 23 3" xfId="2533"/>
    <cellStyle name="Calculation 2 24" xfId="342"/>
    <cellStyle name="Calculation 2 24 2" xfId="2749"/>
    <cellStyle name="Calculation 2 24 3" xfId="2461"/>
    <cellStyle name="Calculation 2 25" xfId="343"/>
    <cellStyle name="Calculation 2 25 2" xfId="2750"/>
    <cellStyle name="Calculation 2 25 3" xfId="2532"/>
    <cellStyle name="Calculation 2 26" xfId="344"/>
    <cellStyle name="Calculation 2 26 2" xfId="2751"/>
    <cellStyle name="Calculation 2 26 3" xfId="2531"/>
    <cellStyle name="Calculation 2 27" xfId="345"/>
    <cellStyle name="Calculation 2 27 2" xfId="2752"/>
    <cellStyle name="Calculation 2 27 3" xfId="2460"/>
    <cellStyle name="Calculation 2 28" xfId="346"/>
    <cellStyle name="Calculation 2 28 2" xfId="2753"/>
    <cellStyle name="Calculation 2 28 3" xfId="2530"/>
    <cellStyle name="Calculation 2 29" xfId="347"/>
    <cellStyle name="Calculation 2 29 2" xfId="2754"/>
    <cellStyle name="Calculation 2 29 3" xfId="2529"/>
    <cellStyle name="Calculation 2 3" xfId="348"/>
    <cellStyle name="Calculation 2 3 10" xfId="349"/>
    <cellStyle name="Calculation 2 3 10 2" xfId="2756"/>
    <cellStyle name="Calculation 2 3 10 3" xfId="2528"/>
    <cellStyle name="Calculation 2 3 11" xfId="350"/>
    <cellStyle name="Calculation 2 3 11 2" xfId="2757"/>
    <cellStyle name="Calculation 2 3 11 3" xfId="2527"/>
    <cellStyle name="Calculation 2 3 12" xfId="351"/>
    <cellStyle name="Calculation 2 3 12 2" xfId="2758"/>
    <cellStyle name="Calculation 2 3 12 3" xfId="2458"/>
    <cellStyle name="Calculation 2 3 13" xfId="352"/>
    <cellStyle name="Calculation 2 3 13 2" xfId="2759"/>
    <cellStyle name="Calculation 2 3 13 3" xfId="2526"/>
    <cellStyle name="Calculation 2 3 14" xfId="353"/>
    <cellStyle name="Calculation 2 3 14 2" xfId="2760"/>
    <cellStyle name="Calculation 2 3 14 3" xfId="2525"/>
    <cellStyle name="Calculation 2 3 15" xfId="354"/>
    <cellStyle name="Calculation 2 3 15 2" xfId="2761"/>
    <cellStyle name="Calculation 2 3 15 3" xfId="2457"/>
    <cellStyle name="Calculation 2 3 16" xfId="355"/>
    <cellStyle name="Calculation 2 3 16 2" xfId="2762"/>
    <cellStyle name="Calculation 2 3 16 3" xfId="2524"/>
    <cellStyle name="Calculation 2 3 17" xfId="356"/>
    <cellStyle name="Calculation 2 3 17 2" xfId="2763"/>
    <cellStyle name="Calculation 2 3 17 3" xfId="2523"/>
    <cellStyle name="Calculation 2 3 18" xfId="357"/>
    <cellStyle name="Calculation 2 3 18 2" xfId="2764"/>
    <cellStyle name="Calculation 2 3 18 3" xfId="2456"/>
    <cellStyle name="Calculation 2 3 19" xfId="358"/>
    <cellStyle name="Calculation 2 3 19 2" xfId="2765"/>
    <cellStyle name="Calculation 2 3 19 3" xfId="2522"/>
    <cellStyle name="Calculation 2 3 2" xfId="359"/>
    <cellStyle name="Calculation 2 3 2 2" xfId="2766"/>
    <cellStyle name="Calculation 2 3 2 3" xfId="2521"/>
    <cellStyle name="Calculation 2 3 20" xfId="360"/>
    <cellStyle name="Calculation 2 3 20 2" xfId="2767"/>
    <cellStyle name="Calculation 2 3 20 3" xfId="2520"/>
    <cellStyle name="Calculation 2 3 21" xfId="361"/>
    <cellStyle name="Calculation 2 3 21 2" xfId="2768"/>
    <cellStyle name="Calculation 2 3 21 3" xfId="2519"/>
    <cellStyle name="Calculation 2 3 22" xfId="362"/>
    <cellStyle name="Calculation 2 3 22 2" xfId="2769"/>
    <cellStyle name="Calculation 2 3 22 3" xfId="2518"/>
    <cellStyle name="Calculation 2 3 23" xfId="363"/>
    <cellStyle name="Calculation 2 3 23 2" xfId="2770"/>
    <cellStyle name="Calculation 2 3 23 3" xfId="2517"/>
    <cellStyle name="Calculation 2 3 24" xfId="2755"/>
    <cellStyle name="Calculation 2 3 25" xfId="2459"/>
    <cellStyle name="Calculation 2 3 3" xfId="364"/>
    <cellStyle name="Calculation 2 3 3 2" xfId="2771"/>
    <cellStyle name="Calculation 2 3 3 3" xfId="2516"/>
    <cellStyle name="Calculation 2 3 4" xfId="365"/>
    <cellStyle name="Calculation 2 3 4 2" xfId="2772"/>
    <cellStyle name="Calculation 2 3 4 3" xfId="2515"/>
    <cellStyle name="Calculation 2 3 5" xfId="366"/>
    <cellStyle name="Calculation 2 3 5 2" xfId="2773"/>
    <cellStyle name="Calculation 2 3 5 3" xfId="2455"/>
    <cellStyle name="Calculation 2 3 6" xfId="367"/>
    <cellStyle name="Calculation 2 3 6 2" xfId="2774"/>
    <cellStyle name="Calculation 2 3 6 3" xfId="2514"/>
    <cellStyle name="Calculation 2 3 7" xfId="368"/>
    <cellStyle name="Calculation 2 3 7 2" xfId="2775"/>
    <cellStyle name="Calculation 2 3 7 3" xfId="2513"/>
    <cellStyle name="Calculation 2 3 8" xfId="369"/>
    <cellStyle name="Calculation 2 3 8 2" xfId="2776"/>
    <cellStyle name="Calculation 2 3 8 3" xfId="2454"/>
    <cellStyle name="Calculation 2 3 9" xfId="370"/>
    <cellStyle name="Calculation 2 3 9 2" xfId="2777"/>
    <cellStyle name="Calculation 2 3 9 3" xfId="2512"/>
    <cellStyle name="Calculation 2 30" xfId="371"/>
    <cellStyle name="Calculation 2 30 2" xfId="2778"/>
    <cellStyle name="Calculation 2 30 3" xfId="2511"/>
    <cellStyle name="Calculation 2 31" xfId="372"/>
    <cellStyle name="Calculation 2 31 2" xfId="2779"/>
    <cellStyle name="Calculation 2 31 3" xfId="2453"/>
    <cellStyle name="Calculation 2 32" xfId="373"/>
    <cellStyle name="Calculation 2 32 2" xfId="2780"/>
    <cellStyle name="Calculation 2 32 3" xfId="2510"/>
    <cellStyle name="Calculation 2 33" xfId="374"/>
    <cellStyle name="Calculation 2 33 2" xfId="2781"/>
    <cellStyle name="Calculation 2 33 3" xfId="2509"/>
    <cellStyle name="Calculation 2 34" xfId="375"/>
    <cellStyle name="Calculation 2 34 2" xfId="2782"/>
    <cellStyle name="Calculation 2 34 3" xfId="2452"/>
    <cellStyle name="Calculation 2 35" xfId="376"/>
    <cellStyle name="Calculation 2 35 2" xfId="2783"/>
    <cellStyle name="Calculation 2 35 3" xfId="2508"/>
    <cellStyle name="Calculation 2 36" xfId="377"/>
    <cellStyle name="Calculation 2 36 2" xfId="2784"/>
    <cellStyle name="Calculation 2 36 3" xfId="2507"/>
    <cellStyle name="Calculation 2 37" xfId="378"/>
    <cellStyle name="Calculation 2 37 2" xfId="2785"/>
    <cellStyle name="Calculation 2 37 3" xfId="2451"/>
    <cellStyle name="Calculation 2 38" xfId="2579"/>
    <cellStyle name="Calculation 2 39" xfId="2484"/>
    <cellStyle name="Calculation 2 4" xfId="379"/>
    <cellStyle name="Calculation 2 4 10" xfId="380"/>
    <cellStyle name="Calculation 2 4 10 2" xfId="2787"/>
    <cellStyle name="Calculation 2 4 10 3" xfId="2505"/>
    <cellStyle name="Calculation 2 4 11" xfId="381"/>
    <cellStyle name="Calculation 2 4 11 2" xfId="2788"/>
    <cellStyle name="Calculation 2 4 11 3" xfId="2450"/>
    <cellStyle name="Calculation 2 4 12" xfId="382"/>
    <cellStyle name="Calculation 2 4 12 2" xfId="2789"/>
    <cellStyle name="Calculation 2 4 12 3" xfId="4783"/>
    <cellStyle name="Calculation 2 4 13" xfId="383"/>
    <cellStyle name="Calculation 2 4 13 2" xfId="2790"/>
    <cellStyle name="Calculation 2 4 13 3" xfId="4784"/>
    <cellStyle name="Calculation 2 4 14" xfId="384"/>
    <cellStyle name="Calculation 2 4 14 2" xfId="2791"/>
    <cellStyle name="Calculation 2 4 14 3" xfId="4785"/>
    <cellStyle name="Calculation 2 4 15" xfId="385"/>
    <cellStyle name="Calculation 2 4 15 2" xfId="2792"/>
    <cellStyle name="Calculation 2 4 15 3" xfId="4786"/>
    <cellStyle name="Calculation 2 4 16" xfId="386"/>
    <cellStyle name="Calculation 2 4 16 2" xfId="2793"/>
    <cellStyle name="Calculation 2 4 16 3" xfId="4787"/>
    <cellStyle name="Calculation 2 4 17" xfId="387"/>
    <cellStyle name="Calculation 2 4 17 2" xfId="2794"/>
    <cellStyle name="Calculation 2 4 17 3" xfId="4788"/>
    <cellStyle name="Calculation 2 4 18" xfId="388"/>
    <cellStyle name="Calculation 2 4 18 2" xfId="2795"/>
    <cellStyle name="Calculation 2 4 18 3" xfId="4789"/>
    <cellStyle name="Calculation 2 4 19" xfId="389"/>
    <cellStyle name="Calculation 2 4 19 2" xfId="2796"/>
    <cellStyle name="Calculation 2 4 19 3" xfId="4790"/>
    <cellStyle name="Calculation 2 4 2" xfId="390"/>
    <cellStyle name="Calculation 2 4 2 2" xfId="2797"/>
    <cellStyle name="Calculation 2 4 2 3" xfId="4791"/>
    <cellStyle name="Calculation 2 4 20" xfId="391"/>
    <cellStyle name="Calculation 2 4 20 2" xfId="2798"/>
    <cellStyle name="Calculation 2 4 20 3" xfId="4792"/>
    <cellStyle name="Calculation 2 4 21" xfId="392"/>
    <cellStyle name="Calculation 2 4 21 2" xfId="2799"/>
    <cellStyle name="Calculation 2 4 21 3" xfId="4793"/>
    <cellStyle name="Calculation 2 4 22" xfId="393"/>
    <cellStyle name="Calculation 2 4 22 2" xfId="2800"/>
    <cellStyle name="Calculation 2 4 22 3" xfId="4794"/>
    <cellStyle name="Calculation 2 4 23" xfId="394"/>
    <cellStyle name="Calculation 2 4 23 2" xfId="2801"/>
    <cellStyle name="Calculation 2 4 23 3" xfId="4795"/>
    <cellStyle name="Calculation 2 4 24" xfId="2786"/>
    <cellStyle name="Calculation 2 4 25" xfId="2506"/>
    <cellStyle name="Calculation 2 4 3" xfId="395"/>
    <cellStyle name="Calculation 2 4 3 2" xfId="2802"/>
    <cellStyle name="Calculation 2 4 3 3" xfId="4796"/>
    <cellStyle name="Calculation 2 4 4" xfId="396"/>
    <cellStyle name="Calculation 2 4 4 2" xfId="2803"/>
    <cellStyle name="Calculation 2 4 4 3" xfId="4797"/>
    <cellStyle name="Calculation 2 4 5" xfId="397"/>
    <cellStyle name="Calculation 2 4 5 2" xfId="2804"/>
    <cellStyle name="Calculation 2 4 5 3" xfId="4798"/>
    <cellStyle name="Calculation 2 4 6" xfId="398"/>
    <cellStyle name="Calculation 2 4 6 2" xfId="2805"/>
    <cellStyle name="Calculation 2 4 6 3" xfId="4799"/>
    <cellStyle name="Calculation 2 4 7" xfId="399"/>
    <cellStyle name="Calculation 2 4 7 2" xfId="2806"/>
    <cellStyle name="Calculation 2 4 7 3" xfId="4800"/>
    <cellStyle name="Calculation 2 4 8" xfId="400"/>
    <cellStyle name="Calculation 2 4 8 2" xfId="2807"/>
    <cellStyle name="Calculation 2 4 8 3" xfId="4801"/>
    <cellStyle name="Calculation 2 4 9" xfId="401"/>
    <cellStyle name="Calculation 2 4 9 2" xfId="2808"/>
    <cellStyle name="Calculation 2 4 9 3" xfId="4802"/>
    <cellStyle name="Calculation 2 5" xfId="402"/>
    <cellStyle name="Calculation 2 5 10" xfId="403"/>
    <cellStyle name="Calculation 2 5 10 2" xfId="2810"/>
    <cellStyle name="Calculation 2 5 10 3" xfId="4804"/>
    <cellStyle name="Calculation 2 5 11" xfId="404"/>
    <cellStyle name="Calculation 2 5 11 2" xfId="2811"/>
    <cellStyle name="Calculation 2 5 11 3" xfId="4805"/>
    <cellStyle name="Calculation 2 5 12" xfId="405"/>
    <cellStyle name="Calculation 2 5 12 2" xfId="2812"/>
    <cellStyle name="Calculation 2 5 12 3" xfId="4806"/>
    <cellStyle name="Calculation 2 5 13" xfId="406"/>
    <cellStyle name="Calculation 2 5 13 2" xfId="2813"/>
    <cellStyle name="Calculation 2 5 13 3" xfId="4807"/>
    <cellStyle name="Calculation 2 5 14" xfId="407"/>
    <cellStyle name="Calculation 2 5 14 2" xfId="2814"/>
    <cellStyle name="Calculation 2 5 14 3" xfId="4808"/>
    <cellStyle name="Calculation 2 5 15" xfId="408"/>
    <cellStyle name="Calculation 2 5 15 2" xfId="2815"/>
    <cellStyle name="Calculation 2 5 15 3" xfId="4809"/>
    <cellStyle name="Calculation 2 5 16" xfId="409"/>
    <cellStyle name="Calculation 2 5 16 2" xfId="2816"/>
    <cellStyle name="Calculation 2 5 16 3" xfId="4810"/>
    <cellStyle name="Calculation 2 5 17" xfId="410"/>
    <cellStyle name="Calculation 2 5 17 2" xfId="2817"/>
    <cellStyle name="Calculation 2 5 17 3" xfId="4811"/>
    <cellStyle name="Calculation 2 5 18" xfId="411"/>
    <cellStyle name="Calculation 2 5 18 2" xfId="2818"/>
    <cellStyle name="Calculation 2 5 18 3" xfId="4812"/>
    <cellStyle name="Calculation 2 5 19" xfId="412"/>
    <cellStyle name="Calculation 2 5 19 2" xfId="2819"/>
    <cellStyle name="Calculation 2 5 19 3" xfId="4813"/>
    <cellStyle name="Calculation 2 5 2" xfId="413"/>
    <cellStyle name="Calculation 2 5 2 2" xfId="2820"/>
    <cellStyle name="Calculation 2 5 2 3" xfId="4814"/>
    <cellStyle name="Calculation 2 5 20" xfId="414"/>
    <cellStyle name="Calculation 2 5 20 2" xfId="2821"/>
    <cellStyle name="Calculation 2 5 20 3" xfId="4815"/>
    <cellStyle name="Calculation 2 5 21" xfId="415"/>
    <cellStyle name="Calculation 2 5 21 2" xfId="2822"/>
    <cellStyle name="Calculation 2 5 21 3" xfId="4816"/>
    <cellStyle name="Calculation 2 5 22" xfId="416"/>
    <cellStyle name="Calculation 2 5 22 2" xfId="2823"/>
    <cellStyle name="Calculation 2 5 22 3" xfId="4817"/>
    <cellStyle name="Calculation 2 5 23" xfId="417"/>
    <cellStyle name="Calculation 2 5 23 2" xfId="2824"/>
    <cellStyle name="Calculation 2 5 23 3" xfId="4818"/>
    <cellStyle name="Calculation 2 5 24" xfId="2809"/>
    <cellStyle name="Calculation 2 5 25" xfId="4803"/>
    <cellStyle name="Calculation 2 5 3" xfId="418"/>
    <cellStyle name="Calculation 2 5 3 2" xfId="2825"/>
    <cellStyle name="Calculation 2 5 3 3" xfId="4819"/>
    <cellStyle name="Calculation 2 5 4" xfId="419"/>
    <cellStyle name="Calculation 2 5 4 2" xfId="2826"/>
    <cellStyle name="Calculation 2 5 4 3" xfId="4820"/>
    <cellStyle name="Calculation 2 5 5" xfId="420"/>
    <cellStyle name="Calculation 2 5 5 2" xfId="2827"/>
    <cellStyle name="Calculation 2 5 5 3" xfId="4821"/>
    <cellStyle name="Calculation 2 5 6" xfId="421"/>
    <cellStyle name="Calculation 2 5 6 2" xfId="2828"/>
    <cellStyle name="Calculation 2 5 6 3" xfId="4822"/>
    <cellStyle name="Calculation 2 5 7" xfId="422"/>
    <cellStyle name="Calculation 2 5 7 2" xfId="2829"/>
    <cellStyle name="Calculation 2 5 7 3" xfId="4823"/>
    <cellStyle name="Calculation 2 5 8" xfId="423"/>
    <cellStyle name="Calculation 2 5 8 2" xfId="2830"/>
    <cellStyle name="Calculation 2 5 8 3" xfId="4824"/>
    <cellStyle name="Calculation 2 5 9" xfId="424"/>
    <cellStyle name="Calculation 2 5 9 2" xfId="2831"/>
    <cellStyle name="Calculation 2 5 9 3" xfId="4825"/>
    <cellStyle name="Calculation 2 6" xfId="425"/>
    <cellStyle name="Calculation 2 6 10" xfId="426"/>
    <cellStyle name="Calculation 2 6 10 2" xfId="2833"/>
    <cellStyle name="Calculation 2 6 10 3" xfId="4827"/>
    <cellStyle name="Calculation 2 6 11" xfId="427"/>
    <cellStyle name="Calculation 2 6 11 2" xfId="2834"/>
    <cellStyle name="Calculation 2 6 11 3" xfId="4828"/>
    <cellStyle name="Calculation 2 6 12" xfId="428"/>
    <cellStyle name="Calculation 2 6 12 2" xfId="2835"/>
    <cellStyle name="Calculation 2 6 12 3" xfId="4829"/>
    <cellStyle name="Calculation 2 6 13" xfId="429"/>
    <cellStyle name="Calculation 2 6 13 2" xfId="2836"/>
    <cellStyle name="Calculation 2 6 13 3" xfId="4830"/>
    <cellStyle name="Calculation 2 6 14" xfId="430"/>
    <cellStyle name="Calculation 2 6 14 2" xfId="2837"/>
    <cellStyle name="Calculation 2 6 14 3" xfId="4831"/>
    <cellStyle name="Calculation 2 6 15" xfId="431"/>
    <cellStyle name="Calculation 2 6 15 2" xfId="2838"/>
    <cellStyle name="Calculation 2 6 15 3" xfId="4832"/>
    <cellStyle name="Calculation 2 6 16" xfId="432"/>
    <cellStyle name="Calculation 2 6 16 2" xfId="2839"/>
    <cellStyle name="Calculation 2 6 16 3" xfId="4833"/>
    <cellStyle name="Calculation 2 6 17" xfId="433"/>
    <cellStyle name="Calculation 2 6 17 2" xfId="2840"/>
    <cellStyle name="Calculation 2 6 17 3" xfId="4834"/>
    <cellStyle name="Calculation 2 6 18" xfId="434"/>
    <cellStyle name="Calculation 2 6 18 2" xfId="2841"/>
    <cellStyle name="Calculation 2 6 18 3" xfId="4835"/>
    <cellStyle name="Calculation 2 6 19" xfId="435"/>
    <cellStyle name="Calculation 2 6 19 2" xfId="2842"/>
    <cellStyle name="Calculation 2 6 19 3" xfId="4836"/>
    <cellStyle name="Calculation 2 6 2" xfId="436"/>
    <cellStyle name="Calculation 2 6 2 2" xfId="2843"/>
    <cellStyle name="Calculation 2 6 2 3" xfId="4837"/>
    <cellStyle name="Calculation 2 6 20" xfId="437"/>
    <cellStyle name="Calculation 2 6 20 2" xfId="2844"/>
    <cellStyle name="Calculation 2 6 20 3" xfId="4838"/>
    <cellStyle name="Calculation 2 6 21" xfId="438"/>
    <cellStyle name="Calculation 2 6 21 2" xfId="2845"/>
    <cellStyle name="Calculation 2 6 21 3" xfId="4839"/>
    <cellStyle name="Calculation 2 6 22" xfId="439"/>
    <cellStyle name="Calculation 2 6 22 2" xfId="2846"/>
    <cellStyle name="Calculation 2 6 22 3" xfId="4840"/>
    <cellStyle name="Calculation 2 6 23" xfId="440"/>
    <cellStyle name="Calculation 2 6 23 2" xfId="2847"/>
    <cellStyle name="Calculation 2 6 23 3" xfId="4841"/>
    <cellStyle name="Calculation 2 6 24" xfId="2832"/>
    <cellStyle name="Calculation 2 6 25" xfId="4826"/>
    <cellStyle name="Calculation 2 6 3" xfId="441"/>
    <cellStyle name="Calculation 2 6 3 2" xfId="2848"/>
    <cellStyle name="Calculation 2 6 3 3" xfId="4842"/>
    <cellStyle name="Calculation 2 6 4" xfId="442"/>
    <cellStyle name="Calculation 2 6 4 2" xfId="2849"/>
    <cellStyle name="Calculation 2 6 4 3" xfId="4843"/>
    <cellStyle name="Calculation 2 6 5" xfId="443"/>
    <cellStyle name="Calculation 2 6 5 2" xfId="2850"/>
    <cellStyle name="Calculation 2 6 5 3" xfId="4844"/>
    <cellStyle name="Calculation 2 6 6" xfId="444"/>
    <cellStyle name="Calculation 2 6 6 2" xfId="2851"/>
    <cellStyle name="Calculation 2 6 6 3" xfId="4845"/>
    <cellStyle name="Calculation 2 6 7" xfId="445"/>
    <cellStyle name="Calculation 2 6 7 2" xfId="2852"/>
    <cellStyle name="Calculation 2 6 7 3" xfId="4846"/>
    <cellStyle name="Calculation 2 6 8" xfId="446"/>
    <cellStyle name="Calculation 2 6 8 2" xfId="2853"/>
    <cellStyle name="Calculation 2 6 8 3" xfId="4847"/>
    <cellStyle name="Calculation 2 6 9" xfId="447"/>
    <cellStyle name="Calculation 2 6 9 2" xfId="2854"/>
    <cellStyle name="Calculation 2 6 9 3" xfId="4848"/>
    <cellStyle name="Calculation 2 7" xfId="448"/>
    <cellStyle name="Calculation 2 7 10" xfId="449"/>
    <cellStyle name="Calculation 2 7 10 2" xfId="2856"/>
    <cellStyle name="Calculation 2 7 10 3" xfId="4850"/>
    <cellStyle name="Calculation 2 7 11" xfId="450"/>
    <cellStyle name="Calculation 2 7 11 2" xfId="2857"/>
    <cellStyle name="Calculation 2 7 11 3" xfId="4851"/>
    <cellStyle name="Calculation 2 7 12" xfId="451"/>
    <cellStyle name="Calculation 2 7 12 2" xfId="2858"/>
    <cellStyle name="Calculation 2 7 12 3" xfId="4852"/>
    <cellStyle name="Calculation 2 7 13" xfId="452"/>
    <cellStyle name="Calculation 2 7 13 2" xfId="2859"/>
    <cellStyle name="Calculation 2 7 13 3" xfId="4853"/>
    <cellStyle name="Calculation 2 7 14" xfId="453"/>
    <cellStyle name="Calculation 2 7 14 2" xfId="2860"/>
    <cellStyle name="Calculation 2 7 14 3" xfId="4854"/>
    <cellStyle name="Calculation 2 7 15" xfId="454"/>
    <cellStyle name="Calculation 2 7 15 2" xfId="2861"/>
    <cellStyle name="Calculation 2 7 15 3" xfId="4855"/>
    <cellStyle name="Calculation 2 7 16" xfId="455"/>
    <cellStyle name="Calculation 2 7 16 2" xfId="2862"/>
    <cellStyle name="Calculation 2 7 16 3" xfId="4856"/>
    <cellStyle name="Calculation 2 7 17" xfId="456"/>
    <cellStyle name="Calculation 2 7 17 2" xfId="2863"/>
    <cellStyle name="Calculation 2 7 17 3" xfId="4857"/>
    <cellStyle name="Calculation 2 7 18" xfId="457"/>
    <cellStyle name="Calculation 2 7 18 2" xfId="2864"/>
    <cellStyle name="Calculation 2 7 18 3" xfId="4858"/>
    <cellStyle name="Calculation 2 7 19" xfId="458"/>
    <cellStyle name="Calculation 2 7 19 2" xfId="2865"/>
    <cellStyle name="Calculation 2 7 19 3" xfId="4859"/>
    <cellStyle name="Calculation 2 7 2" xfId="459"/>
    <cellStyle name="Calculation 2 7 2 2" xfId="2866"/>
    <cellStyle name="Calculation 2 7 2 3" xfId="4860"/>
    <cellStyle name="Calculation 2 7 20" xfId="460"/>
    <cellStyle name="Calculation 2 7 20 2" xfId="2867"/>
    <cellStyle name="Calculation 2 7 20 3" xfId="4861"/>
    <cellStyle name="Calculation 2 7 21" xfId="461"/>
    <cellStyle name="Calculation 2 7 21 2" xfId="2868"/>
    <cellStyle name="Calculation 2 7 21 3" xfId="4862"/>
    <cellStyle name="Calculation 2 7 22" xfId="462"/>
    <cellStyle name="Calculation 2 7 22 2" xfId="2869"/>
    <cellStyle name="Calculation 2 7 22 3" xfId="4863"/>
    <cellStyle name="Calculation 2 7 23" xfId="463"/>
    <cellStyle name="Calculation 2 7 23 2" xfId="2870"/>
    <cellStyle name="Calculation 2 7 23 3" xfId="4864"/>
    <cellStyle name="Calculation 2 7 24" xfId="2855"/>
    <cellStyle name="Calculation 2 7 25" xfId="4849"/>
    <cellStyle name="Calculation 2 7 3" xfId="464"/>
    <cellStyle name="Calculation 2 7 3 2" xfId="2871"/>
    <cellStyle name="Calculation 2 7 3 3" xfId="4865"/>
    <cellStyle name="Calculation 2 7 4" xfId="465"/>
    <cellStyle name="Calculation 2 7 4 2" xfId="2872"/>
    <cellStyle name="Calculation 2 7 4 3" xfId="4866"/>
    <cellStyle name="Calculation 2 7 5" xfId="466"/>
    <cellStyle name="Calculation 2 7 5 2" xfId="2873"/>
    <cellStyle name="Calculation 2 7 5 3" xfId="4867"/>
    <cellStyle name="Calculation 2 7 6" xfId="467"/>
    <cellStyle name="Calculation 2 7 6 2" xfId="2874"/>
    <cellStyle name="Calculation 2 7 6 3" xfId="4868"/>
    <cellStyle name="Calculation 2 7 7" xfId="468"/>
    <cellStyle name="Calculation 2 7 7 2" xfId="2875"/>
    <cellStyle name="Calculation 2 7 7 3" xfId="4869"/>
    <cellStyle name="Calculation 2 7 8" xfId="469"/>
    <cellStyle name="Calculation 2 7 8 2" xfId="2876"/>
    <cellStyle name="Calculation 2 7 8 3" xfId="4870"/>
    <cellStyle name="Calculation 2 7 9" xfId="470"/>
    <cellStyle name="Calculation 2 7 9 2" xfId="2877"/>
    <cellStyle name="Calculation 2 7 9 3" xfId="4871"/>
    <cellStyle name="Calculation 2 8" xfId="471"/>
    <cellStyle name="Calculation 2 8 10" xfId="472"/>
    <cellStyle name="Calculation 2 8 10 2" xfId="2879"/>
    <cellStyle name="Calculation 2 8 10 3" xfId="4873"/>
    <cellStyle name="Calculation 2 8 11" xfId="473"/>
    <cellStyle name="Calculation 2 8 11 2" xfId="2880"/>
    <cellStyle name="Calculation 2 8 11 3" xfId="4874"/>
    <cellStyle name="Calculation 2 8 12" xfId="474"/>
    <cellStyle name="Calculation 2 8 12 2" xfId="2881"/>
    <cellStyle name="Calculation 2 8 12 3" xfId="4875"/>
    <cellStyle name="Calculation 2 8 13" xfId="475"/>
    <cellStyle name="Calculation 2 8 13 2" xfId="2882"/>
    <cellStyle name="Calculation 2 8 13 3" xfId="4876"/>
    <cellStyle name="Calculation 2 8 14" xfId="476"/>
    <cellStyle name="Calculation 2 8 14 2" xfId="2883"/>
    <cellStyle name="Calculation 2 8 14 3" xfId="4877"/>
    <cellStyle name="Calculation 2 8 15" xfId="477"/>
    <cellStyle name="Calculation 2 8 15 2" xfId="2884"/>
    <cellStyle name="Calculation 2 8 15 3" xfId="4878"/>
    <cellStyle name="Calculation 2 8 16" xfId="478"/>
    <cellStyle name="Calculation 2 8 16 2" xfId="2885"/>
    <cellStyle name="Calculation 2 8 16 3" xfId="4879"/>
    <cellStyle name="Calculation 2 8 17" xfId="479"/>
    <cellStyle name="Calculation 2 8 17 2" xfId="2886"/>
    <cellStyle name="Calculation 2 8 17 3" xfId="4880"/>
    <cellStyle name="Calculation 2 8 18" xfId="480"/>
    <cellStyle name="Calculation 2 8 18 2" xfId="2887"/>
    <cellStyle name="Calculation 2 8 18 3" xfId="4881"/>
    <cellStyle name="Calculation 2 8 19" xfId="481"/>
    <cellStyle name="Calculation 2 8 19 2" xfId="2888"/>
    <cellStyle name="Calculation 2 8 19 3" xfId="4882"/>
    <cellStyle name="Calculation 2 8 2" xfId="482"/>
    <cellStyle name="Calculation 2 8 2 2" xfId="2889"/>
    <cellStyle name="Calculation 2 8 2 3" xfId="4883"/>
    <cellStyle name="Calculation 2 8 20" xfId="483"/>
    <cellStyle name="Calculation 2 8 20 2" xfId="2890"/>
    <cellStyle name="Calculation 2 8 20 3" xfId="4884"/>
    <cellStyle name="Calculation 2 8 21" xfId="484"/>
    <cellStyle name="Calculation 2 8 21 2" xfId="2891"/>
    <cellStyle name="Calculation 2 8 21 3" xfId="4885"/>
    <cellStyle name="Calculation 2 8 22" xfId="485"/>
    <cellStyle name="Calculation 2 8 22 2" xfId="2892"/>
    <cellStyle name="Calculation 2 8 22 3" xfId="4886"/>
    <cellStyle name="Calculation 2 8 23" xfId="486"/>
    <cellStyle name="Calculation 2 8 23 2" xfId="2893"/>
    <cellStyle name="Calculation 2 8 23 3" xfId="4887"/>
    <cellStyle name="Calculation 2 8 24" xfId="2878"/>
    <cellStyle name="Calculation 2 8 25" xfId="4872"/>
    <cellStyle name="Calculation 2 8 3" xfId="487"/>
    <cellStyle name="Calculation 2 8 3 2" xfId="2894"/>
    <cellStyle name="Calculation 2 8 3 3" xfId="4888"/>
    <cellStyle name="Calculation 2 8 4" xfId="488"/>
    <cellStyle name="Calculation 2 8 4 2" xfId="2895"/>
    <cellStyle name="Calculation 2 8 4 3" xfId="4889"/>
    <cellStyle name="Calculation 2 8 5" xfId="489"/>
    <cellStyle name="Calculation 2 8 5 2" xfId="2896"/>
    <cellStyle name="Calculation 2 8 5 3" xfId="4890"/>
    <cellStyle name="Calculation 2 8 6" xfId="490"/>
    <cellStyle name="Calculation 2 8 6 2" xfId="2897"/>
    <cellStyle name="Calculation 2 8 6 3" xfId="4891"/>
    <cellStyle name="Calculation 2 8 7" xfId="491"/>
    <cellStyle name="Calculation 2 8 7 2" xfId="2898"/>
    <cellStyle name="Calculation 2 8 7 3" xfId="4892"/>
    <cellStyle name="Calculation 2 8 8" xfId="492"/>
    <cellStyle name="Calculation 2 8 8 2" xfId="2899"/>
    <cellStyle name="Calculation 2 8 8 3" xfId="4893"/>
    <cellStyle name="Calculation 2 8 9" xfId="493"/>
    <cellStyle name="Calculation 2 8 9 2" xfId="2900"/>
    <cellStyle name="Calculation 2 8 9 3" xfId="4894"/>
    <cellStyle name="Calculation 2 9" xfId="494"/>
    <cellStyle name="Calculation 2 9 10" xfId="495"/>
    <cellStyle name="Calculation 2 9 10 2" xfId="2902"/>
    <cellStyle name="Calculation 2 9 10 3" xfId="4896"/>
    <cellStyle name="Calculation 2 9 11" xfId="496"/>
    <cellStyle name="Calculation 2 9 11 2" xfId="2903"/>
    <cellStyle name="Calculation 2 9 11 3" xfId="4897"/>
    <cellStyle name="Calculation 2 9 12" xfId="497"/>
    <cellStyle name="Calculation 2 9 12 2" xfId="2904"/>
    <cellStyle name="Calculation 2 9 12 3" xfId="4898"/>
    <cellStyle name="Calculation 2 9 13" xfId="498"/>
    <cellStyle name="Calculation 2 9 13 2" xfId="2905"/>
    <cellStyle name="Calculation 2 9 13 3" xfId="4899"/>
    <cellStyle name="Calculation 2 9 14" xfId="499"/>
    <cellStyle name="Calculation 2 9 14 2" xfId="2906"/>
    <cellStyle name="Calculation 2 9 14 3" xfId="4900"/>
    <cellStyle name="Calculation 2 9 15" xfId="500"/>
    <cellStyle name="Calculation 2 9 15 2" xfId="2907"/>
    <cellStyle name="Calculation 2 9 15 3" xfId="4901"/>
    <cellStyle name="Calculation 2 9 16" xfId="501"/>
    <cellStyle name="Calculation 2 9 16 2" xfId="2908"/>
    <cellStyle name="Calculation 2 9 16 3" xfId="4902"/>
    <cellStyle name="Calculation 2 9 17" xfId="502"/>
    <cellStyle name="Calculation 2 9 17 2" xfId="2909"/>
    <cellStyle name="Calculation 2 9 17 3" xfId="4903"/>
    <cellStyle name="Calculation 2 9 18" xfId="503"/>
    <cellStyle name="Calculation 2 9 18 2" xfId="2910"/>
    <cellStyle name="Calculation 2 9 18 3" xfId="4904"/>
    <cellStyle name="Calculation 2 9 19" xfId="504"/>
    <cellStyle name="Calculation 2 9 19 2" xfId="2911"/>
    <cellStyle name="Calculation 2 9 19 3" xfId="4905"/>
    <cellStyle name="Calculation 2 9 2" xfId="505"/>
    <cellStyle name="Calculation 2 9 2 2" xfId="2912"/>
    <cellStyle name="Calculation 2 9 2 3" xfId="4906"/>
    <cellStyle name="Calculation 2 9 20" xfId="506"/>
    <cellStyle name="Calculation 2 9 20 2" xfId="2913"/>
    <cellStyle name="Calculation 2 9 20 3" xfId="4907"/>
    <cellStyle name="Calculation 2 9 21" xfId="507"/>
    <cellStyle name="Calculation 2 9 21 2" xfId="2914"/>
    <cellStyle name="Calculation 2 9 21 3" xfId="4908"/>
    <cellStyle name="Calculation 2 9 22" xfId="508"/>
    <cellStyle name="Calculation 2 9 22 2" xfId="2915"/>
    <cellStyle name="Calculation 2 9 22 3" xfId="4909"/>
    <cellStyle name="Calculation 2 9 23" xfId="509"/>
    <cellStyle name="Calculation 2 9 23 2" xfId="2916"/>
    <cellStyle name="Calculation 2 9 23 3" xfId="4910"/>
    <cellStyle name="Calculation 2 9 24" xfId="2901"/>
    <cellStyle name="Calculation 2 9 25" xfId="4895"/>
    <cellStyle name="Calculation 2 9 3" xfId="510"/>
    <cellStyle name="Calculation 2 9 3 2" xfId="2917"/>
    <cellStyle name="Calculation 2 9 3 3" xfId="4911"/>
    <cellStyle name="Calculation 2 9 4" xfId="511"/>
    <cellStyle name="Calculation 2 9 4 2" xfId="2918"/>
    <cellStyle name="Calculation 2 9 4 3" xfId="4912"/>
    <cellStyle name="Calculation 2 9 5" xfId="512"/>
    <cellStyle name="Calculation 2 9 5 2" xfId="2919"/>
    <cellStyle name="Calculation 2 9 5 3" xfId="4913"/>
    <cellStyle name="Calculation 2 9 6" xfId="513"/>
    <cellStyle name="Calculation 2 9 6 2" xfId="2920"/>
    <cellStyle name="Calculation 2 9 6 3" xfId="4914"/>
    <cellStyle name="Calculation 2 9 7" xfId="514"/>
    <cellStyle name="Calculation 2 9 7 2" xfId="2921"/>
    <cellStyle name="Calculation 2 9 7 3" xfId="4915"/>
    <cellStyle name="Calculation 2 9 8" xfId="515"/>
    <cellStyle name="Calculation 2 9 8 2" xfId="2922"/>
    <cellStyle name="Calculation 2 9 8 3" xfId="4916"/>
    <cellStyle name="Calculation 2 9 9" xfId="516"/>
    <cellStyle name="Calculation 2 9 9 2" xfId="2923"/>
    <cellStyle name="Calculation 2 9 9 3" xfId="4917"/>
    <cellStyle name="Calculation 3" xfId="4752"/>
    <cellStyle name="Calculation 4" xfId="2475"/>
    <cellStyle name="Calculation 5" xfId="4729"/>
    <cellStyle name="Check Cell" xfId="27" builtinId="23" customBuiltin="1"/>
    <cellStyle name="Check Cell 2" xfId="517"/>
    <cellStyle name="Check Cell 2 2" xfId="518"/>
    <cellStyle name="Check Cell 3" xfId="4754"/>
    <cellStyle name="CollegeHeader1" xfId="77"/>
    <cellStyle name="ColumnAttributeAbovePrompt" xfId="28"/>
    <cellStyle name="ColumnAttributePrompt" xfId="29"/>
    <cellStyle name="ColumnAttributeValue" xfId="30"/>
    <cellStyle name="ColumnHeadingPrompt" xfId="31"/>
    <cellStyle name="ColumnHeadingValue" xfId="32"/>
    <cellStyle name="Comma" xfId="2446" builtinId="3"/>
    <cellStyle name="Comma [0] 2" xfId="4738"/>
    <cellStyle name="Comma 10" xfId="519"/>
    <cellStyle name="Comma 10 2" xfId="520"/>
    <cellStyle name="Comma 10 3" xfId="521"/>
    <cellStyle name="Comma 10 4" xfId="522"/>
    <cellStyle name="Comma 10 5" xfId="523"/>
    <cellStyle name="Comma 10 6" xfId="524"/>
    <cellStyle name="Comma 10 7" xfId="525"/>
    <cellStyle name="Comma 10 8" xfId="526"/>
    <cellStyle name="Comma 10 9" xfId="527"/>
    <cellStyle name="Comma 11" xfId="6622"/>
    <cellStyle name="Comma 12" xfId="6668"/>
    <cellStyle name="Comma 13" xfId="6620"/>
    <cellStyle name="Comma 14" xfId="6666"/>
    <cellStyle name="Comma 15" xfId="6624"/>
    <cellStyle name="Comma 16" xfId="6664"/>
    <cellStyle name="Comma 17" xfId="6657"/>
    <cellStyle name="Comma 18" xfId="6653"/>
    <cellStyle name="Comma 19" xfId="6648"/>
    <cellStyle name="Comma 2" xfId="73"/>
    <cellStyle name="Comma 2 10" xfId="2377"/>
    <cellStyle name="Comma 2 10 2" xfId="4724"/>
    <cellStyle name="Comma 2 11" xfId="2489"/>
    <cellStyle name="Comma 2 2" xfId="528"/>
    <cellStyle name="Comma 2 2 10" xfId="529"/>
    <cellStyle name="Comma 2 2 2" xfId="530"/>
    <cellStyle name="Comma 2 2 3" xfId="531"/>
    <cellStyle name="Comma 2 2 4" xfId="532"/>
    <cellStyle name="Comma 2 2 5" xfId="533"/>
    <cellStyle name="Comma 2 2 6" xfId="534"/>
    <cellStyle name="Comma 2 2 7" xfId="535"/>
    <cellStyle name="Comma 2 2 8" xfId="536"/>
    <cellStyle name="Comma 2 2 9" xfId="537"/>
    <cellStyle name="Comma 2 3" xfId="538"/>
    <cellStyle name="Comma 2 4" xfId="539"/>
    <cellStyle name="Comma 2 5" xfId="540"/>
    <cellStyle name="Comma 2 6" xfId="541"/>
    <cellStyle name="Comma 2 7" xfId="542"/>
    <cellStyle name="Comma 2 8" xfId="543"/>
    <cellStyle name="Comma 2 9" xfId="544"/>
    <cellStyle name="Comma 20" xfId="6644"/>
    <cellStyle name="Comma 21" xfId="6639"/>
    <cellStyle name="Comma 22" xfId="6635"/>
    <cellStyle name="Comma 23" xfId="6629"/>
    <cellStyle name="Comma 24" xfId="6634"/>
    <cellStyle name="Comma 25" xfId="6662"/>
    <cellStyle name="Comma 26" xfId="6650"/>
    <cellStyle name="Comma 27" xfId="6659"/>
    <cellStyle name="Comma 28" xfId="6643"/>
    <cellStyle name="Comma 29" xfId="6651"/>
    <cellStyle name="Comma 3" xfId="78"/>
    <cellStyle name="Comma 3 10" xfId="2494"/>
    <cellStyle name="Comma 3 2" xfId="545"/>
    <cellStyle name="Comma 3 3" xfId="546"/>
    <cellStyle name="Comma 3 4" xfId="547"/>
    <cellStyle name="Comma 3 5" xfId="548"/>
    <cellStyle name="Comma 3 6" xfId="549"/>
    <cellStyle name="Comma 3 7" xfId="550"/>
    <cellStyle name="Comma 3 8" xfId="551"/>
    <cellStyle name="Comma 3 9" xfId="552"/>
    <cellStyle name="Comma 30" xfId="6637"/>
    <cellStyle name="Comma 31" xfId="6642"/>
    <cellStyle name="Comma 32" xfId="6631"/>
    <cellStyle name="Comma 33" xfId="6633"/>
    <cellStyle name="Comma 34" xfId="6628"/>
    <cellStyle name="Comma 35" xfId="6626"/>
    <cellStyle name="Comma 36" xfId="6627"/>
    <cellStyle name="Comma 37" xfId="6625"/>
    <cellStyle name="Comma 4" xfId="79"/>
    <cellStyle name="Comma 4 10" xfId="2495"/>
    <cellStyle name="Comma 4 2" xfId="553"/>
    <cellStyle name="Comma 4 3" xfId="554"/>
    <cellStyle name="Comma 4 4" xfId="555"/>
    <cellStyle name="Comma 4 5" xfId="556"/>
    <cellStyle name="Comma 4 6" xfId="557"/>
    <cellStyle name="Comma 4 7" xfId="558"/>
    <cellStyle name="Comma 4 8" xfId="559"/>
    <cellStyle name="Comma 4 9" xfId="560"/>
    <cellStyle name="Comma 5" xfId="93"/>
    <cellStyle name="Comma 5 10" xfId="2504"/>
    <cellStyle name="Comma 5 2" xfId="561"/>
    <cellStyle name="Comma 5 3" xfId="562"/>
    <cellStyle name="Comma 5 4" xfId="563"/>
    <cellStyle name="Comma 5 5" xfId="564"/>
    <cellStyle name="Comma 5 6" xfId="565"/>
    <cellStyle name="Comma 5 7" xfId="566"/>
    <cellStyle name="Comma 5 8" xfId="567"/>
    <cellStyle name="Comma 5 9" xfId="568"/>
    <cellStyle name="Comma 6" xfId="2424"/>
    <cellStyle name="Comma 6 2" xfId="569"/>
    <cellStyle name="Comma 6 3" xfId="570"/>
    <cellStyle name="Comma 6 4" xfId="571"/>
    <cellStyle name="Comma 6 5" xfId="572"/>
    <cellStyle name="Comma 6 6" xfId="573"/>
    <cellStyle name="Comma 6 7" xfId="574"/>
    <cellStyle name="Comma 6 8" xfId="575"/>
    <cellStyle name="Comma 6 9" xfId="576"/>
    <cellStyle name="Comma 7" xfId="2443"/>
    <cellStyle name="Comma 7 2" xfId="577"/>
    <cellStyle name="Comma 7 3" xfId="578"/>
    <cellStyle name="Comma 7 4" xfId="579"/>
    <cellStyle name="Comma 7 5" xfId="580"/>
    <cellStyle name="Comma 7 6" xfId="581"/>
    <cellStyle name="Comma 7 7" xfId="582"/>
    <cellStyle name="Comma 7 8" xfId="583"/>
    <cellStyle name="Comma 7 9" xfId="584"/>
    <cellStyle name="Comma 8" xfId="4737"/>
    <cellStyle name="Comma 8 2" xfId="585"/>
    <cellStyle name="Comma 8 3" xfId="586"/>
    <cellStyle name="Comma 8 4" xfId="587"/>
    <cellStyle name="Comma 8 5" xfId="588"/>
    <cellStyle name="Comma 8 6" xfId="589"/>
    <cellStyle name="Comma 8 7" xfId="590"/>
    <cellStyle name="Comma 8 8" xfId="591"/>
    <cellStyle name="Comma 8 9" xfId="592"/>
    <cellStyle name="Comma 9" xfId="4733"/>
    <cellStyle name="Comma 9 2" xfId="593"/>
    <cellStyle name="Comma 9 3" xfId="594"/>
    <cellStyle name="Comma 9 4" xfId="595"/>
    <cellStyle name="Comma 9 5" xfId="596"/>
    <cellStyle name="Comma 9 6" xfId="597"/>
    <cellStyle name="Comma 9 7" xfId="598"/>
    <cellStyle name="Comma 9 8" xfId="599"/>
    <cellStyle name="Comma 9 9" xfId="600"/>
    <cellStyle name="Currency [0] 2" xfId="4740"/>
    <cellStyle name="Currency 10" xfId="6673"/>
    <cellStyle name="Currency 11" xfId="6671"/>
    <cellStyle name="Currency 12" xfId="6621"/>
    <cellStyle name="Currency 13" xfId="6667"/>
    <cellStyle name="Currency 14" xfId="6672"/>
    <cellStyle name="Currency 15" xfId="6665"/>
    <cellStyle name="Currency 16" xfId="6658"/>
    <cellStyle name="Currency 17" xfId="6655"/>
    <cellStyle name="Currency 18" xfId="6649"/>
    <cellStyle name="Currency 19" xfId="6646"/>
    <cellStyle name="Currency 2" xfId="74"/>
    <cellStyle name="Currency 2 2" xfId="601"/>
    <cellStyle name="Currency 2 2 2" xfId="602"/>
    <cellStyle name="Currency 2 3" xfId="2490"/>
    <cellStyle name="Currency 20" xfId="6640"/>
    <cellStyle name="Currency 21" xfId="6636"/>
    <cellStyle name="Currency 22" xfId="6630"/>
    <cellStyle name="Currency 23" xfId="6669"/>
    <cellStyle name="Currency 24" xfId="6663"/>
    <cellStyle name="Currency 25" xfId="6660"/>
    <cellStyle name="Currency 26" xfId="6661"/>
    <cellStyle name="Currency 27" xfId="6654"/>
    <cellStyle name="Currency 28" xfId="6656"/>
    <cellStyle name="Currency 29" xfId="6645"/>
    <cellStyle name="Currency 3" xfId="80"/>
    <cellStyle name="Currency 3 2" xfId="603"/>
    <cellStyle name="Currency 3 3" xfId="2496"/>
    <cellStyle name="Currency 30" xfId="6647"/>
    <cellStyle name="Currency 31" xfId="6638"/>
    <cellStyle name="Currency 32" xfId="6641"/>
    <cellStyle name="Currency 33" xfId="6652"/>
    <cellStyle name="Currency 34" xfId="6632"/>
    <cellStyle name="Currency 4" xfId="604"/>
    <cellStyle name="Currency 5" xfId="605"/>
    <cellStyle name="Currency 6" xfId="606"/>
    <cellStyle name="Currency 7" xfId="4739"/>
    <cellStyle name="Currency 8" xfId="6623"/>
    <cellStyle name="Currency 9" xfId="6670"/>
    <cellStyle name="Dane wejściowe" xfId="607"/>
    <cellStyle name="Dane wejściowe 10" xfId="608"/>
    <cellStyle name="Dane wejściowe 10 2" xfId="3015"/>
    <cellStyle name="Dane wejściowe 10 3" xfId="4919"/>
    <cellStyle name="Dane wejściowe 11" xfId="609"/>
    <cellStyle name="Dane wejściowe 11 2" xfId="3016"/>
    <cellStyle name="Dane wejściowe 11 3" xfId="4920"/>
    <cellStyle name="Dane wejściowe 12" xfId="610"/>
    <cellStyle name="Dane wejściowe 12 2" xfId="3017"/>
    <cellStyle name="Dane wejściowe 12 3" xfId="4921"/>
    <cellStyle name="Dane wejściowe 13" xfId="611"/>
    <cellStyle name="Dane wejściowe 13 2" xfId="3018"/>
    <cellStyle name="Dane wejściowe 13 3" xfId="4922"/>
    <cellStyle name="Dane wejściowe 14" xfId="612"/>
    <cellStyle name="Dane wejściowe 14 2" xfId="3019"/>
    <cellStyle name="Dane wejściowe 14 3" xfId="4923"/>
    <cellStyle name="Dane wejściowe 15" xfId="613"/>
    <cellStyle name="Dane wejściowe 15 2" xfId="3020"/>
    <cellStyle name="Dane wejściowe 15 3" xfId="4924"/>
    <cellStyle name="Dane wejściowe 16" xfId="614"/>
    <cellStyle name="Dane wejściowe 16 2" xfId="3021"/>
    <cellStyle name="Dane wejściowe 16 3" xfId="4925"/>
    <cellStyle name="Dane wejściowe 17" xfId="615"/>
    <cellStyle name="Dane wejściowe 17 2" xfId="3022"/>
    <cellStyle name="Dane wejściowe 17 3" xfId="4926"/>
    <cellStyle name="Dane wejściowe 18" xfId="616"/>
    <cellStyle name="Dane wejściowe 18 2" xfId="3023"/>
    <cellStyle name="Dane wejściowe 18 3" xfId="4927"/>
    <cellStyle name="Dane wejściowe 19" xfId="617"/>
    <cellStyle name="Dane wejściowe 19 2" xfId="3024"/>
    <cellStyle name="Dane wejściowe 19 3" xfId="4928"/>
    <cellStyle name="Dane wejściowe 2" xfId="618"/>
    <cellStyle name="Dane wejściowe 2 10" xfId="619"/>
    <cellStyle name="Dane wejściowe 2 10 2" xfId="3026"/>
    <cellStyle name="Dane wejściowe 2 10 3" xfId="4930"/>
    <cellStyle name="Dane wejściowe 2 11" xfId="620"/>
    <cellStyle name="Dane wejściowe 2 11 2" xfId="3027"/>
    <cellStyle name="Dane wejściowe 2 11 3" xfId="4931"/>
    <cellStyle name="Dane wejściowe 2 12" xfId="621"/>
    <cellStyle name="Dane wejściowe 2 12 2" xfId="3028"/>
    <cellStyle name="Dane wejściowe 2 12 3" xfId="4932"/>
    <cellStyle name="Dane wejściowe 2 13" xfId="622"/>
    <cellStyle name="Dane wejściowe 2 13 2" xfId="3029"/>
    <cellStyle name="Dane wejściowe 2 13 3" xfId="4933"/>
    <cellStyle name="Dane wejściowe 2 14" xfId="623"/>
    <cellStyle name="Dane wejściowe 2 14 2" xfId="3030"/>
    <cellStyle name="Dane wejściowe 2 14 3" xfId="4934"/>
    <cellStyle name="Dane wejściowe 2 15" xfId="624"/>
    <cellStyle name="Dane wejściowe 2 15 2" xfId="3031"/>
    <cellStyle name="Dane wejściowe 2 15 3" xfId="4935"/>
    <cellStyle name="Dane wejściowe 2 16" xfId="625"/>
    <cellStyle name="Dane wejściowe 2 16 2" xfId="3032"/>
    <cellStyle name="Dane wejściowe 2 16 3" xfId="4936"/>
    <cellStyle name="Dane wejściowe 2 17" xfId="626"/>
    <cellStyle name="Dane wejściowe 2 17 2" xfId="3033"/>
    <cellStyle name="Dane wejściowe 2 17 3" xfId="4937"/>
    <cellStyle name="Dane wejściowe 2 18" xfId="627"/>
    <cellStyle name="Dane wejściowe 2 18 2" xfId="3034"/>
    <cellStyle name="Dane wejściowe 2 18 3" xfId="4938"/>
    <cellStyle name="Dane wejściowe 2 19" xfId="628"/>
    <cellStyle name="Dane wejściowe 2 19 2" xfId="3035"/>
    <cellStyle name="Dane wejściowe 2 19 3" xfId="4939"/>
    <cellStyle name="Dane wejściowe 2 2" xfId="629"/>
    <cellStyle name="Dane wejściowe 2 2 2" xfId="3036"/>
    <cellStyle name="Dane wejściowe 2 2 3" xfId="4940"/>
    <cellStyle name="Dane wejściowe 2 20" xfId="630"/>
    <cellStyle name="Dane wejściowe 2 20 2" xfId="3037"/>
    <cellStyle name="Dane wejściowe 2 20 3" xfId="4941"/>
    <cellStyle name="Dane wejściowe 2 21" xfId="631"/>
    <cellStyle name="Dane wejściowe 2 21 2" xfId="3038"/>
    <cellStyle name="Dane wejściowe 2 21 3" xfId="4942"/>
    <cellStyle name="Dane wejściowe 2 22" xfId="632"/>
    <cellStyle name="Dane wejściowe 2 22 2" xfId="3039"/>
    <cellStyle name="Dane wejściowe 2 22 3" xfId="4943"/>
    <cellStyle name="Dane wejściowe 2 23" xfId="633"/>
    <cellStyle name="Dane wejściowe 2 23 2" xfId="3040"/>
    <cellStyle name="Dane wejściowe 2 23 3" xfId="4944"/>
    <cellStyle name="Dane wejściowe 2 24" xfId="3025"/>
    <cellStyle name="Dane wejściowe 2 25" xfId="4929"/>
    <cellStyle name="Dane wejściowe 2 3" xfId="634"/>
    <cellStyle name="Dane wejściowe 2 3 2" xfId="3041"/>
    <cellStyle name="Dane wejściowe 2 3 3" xfId="4945"/>
    <cellStyle name="Dane wejściowe 2 4" xfId="635"/>
    <cellStyle name="Dane wejściowe 2 4 2" xfId="3042"/>
    <cellStyle name="Dane wejściowe 2 4 3" xfId="4946"/>
    <cellStyle name="Dane wejściowe 2 5" xfId="636"/>
    <cellStyle name="Dane wejściowe 2 5 2" xfId="3043"/>
    <cellStyle name="Dane wejściowe 2 5 3" xfId="4947"/>
    <cellStyle name="Dane wejściowe 2 6" xfId="637"/>
    <cellStyle name="Dane wejściowe 2 6 2" xfId="3044"/>
    <cellStyle name="Dane wejściowe 2 6 3" xfId="4948"/>
    <cellStyle name="Dane wejściowe 2 7" xfId="638"/>
    <cellStyle name="Dane wejściowe 2 7 2" xfId="3045"/>
    <cellStyle name="Dane wejściowe 2 7 3" xfId="4949"/>
    <cellStyle name="Dane wejściowe 2 8" xfId="639"/>
    <cellStyle name="Dane wejściowe 2 8 2" xfId="3046"/>
    <cellStyle name="Dane wejściowe 2 8 3" xfId="4950"/>
    <cellStyle name="Dane wejściowe 2 9" xfId="640"/>
    <cellStyle name="Dane wejściowe 2 9 2" xfId="3047"/>
    <cellStyle name="Dane wejściowe 2 9 3" xfId="4951"/>
    <cellStyle name="Dane wejściowe 20" xfId="641"/>
    <cellStyle name="Dane wejściowe 20 2" xfId="3048"/>
    <cellStyle name="Dane wejściowe 20 3" xfId="4952"/>
    <cellStyle name="Dane wejściowe 21" xfId="642"/>
    <cellStyle name="Dane wejściowe 21 2" xfId="3049"/>
    <cellStyle name="Dane wejściowe 21 3" xfId="4953"/>
    <cellStyle name="Dane wejściowe 22" xfId="643"/>
    <cellStyle name="Dane wejściowe 22 2" xfId="3050"/>
    <cellStyle name="Dane wejściowe 22 3" xfId="4954"/>
    <cellStyle name="Dane wejściowe 23" xfId="644"/>
    <cellStyle name="Dane wejściowe 23 2" xfId="3051"/>
    <cellStyle name="Dane wejściowe 23 3" xfId="4955"/>
    <cellStyle name="Dane wejściowe 24" xfId="645"/>
    <cellStyle name="Dane wejściowe 24 2" xfId="3052"/>
    <cellStyle name="Dane wejściowe 24 3" xfId="4956"/>
    <cellStyle name="Dane wejściowe 25" xfId="646"/>
    <cellStyle name="Dane wejściowe 25 2" xfId="3053"/>
    <cellStyle name="Dane wejściowe 25 3" xfId="4957"/>
    <cellStyle name="Dane wejściowe 26" xfId="3014"/>
    <cellStyle name="Dane wejściowe 27" xfId="4918"/>
    <cellStyle name="Dane wejściowe 3" xfId="647"/>
    <cellStyle name="Dane wejściowe 3 10" xfId="648"/>
    <cellStyle name="Dane wejściowe 3 10 2" xfId="3055"/>
    <cellStyle name="Dane wejściowe 3 10 3" xfId="4959"/>
    <cellStyle name="Dane wejściowe 3 11" xfId="649"/>
    <cellStyle name="Dane wejściowe 3 11 2" xfId="3056"/>
    <cellStyle name="Dane wejściowe 3 11 3" xfId="4960"/>
    <cellStyle name="Dane wejściowe 3 12" xfId="650"/>
    <cellStyle name="Dane wejściowe 3 12 2" xfId="3057"/>
    <cellStyle name="Dane wejściowe 3 12 3" xfId="4961"/>
    <cellStyle name="Dane wejściowe 3 13" xfId="651"/>
    <cellStyle name="Dane wejściowe 3 13 2" xfId="3058"/>
    <cellStyle name="Dane wejściowe 3 13 3" xfId="4962"/>
    <cellStyle name="Dane wejściowe 3 14" xfId="652"/>
    <cellStyle name="Dane wejściowe 3 14 2" xfId="3059"/>
    <cellStyle name="Dane wejściowe 3 14 3" xfId="4963"/>
    <cellStyle name="Dane wejściowe 3 15" xfId="653"/>
    <cellStyle name="Dane wejściowe 3 15 2" xfId="3060"/>
    <cellStyle name="Dane wejściowe 3 15 3" xfId="4964"/>
    <cellStyle name="Dane wejściowe 3 16" xfId="654"/>
    <cellStyle name="Dane wejściowe 3 16 2" xfId="3061"/>
    <cellStyle name="Dane wejściowe 3 16 3" xfId="4965"/>
    <cellStyle name="Dane wejściowe 3 17" xfId="655"/>
    <cellStyle name="Dane wejściowe 3 17 2" xfId="3062"/>
    <cellStyle name="Dane wejściowe 3 17 3" xfId="4966"/>
    <cellStyle name="Dane wejściowe 3 18" xfId="656"/>
    <cellStyle name="Dane wejściowe 3 18 2" xfId="3063"/>
    <cellStyle name="Dane wejściowe 3 18 3" xfId="4967"/>
    <cellStyle name="Dane wejściowe 3 19" xfId="657"/>
    <cellStyle name="Dane wejściowe 3 19 2" xfId="3064"/>
    <cellStyle name="Dane wejściowe 3 19 3" xfId="4968"/>
    <cellStyle name="Dane wejściowe 3 2" xfId="658"/>
    <cellStyle name="Dane wejściowe 3 2 2" xfId="3065"/>
    <cellStyle name="Dane wejściowe 3 2 3" xfId="4969"/>
    <cellStyle name="Dane wejściowe 3 20" xfId="659"/>
    <cellStyle name="Dane wejściowe 3 20 2" xfId="3066"/>
    <cellStyle name="Dane wejściowe 3 20 3" xfId="4970"/>
    <cellStyle name="Dane wejściowe 3 21" xfId="660"/>
    <cellStyle name="Dane wejściowe 3 21 2" xfId="3067"/>
    <cellStyle name="Dane wejściowe 3 21 3" xfId="4971"/>
    <cellStyle name="Dane wejściowe 3 22" xfId="661"/>
    <cellStyle name="Dane wejściowe 3 22 2" xfId="3068"/>
    <cellStyle name="Dane wejściowe 3 22 3" xfId="4972"/>
    <cellStyle name="Dane wejściowe 3 23" xfId="662"/>
    <cellStyle name="Dane wejściowe 3 23 2" xfId="3069"/>
    <cellStyle name="Dane wejściowe 3 23 3" xfId="4973"/>
    <cellStyle name="Dane wejściowe 3 24" xfId="3054"/>
    <cellStyle name="Dane wejściowe 3 25" xfId="4958"/>
    <cellStyle name="Dane wejściowe 3 3" xfId="663"/>
    <cellStyle name="Dane wejściowe 3 3 2" xfId="3070"/>
    <cellStyle name="Dane wejściowe 3 3 3" xfId="4974"/>
    <cellStyle name="Dane wejściowe 3 4" xfId="664"/>
    <cellStyle name="Dane wejściowe 3 4 2" xfId="3071"/>
    <cellStyle name="Dane wejściowe 3 4 3" xfId="4975"/>
    <cellStyle name="Dane wejściowe 3 5" xfId="665"/>
    <cellStyle name="Dane wejściowe 3 5 2" xfId="3072"/>
    <cellStyle name="Dane wejściowe 3 5 3" xfId="4976"/>
    <cellStyle name="Dane wejściowe 3 6" xfId="666"/>
    <cellStyle name="Dane wejściowe 3 6 2" xfId="3073"/>
    <cellStyle name="Dane wejściowe 3 6 3" xfId="4977"/>
    <cellStyle name="Dane wejściowe 3 7" xfId="667"/>
    <cellStyle name="Dane wejściowe 3 7 2" xfId="3074"/>
    <cellStyle name="Dane wejściowe 3 7 3" xfId="4978"/>
    <cellStyle name="Dane wejściowe 3 8" xfId="668"/>
    <cellStyle name="Dane wejściowe 3 8 2" xfId="3075"/>
    <cellStyle name="Dane wejściowe 3 8 3" xfId="4979"/>
    <cellStyle name="Dane wejściowe 3 9" xfId="669"/>
    <cellStyle name="Dane wejściowe 3 9 2" xfId="3076"/>
    <cellStyle name="Dane wejściowe 3 9 3" xfId="4980"/>
    <cellStyle name="Dane wejściowe 4" xfId="670"/>
    <cellStyle name="Dane wejściowe 4 2" xfId="3077"/>
    <cellStyle name="Dane wejściowe 4 3" xfId="4981"/>
    <cellStyle name="Dane wejściowe 5" xfId="671"/>
    <cellStyle name="Dane wejściowe 5 2" xfId="3078"/>
    <cellStyle name="Dane wejściowe 5 3" xfId="4982"/>
    <cellStyle name="Dane wejściowe 6" xfId="672"/>
    <cellStyle name="Dane wejściowe 6 2" xfId="3079"/>
    <cellStyle name="Dane wejściowe 6 3" xfId="4983"/>
    <cellStyle name="Dane wejściowe 7" xfId="673"/>
    <cellStyle name="Dane wejściowe 7 2" xfId="3080"/>
    <cellStyle name="Dane wejściowe 7 3" xfId="4984"/>
    <cellStyle name="Dane wejściowe 8" xfId="674"/>
    <cellStyle name="Dane wejściowe 8 2" xfId="3081"/>
    <cellStyle name="Dane wejściowe 8 3" xfId="4985"/>
    <cellStyle name="Dane wejściowe 9" xfId="675"/>
    <cellStyle name="Dane wejściowe 9 2" xfId="3082"/>
    <cellStyle name="Dane wejściowe 9 3" xfId="4986"/>
    <cellStyle name="Dane wyjściowe" xfId="676"/>
    <cellStyle name="Dane wyjściowe 10" xfId="677"/>
    <cellStyle name="Dane wyjściowe 10 2" xfId="3084"/>
    <cellStyle name="Dane wyjściowe 10 3" xfId="4988"/>
    <cellStyle name="Dane wyjściowe 11" xfId="678"/>
    <cellStyle name="Dane wyjściowe 11 2" xfId="3085"/>
    <cellStyle name="Dane wyjściowe 11 3" xfId="4989"/>
    <cellStyle name="Dane wyjściowe 12" xfId="679"/>
    <cellStyle name="Dane wyjściowe 12 2" xfId="3086"/>
    <cellStyle name="Dane wyjściowe 12 3" xfId="4990"/>
    <cellStyle name="Dane wyjściowe 13" xfId="680"/>
    <cellStyle name="Dane wyjściowe 13 2" xfId="3087"/>
    <cellStyle name="Dane wyjściowe 13 3" xfId="4991"/>
    <cellStyle name="Dane wyjściowe 14" xfId="681"/>
    <cellStyle name="Dane wyjściowe 14 2" xfId="3088"/>
    <cellStyle name="Dane wyjściowe 14 3" xfId="4992"/>
    <cellStyle name="Dane wyjściowe 15" xfId="682"/>
    <cellStyle name="Dane wyjściowe 15 2" xfId="3089"/>
    <cellStyle name="Dane wyjściowe 15 3" xfId="4993"/>
    <cellStyle name="Dane wyjściowe 16" xfId="683"/>
    <cellStyle name="Dane wyjściowe 16 2" xfId="3090"/>
    <cellStyle name="Dane wyjściowe 16 3" xfId="4994"/>
    <cellStyle name="Dane wyjściowe 17" xfId="684"/>
    <cellStyle name="Dane wyjściowe 17 2" xfId="3091"/>
    <cellStyle name="Dane wyjściowe 17 3" xfId="4995"/>
    <cellStyle name="Dane wyjściowe 18" xfId="685"/>
    <cellStyle name="Dane wyjściowe 18 2" xfId="3092"/>
    <cellStyle name="Dane wyjściowe 18 3" xfId="4996"/>
    <cellStyle name="Dane wyjściowe 19" xfId="686"/>
    <cellStyle name="Dane wyjściowe 19 2" xfId="3093"/>
    <cellStyle name="Dane wyjściowe 19 3" xfId="4997"/>
    <cellStyle name="Dane wyjściowe 2" xfId="687"/>
    <cellStyle name="Dane wyjściowe 2 10" xfId="688"/>
    <cellStyle name="Dane wyjściowe 2 10 2" xfId="3095"/>
    <cellStyle name="Dane wyjściowe 2 10 3" xfId="4999"/>
    <cellStyle name="Dane wyjściowe 2 11" xfId="689"/>
    <cellStyle name="Dane wyjściowe 2 11 2" xfId="3096"/>
    <cellStyle name="Dane wyjściowe 2 11 3" xfId="5000"/>
    <cellStyle name="Dane wyjściowe 2 12" xfId="690"/>
    <cellStyle name="Dane wyjściowe 2 12 2" xfId="3097"/>
    <cellStyle name="Dane wyjściowe 2 12 3" xfId="5001"/>
    <cellStyle name="Dane wyjściowe 2 13" xfId="691"/>
    <cellStyle name="Dane wyjściowe 2 13 2" xfId="3098"/>
    <cellStyle name="Dane wyjściowe 2 13 3" xfId="5002"/>
    <cellStyle name="Dane wyjściowe 2 14" xfId="692"/>
    <cellStyle name="Dane wyjściowe 2 14 2" xfId="3099"/>
    <cellStyle name="Dane wyjściowe 2 14 3" xfId="5003"/>
    <cellStyle name="Dane wyjściowe 2 15" xfId="693"/>
    <cellStyle name="Dane wyjściowe 2 15 2" xfId="3100"/>
    <cellStyle name="Dane wyjściowe 2 15 3" xfId="5004"/>
    <cellStyle name="Dane wyjściowe 2 16" xfId="694"/>
    <cellStyle name="Dane wyjściowe 2 16 2" xfId="3101"/>
    <cellStyle name="Dane wyjściowe 2 16 3" xfId="5005"/>
    <cellStyle name="Dane wyjściowe 2 17" xfId="695"/>
    <cellStyle name="Dane wyjściowe 2 17 2" xfId="3102"/>
    <cellStyle name="Dane wyjściowe 2 17 3" xfId="5006"/>
    <cellStyle name="Dane wyjściowe 2 18" xfId="696"/>
    <cellStyle name="Dane wyjściowe 2 18 2" xfId="3103"/>
    <cellStyle name="Dane wyjściowe 2 18 3" xfId="5007"/>
    <cellStyle name="Dane wyjściowe 2 19" xfId="697"/>
    <cellStyle name="Dane wyjściowe 2 19 2" xfId="3104"/>
    <cellStyle name="Dane wyjściowe 2 19 3" xfId="5008"/>
    <cellStyle name="Dane wyjściowe 2 2" xfId="698"/>
    <cellStyle name="Dane wyjściowe 2 2 2" xfId="3105"/>
    <cellStyle name="Dane wyjściowe 2 2 3" xfId="5009"/>
    <cellStyle name="Dane wyjściowe 2 20" xfId="699"/>
    <cellStyle name="Dane wyjściowe 2 20 2" xfId="3106"/>
    <cellStyle name="Dane wyjściowe 2 20 3" xfId="5010"/>
    <cellStyle name="Dane wyjściowe 2 21" xfId="700"/>
    <cellStyle name="Dane wyjściowe 2 21 2" xfId="3107"/>
    <cellStyle name="Dane wyjściowe 2 21 3" xfId="5011"/>
    <cellStyle name="Dane wyjściowe 2 22" xfId="701"/>
    <cellStyle name="Dane wyjściowe 2 22 2" xfId="3108"/>
    <cellStyle name="Dane wyjściowe 2 22 3" xfId="5012"/>
    <cellStyle name="Dane wyjściowe 2 23" xfId="702"/>
    <cellStyle name="Dane wyjściowe 2 23 2" xfId="3109"/>
    <cellStyle name="Dane wyjściowe 2 23 3" xfId="5013"/>
    <cellStyle name="Dane wyjściowe 2 24" xfId="3094"/>
    <cellStyle name="Dane wyjściowe 2 25" xfId="4998"/>
    <cellStyle name="Dane wyjściowe 2 3" xfId="703"/>
    <cellStyle name="Dane wyjściowe 2 3 2" xfId="3110"/>
    <cellStyle name="Dane wyjściowe 2 3 3" xfId="5014"/>
    <cellStyle name="Dane wyjściowe 2 4" xfId="704"/>
    <cellStyle name="Dane wyjściowe 2 4 2" xfId="3111"/>
    <cellStyle name="Dane wyjściowe 2 4 3" xfId="5015"/>
    <cellStyle name="Dane wyjściowe 2 5" xfId="705"/>
    <cellStyle name="Dane wyjściowe 2 5 2" xfId="3112"/>
    <cellStyle name="Dane wyjściowe 2 5 3" xfId="5016"/>
    <cellStyle name="Dane wyjściowe 2 6" xfId="706"/>
    <cellStyle name="Dane wyjściowe 2 6 2" xfId="3113"/>
    <cellStyle name="Dane wyjściowe 2 6 3" xfId="5017"/>
    <cellStyle name="Dane wyjściowe 2 7" xfId="707"/>
    <cellStyle name="Dane wyjściowe 2 7 2" xfId="3114"/>
    <cellStyle name="Dane wyjściowe 2 7 3" xfId="5018"/>
    <cellStyle name="Dane wyjściowe 2 8" xfId="708"/>
    <cellStyle name="Dane wyjściowe 2 8 2" xfId="3115"/>
    <cellStyle name="Dane wyjściowe 2 8 3" xfId="5019"/>
    <cellStyle name="Dane wyjściowe 2 9" xfId="709"/>
    <cellStyle name="Dane wyjściowe 2 9 2" xfId="3116"/>
    <cellStyle name="Dane wyjściowe 2 9 3" xfId="5020"/>
    <cellStyle name="Dane wyjściowe 20" xfId="710"/>
    <cellStyle name="Dane wyjściowe 20 2" xfId="3117"/>
    <cellStyle name="Dane wyjściowe 20 3" xfId="5021"/>
    <cellStyle name="Dane wyjściowe 21" xfId="711"/>
    <cellStyle name="Dane wyjściowe 21 2" xfId="3118"/>
    <cellStyle name="Dane wyjściowe 21 3" xfId="5022"/>
    <cellStyle name="Dane wyjściowe 22" xfId="712"/>
    <cellStyle name="Dane wyjściowe 22 2" xfId="3119"/>
    <cellStyle name="Dane wyjściowe 22 3" xfId="5023"/>
    <cellStyle name="Dane wyjściowe 23" xfId="713"/>
    <cellStyle name="Dane wyjściowe 23 2" xfId="3120"/>
    <cellStyle name="Dane wyjściowe 23 3" xfId="5024"/>
    <cellStyle name="Dane wyjściowe 24" xfId="714"/>
    <cellStyle name="Dane wyjściowe 24 2" xfId="3121"/>
    <cellStyle name="Dane wyjściowe 24 3" xfId="5025"/>
    <cellStyle name="Dane wyjściowe 25" xfId="715"/>
    <cellStyle name="Dane wyjściowe 25 2" xfId="3122"/>
    <cellStyle name="Dane wyjściowe 25 3" xfId="5026"/>
    <cellStyle name="Dane wyjściowe 26" xfId="3083"/>
    <cellStyle name="Dane wyjściowe 27" xfId="4987"/>
    <cellStyle name="Dane wyjściowe 3" xfId="716"/>
    <cellStyle name="Dane wyjściowe 3 10" xfId="717"/>
    <cellStyle name="Dane wyjściowe 3 10 2" xfId="3124"/>
    <cellStyle name="Dane wyjściowe 3 10 3" xfId="5028"/>
    <cellStyle name="Dane wyjściowe 3 11" xfId="718"/>
    <cellStyle name="Dane wyjściowe 3 11 2" xfId="3125"/>
    <cellStyle name="Dane wyjściowe 3 11 3" xfId="5029"/>
    <cellStyle name="Dane wyjściowe 3 12" xfId="719"/>
    <cellStyle name="Dane wyjściowe 3 12 2" xfId="3126"/>
    <cellStyle name="Dane wyjściowe 3 12 3" xfId="5030"/>
    <cellStyle name="Dane wyjściowe 3 13" xfId="720"/>
    <cellStyle name="Dane wyjściowe 3 13 2" xfId="3127"/>
    <cellStyle name="Dane wyjściowe 3 13 3" xfId="5031"/>
    <cellStyle name="Dane wyjściowe 3 14" xfId="721"/>
    <cellStyle name="Dane wyjściowe 3 14 2" xfId="3128"/>
    <cellStyle name="Dane wyjściowe 3 14 3" xfId="5032"/>
    <cellStyle name="Dane wyjściowe 3 15" xfId="722"/>
    <cellStyle name="Dane wyjściowe 3 15 2" xfId="3129"/>
    <cellStyle name="Dane wyjściowe 3 15 3" xfId="5033"/>
    <cellStyle name="Dane wyjściowe 3 16" xfId="723"/>
    <cellStyle name="Dane wyjściowe 3 16 2" xfId="3130"/>
    <cellStyle name="Dane wyjściowe 3 16 3" xfId="5034"/>
    <cellStyle name="Dane wyjściowe 3 17" xfId="724"/>
    <cellStyle name="Dane wyjściowe 3 17 2" xfId="3131"/>
    <cellStyle name="Dane wyjściowe 3 17 3" xfId="5035"/>
    <cellStyle name="Dane wyjściowe 3 18" xfId="725"/>
    <cellStyle name="Dane wyjściowe 3 18 2" xfId="3132"/>
    <cellStyle name="Dane wyjściowe 3 18 3" xfId="5036"/>
    <cellStyle name="Dane wyjściowe 3 19" xfId="726"/>
    <cellStyle name="Dane wyjściowe 3 19 2" xfId="3133"/>
    <cellStyle name="Dane wyjściowe 3 19 3" xfId="5037"/>
    <cellStyle name="Dane wyjściowe 3 2" xfId="727"/>
    <cellStyle name="Dane wyjściowe 3 2 2" xfId="3134"/>
    <cellStyle name="Dane wyjściowe 3 2 3" xfId="5038"/>
    <cellStyle name="Dane wyjściowe 3 20" xfId="728"/>
    <cellStyle name="Dane wyjściowe 3 20 2" xfId="3135"/>
    <cellStyle name="Dane wyjściowe 3 20 3" xfId="5039"/>
    <cellStyle name="Dane wyjściowe 3 21" xfId="729"/>
    <cellStyle name="Dane wyjściowe 3 21 2" xfId="3136"/>
    <cellStyle name="Dane wyjściowe 3 21 3" xfId="5040"/>
    <cellStyle name="Dane wyjściowe 3 22" xfId="730"/>
    <cellStyle name="Dane wyjściowe 3 22 2" xfId="3137"/>
    <cellStyle name="Dane wyjściowe 3 22 3" xfId="5041"/>
    <cellStyle name="Dane wyjściowe 3 23" xfId="731"/>
    <cellStyle name="Dane wyjściowe 3 23 2" xfId="3138"/>
    <cellStyle name="Dane wyjściowe 3 23 3" xfId="5042"/>
    <cellStyle name="Dane wyjściowe 3 24" xfId="3123"/>
    <cellStyle name="Dane wyjściowe 3 25" xfId="5027"/>
    <cellStyle name="Dane wyjściowe 3 3" xfId="732"/>
    <cellStyle name="Dane wyjściowe 3 3 2" xfId="3139"/>
    <cellStyle name="Dane wyjściowe 3 3 3" xfId="5043"/>
    <cellStyle name="Dane wyjściowe 3 4" xfId="733"/>
    <cellStyle name="Dane wyjściowe 3 4 2" xfId="3140"/>
    <cellStyle name="Dane wyjściowe 3 4 3" xfId="5044"/>
    <cellStyle name="Dane wyjściowe 3 5" xfId="734"/>
    <cellStyle name="Dane wyjściowe 3 5 2" xfId="3141"/>
    <cellStyle name="Dane wyjściowe 3 5 3" xfId="5045"/>
    <cellStyle name="Dane wyjściowe 3 6" xfId="735"/>
    <cellStyle name="Dane wyjściowe 3 6 2" xfId="3142"/>
    <cellStyle name="Dane wyjściowe 3 6 3" xfId="5046"/>
    <cellStyle name="Dane wyjściowe 3 7" xfId="736"/>
    <cellStyle name="Dane wyjściowe 3 7 2" xfId="3143"/>
    <cellStyle name="Dane wyjściowe 3 7 3" xfId="5047"/>
    <cellStyle name="Dane wyjściowe 3 8" xfId="737"/>
    <cellStyle name="Dane wyjściowe 3 8 2" xfId="3144"/>
    <cellStyle name="Dane wyjściowe 3 8 3" xfId="5048"/>
    <cellStyle name="Dane wyjściowe 3 9" xfId="738"/>
    <cellStyle name="Dane wyjściowe 3 9 2" xfId="3145"/>
    <cellStyle name="Dane wyjściowe 3 9 3" xfId="5049"/>
    <cellStyle name="Dane wyjściowe 4" xfId="739"/>
    <cellStyle name="Dane wyjściowe 4 2" xfId="3146"/>
    <cellStyle name="Dane wyjściowe 4 3" xfId="5050"/>
    <cellStyle name="Dane wyjściowe 5" xfId="740"/>
    <cellStyle name="Dane wyjściowe 5 2" xfId="3147"/>
    <cellStyle name="Dane wyjściowe 5 3" xfId="5051"/>
    <cellStyle name="Dane wyjściowe 6" xfId="741"/>
    <cellStyle name="Dane wyjściowe 6 2" xfId="3148"/>
    <cellStyle name="Dane wyjściowe 6 3" xfId="5052"/>
    <cellStyle name="Dane wyjściowe 7" xfId="742"/>
    <cellStyle name="Dane wyjściowe 7 2" xfId="3149"/>
    <cellStyle name="Dane wyjściowe 7 3" xfId="5053"/>
    <cellStyle name="Dane wyjściowe 8" xfId="743"/>
    <cellStyle name="Dane wyjściowe 8 2" xfId="3150"/>
    <cellStyle name="Dane wyjściowe 8 3" xfId="5054"/>
    <cellStyle name="Dane wyjściowe 9" xfId="744"/>
    <cellStyle name="Dane wyjściowe 9 2" xfId="3151"/>
    <cellStyle name="Dane wyjściowe 9 3" xfId="5055"/>
    <cellStyle name="Date" xfId="745"/>
    <cellStyle name="Dobre" xfId="746"/>
    <cellStyle name="Explanatory Text" xfId="33" builtinId="53" customBuiltin="1"/>
    <cellStyle name="Explanatory Text 2" xfId="747"/>
    <cellStyle name="Explanatory Text 3" xfId="4757"/>
    <cellStyle name="FirstTableHeader" xfId="81"/>
    <cellStyle name="Fixed" xfId="748"/>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Good" xfId="34" builtinId="26" customBuiltin="1"/>
    <cellStyle name="Good 2" xfId="749"/>
    <cellStyle name="Good 2 2" xfId="750"/>
    <cellStyle name="Good 3" xfId="4747"/>
    <cellStyle name="Heading 1" xfId="35" builtinId="16" customBuiltin="1"/>
    <cellStyle name="Heading 1 2" xfId="751"/>
    <cellStyle name="Heading 1 2 2" xfId="752"/>
    <cellStyle name="Heading 1 3" xfId="4743"/>
    <cellStyle name="Heading 2" xfId="36" builtinId="17" customBuiltin="1"/>
    <cellStyle name="Heading 2 2" xfId="753"/>
    <cellStyle name="Heading 2 2 2" xfId="754"/>
    <cellStyle name="Heading 2 3" xfId="4744"/>
    <cellStyle name="Heading 3" xfId="37" builtinId="18" customBuiltin="1"/>
    <cellStyle name="Heading 3 2" xfId="755"/>
    <cellStyle name="Heading 3 2 2" xfId="756"/>
    <cellStyle name="Heading 3 2 3" xfId="757"/>
    <cellStyle name="Heading 3 2 4" xfId="758"/>
    <cellStyle name="Heading 3 2 5" xfId="759"/>
    <cellStyle name="Heading 3 2 6" xfId="760"/>
    <cellStyle name="Heading 3 2 7" xfId="761"/>
    <cellStyle name="Heading 3 3" xfId="4745"/>
    <cellStyle name="Heading 4" xfId="38" builtinId="19" customBuiltin="1"/>
    <cellStyle name="Heading 4 2" xfId="762"/>
    <cellStyle name="Heading 4 3" xfId="4746"/>
    <cellStyle name="Hyperlink" xfId="2445" builtinId="8"/>
    <cellStyle name="Hyperlink 2" xfId="763"/>
    <cellStyle name="Hyperlink 2 2" xfId="764"/>
    <cellStyle name="Hyperlink 3" xfId="765"/>
    <cellStyle name="Hyperlink 4" xfId="2444"/>
    <cellStyle name="Hyperlink 5" xfId="4732"/>
    <cellStyle name="Input" xfId="39" builtinId="20" customBuiltin="1"/>
    <cellStyle name="Input 2" xfId="766"/>
    <cellStyle name="Input 2 10" xfId="767"/>
    <cellStyle name="Input 2 10 10" xfId="768"/>
    <cellStyle name="Input 2 10 10 2" xfId="3160"/>
    <cellStyle name="Input 2 10 10 3" xfId="5058"/>
    <cellStyle name="Input 2 10 11" xfId="769"/>
    <cellStyle name="Input 2 10 11 2" xfId="3161"/>
    <cellStyle name="Input 2 10 11 3" xfId="5059"/>
    <cellStyle name="Input 2 10 12" xfId="770"/>
    <cellStyle name="Input 2 10 12 2" xfId="3162"/>
    <cellStyle name="Input 2 10 12 3" xfId="5060"/>
    <cellStyle name="Input 2 10 13" xfId="771"/>
    <cellStyle name="Input 2 10 13 2" xfId="3163"/>
    <cellStyle name="Input 2 10 13 3" xfId="5061"/>
    <cellStyle name="Input 2 10 14" xfId="772"/>
    <cellStyle name="Input 2 10 14 2" xfId="3164"/>
    <cellStyle name="Input 2 10 14 3" xfId="5062"/>
    <cellStyle name="Input 2 10 15" xfId="773"/>
    <cellStyle name="Input 2 10 15 2" xfId="3165"/>
    <cellStyle name="Input 2 10 15 3" xfId="5063"/>
    <cellStyle name="Input 2 10 16" xfId="774"/>
    <cellStyle name="Input 2 10 16 2" xfId="3166"/>
    <cellStyle name="Input 2 10 16 3" xfId="5064"/>
    <cellStyle name="Input 2 10 17" xfId="775"/>
    <cellStyle name="Input 2 10 17 2" xfId="3167"/>
    <cellStyle name="Input 2 10 17 3" xfId="5065"/>
    <cellStyle name="Input 2 10 18" xfId="776"/>
    <cellStyle name="Input 2 10 18 2" xfId="3168"/>
    <cellStyle name="Input 2 10 18 3" xfId="5066"/>
    <cellStyle name="Input 2 10 19" xfId="777"/>
    <cellStyle name="Input 2 10 19 2" xfId="3169"/>
    <cellStyle name="Input 2 10 19 3" xfId="5067"/>
    <cellStyle name="Input 2 10 2" xfId="778"/>
    <cellStyle name="Input 2 10 2 2" xfId="3170"/>
    <cellStyle name="Input 2 10 2 3" xfId="5068"/>
    <cellStyle name="Input 2 10 20" xfId="779"/>
    <cellStyle name="Input 2 10 20 2" xfId="3171"/>
    <cellStyle name="Input 2 10 20 3" xfId="5069"/>
    <cellStyle name="Input 2 10 21" xfId="780"/>
    <cellStyle name="Input 2 10 21 2" xfId="3172"/>
    <cellStyle name="Input 2 10 21 3" xfId="5070"/>
    <cellStyle name="Input 2 10 22" xfId="781"/>
    <cellStyle name="Input 2 10 22 2" xfId="3173"/>
    <cellStyle name="Input 2 10 22 3" xfId="5071"/>
    <cellStyle name="Input 2 10 23" xfId="782"/>
    <cellStyle name="Input 2 10 23 2" xfId="3174"/>
    <cellStyle name="Input 2 10 23 3" xfId="5072"/>
    <cellStyle name="Input 2 10 24" xfId="3159"/>
    <cellStyle name="Input 2 10 25" xfId="5057"/>
    <cellStyle name="Input 2 10 3" xfId="783"/>
    <cellStyle name="Input 2 10 3 2" xfId="3175"/>
    <cellStyle name="Input 2 10 3 3" xfId="5073"/>
    <cellStyle name="Input 2 10 4" xfId="784"/>
    <cellStyle name="Input 2 10 4 2" xfId="3176"/>
    <cellStyle name="Input 2 10 4 3" xfId="5074"/>
    <cellStyle name="Input 2 10 5" xfId="785"/>
    <cellStyle name="Input 2 10 5 2" xfId="3177"/>
    <cellStyle name="Input 2 10 5 3" xfId="5075"/>
    <cellStyle name="Input 2 10 6" xfId="786"/>
    <cellStyle name="Input 2 10 6 2" xfId="3178"/>
    <cellStyle name="Input 2 10 6 3" xfId="5076"/>
    <cellStyle name="Input 2 10 7" xfId="787"/>
    <cellStyle name="Input 2 10 7 2" xfId="3179"/>
    <cellStyle name="Input 2 10 7 3" xfId="5077"/>
    <cellStyle name="Input 2 10 8" xfId="788"/>
    <cellStyle name="Input 2 10 8 2" xfId="3180"/>
    <cellStyle name="Input 2 10 8 3" xfId="5078"/>
    <cellStyle name="Input 2 10 9" xfId="789"/>
    <cellStyle name="Input 2 10 9 2" xfId="3181"/>
    <cellStyle name="Input 2 10 9 3" xfId="5079"/>
    <cellStyle name="Input 2 11" xfId="790"/>
    <cellStyle name="Input 2 11 10" xfId="791"/>
    <cellStyle name="Input 2 11 10 2" xfId="3183"/>
    <cellStyle name="Input 2 11 10 3" xfId="5081"/>
    <cellStyle name="Input 2 11 11" xfId="792"/>
    <cellStyle name="Input 2 11 11 2" xfId="3184"/>
    <cellStyle name="Input 2 11 11 3" xfId="5082"/>
    <cellStyle name="Input 2 11 12" xfId="793"/>
    <cellStyle name="Input 2 11 12 2" xfId="3185"/>
    <cellStyle name="Input 2 11 12 3" xfId="5083"/>
    <cellStyle name="Input 2 11 13" xfId="794"/>
    <cellStyle name="Input 2 11 13 2" xfId="3186"/>
    <cellStyle name="Input 2 11 13 3" xfId="5084"/>
    <cellStyle name="Input 2 11 14" xfId="795"/>
    <cellStyle name="Input 2 11 14 2" xfId="3187"/>
    <cellStyle name="Input 2 11 14 3" xfId="5085"/>
    <cellStyle name="Input 2 11 15" xfId="796"/>
    <cellStyle name="Input 2 11 15 2" xfId="3188"/>
    <cellStyle name="Input 2 11 15 3" xfId="5086"/>
    <cellStyle name="Input 2 11 16" xfId="797"/>
    <cellStyle name="Input 2 11 16 2" xfId="3189"/>
    <cellStyle name="Input 2 11 16 3" xfId="5087"/>
    <cellStyle name="Input 2 11 17" xfId="798"/>
    <cellStyle name="Input 2 11 17 2" xfId="3190"/>
    <cellStyle name="Input 2 11 17 3" xfId="5088"/>
    <cellStyle name="Input 2 11 18" xfId="799"/>
    <cellStyle name="Input 2 11 18 2" xfId="3191"/>
    <cellStyle name="Input 2 11 18 3" xfId="5089"/>
    <cellStyle name="Input 2 11 19" xfId="800"/>
    <cellStyle name="Input 2 11 19 2" xfId="3192"/>
    <cellStyle name="Input 2 11 19 3" xfId="5090"/>
    <cellStyle name="Input 2 11 2" xfId="801"/>
    <cellStyle name="Input 2 11 2 2" xfId="3193"/>
    <cellStyle name="Input 2 11 2 3" xfId="5091"/>
    <cellStyle name="Input 2 11 20" xfId="802"/>
    <cellStyle name="Input 2 11 20 2" xfId="3194"/>
    <cellStyle name="Input 2 11 20 3" xfId="5092"/>
    <cellStyle name="Input 2 11 21" xfId="803"/>
    <cellStyle name="Input 2 11 21 2" xfId="3195"/>
    <cellStyle name="Input 2 11 21 3" xfId="5093"/>
    <cellStyle name="Input 2 11 22" xfId="804"/>
    <cellStyle name="Input 2 11 22 2" xfId="3196"/>
    <cellStyle name="Input 2 11 22 3" xfId="5094"/>
    <cellStyle name="Input 2 11 23" xfId="805"/>
    <cellStyle name="Input 2 11 23 2" xfId="3197"/>
    <cellStyle name="Input 2 11 23 3" xfId="5095"/>
    <cellStyle name="Input 2 11 24" xfId="3182"/>
    <cellStyle name="Input 2 11 25" xfId="5080"/>
    <cellStyle name="Input 2 11 3" xfId="806"/>
    <cellStyle name="Input 2 11 3 2" xfId="3198"/>
    <cellStyle name="Input 2 11 3 3" xfId="5096"/>
    <cellStyle name="Input 2 11 4" xfId="807"/>
    <cellStyle name="Input 2 11 4 2" xfId="3199"/>
    <cellStyle name="Input 2 11 4 3" xfId="5097"/>
    <cellStyle name="Input 2 11 5" xfId="808"/>
    <cellStyle name="Input 2 11 5 2" xfId="3200"/>
    <cellStyle name="Input 2 11 5 3" xfId="5098"/>
    <cellStyle name="Input 2 11 6" xfId="809"/>
    <cellStyle name="Input 2 11 6 2" xfId="3201"/>
    <cellStyle name="Input 2 11 6 3" xfId="5099"/>
    <cellStyle name="Input 2 11 7" xfId="810"/>
    <cellStyle name="Input 2 11 7 2" xfId="3202"/>
    <cellStyle name="Input 2 11 7 3" xfId="5100"/>
    <cellStyle name="Input 2 11 8" xfId="811"/>
    <cellStyle name="Input 2 11 8 2" xfId="3203"/>
    <cellStyle name="Input 2 11 8 3" xfId="5101"/>
    <cellStyle name="Input 2 11 9" xfId="812"/>
    <cellStyle name="Input 2 11 9 2" xfId="3204"/>
    <cellStyle name="Input 2 11 9 3" xfId="5102"/>
    <cellStyle name="Input 2 12" xfId="813"/>
    <cellStyle name="Input 2 12 10" xfId="814"/>
    <cellStyle name="Input 2 12 10 2" xfId="3206"/>
    <cellStyle name="Input 2 12 10 3" xfId="5104"/>
    <cellStyle name="Input 2 12 11" xfId="815"/>
    <cellStyle name="Input 2 12 11 2" xfId="3207"/>
    <cellStyle name="Input 2 12 11 3" xfId="5105"/>
    <cellStyle name="Input 2 12 12" xfId="816"/>
    <cellStyle name="Input 2 12 12 2" xfId="3208"/>
    <cellStyle name="Input 2 12 12 3" xfId="5106"/>
    <cellStyle name="Input 2 12 13" xfId="817"/>
    <cellStyle name="Input 2 12 13 2" xfId="3209"/>
    <cellStyle name="Input 2 12 13 3" xfId="5107"/>
    <cellStyle name="Input 2 12 14" xfId="818"/>
    <cellStyle name="Input 2 12 14 2" xfId="3210"/>
    <cellStyle name="Input 2 12 14 3" xfId="5108"/>
    <cellStyle name="Input 2 12 15" xfId="819"/>
    <cellStyle name="Input 2 12 15 2" xfId="3211"/>
    <cellStyle name="Input 2 12 15 3" xfId="5109"/>
    <cellStyle name="Input 2 12 16" xfId="820"/>
    <cellStyle name="Input 2 12 16 2" xfId="3212"/>
    <cellStyle name="Input 2 12 16 3" xfId="5110"/>
    <cellStyle name="Input 2 12 17" xfId="821"/>
    <cellStyle name="Input 2 12 17 2" xfId="3213"/>
    <cellStyle name="Input 2 12 17 3" xfId="5111"/>
    <cellStyle name="Input 2 12 18" xfId="822"/>
    <cellStyle name="Input 2 12 18 2" xfId="3214"/>
    <cellStyle name="Input 2 12 18 3" xfId="5112"/>
    <cellStyle name="Input 2 12 19" xfId="823"/>
    <cellStyle name="Input 2 12 19 2" xfId="3215"/>
    <cellStyle name="Input 2 12 19 3" xfId="5113"/>
    <cellStyle name="Input 2 12 2" xfId="824"/>
    <cellStyle name="Input 2 12 2 2" xfId="3216"/>
    <cellStyle name="Input 2 12 2 3" xfId="5114"/>
    <cellStyle name="Input 2 12 20" xfId="825"/>
    <cellStyle name="Input 2 12 20 2" xfId="3217"/>
    <cellStyle name="Input 2 12 20 3" xfId="5115"/>
    <cellStyle name="Input 2 12 21" xfId="826"/>
    <cellStyle name="Input 2 12 21 2" xfId="3218"/>
    <cellStyle name="Input 2 12 21 3" xfId="5116"/>
    <cellStyle name="Input 2 12 22" xfId="827"/>
    <cellStyle name="Input 2 12 22 2" xfId="3219"/>
    <cellStyle name="Input 2 12 22 3" xfId="5117"/>
    <cellStyle name="Input 2 12 23" xfId="828"/>
    <cellStyle name="Input 2 12 23 2" xfId="3220"/>
    <cellStyle name="Input 2 12 23 3" xfId="5118"/>
    <cellStyle name="Input 2 12 24" xfId="3205"/>
    <cellStyle name="Input 2 12 25" xfId="5103"/>
    <cellStyle name="Input 2 12 3" xfId="829"/>
    <cellStyle name="Input 2 12 3 2" xfId="3221"/>
    <cellStyle name="Input 2 12 3 3" xfId="5119"/>
    <cellStyle name="Input 2 12 4" xfId="830"/>
    <cellStyle name="Input 2 12 4 2" xfId="3222"/>
    <cellStyle name="Input 2 12 4 3" xfId="5120"/>
    <cellStyle name="Input 2 12 5" xfId="831"/>
    <cellStyle name="Input 2 12 5 2" xfId="3223"/>
    <cellStyle name="Input 2 12 5 3" xfId="5121"/>
    <cellStyle name="Input 2 12 6" xfId="832"/>
    <cellStyle name="Input 2 12 6 2" xfId="3224"/>
    <cellStyle name="Input 2 12 6 3" xfId="5122"/>
    <cellStyle name="Input 2 12 7" xfId="833"/>
    <cellStyle name="Input 2 12 7 2" xfId="3225"/>
    <cellStyle name="Input 2 12 7 3" xfId="5123"/>
    <cellStyle name="Input 2 12 8" xfId="834"/>
    <cellStyle name="Input 2 12 8 2" xfId="3226"/>
    <cellStyle name="Input 2 12 8 3" xfId="5124"/>
    <cellStyle name="Input 2 12 9" xfId="835"/>
    <cellStyle name="Input 2 12 9 2" xfId="3227"/>
    <cellStyle name="Input 2 12 9 3" xfId="5125"/>
    <cellStyle name="Input 2 13" xfId="836"/>
    <cellStyle name="Input 2 13 10" xfId="837"/>
    <cellStyle name="Input 2 13 10 2" xfId="3229"/>
    <cellStyle name="Input 2 13 10 3" xfId="5127"/>
    <cellStyle name="Input 2 13 11" xfId="838"/>
    <cellStyle name="Input 2 13 11 2" xfId="3230"/>
    <cellStyle name="Input 2 13 11 3" xfId="5128"/>
    <cellStyle name="Input 2 13 12" xfId="839"/>
    <cellStyle name="Input 2 13 12 2" xfId="3231"/>
    <cellStyle name="Input 2 13 12 3" xfId="5129"/>
    <cellStyle name="Input 2 13 13" xfId="840"/>
    <cellStyle name="Input 2 13 13 2" xfId="3232"/>
    <cellStyle name="Input 2 13 13 3" xfId="5130"/>
    <cellStyle name="Input 2 13 14" xfId="841"/>
    <cellStyle name="Input 2 13 14 2" xfId="3233"/>
    <cellStyle name="Input 2 13 14 3" xfId="5131"/>
    <cellStyle name="Input 2 13 15" xfId="842"/>
    <cellStyle name="Input 2 13 15 2" xfId="3234"/>
    <cellStyle name="Input 2 13 15 3" xfId="5132"/>
    <cellStyle name="Input 2 13 16" xfId="843"/>
    <cellStyle name="Input 2 13 16 2" xfId="3235"/>
    <cellStyle name="Input 2 13 16 3" xfId="5133"/>
    <cellStyle name="Input 2 13 17" xfId="844"/>
    <cellStyle name="Input 2 13 17 2" xfId="3236"/>
    <cellStyle name="Input 2 13 17 3" xfId="5134"/>
    <cellStyle name="Input 2 13 18" xfId="845"/>
    <cellStyle name="Input 2 13 18 2" xfId="3237"/>
    <cellStyle name="Input 2 13 18 3" xfId="5135"/>
    <cellStyle name="Input 2 13 19" xfId="846"/>
    <cellStyle name="Input 2 13 19 2" xfId="3238"/>
    <cellStyle name="Input 2 13 19 3" xfId="5136"/>
    <cellStyle name="Input 2 13 2" xfId="847"/>
    <cellStyle name="Input 2 13 2 2" xfId="3239"/>
    <cellStyle name="Input 2 13 2 3" xfId="5137"/>
    <cellStyle name="Input 2 13 20" xfId="848"/>
    <cellStyle name="Input 2 13 20 2" xfId="3240"/>
    <cellStyle name="Input 2 13 20 3" xfId="5138"/>
    <cellStyle name="Input 2 13 21" xfId="849"/>
    <cellStyle name="Input 2 13 21 2" xfId="3241"/>
    <cellStyle name="Input 2 13 21 3" xfId="5139"/>
    <cellStyle name="Input 2 13 22" xfId="850"/>
    <cellStyle name="Input 2 13 22 2" xfId="3242"/>
    <cellStyle name="Input 2 13 22 3" xfId="5140"/>
    <cellStyle name="Input 2 13 23" xfId="851"/>
    <cellStyle name="Input 2 13 23 2" xfId="3243"/>
    <cellStyle name="Input 2 13 23 3" xfId="5141"/>
    <cellStyle name="Input 2 13 24" xfId="3228"/>
    <cellStyle name="Input 2 13 25" xfId="5126"/>
    <cellStyle name="Input 2 13 3" xfId="852"/>
    <cellStyle name="Input 2 13 3 2" xfId="3244"/>
    <cellStyle name="Input 2 13 3 3" xfId="5142"/>
    <cellStyle name="Input 2 13 4" xfId="853"/>
    <cellStyle name="Input 2 13 4 2" xfId="3245"/>
    <cellStyle name="Input 2 13 4 3" xfId="5143"/>
    <cellStyle name="Input 2 13 5" xfId="854"/>
    <cellStyle name="Input 2 13 5 2" xfId="3246"/>
    <cellStyle name="Input 2 13 5 3" xfId="5144"/>
    <cellStyle name="Input 2 13 6" xfId="855"/>
    <cellStyle name="Input 2 13 6 2" xfId="3247"/>
    <cellStyle name="Input 2 13 6 3" xfId="5145"/>
    <cellStyle name="Input 2 13 7" xfId="856"/>
    <cellStyle name="Input 2 13 7 2" xfId="3248"/>
    <cellStyle name="Input 2 13 7 3" xfId="5146"/>
    <cellStyle name="Input 2 13 8" xfId="857"/>
    <cellStyle name="Input 2 13 8 2" xfId="3249"/>
    <cellStyle name="Input 2 13 8 3" xfId="5147"/>
    <cellStyle name="Input 2 13 9" xfId="858"/>
    <cellStyle name="Input 2 13 9 2" xfId="3250"/>
    <cellStyle name="Input 2 13 9 3" xfId="5148"/>
    <cellStyle name="Input 2 14" xfId="859"/>
    <cellStyle name="Input 2 14 10" xfId="860"/>
    <cellStyle name="Input 2 14 10 2" xfId="3252"/>
    <cellStyle name="Input 2 14 10 3" xfId="5150"/>
    <cellStyle name="Input 2 14 11" xfId="861"/>
    <cellStyle name="Input 2 14 11 2" xfId="3253"/>
    <cellStyle name="Input 2 14 11 3" xfId="5151"/>
    <cellStyle name="Input 2 14 12" xfId="862"/>
    <cellStyle name="Input 2 14 12 2" xfId="3254"/>
    <cellStyle name="Input 2 14 12 3" xfId="5152"/>
    <cellStyle name="Input 2 14 13" xfId="863"/>
    <cellStyle name="Input 2 14 13 2" xfId="3255"/>
    <cellStyle name="Input 2 14 13 3" xfId="5153"/>
    <cellStyle name="Input 2 14 14" xfId="864"/>
    <cellStyle name="Input 2 14 14 2" xfId="3256"/>
    <cellStyle name="Input 2 14 14 3" xfId="5154"/>
    <cellStyle name="Input 2 14 15" xfId="865"/>
    <cellStyle name="Input 2 14 15 2" xfId="3257"/>
    <cellStyle name="Input 2 14 15 3" xfId="5155"/>
    <cellStyle name="Input 2 14 16" xfId="866"/>
    <cellStyle name="Input 2 14 16 2" xfId="3258"/>
    <cellStyle name="Input 2 14 16 3" xfId="5156"/>
    <cellStyle name="Input 2 14 17" xfId="867"/>
    <cellStyle name="Input 2 14 17 2" xfId="3259"/>
    <cellStyle name="Input 2 14 17 3" xfId="5157"/>
    <cellStyle name="Input 2 14 18" xfId="868"/>
    <cellStyle name="Input 2 14 18 2" xfId="3260"/>
    <cellStyle name="Input 2 14 18 3" xfId="5158"/>
    <cellStyle name="Input 2 14 19" xfId="869"/>
    <cellStyle name="Input 2 14 19 2" xfId="3261"/>
    <cellStyle name="Input 2 14 19 3" xfId="5159"/>
    <cellStyle name="Input 2 14 2" xfId="870"/>
    <cellStyle name="Input 2 14 2 2" xfId="3262"/>
    <cellStyle name="Input 2 14 2 3" xfId="5160"/>
    <cellStyle name="Input 2 14 20" xfId="871"/>
    <cellStyle name="Input 2 14 20 2" xfId="3263"/>
    <cellStyle name="Input 2 14 20 3" xfId="5161"/>
    <cellStyle name="Input 2 14 21" xfId="872"/>
    <cellStyle name="Input 2 14 21 2" xfId="3264"/>
    <cellStyle name="Input 2 14 21 3" xfId="5162"/>
    <cellStyle name="Input 2 14 22" xfId="873"/>
    <cellStyle name="Input 2 14 22 2" xfId="3265"/>
    <cellStyle name="Input 2 14 22 3" xfId="5163"/>
    <cellStyle name="Input 2 14 23" xfId="874"/>
    <cellStyle name="Input 2 14 23 2" xfId="3266"/>
    <cellStyle name="Input 2 14 23 3" xfId="5164"/>
    <cellStyle name="Input 2 14 24" xfId="3251"/>
    <cellStyle name="Input 2 14 25" xfId="5149"/>
    <cellStyle name="Input 2 14 3" xfId="875"/>
    <cellStyle name="Input 2 14 3 2" xfId="3267"/>
    <cellStyle name="Input 2 14 3 3" xfId="5165"/>
    <cellStyle name="Input 2 14 4" xfId="876"/>
    <cellStyle name="Input 2 14 4 2" xfId="3268"/>
    <cellStyle name="Input 2 14 4 3" xfId="5166"/>
    <cellStyle name="Input 2 14 5" xfId="877"/>
    <cellStyle name="Input 2 14 5 2" xfId="3269"/>
    <cellStyle name="Input 2 14 5 3" xfId="5167"/>
    <cellStyle name="Input 2 14 6" xfId="878"/>
    <cellStyle name="Input 2 14 6 2" xfId="3270"/>
    <cellStyle name="Input 2 14 6 3" xfId="5168"/>
    <cellStyle name="Input 2 14 7" xfId="879"/>
    <cellStyle name="Input 2 14 7 2" xfId="3271"/>
    <cellStyle name="Input 2 14 7 3" xfId="5169"/>
    <cellStyle name="Input 2 14 8" xfId="880"/>
    <cellStyle name="Input 2 14 8 2" xfId="3272"/>
    <cellStyle name="Input 2 14 8 3" xfId="5170"/>
    <cellStyle name="Input 2 14 9" xfId="881"/>
    <cellStyle name="Input 2 14 9 2" xfId="3273"/>
    <cellStyle name="Input 2 14 9 3" xfId="5171"/>
    <cellStyle name="Input 2 15" xfId="882"/>
    <cellStyle name="Input 2 15 10" xfId="883"/>
    <cellStyle name="Input 2 15 10 2" xfId="3275"/>
    <cellStyle name="Input 2 15 10 3" xfId="5173"/>
    <cellStyle name="Input 2 15 11" xfId="884"/>
    <cellStyle name="Input 2 15 11 2" xfId="3276"/>
    <cellStyle name="Input 2 15 11 3" xfId="5174"/>
    <cellStyle name="Input 2 15 12" xfId="885"/>
    <cellStyle name="Input 2 15 12 2" xfId="3277"/>
    <cellStyle name="Input 2 15 12 3" xfId="5175"/>
    <cellStyle name="Input 2 15 13" xfId="886"/>
    <cellStyle name="Input 2 15 13 2" xfId="3278"/>
    <cellStyle name="Input 2 15 13 3" xfId="5176"/>
    <cellStyle name="Input 2 15 14" xfId="887"/>
    <cellStyle name="Input 2 15 14 2" xfId="3279"/>
    <cellStyle name="Input 2 15 14 3" xfId="5177"/>
    <cellStyle name="Input 2 15 15" xfId="888"/>
    <cellStyle name="Input 2 15 15 2" xfId="3280"/>
    <cellStyle name="Input 2 15 15 3" xfId="5178"/>
    <cellStyle name="Input 2 15 16" xfId="889"/>
    <cellStyle name="Input 2 15 16 2" xfId="3281"/>
    <cellStyle name="Input 2 15 16 3" xfId="5179"/>
    <cellStyle name="Input 2 15 17" xfId="890"/>
    <cellStyle name="Input 2 15 17 2" xfId="3282"/>
    <cellStyle name="Input 2 15 17 3" xfId="5180"/>
    <cellStyle name="Input 2 15 18" xfId="891"/>
    <cellStyle name="Input 2 15 18 2" xfId="3283"/>
    <cellStyle name="Input 2 15 18 3" xfId="5181"/>
    <cellStyle name="Input 2 15 19" xfId="892"/>
    <cellStyle name="Input 2 15 19 2" xfId="3284"/>
    <cellStyle name="Input 2 15 19 3" xfId="5182"/>
    <cellStyle name="Input 2 15 2" xfId="893"/>
    <cellStyle name="Input 2 15 2 2" xfId="3285"/>
    <cellStyle name="Input 2 15 2 3" xfId="5183"/>
    <cellStyle name="Input 2 15 20" xfId="894"/>
    <cellStyle name="Input 2 15 20 2" xfId="3286"/>
    <cellStyle name="Input 2 15 20 3" xfId="5184"/>
    <cellStyle name="Input 2 15 21" xfId="895"/>
    <cellStyle name="Input 2 15 21 2" xfId="3287"/>
    <cellStyle name="Input 2 15 21 3" xfId="5185"/>
    <cellStyle name="Input 2 15 22" xfId="896"/>
    <cellStyle name="Input 2 15 22 2" xfId="3288"/>
    <cellStyle name="Input 2 15 22 3" xfId="5186"/>
    <cellStyle name="Input 2 15 23" xfId="897"/>
    <cellStyle name="Input 2 15 23 2" xfId="3289"/>
    <cellStyle name="Input 2 15 23 3" xfId="5187"/>
    <cellStyle name="Input 2 15 24" xfId="3274"/>
    <cellStyle name="Input 2 15 25" xfId="5172"/>
    <cellStyle name="Input 2 15 3" xfId="898"/>
    <cellStyle name="Input 2 15 3 2" xfId="3290"/>
    <cellStyle name="Input 2 15 3 3" xfId="5188"/>
    <cellStyle name="Input 2 15 4" xfId="899"/>
    <cellStyle name="Input 2 15 4 2" xfId="3291"/>
    <cellStyle name="Input 2 15 4 3" xfId="5189"/>
    <cellStyle name="Input 2 15 5" xfId="900"/>
    <cellStyle name="Input 2 15 5 2" xfId="3292"/>
    <cellStyle name="Input 2 15 5 3" xfId="5190"/>
    <cellStyle name="Input 2 15 6" xfId="901"/>
    <cellStyle name="Input 2 15 6 2" xfId="3293"/>
    <cellStyle name="Input 2 15 6 3" xfId="5191"/>
    <cellStyle name="Input 2 15 7" xfId="902"/>
    <cellStyle name="Input 2 15 7 2" xfId="3294"/>
    <cellStyle name="Input 2 15 7 3" xfId="5192"/>
    <cellStyle name="Input 2 15 8" xfId="903"/>
    <cellStyle name="Input 2 15 8 2" xfId="3295"/>
    <cellStyle name="Input 2 15 8 3" xfId="5193"/>
    <cellStyle name="Input 2 15 9" xfId="904"/>
    <cellStyle name="Input 2 15 9 2" xfId="3296"/>
    <cellStyle name="Input 2 15 9 3" xfId="5194"/>
    <cellStyle name="Input 2 16" xfId="905"/>
    <cellStyle name="Input 2 16 2" xfId="3297"/>
    <cellStyle name="Input 2 16 3" xfId="5195"/>
    <cellStyle name="Input 2 17" xfId="906"/>
    <cellStyle name="Input 2 17 2" xfId="3298"/>
    <cellStyle name="Input 2 17 3" xfId="5196"/>
    <cellStyle name="Input 2 18" xfId="907"/>
    <cellStyle name="Input 2 18 2" xfId="3299"/>
    <cellStyle name="Input 2 18 3" xfId="5197"/>
    <cellStyle name="Input 2 19" xfId="908"/>
    <cellStyle name="Input 2 19 2" xfId="3300"/>
    <cellStyle name="Input 2 19 3" xfId="5198"/>
    <cellStyle name="Input 2 2" xfId="909"/>
    <cellStyle name="Input 2 2 10" xfId="910"/>
    <cellStyle name="Input 2 2 10 2" xfId="3302"/>
    <cellStyle name="Input 2 2 10 3" xfId="5200"/>
    <cellStyle name="Input 2 2 11" xfId="911"/>
    <cellStyle name="Input 2 2 11 2" xfId="3303"/>
    <cellStyle name="Input 2 2 11 3" xfId="5201"/>
    <cellStyle name="Input 2 2 12" xfId="912"/>
    <cellStyle name="Input 2 2 12 2" xfId="3304"/>
    <cellStyle name="Input 2 2 12 3" xfId="5202"/>
    <cellStyle name="Input 2 2 13" xfId="913"/>
    <cellStyle name="Input 2 2 13 2" xfId="3305"/>
    <cellStyle name="Input 2 2 13 3" xfId="5203"/>
    <cellStyle name="Input 2 2 14" xfId="914"/>
    <cellStyle name="Input 2 2 14 2" xfId="3306"/>
    <cellStyle name="Input 2 2 14 3" xfId="5204"/>
    <cellStyle name="Input 2 2 15" xfId="915"/>
    <cellStyle name="Input 2 2 15 2" xfId="3307"/>
    <cellStyle name="Input 2 2 15 3" xfId="5205"/>
    <cellStyle name="Input 2 2 16" xfId="916"/>
    <cellStyle name="Input 2 2 16 2" xfId="3308"/>
    <cellStyle name="Input 2 2 16 3" xfId="5206"/>
    <cellStyle name="Input 2 2 17" xfId="917"/>
    <cellStyle name="Input 2 2 17 2" xfId="3309"/>
    <cellStyle name="Input 2 2 17 3" xfId="5207"/>
    <cellStyle name="Input 2 2 18" xfId="918"/>
    <cellStyle name="Input 2 2 18 2" xfId="3310"/>
    <cellStyle name="Input 2 2 18 3" xfId="5208"/>
    <cellStyle name="Input 2 2 19" xfId="919"/>
    <cellStyle name="Input 2 2 19 2" xfId="3311"/>
    <cellStyle name="Input 2 2 19 3" xfId="5209"/>
    <cellStyle name="Input 2 2 2" xfId="920"/>
    <cellStyle name="Input 2 2 2 2" xfId="3312"/>
    <cellStyle name="Input 2 2 2 3" xfId="5210"/>
    <cellStyle name="Input 2 2 20" xfId="921"/>
    <cellStyle name="Input 2 2 20 2" xfId="3313"/>
    <cellStyle name="Input 2 2 20 3" xfId="5211"/>
    <cellStyle name="Input 2 2 21" xfId="922"/>
    <cellStyle name="Input 2 2 21 2" xfId="3314"/>
    <cellStyle name="Input 2 2 21 3" xfId="5212"/>
    <cellStyle name="Input 2 2 22" xfId="923"/>
    <cellStyle name="Input 2 2 22 2" xfId="3315"/>
    <cellStyle name="Input 2 2 22 3" xfId="5213"/>
    <cellStyle name="Input 2 2 23" xfId="924"/>
    <cellStyle name="Input 2 2 23 2" xfId="3316"/>
    <cellStyle name="Input 2 2 23 3" xfId="5214"/>
    <cellStyle name="Input 2 2 24" xfId="3301"/>
    <cellStyle name="Input 2 2 25" xfId="5199"/>
    <cellStyle name="Input 2 2 3" xfId="925"/>
    <cellStyle name="Input 2 2 3 2" xfId="3317"/>
    <cellStyle name="Input 2 2 3 3" xfId="5215"/>
    <cellStyle name="Input 2 2 4" xfId="926"/>
    <cellStyle name="Input 2 2 4 2" xfId="3318"/>
    <cellStyle name="Input 2 2 4 3" xfId="5216"/>
    <cellStyle name="Input 2 2 5" xfId="927"/>
    <cellStyle name="Input 2 2 5 2" xfId="3319"/>
    <cellStyle name="Input 2 2 5 3" xfId="5217"/>
    <cellStyle name="Input 2 2 6" xfId="928"/>
    <cellStyle name="Input 2 2 6 2" xfId="3320"/>
    <cellStyle name="Input 2 2 6 3" xfId="5218"/>
    <cellStyle name="Input 2 2 7" xfId="929"/>
    <cellStyle name="Input 2 2 7 2" xfId="3321"/>
    <cellStyle name="Input 2 2 7 3" xfId="5219"/>
    <cellStyle name="Input 2 2 8" xfId="930"/>
    <cellStyle name="Input 2 2 8 2" xfId="3322"/>
    <cellStyle name="Input 2 2 8 3" xfId="5220"/>
    <cellStyle name="Input 2 2 9" xfId="931"/>
    <cellStyle name="Input 2 2 9 2" xfId="3323"/>
    <cellStyle name="Input 2 2 9 3" xfId="5221"/>
    <cellStyle name="Input 2 20" xfId="932"/>
    <cellStyle name="Input 2 20 2" xfId="3324"/>
    <cellStyle name="Input 2 20 3" xfId="5222"/>
    <cellStyle name="Input 2 21" xfId="933"/>
    <cellStyle name="Input 2 21 2" xfId="3325"/>
    <cellStyle name="Input 2 21 3" xfId="5223"/>
    <cellStyle name="Input 2 22" xfId="934"/>
    <cellStyle name="Input 2 22 2" xfId="3326"/>
    <cellStyle name="Input 2 22 3" xfId="5224"/>
    <cellStyle name="Input 2 23" xfId="935"/>
    <cellStyle name="Input 2 23 2" xfId="3327"/>
    <cellStyle name="Input 2 23 3" xfId="5225"/>
    <cellStyle name="Input 2 24" xfId="936"/>
    <cellStyle name="Input 2 24 2" xfId="3328"/>
    <cellStyle name="Input 2 24 3" xfId="5226"/>
    <cellStyle name="Input 2 25" xfId="937"/>
    <cellStyle name="Input 2 25 2" xfId="3329"/>
    <cellStyle name="Input 2 25 3" xfId="5227"/>
    <cellStyle name="Input 2 26" xfId="938"/>
    <cellStyle name="Input 2 26 2" xfId="3330"/>
    <cellStyle name="Input 2 26 3" xfId="5228"/>
    <cellStyle name="Input 2 27" xfId="939"/>
    <cellStyle name="Input 2 27 2" xfId="3331"/>
    <cellStyle name="Input 2 27 3" xfId="5229"/>
    <cellStyle name="Input 2 28" xfId="940"/>
    <cellStyle name="Input 2 28 2" xfId="3332"/>
    <cellStyle name="Input 2 28 3" xfId="5230"/>
    <cellStyle name="Input 2 29" xfId="941"/>
    <cellStyle name="Input 2 29 2" xfId="3333"/>
    <cellStyle name="Input 2 29 3" xfId="5231"/>
    <cellStyle name="Input 2 3" xfId="942"/>
    <cellStyle name="Input 2 3 10" xfId="943"/>
    <cellStyle name="Input 2 3 10 2" xfId="3335"/>
    <cellStyle name="Input 2 3 10 3" xfId="5233"/>
    <cellStyle name="Input 2 3 11" xfId="944"/>
    <cellStyle name="Input 2 3 11 2" xfId="3336"/>
    <cellStyle name="Input 2 3 11 3" xfId="5234"/>
    <cellStyle name="Input 2 3 12" xfId="945"/>
    <cellStyle name="Input 2 3 12 2" xfId="3337"/>
    <cellStyle name="Input 2 3 12 3" xfId="5235"/>
    <cellStyle name="Input 2 3 13" xfId="946"/>
    <cellStyle name="Input 2 3 13 2" xfId="3338"/>
    <cellStyle name="Input 2 3 13 3" xfId="5236"/>
    <cellStyle name="Input 2 3 14" xfId="947"/>
    <cellStyle name="Input 2 3 14 2" xfId="3339"/>
    <cellStyle name="Input 2 3 14 3" xfId="5237"/>
    <cellStyle name="Input 2 3 15" xfId="948"/>
    <cellStyle name="Input 2 3 15 2" xfId="3340"/>
    <cellStyle name="Input 2 3 15 3" xfId="5238"/>
    <cellStyle name="Input 2 3 16" xfId="949"/>
    <cellStyle name="Input 2 3 16 2" xfId="3341"/>
    <cellStyle name="Input 2 3 16 3" xfId="5239"/>
    <cellStyle name="Input 2 3 17" xfId="950"/>
    <cellStyle name="Input 2 3 17 2" xfId="3342"/>
    <cellStyle name="Input 2 3 17 3" xfId="5240"/>
    <cellStyle name="Input 2 3 18" xfId="951"/>
    <cellStyle name="Input 2 3 18 2" xfId="3343"/>
    <cellStyle name="Input 2 3 18 3" xfId="5241"/>
    <cellStyle name="Input 2 3 19" xfId="952"/>
    <cellStyle name="Input 2 3 19 2" xfId="3344"/>
    <cellStyle name="Input 2 3 19 3" xfId="5242"/>
    <cellStyle name="Input 2 3 2" xfId="953"/>
    <cellStyle name="Input 2 3 2 2" xfId="3345"/>
    <cellStyle name="Input 2 3 2 3" xfId="5243"/>
    <cellStyle name="Input 2 3 20" xfId="954"/>
    <cellStyle name="Input 2 3 20 2" xfId="3346"/>
    <cellStyle name="Input 2 3 20 3" xfId="5244"/>
    <cellStyle name="Input 2 3 21" xfId="955"/>
    <cellStyle name="Input 2 3 21 2" xfId="3347"/>
    <cellStyle name="Input 2 3 21 3" xfId="5245"/>
    <cellStyle name="Input 2 3 22" xfId="956"/>
    <cellStyle name="Input 2 3 22 2" xfId="3348"/>
    <cellStyle name="Input 2 3 22 3" xfId="5246"/>
    <cellStyle name="Input 2 3 23" xfId="957"/>
    <cellStyle name="Input 2 3 23 2" xfId="3349"/>
    <cellStyle name="Input 2 3 23 3" xfId="5247"/>
    <cellStyle name="Input 2 3 24" xfId="3334"/>
    <cellStyle name="Input 2 3 25" xfId="5232"/>
    <cellStyle name="Input 2 3 3" xfId="958"/>
    <cellStyle name="Input 2 3 3 2" xfId="3350"/>
    <cellStyle name="Input 2 3 3 3" xfId="5248"/>
    <cellStyle name="Input 2 3 4" xfId="959"/>
    <cellStyle name="Input 2 3 4 2" xfId="3351"/>
    <cellStyle name="Input 2 3 4 3" xfId="5249"/>
    <cellStyle name="Input 2 3 5" xfId="960"/>
    <cellStyle name="Input 2 3 5 2" xfId="3352"/>
    <cellStyle name="Input 2 3 5 3" xfId="5250"/>
    <cellStyle name="Input 2 3 6" xfId="961"/>
    <cellStyle name="Input 2 3 6 2" xfId="3353"/>
    <cellStyle name="Input 2 3 6 3" xfId="5251"/>
    <cellStyle name="Input 2 3 7" xfId="962"/>
    <cellStyle name="Input 2 3 7 2" xfId="3354"/>
    <cellStyle name="Input 2 3 7 3" xfId="5252"/>
    <cellStyle name="Input 2 3 8" xfId="963"/>
    <cellStyle name="Input 2 3 8 2" xfId="3355"/>
    <cellStyle name="Input 2 3 8 3" xfId="5253"/>
    <cellStyle name="Input 2 3 9" xfId="964"/>
    <cellStyle name="Input 2 3 9 2" xfId="3356"/>
    <cellStyle name="Input 2 3 9 3" xfId="5254"/>
    <cellStyle name="Input 2 30" xfId="965"/>
    <cellStyle name="Input 2 30 2" xfId="3357"/>
    <cellStyle name="Input 2 30 3" xfId="5255"/>
    <cellStyle name="Input 2 31" xfId="966"/>
    <cellStyle name="Input 2 31 2" xfId="3358"/>
    <cellStyle name="Input 2 31 3" xfId="5256"/>
    <cellStyle name="Input 2 32" xfId="967"/>
    <cellStyle name="Input 2 32 2" xfId="3359"/>
    <cellStyle name="Input 2 32 3" xfId="5257"/>
    <cellStyle name="Input 2 33" xfId="968"/>
    <cellStyle name="Input 2 33 2" xfId="3360"/>
    <cellStyle name="Input 2 33 3" xfId="5258"/>
    <cellStyle name="Input 2 34" xfId="969"/>
    <cellStyle name="Input 2 34 2" xfId="3361"/>
    <cellStyle name="Input 2 34 3" xfId="5259"/>
    <cellStyle name="Input 2 35" xfId="970"/>
    <cellStyle name="Input 2 35 2" xfId="3362"/>
    <cellStyle name="Input 2 35 3" xfId="5260"/>
    <cellStyle name="Input 2 36" xfId="971"/>
    <cellStyle name="Input 2 36 2" xfId="3363"/>
    <cellStyle name="Input 2 36 3" xfId="5261"/>
    <cellStyle name="Input 2 37" xfId="972"/>
    <cellStyle name="Input 2 37 2" xfId="3364"/>
    <cellStyle name="Input 2 37 3" xfId="5262"/>
    <cellStyle name="Input 2 38" xfId="3158"/>
    <cellStyle name="Input 2 39" xfId="5056"/>
    <cellStyle name="Input 2 4" xfId="973"/>
    <cellStyle name="Input 2 4 10" xfId="974"/>
    <cellStyle name="Input 2 4 10 2" xfId="3366"/>
    <cellStyle name="Input 2 4 10 3" xfId="5264"/>
    <cellStyle name="Input 2 4 11" xfId="975"/>
    <cellStyle name="Input 2 4 11 2" xfId="3367"/>
    <cellStyle name="Input 2 4 11 3" xfId="5265"/>
    <cellStyle name="Input 2 4 12" xfId="976"/>
    <cellStyle name="Input 2 4 12 2" xfId="3368"/>
    <cellStyle name="Input 2 4 12 3" xfId="5266"/>
    <cellStyle name="Input 2 4 13" xfId="977"/>
    <cellStyle name="Input 2 4 13 2" xfId="3369"/>
    <cellStyle name="Input 2 4 13 3" xfId="5267"/>
    <cellStyle name="Input 2 4 14" xfId="978"/>
    <cellStyle name="Input 2 4 14 2" xfId="3370"/>
    <cellStyle name="Input 2 4 14 3" xfId="5268"/>
    <cellStyle name="Input 2 4 15" xfId="979"/>
    <cellStyle name="Input 2 4 15 2" xfId="3371"/>
    <cellStyle name="Input 2 4 15 3" xfId="5269"/>
    <cellStyle name="Input 2 4 16" xfId="980"/>
    <cellStyle name="Input 2 4 16 2" xfId="3372"/>
    <cellStyle name="Input 2 4 16 3" xfId="5270"/>
    <cellStyle name="Input 2 4 17" xfId="981"/>
    <cellStyle name="Input 2 4 17 2" xfId="3373"/>
    <cellStyle name="Input 2 4 17 3" xfId="5271"/>
    <cellStyle name="Input 2 4 18" xfId="982"/>
    <cellStyle name="Input 2 4 18 2" xfId="3374"/>
    <cellStyle name="Input 2 4 18 3" xfId="5272"/>
    <cellStyle name="Input 2 4 19" xfId="983"/>
    <cellStyle name="Input 2 4 19 2" xfId="3375"/>
    <cellStyle name="Input 2 4 19 3" xfId="5273"/>
    <cellStyle name="Input 2 4 2" xfId="984"/>
    <cellStyle name="Input 2 4 2 2" xfId="3376"/>
    <cellStyle name="Input 2 4 2 3" xfId="5274"/>
    <cellStyle name="Input 2 4 20" xfId="985"/>
    <cellStyle name="Input 2 4 20 2" xfId="3377"/>
    <cellStyle name="Input 2 4 20 3" xfId="5275"/>
    <cellStyle name="Input 2 4 21" xfId="986"/>
    <cellStyle name="Input 2 4 21 2" xfId="3378"/>
    <cellStyle name="Input 2 4 21 3" xfId="5276"/>
    <cellStyle name="Input 2 4 22" xfId="987"/>
    <cellStyle name="Input 2 4 22 2" xfId="3379"/>
    <cellStyle name="Input 2 4 22 3" xfId="5277"/>
    <cellStyle name="Input 2 4 23" xfId="988"/>
    <cellStyle name="Input 2 4 23 2" xfId="3380"/>
    <cellStyle name="Input 2 4 23 3" xfId="5278"/>
    <cellStyle name="Input 2 4 24" xfId="3365"/>
    <cellStyle name="Input 2 4 25" xfId="5263"/>
    <cellStyle name="Input 2 4 3" xfId="989"/>
    <cellStyle name="Input 2 4 3 2" xfId="3381"/>
    <cellStyle name="Input 2 4 3 3" xfId="5279"/>
    <cellStyle name="Input 2 4 4" xfId="990"/>
    <cellStyle name="Input 2 4 4 2" xfId="3382"/>
    <cellStyle name="Input 2 4 4 3" xfId="5280"/>
    <cellStyle name="Input 2 4 5" xfId="991"/>
    <cellStyle name="Input 2 4 5 2" xfId="3383"/>
    <cellStyle name="Input 2 4 5 3" xfId="5281"/>
    <cellStyle name="Input 2 4 6" xfId="992"/>
    <cellStyle name="Input 2 4 6 2" xfId="3384"/>
    <cellStyle name="Input 2 4 6 3" xfId="5282"/>
    <cellStyle name="Input 2 4 7" xfId="993"/>
    <cellStyle name="Input 2 4 7 2" xfId="3385"/>
    <cellStyle name="Input 2 4 7 3" xfId="5283"/>
    <cellStyle name="Input 2 4 8" xfId="994"/>
    <cellStyle name="Input 2 4 8 2" xfId="3386"/>
    <cellStyle name="Input 2 4 8 3" xfId="5284"/>
    <cellStyle name="Input 2 4 9" xfId="995"/>
    <cellStyle name="Input 2 4 9 2" xfId="3387"/>
    <cellStyle name="Input 2 4 9 3" xfId="5285"/>
    <cellStyle name="Input 2 5" xfId="996"/>
    <cellStyle name="Input 2 5 10" xfId="997"/>
    <cellStyle name="Input 2 5 10 2" xfId="3389"/>
    <cellStyle name="Input 2 5 10 3" xfId="5287"/>
    <cellStyle name="Input 2 5 11" xfId="998"/>
    <cellStyle name="Input 2 5 11 2" xfId="3390"/>
    <cellStyle name="Input 2 5 11 3" xfId="5288"/>
    <cellStyle name="Input 2 5 12" xfId="999"/>
    <cellStyle name="Input 2 5 12 2" xfId="3391"/>
    <cellStyle name="Input 2 5 12 3" xfId="5289"/>
    <cellStyle name="Input 2 5 13" xfId="1000"/>
    <cellStyle name="Input 2 5 13 2" xfId="3392"/>
    <cellStyle name="Input 2 5 13 3" xfId="5290"/>
    <cellStyle name="Input 2 5 14" xfId="1001"/>
    <cellStyle name="Input 2 5 14 2" xfId="3393"/>
    <cellStyle name="Input 2 5 14 3" xfId="5291"/>
    <cellStyle name="Input 2 5 15" xfId="1002"/>
    <cellStyle name="Input 2 5 15 2" xfId="3394"/>
    <cellStyle name="Input 2 5 15 3" xfId="5292"/>
    <cellStyle name="Input 2 5 16" xfId="1003"/>
    <cellStyle name="Input 2 5 16 2" xfId="3395"/>
    <cellStyle name="Input 2 5 16 3" xfId="5293"/>
    <cellStyle name="Input 2 5 17" xfId="1004"/>
    <cellStyle name="Input 2 5 17 2" xfId="3396"/>
    <cellStyle name="Input 2 5 17 3" xfId="5294"/>
    <cellStyle name="Input 2 5 18" xfId="1005"/>
    <cellStyle name="Input 2 5 18 2" xfId="3397"/>
    <cellStyle name="Input 2 5 18 3" xfId="5295"/>
    <cellStyle name="Input 2 5 19" xfId="1006"/>
    <cellStyle name="Input 2 5 19 2" xfId="3398"/>
    <cellStyle name="Input 2 5 19 3" xfId="5296"/>
    <cellStyle name="Input 2 5 2" xfId="1007"/>
    <cellStyle name="Input 2 5 2 2" xfId="3399"/>
    <cellStyle name="Input 2 5 2 3" xfId="5297"/>
    <cellStyle name="Input 2 5 20" xfId="1008"/>
    <cellStyle name="Input 2 5 20 2" xfId="3400"/>
    <cellStyle name="Input 2 5 20 3" xfId="5298"/>
    <cellStyle name="Input 2 5 21" xfId="1009"/>
    <cellStyle name="Input 2 5 21 2" xfId="3401"/>
    <cellStyle name="Input 2 5 21 3" xfId="5299"/>
    <cellStyle name="Input 2 5 22" xfId="1010"/>
    <cellStyle name="Input 2 5 22 2" xfId="3402"/>
    <cellStyle name="Input 2 5 22 3" xfId="5300"/>
    <cellStyle name="Input 2 5 23" xfId="1011"/>
    <cellStyle name="Input 2 5 23 2" xfId="3403"/>
    <cellStyle name="Input 2 5 23 3" xfId="5301"/>
    <cellStyle name="Input 2 5 24" xfId="3388"/>
    <cellStyle name="Input 2 5 25" xfId="5286"/>
    <cellStyle name="Input 2 5 3" xfId="1012"/>
    <cellStyle name="Input 2 5 3 2" xfId="3404"/>
    <cellStyle name="Input 2 5 3 3" xfId="5302"/>
    <cellStyle name="Input 2 5 4" xfId="1013"/>
    <cellStyle name="Input 2 5 4 2" xfId="3405"/>
    <cellStyle name="Input 2 5 4 3" xfId="5303"/>
    <cellStyle name="Input 2 5 5" xfId="1014"/>
    <cellStyle name="Input 2 5 5 2" xfId="3406"/>
    <cellStyle name="Input 2 5 5 3" xfId="5304"/>
    <cellStyle name="Input 2 5 6" xfId="1015"/>
    <cellStyle name="Input 2 5 6 2" xfId="3407"/>
    <cellStyle name="Input 2 5 6 3" xfId="5305"/>
    <cellStyle name="Input 2 5 7" xfId="1016"/>
    <cellStyle name="Input 2 5 7 2" xfId="3408"/>
    <cellStyle name="Input 2 5 7 3" xfId="5306"/>
    <cellStyle name="Input 2 5 8" xfId="1017"/>
    <cellStyle name="Input 2 5 8 2" xfId="3409"/>
    <cellStyle name="Input 2 5 8 3" xfId="5307"/>
    <cellStyle name="Input 2 5 9" xfId="1018"/>
    <cellStyle name="Input 2 5 9 2" xfId="3410"/>
    <cellStyle name="Input 2 5 9 3" xfId="5308"/>
    <cellStyle name="Input 2 6" xfId="1019"/>
    <cellStyle name="Input 2 6 10" xfId="1020"/>
    <cellStyle name="Input 2 6 10 2" xfId="3412"/>
    <cellStyle name="Input 2 6 10 3" xfId="5310"/>
    <cellStyle name="Input 2 6 11" xfId="1021"/>
    <cellStyle name="Input 2 6 11 2" xfId="3413"/>
    <cellStyle name="Input 2 6 11 3" xfId="5311"/>
    <cellStyle name="Input 2 6 12" xfId="1022"/>
    <cellStyle name="Input 2 6 12 2" xfId="3414"/>
    <cellStyle name="Input 2 6 12 3" xfId="5312"/>
    <cellStyle name="Input 2 6 13" xfId="1023"/>
    <cellStyle name="Input 2 6 13 2" xfId="3415"/>
    <cellStyle name="Input 2 6 13 3" xfId="5313"/>
    <cellStyle name="Input 2 6 14" xfId="1024"/>
    <cellStyle name="Input 2 6 14 2" xfId="3416"/>
    <cellStyle name="Input 2 6 14 3" xfId="5314"/>
    <cellStyle name="Input 2 6 15" xfId="1025"/>
    <cellStyle name="Input 2 6 15 2" xfId="3417"/>
    <cellStyle name="Input 2 6 15 3" xfId="5315"/>
    <cellStyle name="Input 2 6 16" xfId="1026"/>
    <cellStyle name="Input 2 6 16 2" xfId="3418"/>
    <cellStyle name="Input 2 6 16 3" xfId="5316"/>
    <cellStyle name="Input 2 6 17" xfId="1027"/>
    <cellStyle name="Input 2 6 17 2" xfId="3419"/>
    <cellStyle name="Input 2 6 17 3" xfId="5317"/>
    <cellStyle name="Input 2 6 18" xfId="1028"/>
    <cellStyle name="Input 2 6 18 2" xfId="3420"/>
    <cellStyle name="Input 2 6 18 3" xfId="5318"/>
    <cellStyle name="Input 2 6 19" xfId="1029"/>
    <cellStyle name="Input 2 6 19 2" xfId="3421"/>
    <cellStyle name="Input 2 6 19 3" xfId="5319"/>
    <cellStyle name="Input 2 6 2" xfId="1030"/>
    <cellStyle name="Input 2 6 2 2" xfId="3422"/>
    <cellStyle name="Input 2 6 2 3" xfId="5320"/>
    <cellStyle name="Input 2 6 20" xfId="1031"/>
    <cellStyle name="Input 2 6 20 2" xfId="3423"/>
    <cellStyle name="Input 2 6 20 3" xfId="5321"/>
    <cellStyle name="Input 2 6 21" xfId="1032"/>
    <cellStyle name="Input 2 6 21 2" xfId="3424"/>
    <cellStyle name="Input 2 6 21 3" xfId="5322"/>
    <cellStyle name="Input 2 6 22" xfId="1033"/>
    <cellStyle name="Input 2 6 22 2" xfId="3425"/>
    <cellStyle name="Input 2 6 22 3" xfId="5323"/>
    <cellStyle name="Input 2 6 23" xfId="1034"/>
    <cellStyle name="Input 2 6 23 2" xfId="3426"/>
    <cellStyle name="Input 2 6 23 3" xfId="5324"/>
    <cellStyle name="Input 2 6 24" xfId="3411"/>
    <cellStyle name="Input 2 6 25" xfId="5309"/>
    <cellStyle name="Input 2 6 3" xfId="1035"/>
    <cellStyle name="Input 2 6 3 2" xfId="3427"/>
    <cellStyle name="Input 2 6 3 3" xfId="5325"/>
    <cellStyle name="Input 2 6 4" xfId="1036"/>
    <cellStyle name="Input 2 6 4 2" xfId="3428"/>
    <cellStyle name="Input 2 6 4 3" xfId="5326"/>
    <cellStyle name="Input 2 6 5" xfId="1037"/>
    <cellStyle name="Input 2 6 5 2" xfId="3429"/>
    <cellStyle name="Input 2 6 5 3" xfId="5327"/>
    <cellStyle name="Input 2 6 6" xfId="1038"/>
    <cellStyle name="Input 2 6 6 2" xfId="3430"/>
    <cellStyle name="Input 2 6 6 3" xfId="5328"/>
    <cellStyle name="Input 2 6 7" xfId="1039"/>
    <cellStyle name="Input 2 6 7 2" xfId="3431"/>
    <cellStyle name="Input 2 6 7 3" xfId="5329"/>
    <cellStyle name="Input 2 6 8" xfId="1040"/>
    <cellStyle name="Input 2 6 8 2" xfId="3432"/>
    <cellStyle name="Input 2 6 8 3" xfId="5330"/>
    <cellStyle name="Input 2 6 9" xfId="1041"/>
    <cellStyle name="Input 2 6 9 2" xfId="3433"/>
    <cellStyle name="Input 2 6 9 3" xfId="5331"/>
    <cellStyle name="Input 2 7" xfId="1042"/>
    <cellStyle name="Input 2 7 10" xfId="1043"/>
    <cellStyle name="Input 2 7 10 2" xfId="3435"/>
    <cellStyle name="Input 2 7 10 3" xfId="5333"/>
    <cellStyle name="Input 2 7 11" xfId="1044"/>
    <cellStyle name="Input 2 7 11 2" xfId="3436"/>
    <cellStyle name="Input 2 7 11 3" xfId="5334"/>
    <cellStyle name="Input 2 7 12" xfId="1045"/>
    <cellStyle name="Input 2 7 12 2" xfId="3437"/>
    <cellStyle name="Input 2 7 12 3" xfId="5335"/>
    <cellStyle name="Input 2 7 13" xfId="1046"/>
    <cellStyle name="Input 2 7 13 2" xfId="3438"/>
    <cellStyle name="Input 2 7 13 3" xfId="5336"/>
    <cellStyle name="Input 2 7 14" xfId="1047"/>
    <cellStyle name="Input 2 7 14 2" xfId="3439"/>
    <cellStyle name="Input 2 7 14 3" xfId="5337"/>
    <cellStyle name="Input 2 7 15" xfId="1048"/>
    <cellStyle name="Input 2 7 15 2" xfId="3440"/>
    <cellStyle name="Input 2 7 15 3" xfId="5338"/>
    <cellStyle name="Input 2 7 16" xfId="1049"/>
    <cellStyle name="Input 2 7 16 2" xfId="3441"/>
    <cellStyle name="Input 2 7 16 3" xfId="5339"/>
    <cellStyle name="Input 2 7 17" xfId="1050"/>
    <cellStyle name="Input 2 7 17 2" xfId="3442"/>
    <cellStyle name="Input 2 7 17 3" xfId="5340"/>
    <cellStyle name="Input 2 7 18" xfId="1051"/>
    <cellStyle name="Input 2 7 18 2" xfId="3443"/>
    <cellStyle name="Input 2 7 18 3" xfId="5341"/>
    <cellStyle name="Input 2 7 19" xfId="1052"/>
    <cellStyle name="Input 2 7 19 2" xfId="3444"/>
    <cellStyle name="Input 2 7 19 3" xfId="5342"/>
    <cellStyle name="Input 2 7 2" xfId="1053"/>
    <cellStyle name="Input 2 7 2 2" xfId="3445"/>
    <cellStyle name="Input 2 7 2 3" xfId="5343"/>
    <cellStyle name="Input 2 7 20" xfId="1054"/>
    <cellStyle name="Input 2 7 20 2" xfId="3446"/>
    <cellStyle name="Input 2 7 20 3" xfId="5344"/>
    <cellStyle name="Input 2 7 21" xfId="1055"/>
    <cellStyle name="Input 2 7 21 2" xfId="3447"/>
    <cellStyle name="Input 2 7 21 3" xfId="5345"/>
    <cellStyle name="Input 2 7 22" xfId="1056"/>
    <cellStyle name="Input 2 7 22 2" xfId="3448"/>
    <cellStyle name="Input 2 7 22 3" xfId="5346"/>
    <cellStyle name="Input 2 7 23" xfId="1057"/>
    <cellStyle name="Input 2 7 23 2" xfId="3449"/>
    <cellStyle name="Input 2 7 23 3" xfId="5347"/>
    <cellStyle name="Input 2 7 24" xfId="3434"/>
    <cellStyle name="Input 2 7 25" xfId="5332"/>
    <cellStyle name="Input 2 7 3" xfId="1058"/>
    <cellStyle name="Input 2 7 3 2" xfId="3450"/>
    <cellStyle name="Input 2 7 3 3" xfId="5348"/>
    <cellStyle name="Input 2 7 4" xfId="1059"/>
    <cellStyle name="Input 2 7 4 2" xfId="3451"/>
    <cellStyle name="Input 2 7 4 3" xfId="5349"/>
    <cellStyle name="Input 2 7 5" xfId="1060"/>
    <cellStyle name="Input 2 7 5 2" xfId="3452"/>
    <cellStyle name="Input 2 7 5 3" xfId="5350"/>
    <cellStyle name="Input 2 7 6" xfId="1061"/>
    <cellStyle name="Input 2 7 6 2" xfId="3453"/>
    <cellStyle name="Input 2 7 6 3" xfId="5351"/>
    <cellStyle name="Input 2 7 7" xfId="1062"/>
    <cellStyle name="Input 2 7 7 2" xfId="3454"/>
    <cellStyle name="Input 2 7 7 3" xfId="5352"/>
    <cellStyle name="Input 2 7 8" xfId="1063"/>
    <cellStyle name="Input 2 7 8 2" xfId="3455"/>
    <cellStyle name="Input 2 7 8 3" xfId="5353"/>
    <cellStyle name="Input 2 7 9" xfId="1064"/>
    <cellStyle name="Input 2 7 9 2" xfId="3456"/>
    <cellStyle name="Input 2 7 9 3" xfId="5354"/>
    <cellStyle name="Input 2 8" xfId="1065"/>
    <cellStyle name="Input 2 8 10" xfId="1066"/>
    <cellStyle name="Input 2 8 10 2" xfId="3458"/>
    <cellStyle name="Input 2 8 10 3" xfId="5356"/>
    <cellStyle name="Input 2 8 11" xfId="1067"/>
    <cellStyle name="Input 2 8 11 2" xfId="3459"/>
    <cellStyle name="Input 2 8 11 3" xfId="5357"/>
    <cellStyle name="Input 2 8 12" xfId="1068"/>
    <cellStyle name="Input 2 8 12 2" xfId="3460"/>
    <cellStyle name="Input 2 8 12 3" xfId="5358"/>
    <cellStyle name="Input 2 8 13" xfId="1069"/>
    <cellStyle name="Input 2 8 13 2" xfId="3461"/>
    <cellStyle name="Input 2 8 13 3" xfId="5359"/>
    <cellStyle name="Input 2 8 14" xfId="1070"/>
    <cellStyle name="Input 2 8 14 2" xfId="3462"/>
    <cellStyle name="Input 2 8 14 3" xfId="5360"/>
    <cellStyle name="Input 2 8 15" xfId="1071"/>
    <cellStyle name="Input 2 8 15 2" xfId="3463"/>
    <cellStyle name="Input 2 8 15 3" xfId="5361"/>
    <cellStyle name="Input 2 8 16" xfId="1072"/>
    <cellStyle name="Input 2 8 16 2" xfId="3464"/>
    <cellStyle name="Input 2 8 16 3" xfId="5362"/>
    <cellStyle name="Input 2 8 17" xfId="1073"/>
    <cellStyle name="Input 2 8 17 2" xfId="3465"/>
    <cellStyle name="Input 2 8 17 3" xfId="5363"/>
    <cellStyle name="Input 2 8 18" xfId="1074"/>
    <cellStyle name="Input 2 8 18 2" xfId="3466"/>
    <cellStyle name="Input 2 8 18 3" xfId="5364"/>
    <cellStyle name="Input 2 8 19" xfId="1075"/>
    <cellStyle name="Input 2 8 19 2" xfId="3467"/>
    <cellStyle name="Input 2 8 19 3" xfId="5365"/>
    <cellStyle name="Input 2 8 2" xfId="1076"/>
    <cellStyle name="Input 2 8 2 2" xfId="3468"/>
    <cellStyle name="Input 2 8 2 3" xfId="5366"/>
    <cellStyle name="Input 2 8 20" xfId="1077"/>
    <cellStyle name="Input 2 8 20 2" xfId="3469"/>
    <cellStyle name="Input 2 8 20 3" xfId="5367"/>
    <cellStyle name="Input 2 8 21" xfId="1078"/>
    <cellStyle name="Input 2 8 21 2" xfId="3470"/>
    <cellStyle name="Input 2 8 21 3" xfId="5368"/>
    <cellStyle name="Input 2 8 22" xfId="1079"/>
    <cellStyle name="Input 2 8 22 2" xfId="3471"/>
    <cellStyle name="Input 2 8 22 3" xfId="5369"/>
    <cellStyle name="Input 2 8 23" xfId="1080"/>
    <cellStyle name="Input 2 8 23 2" xfId="3472"/>
    <cellStyle name="Input 2 8 23 3" xfId="5370"/>
    <cellStyle name="Input 2 8 24" xfId="3457"/>
    <cellStyle name="Input 2 8 25" xfId="5355"/>
    <cellStyle name="Input 2 8 3" xfId="1081"/>
    <cellStyle name="Input 2 8 3 2" xfId="3473"/>
    <cellStyle name="Input 2 8 3 3" xfId="5371"/>
    <cellStyle name="Input 2 8 4" xfId="1082"/>
    <cellStyle name="Input 2 8 4 2" xfId="3474"/>
    <cellStyle name="Input 2 8 4 3" xfId="5372"/>
    <cellStyle name="Input 2 8 5" xfId="1083"/>
    <cellStyle name="Input 2 8 5 2" xfId="3475"/>
    <cellStyle name="Input 2 8 5 3" xfId="5373"/>
    <cellStyle name="Input 2 8 6" xfId="1084"/>
    <cellStyle name="Input 2 8 6 2" xfId="3476"/>
    <cellStyle name="Input 2 8 6 3" xfId="5374"/>
    <cellStyle name="Input 2 8 7" xfId="1085"/>
    <cellStyle name="Input 2 8 7 2" xfId="3477"/>
    <cellStyle name="Input 2 8 7 3" xfId="5375"/>
    <cellStyle name="Input 2 8 8" xfId="1086"/>
    <cellStyle name="Input 2 8 8 2" xfId="3478"/>
    <cellStyle name="Input 2 8 8 3" xfId="5376"/>
    <cellStyle name="Input 2 8 9" xfId="1087"/>
    <cellStyle name="Input 2 8 9 2" xfId="3479"/>
    <cellStyle name="Input 2 8 9 3" xfId="5377"/>
    <cellStyle name="Input 2 9" xfId="1088"/>
    <cellStyle name="Input 2 9 10" xfId="1089"/>
    <cellStyle name="Input 2 9 10 2" xfId="3481"/>
    <cellStyle name="Input 2 9 10 3" xfId="5379"/>
    <cellStyle name="Input 2 9 11" xfId="1090"/>
    <cellStyle name="Input 2 9 11 2" xfId="3482"/>
    <cellStyle name="Input 2 9 11 3" xfId="5380"/>
    <cellStyle name="Input 2 9 12" xfId="1091"/>
    <cellStyle name="Input 2 9 12 2" xfId="3483"/>
    <cellStyle name="Input 2 9 12 3" xfId="5381"/>
    <cellStyle name="Input 2 9 13" xfId="1092"/>
    <cellStyle name="Input 2 9 13 2" xfId="3484"/>
    <cellStyle name="Input 2 9 13 3" xfId="5382"/>
    <cellStyle name="Input 2 9 14" xfId="1093"/>
    <cellStyle name="Input 2 9 14 2" xfId="3485"/>
    <cellStyle name="Input 2 9 14 3" xfId="5383"/>
    <cellStyle name="Input 2 9 15" xfId="1094"/>
    <cellStyle name="Input 2 9 15 2" xfId="3486"/>
    <cellStyle name="Input 2 9 15 3" xfId="5384"/>
    <cellStyle name="Input 2 9 16" xfId="1095"/>
    <cellStyle name="Input 2 9 16 2" xfId="3487"/>
    <cellStyle name="Input 2 9 16 3" xfId="5385"/>
    <cellStyle name="Input 2 9 17" xfId="1096"/>
    <cellStyle name="Input 2 9 17 2" xfId="3488"/>
    <cellStyle name="Input 2 9 17 3" xfId="5386"/>
    <cellStyle name="Input 2 9 18" xfId="1097"/>
    <cellStyle name="Input 2 9 18 2" xfId="3489"/>
    <cellStyle name="Input 2 9 18 3" xfId="5387"/>
    <cellStyle name="Input 2 9 19" xfId="1098"/>
    <cellStyle name="Input 2 9 19 2" xfId="3490"/>
    <cellStyle name="Input 2 9 19 3" xfId="5388"/>
    <cellStyle name="Input 2 9 2" xfId="1099"/>
    <cellStyle name="Input 2 9 2 2" xfId="3491"/>
    <cellStyle name="Input 2 9 2 3" xfId="5389"/>
    <cellStyle name="Input 2 9 20" xfId="1100"/>
    <cellStyle name="Input 2 9 20 2" xfId="3492"/>
    <cellStyle name="Input 2 9 20 3" xfId="5390"/>
    <cellStyle name="Input 2 9 21" xfId="1101"/>
    <cellStyle name="Input 2 9 21 2" xfId="3493"/>
    <cellStyle name="Input 2 9 21 3" xfId="5391"/>
    <cellStyle name="Input 2 9 22" xfId="1102"/>
    <cellStyle name="Input 2 9 22 2" xfId="3494"/>
    <cellStyle name="Input 2 9 22 3" xfId="5392"/>
    <cellStyle name="Input 2 9 23" xfId="1103"/>
    <cellStyle name="Input 2 9 23 2" xfId="3495"/>
    <cellStyle name="Input 2 9 23 3" xfId="5393"/>
    <cellStyle name="Input 2 9 24" xfId="3480"/>
    <cellStyle name="Input 2 9 25" xfId="5378"/>
    <cellStyle name="Input 2 9 3" xfId="1104"/>
    <cellStyle name="Input 2 9 3 2" xfId="3496"/>
    <cellStyle name="Input 2 9 3 3" xfId="5394"/>
    <cellStyle name="Input 2 9 4" xfId="1105"/>
    <cellStyle name="Input 2 9 4 2" xfId="3497"/>
    <cellStyle name="Input 2 9 4 3" xfId="5395"/>
    <cellStyle name="Input 2 9 5" xfId="1106"/>
    <cellStyle name="Input 2 9 5 2" xfId="3498"/>
    <cellStyle name="Input 2 9 5 3" xfId="5396"/>
    <cellStyle name="Input 2 9 6" xfId="1107"/>
    <cellStyle name="Input 2 9 6 2" xfId="3499"/>
    <cellStyle name="Input 2 9 6 3" xfId="5397"/>
    <cellStyle name="Input 2 9 7" xfId="1108"/>
    <cellStyle name="Input 2 9 7 2" xfId="3500"/>
    <cellStyle name="Input 2 9 7 3" xfId="5398"/>
    <cellStyle name="Input 2 9 8" xfId="1109"/>
    <cellStyle name="Input 2 9 8 2" xfId="3501"/>
    <cellStyle name="Input 2 9 8 3" xfId="5399"/>
    <cellStyle name="Input 2 9 9" xfId="1110"/>
    <cellStyle name="Input 2 9 9 2" xfId="3502"/>
    <cellStyle name="Input 2 9 9 3" xfId="5400"/>
    <cellStyle name="Input 3" xfId="4750"/>
    <cellStyle name="Input 4" xfId="2485"/>
    <cellStyle name="Input 5" xfId="4728"/>
    <cellStyle name="Komórka połączona" xfId="1111"/>
    <cellStyle name="Komórka zaznaczona" xfId="1112"/>
    <cellStyle name="LineItemPrompt" xfId="40"/>
    <cellStyle name="LineItemValue" xfId="41"/>
    <cellStyle name="Linked Cell" xfId="42" builtinId="24" customBuiltin="1"/>
    <cellStyle name="Linked Cell 2" xfId="1113"/>
    <cellStyle name="Linked Cell 3" xfId="4753"/>
    <cellStyle name="Nagłówek 1" xfId="1114"/>
    <cellStyle name="Nagłówek 2" xfId="1115"/>
    <cellStyle name="Nagłówek 3" xfId="1116"/>
    <cellStyle name="Nagłówek 3 2" xfId="1117"/>
    <cellStyle name="Nagłówek 3 2 2" xfId="1118"/>
    <cellStyle name="Nagłówek 3 2 3" xfId="1119"/>
    <cellStyle name="Nagłówek 3 2 4" xfId="1120"/>
    <cellStyle name="Nagłówek 3 2 5" xfId="1121"/>
    <cellStyle name="Nagłówek 3 2 6" xfId="1122"/>
    <cellStyle name="Nagłówek 3 2 7" xfId="1123"/>
    <cellStyle name="Nagłówek 3 3" xfId="1124"/>
    <cellStyle name="Nagłówek 3 4" xfId="1125"/>
    <cellStyle name="Nagłówek 3 5" xfId="1126"/>
    <cellStyle name="Nagłówek 3 6" xfId="1127"/>
    <cellStyle name="Nagłówek 3 7" xfId="1128"/>
    <cellStyle name="Nagłówek 3 8" xfId="1129"/>
    <cellStyle name="Nagłówek 4" xfId="1130"/>
    <cellStyle name="Neutral" xfId="43" builtinId="28" customBuiltin="1"/>
    <cellStyle name="Neutral 2" xfId="1131"/>
    <cellStyle name="Neutral 2 2" xfId="1132"/>
    <cellStyle name="Neutral 3" xfId="4749"/>
    <cellStyle name="Neutralne" xfId="1133"/>
    <cellStyle name="Normal" xfId="0" builtinId="0"/>
    <cellStyle name="Normal 10" xfId="1134"/>
    <cellStyle name="Normal 10 2" xfId="1135"/>
    <cellStyle name="Normal 11" xfId="1136"/>
    <cellStyle name="Normal 12" xfId="1137"/>
    <cellStyle name="Normal 13" xfId="2423"/>
    <cellStyle name="Normal 14" xfId="4734"/>
    <cellStyle name="Normal 15" xfId="4736"/>
    <cellStyle name="Normal 2" xfId="44"/>
    <cellStyle name="Normal 2 2" xfId="82"/>
    <cellStyle name="Normal 2 2 2" xfId="1138"/>
    <cellStyle name="Normal 2 2 3" xfId="2379"/>
    <cellStyle name="Normal 2 3" xfId="1139"/>
    <cellStyle name="Normal 21" xfId="75"/>
    <cellStyle name="Normal 21 2" xfId="2491"/>
    <cellStyle name="Normal 23" xfId="83"/>
    <cellStyle name="Normal 23 2" xfId="2498"/>
    <cellStyle name="Normal 3" xfId="72"/>
    <cellStyle name="Normal 3 2" xfId="95"/>
    <cellStyle name="Normal 3 2 2" xfId="1140"/>
    <cellStyle name="Normal 3 2 3" xfId="2380"/>
    <cellStyle name="Normal 3 3" xfId="1141"/>
    <cellStyle name="Normal 3 4" xfId="1142"/>
    <cellStyle name="Normal 3 5" xfId="2376"/>
    <cellStyle name="Normal 3 5 2" xfId="4723"/>
    <cellStyle name="Normal 4" xfId="84"/>
    <cellStyle name="Normal 4 2" xfId="1143"/>
    <cellStyle name="Normal 5" xfId="85"/>
    <cellStyle name="Normal 5 2" xfId="1144"/>
    <cellStyle name="Normal 5 3" xfId="2499"/>
    <cellStyle name="Normal 6" xfId="86"/>
    <cellStyle name="Normal 6 2" xfId="2500"/>
    <cellStyle name="Normal 7" xfId="87"/>
    <cellStyle name="Normal 7 2" xfId="1145"/>
    <cellStyle name="Normal 7 3" xfId="2501"/>
    <cellStyle name="Normal 8" xfId="94"/>
    <cellStyle name="Normal 8 2" xfId="2447"/>
    <cellStyle name="Normal 9" xfId="1146"/>
    <cellStyle name="Normal_Funding by District" xfId="45"/>
    <cellStyle name="Note" xfId="46" builtinId="10" customBuiltin="1"/>
    <cellStyle name="Note 2" xfId="1147"/>
    <cellStyle name="Note 2 10" xfId="1148"/>
    <cellStyle name="Note 2 10 10" xfId="1149"/>
    <cellStyle name="Note 2 10 10 2" xfId="3505"/>
    <cellStyle name="Note 2 10 10 3" xfId="5403"/>
    <cellStyle name="Note 2 10 11" xfId="1150"/>
    <cellStyle name="Note 2 10 11 2" xfId="3506"/>
    <cellStyle name="Note 2 10 11 3" xfId="5404"/>
    <cellStyle name="Note 2 10 12" xfId="1151"/>
    <cellStyle name="Note 2 10 12 2" xfId="3507"/>
    <cellStyle name="Note 2 10 12 3" xfId="5405"/>
    <cellStyle name="Note 2 10 13" xfId="1152"/>
    <cellStyle name="Note 2 10 13 2" xfId="3508"/>
    <cellStyle name="Note 2 10 13 3" xfId="5406"/>
    <cellStyle name="Note 2 10 14" xfId="1153"/>
    <cellStyle name="Note 2 10 14 2" xfId="3509"/>
    <cellStyle name="Note 2 10 14 3" xfId="5407"/>
    <cellStyle name="Note 2 10 15" xfId="1154"/>
    <cellStyle name="Note 2 10 15 2" xfId="3510"/>
    <cellStyle name="Note 2 10 15 3" xfId="5408"/>
    <cellStyle name="Note 2 10 16" xfId="1155"/>
    <cellStyle name="Note 2 10 16 2" xfId="3511"/>
    <cellStyle name="Note 2 10 16 3" xfId="5409"/>
    <cellStyle name="Note 2 10 17" xfId="1156"/>
    <cellStyle name="Note 2 10 17 2" xfId="3512"/>
    <cellStyle name="Note 2 10 17 3" xfId="5410"/>
    <cellStyle name="Note 2 10 18" xfId="1157"/>
    <cellStyle name="Note 2 10 18 2" xfId="3513"/>
    <cellStyle name="Note 2 10 18 3" xfId="5411"/>
    <cellStyle name="Note 2 10 19" xfId="1158"/>
    <cellStyle name="Note 2 10 19 2" xfId="3514"/>
    <cellStyle name="Note 2 10 19 3" xfId="5412"/>
    <cellStyle name="Note 2 10 2" xfId="1159"/>
    <cellStyle name="Note 2 10 2 2" xfId="3515"/>
    <cellStyle name="Note 2 10 2 3" xfId="5413"/>
    <cellStyle name="Note 2 10 20" xfId="1160"/>
    <cellStyle name="Note 2 10 20 2" xfId="3516"/>
    <cellStyle name="Note 2 10 20 3" xfId="5414"/>
    <cellStyle name="Note 2 10 21" xfId="1161"/>
    <cellStyle name="Note 2 10 21 2" xfId="3517"/>
    <cellStyle name="Note 2 10 21 3" xfId="5415"/>
    <cellStyle name="Note 2 10 22" xfId="1162"/>
    <cellStyle name="Note 2 10 22 2" xfId="3518"/>
    <cellStyle name="Note 2 10 22 3" xfId="5416"/>
    <cellStyle name="Note 2 10 23" xfId="1163"/>
    <cellStyle name="Note 2 10 23 2" xfId="3519"/>
    <cellStyle name="Note 2 10 23 3" xfId="5417"/>
    <cellStyle name="Note 2 10 24" xfId="3504"/>
    <cellStyle name="Note 2 10 25" xfId="5402"/>
    <cellStyle name="Note 2 10 3" xfId="1164"/>
    <cellStyle name="Note 2 10 3 2" xfId="3520"/>
    <cellStyle name="Note 2 10 3 3" xfId="5418"/>
    <cellStyle name="Note 2 10 4" xfId="1165"/>
    <cellStyle name="Note 2 10 4 2" xfId="3521"/>
    <cellStyle name="Note 2 10 4 3" xfId="5419"/>
    <cellStyle name="Note 2 10 5" xfId="1166"/>
    <cellStyle name="Note 2 10 5 2" xfId="3522"/>
    <cellStyle name="Note 2 10 5 3" xfId="5420"/>
    <cellStyle name="Note 2 10 6" xfId="1167"/>
    <cellStyle name="Note 2 10 6 2" xfId="3523"/>
    <cellStyle name="Note 2 10 6 3" xfId="5421"/>
    <cellStyle name="Note 2 10 7" xfId="1168"/>
    <cellStyle name="Note 2 10 7 2" xfId="3524"/>
    <cellStyle name="Note 2 10 7 3" xfId="5422"/>
    <cellStyle name="Note 2 10 8" xfId="1169"/>
    <cellStyle name="Note 2 10 8 2" xfId="3525"/>
    <cellStyle name="Note 2 10 8 3" xfId="5423"/>
    <cellStyle name="Note 2 10 9" xfId="1170"/>
    <cellStyle name="Note 2 10 9 2" xfId="3526"/>
    <cellStyle name="Note 2 10 9 3" xfId="5424"/>
    <cellStyle name="Note 2 11" xfId="1171"/>
    <cellStyle name="Note 2 11 10" xfId="1172"/>
    <cellStyle name="Note 2 11 10 2" xfId="3528"/>
    <cellStyle name="Note 2 11 10 3" xfId="5426"/>
    <cellStyle name="Note 2 11 11" xfId="1173"/>
    <cellStyle name="Note 2 11 11 2" xfId="3529"/>
    <cellStyle name="Note 2 11 11 3" xfId="5427"/>
    <cellStyle name="Note 2 11 12" xfId="1174"/>
    <cellStyle name="Note 2 11 12 2" xfId="3530"/>
    <cellStyle name="Note 2 11 12 3" xfId="5428"/>
    <cellStyle name="Note 2 11 13" xfId="1175"/>
    <cellStyle name="Note 2 11 13 2" xfId="3531"/>
    <cellStyle name="Note 2 11 13 3" xfId="5429"/>
    <cellStyle name="Note 2 11 14" xfId="1176"/>
    <cellStyle name="Note 2 11 14 2" xfId="3532"/>
    <cellStyle name="Note 2 11 14 3" xfId="5430"/>
    <cellStyle name="Note 2 11 15" xfId="1177"/>
    <cellStyle name="Note 2 11 15 2" xfId="3533"/>
    <cellStyle name="Note 2 11 15 3" xfId="5431"/>
    <cellStyle name="Note 2 11 16" xfId="1178"/>
    <cellStyle name="Note 2 11 16 2" xfId="3534"/>
    <cellStyle name="Note 2 11 16 3" xfId="5432"/>
    <cellStyle name="Note 2 11 17" xfId="1179"/>
    <cellStyle name="Note 2 11 17 2" xfId="3535"/>
    <cellStyle name="Note 2 11 17 3" xfId="5433"/>
    <cellStyle name="Note 2 11 18" xfId="1180"/>
    <cellStyle name="Note 2 11 18 2" xfId="3536"/>
    <cellStyle name="Note 2 11 18 3" xfId="5434"/>
    <cellStyle name="Note 2 11 19" xfId="1181"/>
    <cellStyle name="Note 2 11 19 2" xfId="3537"/>
    <cellStyle name="Note 2 11 19 3" xfId="5435"/>
    <cellStyle name="Note 2 11 2" xfId="1182"/>
    <cellStyle name="Note 2 11 2 2" xfId="3538"/>
    <cellStyle name="Note 2 11 2 3" xfId="5436"/>
    <cellStyle name="Note 2 11 20" xfId="1183"/>
    <cellStyle name="Note 2 11 20 2" xfId="3539"/>
    <cellStyle name="Note 2 11 20 3" xfId="5437"/>
    <cellStyle name="Note 2 11 21" xfId="1184"/>
    <cellStyle name="Note 2 11 21 2" xfId="3540"/>
    <cellStyle name="Note 2 11 21 3" xfId="5438"/>
    <cellStyle name="Note 2 11 22" xfId="1185"/>
    <cellStyle name="Note 2 11 22 2" xfId="3541"/>
    <cellStyle name="Note 2 11 22 3" xfId="5439"/>
    <cellStyle name="Note 2 11 23" xfId="1186"/>
    <cellStyle name="Note 2 11 23 2" xfId="3542"/>
    <cellStyle name="Note 2 11 23 3" xfId="5440"/>
    <cellStyle name="Note 2 11 24" xfId="3527"/>
    <cellStyle name="Note 2 11 25" xfId="5425"/>
    <cellStyle name="Note 2 11 3" xfId="1187"/>
    <cellStyle name="Note 2 11 3 2" xfId="3543"/>
    <cellStyle name="Note 2 11 3 3" xfId="5441"/>
    <cellStyle name="Note 2 11 4" xfId="1188"/>
    <cellStyle name="Note 2 11 4 2" xfId="3544"/>
    <cellStyle name="Note 2 11 4 3" xfId="5442"/>
    <cellStyle name="Note 2 11 5" xfId="1189"/>
    <cellStyle name="Note 2 11 5 2" xfId="3545"/>
    <cellStyle name="Note 2 11 5 3" xfId="5443"/>
    <cellStyle name="Note 2 11 6" xfId="1190"/>
    <cellStyle name="Note 2 11 6 2" xfId="3546"/>
    <cellStyle name="Note 2 11 6 3" xfId="5444"/>
    <cellStyle name="Note 2 11 7" xfId="1191"/>
    <cellStyle name="Note 2 11 7 2" xfId="3547"/>
    <cellStyle name="Note 2 11 7 3" xfId="5445"/>
    <cellStyle name="Note 2 11 8" xfId="1192"/>
    <cellStyle name="Note 2 11 8 2" xfId="3548"/>
    <cellStyle name="Note 2 11 8 3" xfId="5446"/>
    <cellStyle name="Note 2 11 9" xfId="1193"/>
    <cellStyle name="Note 2 11 9 2" xfId="3549"/>
    <cellStyle name="Note 2 11 9 3" xfId="5447"/>
    <cellStyle name="Note 2 12" xfId="1194"/>
    <cellStyle name="Note 2 12 10" xfId="1195"/>
    <cellStyle name="Note 2 12 10 2" xfId="3551"/>
    <cellStyle name="Note 2 12 10 3" xfId="5449"/>
    <cellStyle name="Note 2 12 11" xfId="1196"/>
    <cellStyle name="Note 2 12 11 2" xfId="3552"/>
    <cellStyle name="Note 2 12 11 3" xfId="5450"/>
    <cellStyle name="Note 2 12 12" xfId="1197"/>
    <cellStyle name="Note 2 12 12 2" xfId="3553"/>
    <cellStyle name="Note 2 12 12 3" xfId="5451"/>
    <cellStyle name="Note 2 12 13" xfId="1198"/>
    <cellStyle name="Note 2 12 13 2" xfId="3554"/>
    <cellStyle name="Note 2 12 13 3" xfId="5452"/>
    <cellStyle name="Note 2 12 14" xfId="1199"/>
    <cellStyle name="Note 2 12 14 2" xfId="3555"/>
    <cellStyle name="Note 2 12 14 3" xfId="5453"/>
    <cellStyle name="Note 2 12 15" xfId="1200"/>
    <cellStyle name="Note 2 12 15 2" xfId="3556"/>
    <cellStyle name="Note 2 12 15 3" xfId="5454"/>
    <cellStyle name="Note 2 12 16" xfId="1201"/>
    <cellStyle name="Note 2 12 16 2" xfId="3557"/>
    <cellStyle name="Note 2 12 16 3" xfId="5455"/>
    <cellStyle name="Note 2 12 17" xfId="1202"/>
    <cellStyle name="Note 2 12 17 2" xfId="3558"/>
    <cellStyle name="Note 2 12 17 3" xfId="5456"/>
    <cellStyle name="Note 2 12 18" xfId="1203"/>
    <cellStyle name="Note 2 12 18 2" xfId="3559"/>
    <cellStyle name="Note 2 12 18 3" xfId="5457"/>
    <cellStyle name="Note 2 12 19" xfId="1204"/>
    <cellStyle name="Note 2 12 19 2" xfId="3560"/>
    <cellStyle name="Note 2 12 19 3" xfId="5458"/>
    <cellStyle name="Note 2 12 2" xfId="1205"/>
    <cellStyle name="Note 2 12 2 2" xfId="3561"/>
    <cellStyle name="Note 2 12 2 3" xfId="5459"/>
    <cellStyle name="Note 2 12 20" xfId="1206"/>
    <cellStyle name="Note 2 12 20 2" xfId="3562"/>
    <cellStyle name="Note 2 12 20 3" xfId="5460"/>
    <cellStyle name="Note 2 12 21" xfId="1207"/>
    <cellStyle name="Note 2 12 21 2" xfId="3563"/>
    <cellStyle name="Note 2 12 21 3" xfId="5461"/>
    <cellStyle name="Note 2 12 22" xfId="1208"/>
    <cellStyle name="Note 2 12 22 2" xfId="3564"/>
    <cellStyle name="Note 2 12 22 3" xfId="5462"/>
    <cellStyle name="Note 2 12 23" xfId="1209"/>
    <cellStyle name="Note 2 12 23 2" xfId="3565"/>
    <cellStyle name="Note 2 12 23 3" xfId="5463"/>
    <cellStyle name="Note 2 12 24" xfId="3550"/>
    <cellStyle name="Note 2 12 25" xfId="5448"/>
    <cellStyle name="Note 2 12 3" xfId="1210"/>
    <cellStyle name="Note 2 12 3 2" xfId="3566"/>
    <cellStyle name="Note 2 12 3 3" xfId="5464"/>
    <cellStyle name="Note 2 12 4" xfId="1211"/>
    <cellStyle name="Note 2 12 4 2" xfId="3567"/>
    <cellStyle name="Note 2 12 4 3" xfId="5465"/>
    <cellStyle name="Note 2 12 5" xfId="1212"/>
    <cellStyle name="Note 2 12 5 2" xfId="3568"/>
    <cellStyle name="Note 2 12 5 3" xfId="5466"/>
    <cellStyle name="Note 2 12 6" xfId="1213"/>
    <cellStyle name="Note 2 12 6 2" xfId="3569"/>
    <cellStyle name="Note 2 12 6 3" xfId="5467"/>
    <cellStyle name="Note 2 12 7" xfId="1214"/>
    <cellStyle name="Note 2 12 7 2" xfId="3570"/>
    <cellStyle name="Note 2 12 7 3" xfId="5468"/>
    <cellStyle name="Note 2 12 8" xfId="1215"/>
    <cellStyle name="Note 2 12 8 2" xfId="3571"/>
    <cellStyle name="Note 2 12 8 3" xfId="5469"/>
    <cellStyle name="Note 2 12 9" xfId="1216"/>
    <cellStyle name="Note 2 12 9 2" xfId="3572"/>
    <cellStyle name="Note 2 12 9 3" xfId="5470"/>
    <cellStyle name="Note 2 13" xfId="1217"/>
    <cellStyle name="Note 2 13 10" xfId="1218"/>
    <cellStyle name="Note 2 13 10 2" xfId="3574"/>
    <cellStyle name="Note 2 13 10 3" xfId="5472"/>
    <cellStyle name="Note 2 13 11" xfId="1219"/>
    <cellStyle name="Note 2 13 11 2" xfId="3575"/>
    <cellStyle name="Note 2 13 11 3" xfId="5473"/>
    <cellStyle name="Note 2 13 12" xfId="1220"/>
    <cellStyle name="Note 2 13 12 2" xfId="3576"/>
    <cellStyle name="Note 2 13 12 3" xfId="5474"/>
    <cellStyle name="Note 2 13 13" xfId="1221"/>
    <cellStyle name="Note 2 13 13 2" xfId="3577"/>
    <cellStyle name="Note 2 13 13 3" xfId="5475"/>
    <cellStyle name="Note 2 13 14" xfId="1222"/>
    <cellStyle name="Note 2 13 14 2" xfId="3578"/>
    <cellStyle name="Note 2 13 14 3" xfId="5476"/>
    <cellStyle name="Note 2 13 15" xfId="1223"/>
    <cellStyle name="Note 2 13 15 2" xfId="3579"/>
    <cellStyle name="Note 2 13 15 3" xfId="5477"/>
    <cellStyle name="Note 2 13 16" xfId="1224"/>
    <cellStyle name="Note 2 13 16 2" xfId="3580"/>
    <cellStyle name="Note 2 13 16 3" xfId="5478"/>
    <cellStyle name="Note 2 13 17" xfId="1225"/>
    <cellStyle name="Note 2 13 17 2" xfId="3581"/>
    <cellStyle name="Note 2 13 17 3" xfId="5479"/>
    <cellStyle name="Note 2 13 18" xfId="1226"/>
    <cellStyle name="Note 2 13 18 2" xfId="3582"/>
    <cellStyle name="Note 2 13 18 3" xfId="5480"/>
    <cellStyle name="Note 2 13 19" xfId="1227"/>
    <cellStyle name="Note 2 13 19 2" xfId="3583"/>
    <cellStyle name="Note 2 13 19 3" xfId="5481"/>
    <cellStyle name="Note 2 13 2" xfId="1228"/>
    <cellStyle name="Note 2 13 2 2" xfId="3584"/>
    <cellStyle name="Note 2 13 2 3" xfId="5482"/>
    <cellStyle name="Note 2 13 20" xfId="1229"/>
    <cellStyle name="Note 2 13 20 2" xfId="3585"/>
    <cellStyle name="Note 2 13 20 3" xfId="5483"/>
    <cellStyle name="Note 2 13 21" xfId="1230"/>
    <cellStyle name="Note 2 13 21 2" xfId="3586"/>
    <cellStyle name="Note 2 13 21 3" xfId="5484"/>
    <cellStyle name="Note 2 13 22" xfId="1231"/>
    <cellStyle name="Note 2 13 22 2" xfId="3587"/>
    <cellStyle name="Note 2 13 22 3" xfId="5485"/>
    <cellStyle name="Note 2 13 23" xfId="1232"/>
    <cellStyle name="Note 2 13 23 2" xfId="3588"/>
    <cellStyle name="Note 2 13 23 3" xfId="5486"/>
    <cellStyle name="Note 2 13 24" xfId="3573"/>
    <cellStyle name="Note 2 13 25" xfId="5471"/>
    <cellStyle name="Note 2 13 3" xfId="1233"/>
    <cellStyle name="Note 2 13 3 2" xfId="3589"/>
    <cellStyle name="Note 2 13 3 3" xfId="5487"/>
    <cellStyle name="Note 2 13 4" xfId="1234"/>
    <cellStyle name="Note 2 13 4 2" xfId="3590"/>
    <cellStyle name="Note 2 13 4 3" xfId="5488"/>
    <cellStyle name="Note 2 13 5" xfId="1235"/>
    <cellStyle name="Note 2 13 5 2" xfId="3591"/>
    <cellStyle name="Note 2 13 5 3" xfId="5489"/>
    <cellStyle name="Note 2 13 6" xfId="1236"/>
    <cellStyle name="Note 2 13 6 2" xfId="3592"/>
    <cellStyle name="Note 2 13 6 3" xfId="5490"/>
    <cellStyle name="Note 2 13 7" xfId="1237"/>
    <cellStyle name="Note 2 13 7 2" xfId="3593"/>
    <cellStyle name="Note 2 13 7 3" xfId="5491"/>
    <cellStyle name="Note 2 13 8" xfId="1238"/>
    <cellStyle name="Note 2 13 8 2" xfId="3594"/>
    <cellStyle name="Note 2 13 8 3" xfId="5492"/>
    <cellStyle name="Note 2 13 9" xfId="1239"/>
    <cellStyle name="Note 2 13 9 2" xfId="3595"/>
    <cellStyle name="Note 2 13 9 3" xfId="5493"/>
    <cellStyle name="Note 2 14" xfId="1240"/>
    <cellStyle name="Note 2 14 10" xfId="1241"/>
    <cellStyle name="Note 2 14 10 2" xfId="3597"/>
    <cellStyle name="Note 2 14 10 3" xfId="5495"/>
    <cellStyle name="Note 2 14 11" xfId="1242"/>
    <cellStyle name="Note 2 14 11 2" xfId="3598"/>
    <cellStyle name="Note 2 14 11 3" xfId="5496"/>
    <cellStyle name="Note 2 14 12" xfId="1243"/>
    <cellStyle name="Note 2 14 12 2" xfId="3599"/>
    <cellStyle name="Note 2 14 12 3" xfId="5497"/>
    <cellStyle name="Note 2 14 13" xfId="1244"/>
    <cellStyle name="Note 2 14 13 2" xfId="3600"/>
    <cellStyle name="Note 2 14 13 3" xfId="5498"/>
    <cellStyle name="Note 2 14 14" xfId="1245"/>
    <cellStyle name="Note 2 14 14 2" xfId="3601"/>
    <cellStyle name="Note 2 14 14 3" xfId="5499"/>
    <cellStyle name="Note 2 14 15" xfId="1246"/>
    <cellStyle name="Note 2 14 15 2" xfId="3602"/>
    <cellStyle name="Note 2 14 15 3" xfId="5500"/>
    <cellStyle name="Note 2 14 16" xfId="1247"/>
    <cellStyle name="Note 2 14 16 2" xfId="3603"/>
    <cellStyle name="Note 2 14 16 3" xfId="5501"/>
    <cellStyle name="Note 2 14 17" xfId="1248"/>
    <cellStyle name="Note 2 14 17 2" xfId="3604"/>
    <cellStyle name="Note 2 14 17 3" xfId="5502"/>
    <cellStyle name="Note 2 14 18" xfId="1249"/>
    <cellStyle name="Note 2 14 18 2" xfId="3605"/>
    <cellStyle name="Note 2 14 18 3" xfId="5503"/>
    <cellStyle name="Note 2 14 19" xfId="1250"/>
    <cellStyle name="Note 2 14 19 2" xfId="3606"/>
    <cellStyle name="Note 2 14 19 3" xfId="5504"/>
    <cellStyle name="Note 2 14 2" xfId="1251"/>
    <cellStyle name="Note 2 14 2 2" xfId="3607"/>
    <cellStyle name="Note 2 14 2 3" xfId="5505"/>
    <cellStyle name="Note 2 14 20" xfId="1252"/>
    <cellStyle name="Note 2 14 20 2" xfId="3608"/>
    <cellStyle name="Note 2 14 20 3" xfId="5506"/>
    <cellStyle name="Note 2 14 21" xfId="1253"/>
    <cellStyle name="Note 2 14 21 2" xfId="3609"/>
    <cellStyle name="Note 2 14 21 3" xfId="5507"/>
    <cellStyle name="Note 2 14 22" xfId="1254"/>
    <cellStyle name="Note 2 14 22 2" xfId="3610"/>
    <cellStyle name="Note 2 14 22 3" xfId="5508"/>
    <cellStyle name="Note 2 14 23" xfId="1255"/>
    <cellStyle name="Note 2 14 23 2" xfId="3611"/>
    <cellStyle name="Note 2 14 23 3" xfId="5509"/>
    <cellStyle name="Note 2 14 24" xfId="3596"/>
    <cellStyle name="Note 2 14 25" xfId="5494"/>
    <cellStyle name="Note 2 14 3" xfId="1256"/>
    <cellStyle name="Note 2 14 3 2" xfId="3612"/>
    <cellStyle name="Note 2 14 3 3" xfId="5510"/>
    <cellStyle name="Note 2 14 4" xfId="1257"/>
    <cellStyle name="Note 2 14 4 2" xfId="3613"/>
    <cellStyle name="Note 2 14 4 3" xfId="5511"/>
    <cellStyle name="Note 2 14 5" xfId="1258"/>
    <cellStyle name="Note 2 14 5 2" xfId="3614"/>
    <cellStyle name="Note 2 14 5 3" xfId="5512"/>
    <cellStyle name="Note 2 14 6" xfId="1259"/>
    <cellStyle name="Note 2 14 6 2" xfId="3615"/>
    <cellStyle name="Note 2 14 6 3" xfId="5513"/>
    <cellStyle name="Note 2 14 7" xfId="1260"/>
    <cellStyle name="Note 2 14 7 2" xfId="3616"/>
    <cellStyle name="Note 2 14 7 3" xfId="5514"/>
    <cellStyle name="Note 2 14 8" xfId="1261"/>
    <cellStyle name="Note 2 14 8 2" xfId="3617"/>
    <cellStyle name="Note 2 14 8 3" xfId="5515"/>
    <cellStyle name="Note 2 14 9" xfId="1262"/>
    <cellStyle name="Note 2 14 9 2" xfId="3618"/>
    <cellStyle name="Note 2 14 9 3" xfId="5516"/>
    <cellStyle name="Note 2 15" xfId="1263"/>
    <cellStyle name="Note 2 15 10" xfId="1264"/>
    <cellStyle name="Note 2 15 10 2" xfId="3620"/>
    <cellStyle name="Note 2 15 10 3" xfId="5518"/>
    <cellStyle name="Note 2 15 11" xfId="1265"/>
    <cellStyle name="Note 2 15 11 2" xfId="3621"/>
    <cellStyle name="Note 2 15 11 3" xfId="5519"/>
    <cellStyle name="Note 2 15 12" xfId="1266"/>
    <cellStyle name="Note 2 15 12 2" xfId="3622"/>
    <cellStyle name="Note 2 15 12 3" xfId="5520"/>
    <cellStyle name="Note 2 15 13" xfId="1267"/>
    <cellStyle name="Note 2 15 13 2" xfId="3623"/>
    <cellStyle name="Note 2 15 13 3" xfId="5521"/>
    <cellStyle name="Note 2 15 14" xfId="1268"/>
    <cellStyle name="Note 2 15 14 2" xfId="3624"/>
    <cellStyle name="Note 2 15 14 3" xfId="5522"/>
    <cellStyle name="Note 2 15 15" xfId="1269"/>
    <cellStyle name="Note 2 15 15 2" xfId="3625"/>
    <cellStyle name="Note 2 15 15 3" xfId="5523"/>
    <cellStyle name="Note 2 15 16" xfId="1270"/>
    <cellStyle name="Note 2 15 16 2" xfId="3626"/>
    <cellStyle name="Note 2 15 16 3" xfId="5524"/>
    <cellStyle name="Note 2 15 17" xfId="1271"/>
    <cellStyle name="Note 2 15 17 2" xfId="3627"/>
    <cellStyle name="Note 2 15 17 3" xfId="5525"/>
    <cellStyle name="Note 2 15 18" xfId="1272"/>
    <cellStyle name="Note 2 15 18 2" xfId="3628"/>
    <cellStyle name="Note 2 15 18 3" xfId="5526"/>
    <cellStyle name="Note 2 15 19" xfId="1273"/>
    <cellStyle name="Note 2 15 19 2" xfId="3629"/>
    <cellStyle name="Note 2 15 19 3" xfId="5527"/>
    <cellStyle name="Note 2 15 2" xfId="1274"/>
    <cellStyle name="Note 2 15 2 2" xfId="3630"/>
    <cellStyle name="Note 2 15 2 3" xfId="5528"/>
    <cellStyle name="Note 2 15 20" xfId="1275"/>
    <cellStyle name="Note 2 15 20 2" xfId="3631"/>
    <cellStyle name="Note 2 15 20 3" xfId="5529"/>
    <cellStyle name="Note 2 15 21" xfId="1276"/>
    <cellStyle name="Note 2 15 21 2" xfId="3632"/>
    <cellStyle name="Note 2 15 21 3" xfId="5530"/>
    <cellStyle name="Note 2 15 22" xfId="1277"/>
    <cellStyle name="Note 2 15 22 2" xfId="3633"/>
    <cellStyle name="Note 2 15 22 3" xfId="5531"/>
    <cellStyle name="Note 2 15 23" xfId="1278"/>
    <cellStyle name="Note 2 15 23 2" xfId="3634"/>
    <cellStyle name="Note 2 15 23 3" xfId="5532"/>
    <cellStyle name="Note 2 15 24" xfId="3619"/>
    <cellStyle name="Note 2 15 25" xfId="5517"/>
    <cellStyle name="Note 2 15 3" xfId="1279"/>
    <cellStyle name="Note 2 15 3 2" xfId="3635"/>
    <cellStyle name="Note 2 15 3 3" xfId="5533"/>
    <cellStyle name="Note 2 15 4" xfId="1280"/>
    <cellStyle name="Note 2 15 4 2" xfId="3636"/>
    <cellStyle name="Note 2 15 4 3" xfId="5534"/>
    <cellStyle name="Note 2 15 5" xfId="1281"/>
    <cellStyle name="Note 2 15 5 2" xfId="3637"/>
    <cellStyle name="Note 2 15 5 3" xfId="5535"/>
    <cellStyle name="Note 2 15 6" xfId="1282"/>
    <cellStyle name="Note 2 15 6 2" xfId="3638"/>
    <cellStyle name="Note 2 15 6 3" xfId="5536"/>
    <cellStyle name="Note 2 15 7" xfId="1283"/>
    <cellStyle name="Note 2 15 7 2" xfId="3639"/>
    <cellStyle name="Note 2 15 7 3" xfId="5537"/>
    <cellStyle name="Note 2 15 8" xfId="1284"/>
    <cellStyle name="Note 2 15 8 2" xfId="3640"/>
    <cellStyle name="Note 2 15 8 3" xfId="5538"/>
    <cellStyle name="Note 2 15 9" xfId="1285"/>
    <cellStyle name="Note 2 15 9 2" xfId="3641"/>
    <cellStyle name="Note 2 15 9 3" xfId="5539"/>
    <cellStyle name="Note 2 16" xfId="1286"/>
    <cellStyle name="Note 2 16 2" xfId="3642"/>
    <cellStyle name="Note 2 16 3" xfId="5540"/>
    <cellStyle name="Note 2 17" xfId="1287"/>
    <cellStyle name="Note 2 17 2" xfId="3643"/>
    <cellStyle name="Note 2 17 3" xfId="5541"/>
    <cellStyle name="Note 2 18" xfId="1288"/>
    <cellStyle name="Note 2 18 2" xfId="3644"/>
    <cellStyle name="Note 2 18 3" xfId="5542"/>
    <cellStyle name="Note 2 19" xfId="1289"/>
    <cellStyle name="Note 2 19 2" xfId="3645"/>
    <cellStyle name="Note 2 19 3" xfId="5543"/>
    <cellStyle name="Note 2 2" xfId="1290"/>
    <cellStyle name="Note 2 2 10" xfId="1291"/>
    <cellStyle name="Note 2 2 10 2" xfId="3647"/>
    <cellStyle name="Note 2 2 10 3" xfId="5545"/>
    <cellStyle name="Note 2 2 11" xfId="1292"/>
    <cellStyle name="Note 2 2 11 2" xfId="3648"/>
    <cellStyle name="Note 2 2 11 3" xfId="5546"/>
    <cellStyle name="Note 2 2 12" xfId="1293"/>
    <cellStyle name="Note 2 2 12 2" xfId="3649"/>
    <cellStyle name="Note 2 2 12 3" xfId="5547"/>
    <cellStyle name="Note 2 2 13" xfId="1294"/>
    <cellStyle name="Note 2 2 13 2" xfId="3650"/>
    <cellStyle name="Note 2 2 13 3" xfId="5548"/>
    <cellStyle name="Note 2 2 14" xfId="1295"/>
    <cellStyle name="Note 2 2 14 2" xfId="3651"/>
    <cellStyle name="Note 2 2 14 3" xfId="5549"/>
    <cellStyle name="Note 2 2 15" xfId="1296"/>
    <cellStyle name="Note 2 2 15 2" xfId="3652"/>
    <cellStyle name="Note 2 2 15 3" xfId="5550"/>
    <cellStyle name="Note 2 2 16" xfId="1297"/>
    <cellStyle name="Note 2 2 16 2" xfId="3653"/>
    <cellStyle name="Note 2 2 16 3" xfId="5551"/>
    <cellStyle name="Note 2 2 17" xfId="1298"/>
    <cellStyle name="Note 2 2 17 2" xfId="3654"/>
    <cellStyle name="Note 2 2 17 3" xfId="5552"/>
    <cellStyle name="Note 2 2 18" xfId="1299"/>
    <cellStyle name="Note 2 2 18 2" xfId="3655"/>
    <cellStyle name="Note 2 2 18 3" xfId="5553"/>
    <cellStyle name="Note 2 2 19" xfId="1300"/>
    <cellStyle name="Note 2 2 19 2" xfId="3656"/>
    <cellStyle name="Note 2 2 19 3" xfId="5554"/>
    <cellStyle name="Note 2 2 2" xfId="1301"/>
    <cellStyle name="Note 2 2 2 2" xfId="3657"/>
    <cellStyle name="Note 2 2 2 3" xfId="5555"/>
    <cellStyle name="Note 2 2 20" xfId="1302"/>
    <cellStyle name="Note 2 2 20 2" xfId="3658"/>
    <cellStyle name="Note 2 2 20 3" xfId="5556"/>
    <cellStyle name="Note 2 2 21" xfId="1303"/>
    <cellStyle name="Note 2 2 21 2" xfId="3659"/>
    <cellStyle name="Note 2 2 21 3" xfId="5557"/>
    <cellStyle name="Note 2 2 22" xfId="1304"/>
    <cellStyle name="Note 2 2 22 2" xfId="3660"/>
    <cellStyle name="Note 2 2 22 3" xfId="5558"/>
    <cellStyle name="Note 2 2 23" xfId="1305"/>
    <cellStyle name="Note 2 2 23 2" xfId="3661"/>
    <cellStyle name="Note 2 2 23 3" xfId="5559"/>
    <cellStyle name="Note 2 2 24" xfId="3646"/>
    <cellStyle name="Note 2 2 25" xfId="5544"/>
    <cellStyle name="Note 2 2 3" xfId="1306"/>
    <cellStyle name="Note 2 2 3 2" xfId="3662"/>
    <cellStyle name="Note 2 2 3 3" xfId="5560"/>
    <cellStyle name="Note 2 2 4" xfId="1307"/>
    <cellStyle name="Note 2 2 4 2" xfId="3663"/>
    <cellStyle name="Note 2 2 4 3" xfId="5561"/>
    <cellStyle name="Note 2 2 5" xfId="1308"/>
    <cellStyle name="Note 2 2 5 2" xfId="3664"/>
    <cellStyle name="Note 2 2 5 3" xfId="5562"/>
    <cellStyle name="Note 2 2 6" xfId="1309"/>
    <cellStyle name="Note 2 2 6 2" xfId="3665"/>
    <cellStyle name="Note 2 2 6 3" xfId="5563"/>
    <cellStyle name="Note 2 2 7" xfId="1310"/>
    <cellStyle name="Note 2 2 7 2" xfId="3666"/>
    <cellStyle name="Note 2 2 7 3" xfId="5564"/>
    <cellStyle name="Note 2 2 8" xfId="1311"/>
    <cellStyle name="Note 2 2 8 2" xfId="3667"/>
    <cellStyle name="Note 2 2 8 3" xfId="5565"/>
    <cellStyle name="Note 2 2 9" xfId="1312"/>
    <cellStyle name="Note 2 2 9 2" xfId="3668"/>
    <cellStyle name="Note 2 2 9 3" xfId="5566"/>
    <cellStyle name="Note 2 20" xfId="1313"/>
    <cellStyle name="Note 2 20 2" xfId="3669"/>
    <cellStyle name="Note 2 20 3" xfId="5567"/>
    <cellStyle name="Note 2 21" xfId="1314"/>
    <cellStyle name="Note 2 21 2" xfId="3670"/>
    <cellStyle name="Note 2 21 3" xfId="5568"/>
    <cellStyle name="Note 2 22" xfId="1315"/>
    <cellStyle name="Note 2 22 2" xfId="3671"/>
    <cellStyle name="Note 2 22 3" xfId="5569"/>
    <cellStyle name="Note 2 23" xfId="1316"/>
    <cellStyle name="Note 2 23 2" xfId="3672"/>
    <cellStyle name="Note 2 23 3" xfId="5570"/>
    <cellStyle name="Note 2 24" xfId="1317"/>
    <cellStyle name="Note 2 24 2" xfId="3673"/>
    <cellStyle name="Note 2 24 3" xfId="5571"/>
    <cellStyle name="Note 2 25" xfId="1318"/>
    <cellStyle name="Note 2 25 2" xfId="3674"/>
    <cellStyle name="Note 2 25 3" xfId="5572"/>
    <cellStyle name="Note 2 26" xfId="1319"/>
    <cellStyle name="Note 2 26 2" xfId="3675"/>
    <cellStyle name="Note 2 26 3" xfId="5573"/>
    <cellStyle name="Note 2 27" xfId="1320"/>
    <cellStyle name="Note 2 27 2" xfId="3676"/>
    <cellStyle name="Note 2 27 3" xfId="5574"/>
    <cellStyle name="Note 2 28" xfId="1321"/>
    <cellStyle name="Note 2 28 2" xfId="3677"/>
    <cellStyle name="Note 2 28 3" xfId="5575"/>
    <cellStyle name="Note 2 29" xfId="1322"/>
    <cellStyle name="Note 2 29 2" xfId="3678"/>
    <cellStyle name="Note 2 29 3" xfId="5576"/>
    <cellStyle name="Note 2 3" xfId="1323"/>
    <cellStyle name="Note 2 3 10" xfId="1324"/>
    <cellStyle name="Note 2 3 10 2" xfId="3680"/>
    <cellStyle name="Note 2 3 10 3" xfId="5578"/>
    <cellStyle name="Note 2 3 11" xfId="1325"/>
    <cellStyle name="Note 2 3 11 2" xfId="3681"/>
    <cellStyle name="Note 2 3 11 3" xfId="5579"/>
    <cellStyle name="Note 2 3 12" xfId="1326"/>
    <cellStyle name="Note 2 3 12 2" xfId="3682"/>
    <cellStyle name="Note 2 3 12 3" xfId="5580"/>
    <cellStyle name="Note 2 3 13" xfId="1327"/>
    <cellStyle name="Note 2 3 13 2" xfId="3683"/>
    <cellStyle name="Note 2 3 13 3" xfId="5581"/>
    <cellStyle name="Note 2 3 14" xfId="1328"/>
    <cellStyle name="Note 2 3 14 2" xfId="3684"/>
    <cellStyle name="Note 2 3 14 3" xfId="5582"/>
    <cellStyle name="Note 2 3 15" xfId="1329"/>
    <cellStyle name="Note 2 3 15 2" xfId="3685"/>
    <cellStyle name="Note 2 3 15 3" xfId="5583"/>
    <cellStyle name="Note 2 3 16" xfId="1330"/>
    <cellStyle name="Note 2 3 16 2" xfId="3686"/>
    <cellStyle name="Note 2 3 16 3" xfId="5584"/>
    <cellStyle name="Note 2 3 17" xfId="1331"/>
    <cellStyle name="Note 2 3 17 2" xfId="3687"/>
    <cellStyle name="Note 2 3 17 3" xfId="5585"/>
    <cellStyle name="Note 2 3 18" xfId="1332"/>
    <cellStyle name="Note 2 3 18 2" xfId="3688"/>
    <cellStyle name="Note 2 3 18 3" xfId="5586"/>
    <cellStyle name="Note 2 3 19" xfId="1333"/>
    <cellStyle name="Note 2 3 19 2" xfId="3689"/>
    <cellStyle name="Note 2 3 19 3" xfId="5587"/>
    <cellStyle name="Note 2 3 2" xfId="1334"/>
    <cellStyle name="Note 2 3 2 2" xfId="3690"/>
    <cellStyle name="Note 2 3 2 3" xfId="5588"/>
    <cellStyle name="Note 2 3 20" xfId="1335"/>
    <cellStyle name="Note 2 3 20 2" xfId="3691"/>
    <cellStyle name="Note 2 3 20 3" xfId="5589"/>
    <cellStyle name="Note 2 3 21" xfId="1336"/>
    <cellStyle name="Note 2 3 21 2" xfId="3692"/>
    <cellStyle name="Note 2 3 21 3" xfId="5590"/>
    <cellStyle name="Note 2 3 22" xfId="1337"/>
    <cellStyle name="Note 2 3 22 2" xfId="3693"/>
    <cellStyle name="Note 2 3 22 3" xfId="5591"/>
    <cellStyle name="Note 2 3 23" xfId="1338"/>
    <cellStyle name="Note 2 3 23 2" xfId="3694"/>
    <cellStyle name="Note 2 3 23 3" xfId="5592"/>
    <cellStyle name="Note 2 3 24" xfId="3679"/>
    <cellStyle name="Note 2 3 25" xfId="5577"/>
    <cellStyle name="Note 2 3 3" xfId="1339"/>
    <cellStyle name="Note 2 3 3 2" xfId="3695"/>
    <cellStyle name="Note 2 3 3 3" xfId="5593"/>
    <cellStyle name="Note 2 3 4" xfId="1340"/>
    <cellStyle name="Note 2 3 4 2" xfId="3696"/>
    <cellStyle name="Note 2 3 4 3" xfId="5594"/>
    <cellStyle name="Note 2 3 5" xfId="1341"/>
    <cellStyle name="Note 2 3 5 2" xfId="3697"/>
    <cellStyle name="Note 2 3 5 3" xfId="5595"/>
    <cellStyle name="Note 2 3 6" xfId="1342"/>
    <cellStyle name="Note 2 3 6 2" xfId="3698"/>
    <cellStyle name="Note 2 3 6 3" xfId="5596"/>
    <cellStyle name="Note 2 3 7" xfId="1343"/>
    <cellStyle name="Note 2 3 7 2" xfId="3699"/>
    <cellStyle name="Note 2 3 7 3" xfId="5597"/>
    <cellStyle name="Note 2 3 8" xfId="1344"/>
    <cellStyle name="Note 2 3 8 2" xfId="3700"/>
    <cellStyle name="Note 2 3 8 3" xfId="5598"/>
    <cellStyle name="Note 2 3 9" xfId="1345"/>
    <cellStyle name="Note 2 3 9 2" xfId="3701"/>
    <cellStyle name="Note 2 3 9 3" xfId="5599"/>
    <cellStyle name="Note 2 30" xfId="1346"/>
    <cellStyle name="Note 2 30 2" xfId="3702"/>
    <cellStyle name="Note 2 30 3" xfId="5600"/>
    <cellStyle name="Note 2 31" xfId="1347"/>
    <cellStyle name="Note 2 31 2" xfId="3703"/>
    <cellStyle name="Note 2 31 3" xfId="5601"/>
    <cellStyle name="Note 2 32" xfId="1348"/>
    <cellStyle name="Note 2 32 2" xfId="3704"/>
    <cellStyle name="Note 2 32 3" xfId="5602"/>
    <cellStyle name="Note 2 33" xfId="1349"/>
    <cellStyle name="Note 2 33 2" xfId="3705"/>
    <cellStyle name="Note 2 33 3" xfId="5603"/>
    <cellStyle name="Note 2 34" xfId="1350"/>
    <cellStyle name="Note 2 34 2" xfId="3706"/>
    <cellStyle name="Note 2 34 3" xfId="5604"/>
    <cellStyle name="Note 2 35" xfId="1351"/>
    <cellStyle name="Note 2 35 2" xfId="3707"/>
    <cellStyle name="Note 2 35 3" xfId="5605"/>
    <cellStyle name="Note 2 36" xfId="1352"/>
    <cellStyle name="Note 2 36 2" xfId="3708"/>
    <cellStyle name="Note 2 36 3" xfId="5606"/>
    <cellStyle name="Note 2 37" xfId="1353"/>
    <cellStyle name="Note 2 37 2" xfId="3709"/>
    <cellStyle name="Note 2 37 3" xfId="5607"/>
    <cellStyle name="Note 2 38" xfId="3503"/>
    <cellStyle name="Note 2 39" xfId="5401"/>
    <cellStyle name="Note 2 4" xfId="1354"/>
    <cellStyle name="Note 2 4 10" xfId="1355"/>
    <cellStyle name="Note 2 4 10 2" xfId="3711"/>
    <cellStyle name="Note 2 4 10 3" xfId="5609"/>
    <cellStyle name="Note 2 4 11" xfId="1356"/>
    <cellStyle name="Note 2 4 11 2" xfId="3712"/>
    <cellStyle name="Note 2 4 11 3" xfId="5610"/>
    <cellStyle name="Note 2 4 12" xfId="1357"/>
    <cellStyle name="Note 2 4 12 2" xfId="3713"/>
    <cellStyle name="Note 2 4 12 3" xfId="5611"/>
    <cellStyle name="Note 2 4 13" xfId="1358"/>
    <cellStyle name="Note 2 4 13 2" xfId="3714"/>
    <cellStyle name="Note 2 4 13 3" xfId="5612"/>
    <cellStyle name="Note 2 4 14" xfId="1359"/>
    <cellStyle name="Note 2 4 14 2" xfId="3715"/>
    <cellStyle name="Note 2 4 14 3" xfId="5613"/>
    <cellStyle name="Note 2 4 15" xfId="1360"/>
    <cellStyle name="Note 2 4 15 2" xfId="3716"/>
    <cellStyle name="Note 2 4 15 3" xfId="5614"/>
    <cellStyle name="Note 2 4 16" xfId="1361"/>
    <cellStyle name="Note 2 4 16 2" xfId="3717"/>
    <cellStyle name="Note 2 4 16 3" xfId="5615"/>
    <cellStyle name="Note 2 4 17" xfId="1362"/>
    <cellStyle name="Note 2 4 17 2" xfId="3718"/>
    <cellStyle name="Note 2 4 17 3" xfId="5616"/>
    <cellStyle name="Note 2 4 18" xfId="1363"/>
    <cellStyle name="Note 2 4 18 2" xfId="3719"/>
    <cellStyle name="Note 2 4 18 3" xfId="5617"/>
    <cellStyle name="Note 2 4 19" xfId="1364"/>
    <cellStyle name="Note 2 4 19 2" xfId="3720"/>
    <cellStyle name="Note 2 4 19 3" xfId="5618"/>
    <cellStyle name="Note 2 4 2" xfId="1365"/>
    <cellStyle name="Note 2 4 2 2" xfId="3721"/>
    <cellStyle name="Note 2 4 2 3" xfId="5619"/>
    <cellStyle name="Note 2 4 20" xfId="1366"/>
    <cellStyle name="Note 2 4 20 2" xfId="3722"/>
    <cellStyle name="Note 2 4 20 3" xfId="5620"/>
    <cellStyle name="Note 2 4 21" xfId="1367"/>
    <cellStyle name="Note 2 4 21 2" xfId="3723"/>
    <cellStyle name="Note 2 4 21 3" xfId="5621"/>
    <cellStyle name="Note 2 4 22" xfId="1368"/>
    <cellStyle name="Note 2 4 22 2" xfId="3724"/>
    <cellStyle name="Note 2 4 22 3" xfId="5622"/>
    <cellStyle name="Note 2 4 23" xfId="1369"/>
    <cellStyle name="Note 2 4 23 2" xfId="3725"/>
    <cellStyle name="Note 2 4 23 3" xfId="5623"/>
    <cellStyle name="Note 2 4 24" xfId="3710"/>
    <cellStyle name="Note 2 4 25" xfId="5608"/>
    <cellStyle name="Note 2 4 3" xfId="1370"/>
    <cellStyle name="Note 2 4 3 2" xfId="3726"/>
    <cellStyle name="Note 2 4 3 3" xfId="5624"/>
    <cellStyle name="Note 2 4 4" xfId="1371"/>
    <cellStyle name="Note 2 4 4 2" xfId="3727"/>
    <cellStyle name="Note 2 4 4 3" xfId="5625"/>
    <cellStyle name="Note 2 4 5" xfId="1372"/>
    <cellStyle name="Note 2 4 5 2" xfId="3728"/>
    <cellStyle name="Note 2 4 5 3" xfId="5626"/>
    <cellStyle name="Note 2 4 6" xfId="1373"/>
    <cellStyle name="Note 2 4 6 2" xfId="3729"/>
    <cellStyle name="Note 2 4 6 3" xfId="5627"/>
    <cellStyle name="Note 2 4 7" xfId="1374"/>
    <cellStyle name="Note 2 4 7 2" xfId="3730"/>
    <cellStyle name="Note 2 4 7 3" xfId="5628"/>
    <cellStyle name="Note 2 4 8" xfId="1375"/>
    <cellStyle name="Note 2 4 8 2" xfId="3731"/>
    <cellStyle name="Note 2 4 8 3" xfId="5629"/>
    <cellStyle name="Note 2 4 9" xfId="1376"/>
    <cellStyle name="Note 2 4 9 2" xfId="3732"/>
    <cellStyle name="Note 2 4 9 3" xfId="5630"/>
    <cellStyle name="Note 2 5" xfId="1377"/>
    <cellStyle name="Note 2 5 10" xfId="1378"/>
    <cellStyle name="Note 2 5 10 2" xfId="3734"/>
    <cellStyle name="Note 2 5 10 3" xfId="5632"/>
    <cellStyle name="Note 2 5 11" xfId="1379"/>
    <cellStyle name="Note 2 5 11 2" xfId="3735"/>
    <cellStyle name="Note 2 5 11 3" xfId="5633"/>
    <cellStyle name="Note 2 5 12" xfId="1380"/>
    <cellStyle name="Note 2 5 12 2" xfId="3736"/>
    <cellStyle name="Note 2 5 12 3" xfId="5634"/>
    <cellStyle name="Note 2 5 13" xfId="1381"/>
    <cellStyle name="Note 2 5 13 2" xfId="3737"/>
    <cellStyle name="Note 2 5 13 3" xfId="5635"/>
    <cellStyle name="Note 2 5 14" xfId="1382"/>
    <cellStyle name="Note 2 5 14 2" xfId="3738"/>
    <cellStyle name="Note 2 5 14 3" xfId="5636"/>
    <cellStyle name="Note 2 5 15" xfId="1383"/>
    <cellStyle name="Note 2 5 15 2" xfId="3739"/>
    <cellStyle name="Note 2 5 15 3" xfId="5637"/>
    <cellStyle name="Note 2 5 16" xfId="1384"/>
    <cellStyle name="Note 2 5 16 2" xfId="3740"/>
    <cellStyle name="Note 2 5 16 3" xfId="5638"/>
    <cellStyle name="Note 2 5 17" xfId="1385"/>
    <cellStyle name="Note 2 5 17 2" xfId="3741"/>
    <cellStyle name="Note 2 5 17 3" xfId="5639"/>
    <cellStyle name="Note 2 5 18" xfId="1386"/>
    <cellStyle name="Note 2 5 18 2" xfId="3742"/>
    <cellStyle name="Note 2 5 18 3" xfId="5640"/>
    <cellStyle name="Note 2 5 19" xfId="1387"/>
    <cellStyle name="Note 2 5 19 2" xfId="3743"/>
    <cellStyle name="Note 2 5 19 3" xfId="5641"/>
    <cellStyle name="Note 2 5 2" xfId="1388"/>
    <cellStyle name="Note 2 5 2 2" xfId="3744"/>
    <cellStyle name="Note 2 5 2 3" xfId="5642"/>
    <cellStyle name="Note 2 5 20" xfId="1389"/>
    <cellStyle name="Note 2 5 20 2" xfId="3745"/>
    <cellStyle name="Note 2 5 20 3" xfId="5643"/>
    <cellStyle name="Note 2 5 21" xfId="1390"/>
    <cellStyle name="Note 2 5 21 2" xfId="3746"/>
    <cellStyle name="Note 2 5 21 3" xfId="5644"/>
    <cellStyle name="Note 2 5 22" xfId="1391"/>
    <cellStyle name="Note 2 5 22 2" xfId="3747"/>
    <cellStyle name="Note 2 5 22 3" xfId="5645"/>
    <cellStyle name="Note 2 5 23" xfId="1392"/>
    <cellStyle name="Note 2 5 23 2" xfId="3748"/>
    <cellStyle name="Note 2 5 23 3" xfId="5646"/>
    <cellStyle name="Note 2 5 24" xfId="3733"/>
    <cellStyle name="Note 2 5 25" xfId="5631"/>
    <cellStyle name="Note 2 5 3" xfId="1393"/>
    <cellStyle name="Note 2 5 3 2" xfId="3749"/>
    <cellStyle name="Note 2 5 3 3" xfId="5647"/>
    <cellStyle name="Note 2 5 4" xfId="1394"/>
    <cellStyle name="Note 2 5 4 2" xfId="3750"/>
    <cellStyle name="Note 2 5 4 3" xfId="5648"/>
    <cellStyle name="Note 2 5 5" xfId="1395"/>
    <cellStyle name="Note 2 5 5 2" xfId="3751"/>
    <cellStyle name="Note 2 5 5 3" xfId="5649"/>
    <cellStyle name="Note 2 5 6" xfId="1396"/>
    <cellStyle name="Note 2 5 6 2" xfId="3752"/>
    <cellStyle name="Note 2 5 6 3" xfId="5650"/>
    <cellStyle name="Note 2 5 7" xfId="1397"/>
    <cellStyle name="Note 2 5 7 2" xfId="3753"/>
    <cellStyle name="Note 2 5 7 3" xfId="5651"/>
    <cellStyle name="Note 2 5 8" xfId="1398"/>
    <cellStyle name="Note 2 5 8 2" xfId="3754"/>
    <cellStyle name="Note 2 5 8 3" xfId="5652"/>
    <cellStyle name="Note 2 5 9" xfId="1399"/>
    <cellStyle name="Note 2 5 9 2" xfId="3755"/>
    <cellStyle name="Note 2 5 9 3" xfId="5653"/>
    <cellStyle name="Note 2 6" xfId="1400"/>
    <cellStyle name="Note 2 6 10" xfId="1401"/>
    <cellStyle name="Note 2 6 10 2" xfId="3757"/>
    <cellStyle name="Note 2 6 10 3" xfId="5655"/>
    <cellStyle name="Note 2 6 11" xfId="1402"/>
    <cellStyle name="Note 2 6 11 2" xfId="3758"/>
    <cellStyle name="Note 2 6 11 3" xfId="5656"/>
    <cellStyle name="Note 2 6 12" xfId="1403"/>
    <cellStyle name="Note 2 6 12 2" xfId="3759"/>
    <cellStyle name="Note 2 6 12 3" xfId="5657"/>
    <cellStyle name="Note 2 6 13" xfId="1404"/>
    <cellStyle name="Note 2 6 13 2" xfId="3760"/>
    <cellStyle name="Note 2 6 13 3" xfId="5658"/>
    <cellStyle name="Note 2 6 14" xfId="1405"/>
    <cellStyle name="Note 2 6 14 2" xfId="3761"/>
    <cellStyle name="Note 2 6 14 3" xfId="5659"/>
    <cellStyle name="Note 2 6 15" xfId="1406"/>
    <cellStyle name="Note 2 6 15 2" xfId="3762"/>
    <cellStyle name="Note 2 6 15 3" xfId="5660"/>
    <cellStyle name="Note 2 6 16" xfId="1407"/>
    <cellStyle name="Note 2 6 16 2" xfId="3763"/>
    <cellStyle name="Note 2 6 16 3" xfId="5661"/>
    <cellStyle name="Note 2 6 17" xfId="1408"/>
    <cellStyle name="Note 2 6 17 2" xfId="3764"/>
    <cellStyle name="Note 2 6 17 3" xfId="5662"/>
    <cellStyle name="Note 2 6 18" xfId="1409"/>
    <cellStyle name="Note 2 6 18 2" xfId="3765"/>
    <cellStyle name="Note 2 6 18 3" xfId="5663"/>
    <cellStyle name="Note 2 6 19" xfId="1410"/>
    <cellStyle name="Note 2 6 19 2" xfId="3766"/>
    <cellStyle name="Note 2 6 19 3" xfId="5664"/>
    <cellStyle name="Note 2 6 2" xfId="1411"/>
    <cellStyle name="Note 2 6 2 2" xfId="3767"/>
    <cellStyle name="Note 2 6 2 3" xfId="5665"/>
    <cellStyle name="Note 2 6 20" xfId="1412"/>
    <cellStyle name="Note 2 6 20 2" xfId="3768"/>
    <cellStyle name="Note 2 6 20 3" xfId="5666"/>
    <cellStyle name="Note 2 6 21" xfId="1413"/>
    <cellStyle name="Note 2 6 21 2" xfId="3769"/>
    <cellStyle name="Note 2 6 21 3" xfId="5667"/>
    <cellStyle name="Note 2 6 22" xfId="1414"/>
    <cellStyle name="Note 2 6 22 2" xfId="3770"/>
    <cellStyle name="Note 2 6 22 3" xfId="5668"/>
    <cellStyle name="Note 2 6 23" xfId="1415"/>
    <cellStyle name="Note 2 6 23 2" xfId="3771"/>
    <cellStyle name="Note 2 6 23 3" xfId="5669"/>
    <cellStyle name="Note 2 6 24" xfId="3756"/>
    <cellStyle name="Note 2 6 25" xfId="5654"/>
    <cellStyle name="Note 2 6 3" xfId="1416"/>
    <cellStyle name="Note 2 6 3 2" xfId="3772"/>
    <cellStyle name="Note 2 6 3 3" xfId="5670"/>
    <cellStyle name="Note 2 6 4" xfId="1417"/>
    <cellStyle name="Note 2 6 4 2" xfId="3773"/>
    <cellStyle name="Note 2 6 4 3" xfId="5671"/>
    <cellStyle name="Note 2 6 5" xfId="1418"/>
    <cellStyle name="Note 2 6 5 2" xfId="3774"/>
    <cellStyle name="Note 2 6 5 3" xfId="5672"/>
    <cellStyle name="Note 2 6 6" xfId="1419"/>
    <cellStyle name="Note 2 6 6 2" xfId="3775"/>
    <cellStyle name="Note 2 6 6 3" xfId="5673"/>
    <cellStyle name="Note 2 6 7" xfId="1420"/>
    <cellStyle name="Note 2 6 7 2" xfId="3776"/>
    <cellStyle name="Note 2 6 7 3" xfId="5674"/>
    <cellStyle name="Note 2 6 8" xfId="1421"/>
    <cellStyle name="Note 2 6 8 2" xfId="3777"/>
    <cellStyle name="Note 2 6 8 3" xfId="5675"/>
    <cellStyle name="Note 2 6 9" xfId="1422"/>
    <cellStyle name="Note 2 6 9 2" xfId="3778"/>
    <cellStyle name="Note 2 6 9 3" xfId="5676"/>
    <cellStyle name="Note 2 7" xfId="1423"/>
    <cellStyle name="Note 2 7 10" xfId="1424"/>
    <cellStyle name="Note 2 7 10 2" xfId="3780"/>
    <cellStyle name="Note 2 7 10 3" xfId="5678"/>
    <cellStyle name="Note 2 7 11" xfId="1425"/>
    <cellStyle name="Note 2 7 11 2" xfId="3781"/>
    <cellStyle name="Note 2 7 11 3" xfId="5679"/>
    <cellStyle name="Note 2 7 12" xfId="1426"/>
    <cellStyle name="Note 2 7 12 2" xfId="3782"/>
    <cellStyle name="Note 2 7 12 3" xfId="5680"/>
    <cellStyle name="Note 2 7 13" xfId="1427"/>
    <cellStyle name="Note 2 7 13 2" xfId="3783"/>
    <cellStyle name="Note 2 7 13 3" xfId="5681"/>
    <cellStyle name="Note 2 7 14" xfId="1428"/>
    <cellStyle name="Note 2 7 14 2" xfId="3784"/>
    <cellStyle name="Note 2 7 14 3" xfId="5682"/>
    <cellStyle name="Note 2 7 15" xfId="1429"/>
    <cellStyle name="Note 2 7 15 2" xfId="3785"/>
    <cellStyle name="Note 2 7 15 3" xfId="5683"/>
    <cellStyle name="Note 2 7 16" xfId="1430"/>
    <cellStyle name="Note 2 7 16 2" xfId="3786"/>
    <cellStyle name="Note 2 7 16 3" xfId="5684"/>
    <cellStyle name="Note 2 7 17" xfId="1431"/>
    <cellStyle name="Note 2 7 17 2" xfId="3787"/>
    <cellStyle name="Note 2 7 17 3" xfId="5685"/>
    <cellStyle name="Note 2 7 18" xfId="1432"/>
    <cellStyle name="Note 2 7 18 2" xfId="3788"/>
    <cellStyle name="Note 2 7 18 3" xfId="5686"/>
    <cellStyle name="Note 2 7 19" xfId="1433"/>
    <cellStyle name="Note 2 7 19 2" xfId="3789"/>
    <cellStyle name="Note 2 7 19 3" xfId="5687"/>
    <cellStyle name="Note 2 7 2" xfId="1434"/>
    <cellStyle name="Note 2 7 2 2" xfId="3790"/>
    <cellStyle name="Note 2 7 2 3" xfId="5688"/>
    <cellStyle name="Note 2 7 20" xfId="1435"/>
    <cellStyle name="Note 2 7 20 2" xfId="3791"/>
    <cellStyle name="Note 2 7 20 3" xfId="5689"/>
    <cellStyle name="Note 2 7 21" xfId="1436"/>
    <cellStyle name="Note 2 7 21 2" xfId="3792"/>
    <cellStyle name="Note 2 7 21 3" xfId="5690"/>
    <cellStyle name="Note 2 7 22" xfId="1437"/>
    <cellStyle name="Note 2 7 22 2" xfId="3793"/>
    <cellStyle name="Note 2 7 22 3" xfId="5691"/>
    <cellStyle name="Note 2 7 23" xfId="1438"/>
    <cellStyle name="Note 2 7 23 2" xfId="3794"/>
    <cellStyle name="Note 2 7 23 3" xfId="5692"/>
    <cellStyle name="Note 2 7 24" xfId="3779"/>
    <cellStyle name="Note 2 7 25" xfId="5677"/>
    <cellStyle name="Note 2 7 3" xfId="1439"/>
    <cellStyle name="Note 2 7 3 2" xfId="3795"/>
    <cellStyle name="Note 2 7 3 3" xfId="5693"/>
    <cellStyle name="Note 2 7 4" xfId="1440"/>
    <cellStyle name="Note 2 7 4 2" xfId="3796"/>
    <cellStyle name="Note 2 7 4 3" xfId="5694"/>
    <cellStyle name="Note 2 7 5" xfId="1441"/>
    <cellStyle name="Note 2 7 5 2" xfId="3797"/>
    <cellStyle name="Note 2 7 5 3" xfId="5695"/>
    <cellStyle name="Note 2 7 6" xfId="1442"/>
    <cellStyle name="Note 2 7 6 2" xfId="3798"/>
    <cellStyle name="Note 2 7 6 3" xfId="5696"/>
    <cellStyle name="Note 2 7 7" xfId="1443"/>
    <cellStyle name="Note 2 7 7 2" xfId="3799"/>
    <cellStyle name="Note 2 7 7 3" xfId="5697"/>
    <cellStyle name="Note 2 7 8" xfId="1444"/>
    <cellStyle name="Note 2 7 8 2" xfId="3800"/>
    <cellStyle name="Note 2 7 8 3" xfId="5698"/>
    <cellStyle name="Note 2 7 9" xfId="1445"/>
    <cellStyle name="Note 2 7 9 2" xfId="3801"/>
    <cellStyle name="Note 2 7 9 3" xfId="5699"/>
    <cellStyle name="Note 2 8" xfId="1446"/>
    <cellStyle name="Note 2 8 10" xfId="1447"/>
    <cellStyle name="Note 2 8 10 2" xfId="3803"/>
    <cellStyle name="Note 2 8 10 3" xfId="5701"/>
    <cellStyle name="Note 2 8 11" xfId="1448"/>
    <cellStyle name="Note 2 8 11 2" xfId="3804"/>
    <cellStyle name="Note 2 8 11 3" xfId="5702"/>
    <cellStyle name="Note 2 8 12" xfId="1449"/>
    <cellStyle name="Note 2 8 12 2" xfId="3805"/>
    <cellStyle name="Note 2 8 12 3" xfId="5703"/>
    <cellStyle name="Note 2 8 13" xfId="1450"/>
    <cellStyle name="Note 2 8 13 2" xfId="3806"/>
    <cellStyle name="Note 2 8 13 3" xfId="5704"/>
    <cellStyle name="Note 2 8 14" xfId="1451"/>
    <cellStyle name="Note 2 8 14 2" xfId="3807"/>
    <cellStyle name="Note 2 8 14 3" xfId="5705"/>
    <cellStyle name="Note 2 8 15" xfId="1452"/>
    <cellStyle name="Note 2 8 15 2" xfId="3808"/>
    <cellStyle name="Note 2 8 15 3" xfId="5706"/>
    <cellStyle name="Note 2 8 16" xfId="1453"/>
    <cellStyle name="Note 2 8 16 2" xfId="3809"/>
    <cellStyle name="Note 2 8 16 3" xfId="5707"/>
    <cellStyle name="Note 2 8 17" xfId="1454"/>
    <cellStyle name="Note 2 8 17 2" xfId="3810"/>
    <cellStyle name="Note 2 8 17 3" xfId="5708"/>
    <cellStyle name="Note 2 8 18" xfId="1455"/>
    <cellStyle name="Note 2 8 18 2" xfId="3811"/>
    <cellStyle name="Note 2 8 18 3" xfId="5709"/>
    <cellStyle name="Note 2 8 19" xfId="1456"/>
    <cellStyle name="Note 2 8 19 2" xfId="3812"/>
    <cellStyle name="Note 2 8 19 3" xfId="5710"/>
    <cellStyle name="Note 2 8 2" xfId="1457"/>
    <cellStyle name="Note 2 8 2 2" xfId="3813"/>
    <cellStyle name="Note 2 8 2 3" xfId="5711"/>
    <cellStyle name="Note 2 8 20" xfId="1458"/>
    <cellStyle name="Note 2 8 20 2" xfId="3814"/>
    <cellStyle name="Note 2 8 20 3" xfId="5712"/>
    <cellStyle name="Note 2 8 21" xfId="1459"/>
    <cellStyle name="Note 2 8 21 2" xfId="3815"/>
    <cellStyle name="Note 2 8 21 3" xfId="5713"/>
    <cellStyle name="Note 2 8 22" xfId="1460"/>
    <cellStyle name="Note 2 8 22 2" xfId="3816"/>
    <cellStyle name="Note 2 8 22 3" xfId="5714"/>
    <cellStyle name="Note 2 8 23" xfId="1461"/>
    <cellStyle name="Note 2 8 23 2" xfId="3817"/>
    <cellStyle name="Note 2 8 23 3" xfId="5715"/>
    <cellStyle name="Note 2 8 24" xfId="3802"/>
    <cellStyle name="Note 2 8 25" xfId="5700"/>
    <cellStyle name="Note 2 8 3" xfId="1462"/>
    <cellStyle name="Note 2 8 3 2" xfId="3818"/>
    <cellStyle name="Note 2 8 3 3" xfId="5716"/>
    <cellStyle name="Note 2 8 4" xfId="1463"/>
    <cellStyle name="Note 2 8 4 2" xfId="3819"/>
    <cellStyle name="Note 2 8 4 3" xfId="5717"/>
    <cellStyle name="Note 2 8 5" xfId="1464"/>
    <cellStyle name="Note 2 8 5 2" xfId="3820"/>
    <cellStyle name="Note 2 8 5 3" xfId="5718"/>
    <cellStyle name="Note 2 8 6" xfId="1465"/>
    <cellStyle name="Note 2 8 6 2" xfId="3821"/>
    <cellStyle name="Note 2 8 6 3" xfId="5719"/>
    <cellStyle name="Note 2 8 7" xfId="1466"/>
    <cellStyle name="Note 2 8 7 2" xfId="3822"/>
    <cellStyle name="Note 2 8 7 3" xfId="5720"/>
    <cellStyle name="Note 2 8 8" xfId="1467"/>
    <cellStyle name="Note 2 8 8 2" xfId="3823"/>
    <cellStyle name="Note 2 8 8 3" xfId="5721"/>
    <cellStyle name="Note 2 8 9" xfId="1468"/>
    <cellStyle name="Note 2 8 9 2" xfId="3824"/>
    <cellStyle name="Note 2 8 9 3" xfId="5722"/>
    <cellStyle name="Note 2 9" xfId="1469"/>
    <cellStyle name="Note 2 9 10" xfId="1470"/>
    <cellStyle name="Note 2 9 10 2" xfId="3826"/>
    <cellStyle name="Note 2 9 10 3" xfId="5724"/>
    <cellStyle name="Note 2 9 11" xfId="1471"/>
    <cellStyle name="Note 2 9 11 2" xfId="3827"/>
    <cellStyle name="Note 2 9 11 3" xfId="5725"/>
    <cellStyle name="Note 2 9 12" xfId="1472"/>
    <cellStyle name="Note 2 9 12 2" xfId="3828"/>
    <cellStyle name="Note 2 9 12 3" xfId="5726"/>
    <cellStyle name="Note 2 9 13" xfId="1473"/>
    <cellStyle name="Note 2 9 13 2" xfId="3829"/>
    <cellStyle name="Note 2 9 13 3" xfId="5727"/>
    <cellStyle name="Note 2 9 14" xfId="1474"/>
    <cellStyle name="Note 2 9 14 2" xfId="3830"/>
    <cellStyle name="Note 2 9 14 3" xfId="5728"/>
    <cellStyle name="Note 2 9 15" xfId="1475"/>
    <cellStyle name="Note 2 9 15 2" xfId="3831"/>
    <cellStyle name="Note 2 9 15 3" xfId="5729"/>
    <cellStyle name="Note 2 9 16" xfId="1476"/>
    <cellStyle name="Note 2 9 16 2" xfId="3832"/>
    <cellStyle name="Note 2 9 16 3" xfId="5730"/>
    <cellStyle name="Note 2 9 17" xfId="1477"/>
    <cellStyle name="Note 2 9 17 2" xfId="3833"/>
    <cellStyle name="Note 2 9 17 3" xfId="5731"/>
    <cellStyle name="Note 2 9 18" xfId="1478"/>
    <cellStyle name="Note 2 9 18 2" xfId="3834"/>
    <cellStyle name="Note 2 9 18 3" xfId="5732"/>
    <cellStyle name="Note 2 9 19" xfId="1479"/>
    <cellStyle name="Note 2 9 19 2" xfId="3835"/>
    <cellStyle name="Note 2 9 19 3" xfId="5733"/>
    <cellStyle name="Note 2 9 2" xfId="1480"/>
    <cellStyle name="Note 2 9 2 2" xfId="3836"/>
    <cellStyle name="Note 2 9 2 3" xfId="5734"/>
    <cellStyle name="Note 2 9 20" xfId="1481"/>
    <cellStyle name="Note 2 9 20 2" xfId="3837"/>
    <cellStyle name="Note 2 9 20 3" xfId="5735"/>
    <cellStyle name="Note 2 9 21" xfId="1482"/>
    <cellStyle name="Note 2 9 21 2" xfId="3838"/>
    <cellStyle name="Note 2 9 21 3" xfId="5736"/>
    <cellStyle name="Note 2 9 22" xfId="1483"/>
    <cellStyle name="Note 2 9 22 2" xfId="3839"/>
    <cellStyle name="Note 2 9 22 3" xfId="5737"/>
    <cellStyle name="Note 2 9 23" xfId="1484"/>
    <cellStyle name="Note 2 9 23 2" xfId="3840"/>
    <cellStyle name="Note 2 9 23 3" xfId="5738"/>
    <cellStyle name="Note 2 9 24" xfId="3825"/>
    <cellStyle name="Note 2 9 25" xfId="5723"/>
    <cellStyle name="Note 2 9 3" xfId="1485"/>
    <cellStyle name="Note 2 9 3 2" xfId="3841"/>
    <cellStyle name="Note 2 9 3 3" xfId="5739"/>
    <cellStyle name="Note 2 9 4" xfId="1486"/>
    <cellStyle name="Note 2 9 4 2" xfId="3842"/>
    <cellStyle name="Note 2 9 4 3" xfId="5740"/>
    <cellStyle name="Note 2 9 5" xfId="1487"/>
    <cellStyle name="Note 2 9 5 2" xfId="3843"/>
    <cellStyle name="Note 2 9 5 3" xfId="5741"/>
    <cellStyle name="Note 2 9 6" xfId="1488"/>
    <cellStyle name="Note 2 9 6 2" xfId="3844"/>
    <cellStyle name="Note 2 9 6 3" xfId="5742"/>
    <cellStyle name="Note 2 9 7" xfId="1489"/>
    <cellStyle name="Note 2 9 7 2" xfId="3845"/>
    <cellStyle name="Note 2 9 7 3" xfId="5743"/>
    <cellStyle name="Note 2 9 8" xfId="1490"/>
    <cellStyle name="Note 2 9 8 2" xfId="3846"/>
    <cellStyle name="Note 2 9 8 3" xfId="5744"/>
    <cellStyle name="Note 2 9 9" xfId="1491"/>
    <cellStyle name="Note 2 9 9 2" xfId="3847"/>
    <cellStyle name="Note 2 9 9 3" xfId="5745"/>
    <cellStyle name="Note 3" xfId="4756"/>
    <cellStyle name="Note 4" xfId="2486"/>
    <cellStyle name="Note 5" xfId="4727"/>
    <cellStyle name="Obliczenia" xfId="1492"/>
    <cellStyle name="Obliczenia 10" xfId="1493"/>
    <cellStyle name="Obliczenia 10 2" xfId="3849"/>
    <cellStyle name="Obliczenia 10 3" xfId="5747"/>
    <cellStyle name="Obliczenia 11" xfId="1494"/>
    <cellStyle name="Obliczenia 11 2" xfId="3850"/>
    <cellStyle name="Obliczenia 11 3" xfId="5748"/>
    <cellStyle name="Obliczenia 12" xfId="1495"/>
    <cellStyle name="Obliczenia 12 2" xfId="3851"/>
    <cellStyle name="Obliczenia 12 3" xfId="5749"/>
    <cellStyle name="Obliczenia 13" xfId="1496"/>
    <cellStyle name="Obliczenia 13 2" xfId="3852"/>
    <cellStyle name="Obliczenia 13 3" xfId="5750"/>
    <cellStyle name="Obliczenia 14" xfId="1497"/>
    <cellStyle name="Obliczenia 14 2" xfId="3853"/>
    <cellStyle name="Obliczenia 14 3" xfId="5751"/>
    <cellStyle name="Obliczenia 15" xfId="1498"/>
    <cellStyle name="Obliczenia 15 2" xfId="3854"/>
    <cellStyle name="Obliczenia 15 3" xfId="5752"/>
    <cellStyle name="Obliczenia 16" xfId="1499"/>
    <cellStyle name="Obliczenia 16 2" xfId="3855"/>
    <cellStyle name="Obliczenia 16 3" xfId="5753"/>
    <cellStyle name="Obliczenia 17" xfId="1500"/>
    <cellStyle name="Obliczenia 17 2" xfId="3856"/>
    <cellStyle name="Obliczenia 17 3" xfId="5754"/>
    <cellStyle name="Obliczenia 18" xfId="1501"/>
    <cellStyle name="Obliczenia 18 2" xfId="3857"/>
    <cellStyle name="Obliczenia 18 3" xfId="5755"/>
    <cellStyle name="Obliczenia 19" xfId="1502"/>
    <cellStyle name="Obliczenia 19 2" xfId="3858"/>
    <cellStyle name="Obliczenia 19 3" xfId="5756"/>
    <cellStyle name="Obliczenia 2" xfId="1503"/>
    <cellStyle name="Obliczenia 2 10" xfId="1504"/>
    <cellStyle name="Obliczenia 2 10 2" xfId="3860"/>
    <cellStyle name="Obliczenia 2 10 3" xfId="5758"/>
    <cellStyle name="Obliczenia 2 11" xfId="1505"/>
    <cellStyle name="Obliczenia 2 11 2" xfId="3861"/>
    <cellStyle name="Obliczenia 2 11 3" xfId="5759"/>
    <cellStyle name="Obliczenia 2 12" xfId="1506"/>
    <cellStyle name="Obliczenia 2 12 2" xfId="3862"/>
    <cellStyle name="Obliczenia 2 12 3" xfId="5760"/>
    <cellStyle name="Obliczenia 2 13" xfId="1507"/>
    <cellStyle name="Obliczenia 2 13 2" xfId="3863"/>
    <cellStyle name="Obliczenia 2 13 3" xfId="5761"/>
    <cellStyle name="Obliczenia 2 14" xfId="1508"/>
    <cellStyle name="Obliczenia 2 14 2" xfId="3864"/>
    <cellStyle name="Obliczenia 2 14 3" xfId="5762"/>
    <cellStyle name="Obliczenia 2 15" xfId="1509"/>
    <cellStyle name="Obliczenia 2 15 2" xfId="3865"/>
    <cellStyle name="Obliczenia 2 15 3" xfId="5763"/>
    <cellStyle name="Obliczenia 2 16" xfId="1510"/>
    <cellStyle name="Obliczenia 2 16 2" xfId="3866"/>
    <cellStyle name="Obliczenia 2 16 3" xfId="5764"/>
    <cellStyle name="Obliczenia 2 17" xfId="1511"/>
    <cellStyle name="Obliczenia 2 17 2" xfId="3867"/>
    <cellStyle name="Obliczenia 2 17 3" xfId="5765"/>
    <cellStyle name="Obliczenia 2 18" xfId="1512"/>
    <cellStyle name="Obliczenia 2 18 2" xfId="3868"/>
    <cellStyle name="Obliczenia 2 18 3" xfId="5766"/>
    <cellStyle name="Obliczenia 2 19" xfId="1513"/>
    <cellStyle name="Obliczenia 2 19 2" xfId="3869"/>
    <cellStyle name="Obliczenia 2 19 3" xfId="5767"/>
    <cellStyle name="Obliczenia 2 2" xfId="1514"/>
    <cellStyle name="Obliczenia 2 2 2" xfId="3870"/>
    <cellStyle name="Obliczenia 2 2 3" xfId="5768"/>
    <cellStyle name="Obliczenia 2 20" xfId="1515"/>
    <cellStyle name="Obliczenia 2 20 2" xfId="3871"/>
    <cellStyle name="Obliczenia 2 20 3" xfId="5769"/>
    <cellStyle name="Obliczenia 2 21" xfId="1516"/>
    <cellStyle name="Obliczenia 2 21 2" xfId="3872"/>
    <cellStyle name="Obliczenia 2 21 3" xfId="5770"/>
    <cellStyle name="Obliczenia 2 22" xfId="1517"/>
    <cellStyle name="Obliczenia 2 22 2" xfId="3873"/>
    <cellStyle name="Obliczenia 2 22 3" xfId="5771"/>
    <cellStyle name="Obliczenia 2 23" xfId="1518"/>
    <cellStyle name="Obliczenia 2 23 2" xfId="3874"/>
    <cellStyle name="Obliczenia 2 23 3" xfId="5772"/>
    <cellStyle name="Obliczenia 2 24" xfId="3859"/>
    <cellStyle name="Obliczenia 2 25" xfId="5757"/>
    <cellStyle name="Obliczenia 2 3" xfId="1519"/>
    <cellStyle name="Obliczenia 2 3 2" xfId="3875"/>
    <cellStyle name="Obliczenia 2 3 3" xfId="5773"/>
    <cellStyle name="Obliczenia 2 4" xfId="1520"/>
    <cellStyle name="Obliczenia 2 4 2" xfId="3876"/>
    <cellStyle name="Obliczenia 2 4 3" xfId="5774"/>
    <cellStyle name="Obliczenia 2 5" xfId="1521"/>
    <cellStyle name="Obliczenia 2 5 2" xfId="3877"/>
    <cellStyle name="Obliczenia 2 5 3" xfId="5775"/>
    <cellStyle name="Obliczenia 2 6" xfId="1522"/>
    <cellStyle name="Obliczenia 2 6 2" xfId="3878"/>
    <cellStyle name="Obliczenia 2 6 3" xfId="5776"/>
    <cellStyle name="Obliczenia 2 7" xfId="1523"/>
    <cellStyle name="Obliczenia 2 7 2" xfId="3879"/>
    <cellStyle name="Obliczenia 2 7 3" xfId="5777"/>
    <cellStyle name="Obliczenia 2 8" xfId="1524"/>
    <cellStyle name="Obliczenia 2 8 2" xfId="3880"/>
    <cellStyle name="Obliczenia 2 8 3" xfId="5778"/>
    <cellStyle name="Obliczenia 2 9" xfId="1525"/>
    <cellStyle name="Obliczenia 2 9 2" xfId="3881"/>
    <cellStyle name="Obliczenia 2 9 3" xfId="5779"/>
    <cellStyle name="Obliczenia 20" xfId="1526"/>
    <cellStyle name="Obliczenia 20 2" xfId="3882"/>
    <cellStyle name="Obliczenia 20 3" xfId="5780"/>
    <cellStyle name="Obliczenia 21" xfId="1527"/>
    <cellStyle name="Obliczenia 21 2" xfId="3883"/>
    <cellStyle name="Obliczenia 21 3" xfId="5781"/>
    <cellStyle name="Obliczenia 22" xfId="1528"/>
    <cellStyle name="Obliczenia 22 2" xfId="3884"/>
    <cellStyle name="Obliczenia 22 3" xfId="5782"/>
    <cellStyle name="Obliczenia 23" xfId="1529"/>
    <cellStyle name="Obliczenia 23 2" xfId="3885"/>
    <cellStyle name="Obliczenia 23 3" xfId="5783"/>
    <cellStyle name="Obliczenia 24" xfId="1530"/>
    <cellStyle name="Obliczenia 24 2" xfId="3886"/>
    <cellStyle name="Obliczenia 24 3" xfId="5784"/>
    <cellStyle name="Obliczenia 25" xfId="1531"/>
    <cellStyle name="Obliczenia 25 2" xfId="3887"/>
    <cellStyle name="Obliczenia 25 3" xfId="5785"/>
    <cellStyle name="Obliczenia 26" xfId="3848"/>
    <cellStyle name="Obliczenia 27" xfId="5746"/>
    <cellStyle name="Obliczenia 3" xfId="1532"/>
    <cellStyle name="Obliczenia 3 10" xfId="1533"/>
    <cellStyle name="Obliczenia 3 10 2" xfId="3889"/>
    <cellStyle name="Obliczenia 3 10 3" xfId="5787"/>
    <cellStyle name="Obliczenia 3 11" xfId="1534"/>
    <cellStyle name="Obliczenia 3 11 2" xfId="3890"/>
    <cellStyle name="Obliczenia 3 11 3" xfId="5788"/>
    <cellStyle name="Obliczenia 3 12" xfId="1535"/>
    <cellStyle name="Obliczenia 3 12 2" xfId="3891"/>
    <cellStyle name="Obliczenia 3 12 3" xfId="5789"/>
    <cellStyle name="Obliczenia 3 13" xfId="1536"/>
    <cellStyle name="Obliczenia 3 13 2" xfId="3892"/>
    <cellStyle name="Obliczenia 3 13 3" xfId="5790"/>
    <cellStyle name="Obliczenia 3 14" xfId="1537"/>
    <cellStyle name="Obliczenia 3 14 2" xfId="3893"/>
    <cellStyle name="Obliczenia 3 14 3" xfId="5791"/>
    <cellStyle name="Obliczenia 3 15" xfId="1538"/>
    <cellStyle name="Obliczenia 3 15 2" xfId="3894"/>
    <cellStyle name="Obliczenia 3 15 3" xfId="5792"/>
    <cellStyle name="Obliczenia 3 16" xfId="1539"/>
    <cellStyle name="Obliczenia 3 16 2" xfId="3895"/>
    <cellStyle name="Obliczenia 3 16 3" xfId="5793"/>
    <cellStyle name="Obliczenia 3 17" xfId="1540"/>
    <cellStyle name="Obliczenia 3 17 2" xfId="3896"/>
    <cellStyle name="Obliczenia 3 17 3" xfId="5794"/>
    <cellStyle name="Obliczenia 3 18" xfId="1541"/>
    <cellStyle name="Obliczenia 3 18 2" xfId="3897"/>
    <cellStyle name="Obliczenia 3 18 3" xfId="5795"/>
    <cellStyle name="Obliczenia 3 19" xfId="1542"/>
    <cellStyle name="Obliczenia 3 19 2" xfId="3898"/>
    <cellStyle name="Obliczenia 3 19 3" xfId="5796"/>
    <cellStyle name="Obliczenia 3 2" xfId="1543"/>
    <cellStyle name="Obliczenia 3 2 2" xfId="3899"/>
    <cellStyle name="Obliczenia 3 2 3" xfId="5797"/>
    <cellStyle name="Obliczenia 3 20" xfId="1544"/>
    <cellStyle name="Obliczenia 3 20 2" xfId="3900"/>
    <cellStyle name="Obliczenia 3 20 3" xfId="5798"/>
    <cellStyle name="Obliczenia 3 21" xfId="1545"/>
    <cellStyle name="Obliczenia 3 21 2" xfId="3901"/>
    <cellStyle name="Obliczenia 3 21 3" xfId="5799"/>
    <cellStyle name="Obliczenia 3 22" xfId="1546"/>
    <cellStyle name="Obliczenia 3 22 2" xfId="3902"/>
    <cellStyle name="Obliczenia 3 22 3" xfId="5800"/>
    <cellStyle name="Obliczenia 3 23" xfId="1547"/>
    <cellStyle name="Obliczenia 3 23 2" xfId="3903"/>
    <cellStyle name="Obliczenia 3 23 3" xfId="5801"/>
    <cellStyle name="Obliczenia 3 24" xfId="3888"/>
    <cellStyle name="Obliczenia 3 25" xfId="5786"/>
    <cellStyle name="Obliczenia 3 3" xfId="1548"/>
    <cellStyle name="Obliczenia 3 3 2" xfId="3904"/>
    <cellStyle name="Obliczenia 3 3 3" xfId="5802"/>
    <cellStyle name="Obliczenia 3 4" xfId="1549"/>
    <cellStyle name="Obliczenia 3 4 2" xfId="3905"/>
    <cellStyle name="Obliczenia 3 4 3" xfId="5803"/>
    <cellStyle name="Obliczenia 3 5" xfId="1550"/>
    <cellStyle name="Obliczenia 3 5 2" xfId="3906"/>
    <cellStyle name="Obliczenia 3 5 3" xfId="5804"/>
    <cellStyle name="Obliczenia 3 6" xfId="1551"/>
    <cellStyle name="Obliczenia 3 6 2" xfId="3907"/>
    <cellStyle name="Obliczenia 3 6 3" xfId="5805"/>
    <cellStyle name="Obliczenia 3 7" xfId="1552"/>
    <cellStyle name="Obliczenia 3 7 2" xfId="3908"/>
    <cellStyle name="Obliczenia 3 7 3" xfId="5806"/>
    <cellStyle name="Obliczenia 3 8" xfId="1553"/>
    <cellStyle name="Obliczenia 3 8 2" xfId="3909"/>
    <cellStyle name="Obliczenia 3 8 3" xfId="5807"/>
    <cellStyle name="Obliczenia 3 9" xfId="1554"/>
    <cellStyle name="Obliczenia 3 9 2" xfId="3910"/>
    <cellStyle name="Obliczenia 3 9 3" xfId="5808"/>
    <cellStyle name="Obliczenia 4" xfId="1555"/>
    <cellStyle name="Obliczenia 4 2" xfId="3911"/>
    <cellStyle name="Obliczenia 4 3" xfId="5809"/>
    <cellStyle name="Obliczenia 5" xfId="1556"/>
    <cellStyle name="Obliczenia 5 2" xfId="3912"/>
    <cellStyle name="Obliczenia 5 3" xfId="5810"/>
    <cellStyle name="Obliczenia 6" xfId="1557"/>
    <cellStyle name="Obliczenia 6 2" xfId="3913"/>
    <cellStyle name="Obliczenia 6 3" xfId="5811"/>
    <cellStyle name="Obliczenia 7" xfId="1558"/>
    <cellStyle name="Obliczenia 7 2" xfId="3914"/>
    <cellStyle name="Obliczenia 7 3" xfId="5812"/>
    <cellStyle name="Obliczenia 8" xfId="1559"/>
    <cellStyle name="Obliczenia 8 2" xfId="3915"/>
    <cellStyle name="Obliczenia 8 3" xfId="5813"/>
    <cellStyle name="Obliczenia 9" xfId="1560"/>
    <cellStyle name="Obliczenia 9 2" xfId="3916"/>
    <cellStyle name="Obliczenia 9 3" xfId="5814"/>
    <cellStyle name="Output" xfId="47" builtinId="21" customBuiltin="1"/>
    <cellStyle name="Output 2" xfId="1561"/>
    <cellStyle name="Output 2 10" xfId="1562"/>
    <cellStyle name="Output 2 10 10" xfId="1563"/>
    <cellStyle name="Output 2 10 10 2" xfId="3919"/>
    <cellStyle name="Output 2 10 10 3" xfId="5817"/>
    <cellStyle name="Output 2 10 11" xfId="1564"/>
    <cellStyle name="Output 2 10 11 2" xfId="3920"/>
    <cellStyle name="Output 2 10 11 3" xfId="5818"/>
    <cellStyle name="Output 2 10 12" xfId="1565"/>
    <cellStyle name="Output 2 10 12 2" xfId="3921"/>
    <cellStyle name="Output 2 10 12 3" xfId="5819"/>
    <cellStyle name="Output 2 10 13" xfId="1566"/>
    <cellStyle name="Output 2 10 13 2" xfId="3922"/>
    <cellStyle name="Output 2 10 13 3" xfId="5820"/>
    <cellStyle name="Output 2 10 14" xfId="1567"/>
    <cellStyle name="Output 2 10 14 2" xfId="3923"/>
    <cellStyle name="Output 2 10 14 3" xfId="5821"/>
    <cellStyle name="Output 2 10 15" xfId="1568"/>
    <cellStyle name="Output 2 10 15 2" xfId="3924"/>
    <cellStyle name="Output 2 10 15 3" xfId="5822"/>
    <cellStyle name="Output 2 10 16" xfId="1569"/>
    <cellStyle name="Output 2 10 16 2" xfId="3925"/>
    <cellStyle name="Output 2 10 16 3" xfId="5823"/>
    <cellStyle name="Output 2 10 17" xfId="1570"/>
    <cellStyle name="Output 2 10 17 2" xfId="3926"/>
    <cellStyle name="Output 2 10 17 3" xfId="5824"/>
    <cellStyle name="Output 2 10 18" xfId="1571"/>
    <cellStyle name="Output 2 10 18 2" xfId="3927"/>
    <cellStyle name="Output 2 10 18 3" xfId="5825"/>
    <cellStyle name="Output 2 10 19" xfId="1572"/>
    <cellStyle name="Output 2 10 19 2" xfId="3928"/>
    <cellStyle name="Output 2 10 19 3" xfId="5826"/>
    <cellStyle name="Output 2 10 2" xfId="1573"/>
    <cellStyle name="Output 2 10 2 2" xfId="3929"/>
    <cellStyle name="Output 2 10 2 3" xfId="5827"/>
    <cellStyle name="Output 2 10 20" xfId="1574"/>
    <cellStyle name="Output 2 10 20 2" xfId="3930"/>
    <cellStyle name="Output 2 10 20 3" xfId="5828"/>
    <cellStyle name="Output 2 10 21" xfId="1575"/>
    <cellStyle name="Output 2 10 21 2" xfId="3931"/>
    <cellStyle name="Output 2 10 21 3" xfId="5829"/>
    <cellStyle name="Output 2 10 22" xfId="1576"/>
    <cellStyle name="Output 2 10 22 2" xfId="3932"/>
    <cellStyle name="Output 2 10 22 3" xfId="5830"/>
    <cellStyle name="Output 2 10 23" xfId="1577"/>
    <cellStyle name="Output 2 10 23 2" xfId="3933"/>
    <cellStyle name="Output 2 10 23 3" xfId="5831"/>
    <cellStyle name="Output 2 10 24" xfId="3918"/>
    <cellStyle name="Output 2 10 25" xfId="5816"/>
    <cellStyle name="Output 2 10 3" xfId="1578"/>
    <cellStyle name="Output 2 10 3 2" xfId="3934"/>
    <cellStyle name="Output 2 10 3 3" xfId="5832"/>
    <cellStyle name="Output 2 10 4" xfId="1579"/>
    <cellStyle name="Output 2 10 4 2" xfId="3935"/>
    <cellStyle name="Output 2 10 4 3" xfId="5833"/>
    <cellStyle name="Output 2 10 5" xfId="1580"/>
    <cellStyle name="Output 2 10 5 2" xfId="3936"/>
    <cellStyle name="Output 2 10 5 3" xfId="5834"/>
    <cellStyle name="Output 2 10 6" xfId="1581"/>
    <cellStyle name="Output 2 10 6 2" xfId="3937"/>
    <cellStyle name="Output 2 10 6 3" xfId="5835"/>
    <cellStyle name="Output 2 10 7" xfId="1582"/>
    <cellStyle name="Output 2 10 7 2" xfId="3938"/>
    <cellStyle name="Output 2 10 7 3" xfId="5836"/>
    <cellStyle name="Output 2 10 8" xfId="1583"/>
    <cellStyle name="Output 2 10 8 2" xfId="3939"/>
    <cellStyle name="Output 2 10 8 3" xfId="5837"/>
    <cellStyle name="Output 2 10 9" xfId="1584"/>
    <cellStyle name="Output 2 10 9 2" xfId="3940"/>
    <cellStyle name="Output 2 10 9 3" xfId="5838"/>
    <cellStyle name="Output 2 11" xfId="1585"/>
    <cellStyle name="Output 2 11 10" xfId="1586"/>
    <cellStyle name="Output 2 11 10 2" xfId="3942"/>
    <cellStyle name="Output 2 11 10 3" xfId="5840"/>
    <cellStyle name="Output 2 11 11" xfId="1587"/>
    <cellStyle name="Output 2 11 11 2" xfId="3943"/>
    <cellStyle name="Output 2 11 11 3" xfId="5841"/>
    <cellStyle name="Output 2 11 12" xfId="1588"/>
    <cellStyle name="Output 2 11 12 2" xfId="3944"/>
    <cellStyle name="Output 2 11 12 3" xfId="5842"/>
    <cellStyle name="Output 2 11 13" xfId="1589"/>
    <cellStyle name="Output 2 11 13 2" xfId="3945"/>
    <cellStyle name="Output 2 11 13 3" xfId="5843"/>
    <cellStyle name="Output 2 11 14" xfId="1590"/>
    <cellStyle name="Output 2 11 14 2" xfId="3946"/>
    <cellStyle name="Output 2 11 14 3" xfId="5844"/>
    <cellStyle name="Output 2 11 15" xfId="1591"/>
    <cellStyle name="Output 2 11 15 2" xfId="3947"/>
    <cellStyle name="Output 2 11 15 3" xfId="5845"/>
    <cellStyle name="Output 2 11 16" xfId="1592"/>
    <cellStyle name="Output 2 11 16 2" xfId="3948"/>
    <cellStyle name="Output 2 11 16 3" xfId="5846"/>
    <cellStyle name="Output 2 11 17" xfId="1593"/>
    <cellStyle name="Output 2 11 17 2" xfId="3949"/>
    <cellStyle name="Output 2 11 17 3" xfId="5847"/>
    <cellStyle name="Output 2 11 18" xfId="1594"/>
    <cellStyle name="Output 2 11 18 2" xfId="3950"/>
    <cellStyle name="Output 2 11 18 3" xfId="5848"/>
    <cellStyle name="Output 2 11 19" xfId="1595"/>
    <cellStyle name="Output 2 11 19 2" xfId="3951"/>
    <cellStyle name="Output 2 11 19 3" xfId="5849"/>
    <cellStyle name="Output 2 11 2" xfId="1596"/>
    <cellStyle name="Output 2 11 2 2" xfId="3952"/>
    <cellStyle name="Output 2 11 2 3" xfId="5850"/>
    <cellStyle name="Output 2 11 20" xfId="1597"/>
    <cellStyle name="Output 2 11 20 2" xfId="3953"/>
    <cellStyle name="Output 2 11 20 3" xfId="5851"/>
    <cellStyle name="Output 2 11 21" xfId="1598"/>
    <cellStyle name="Output 2 11 21 2" xfId="3954"/>
    <cellStyle name="Output 2 11 21 3" xfId="5852"/>
    <cellStyle name="Output 2 11 22" xfId="1599"/>
    <cellStyle name="Output 2 11 22 2" xfId="3955"/>
    <cellStyle name="Output 2 11 22 3" xfId="5853"/>
    <cellStyle name="Output 2 11 23" xfId="1600"/>
    <cellStyle name="Output 2 11 23 2" xfId="3956"/>
    <cellStyle name="Output 2 11 23 3" xfId="5854"/>
    <cellStyle name="Output 2 11 24" xfId="3941"/>
    <cellStyle name="Output 2 11 25" xfId="5839"/>
    <cellStyle name="Output 2 11 3" xfId="1601"/>
    <cellStyle name="Output 2 11 3 2" xfId="3957"/>
    <cellStyle name="Output 2 11 3 3" xfId="5855"/>
    <cellStyle name="Output 2 11 4" xfId="1602"/>
    <cellStyle name="Output 2 11 4 2" xfId="3958"/>
    <cellStyle name="Output 2 11 4 3" xfId="5856"/>
    <cellStyle name="Output 2 11 5" xfId="1603"/>
    <cellStyle name="Output 2 11 5 2" xfId="3959"/>
    <cellStyle name="Output 2 11 5 3" xfId="5857"/>
    <cellStyle name="Output 2 11 6" xfId="1604"/>
    <cellStyle name="Output 2 11 6 2" xfId="3960"/>
    <cellStyle name="Output 2 11 6 3" xfId="5858"/>
    <cellStyle name="Output 2 11 7" xfId="1605"/>
    <cellStyle name="Output 2 11 7 2" xfId="3961"/>
    <cellStyle name="Output 2 11 7 3" xfId="5859"/>
    <cellStyle name="Output 2 11 8" xfId="1606"/>
    <cellStyle name="Output 2 11 8 2" xfId="3962"/>
    <cellStyle name="Output 2 11 8 3" xfId="5860"/>
    <cellStyle name="Output 2 11 9" xfId="1607"/>
    <cellStyle name="Output 2 11 9 2" xfId="3963"/>
    <cellStyle name="Output 2 11 9 3" xfId="5861"/>
    <cellStyle name="Output 2 12" xfId="1608"/>
    <cellStyle name="Output 2 12 10" xfId="1609"/>
    <cellStyle name="Output 2 12 10 2" xfId="3965"/>
    <cellStyle name="Output 2 12 10 3" xfId="5863"/>
    <cellStyle name="Output 2 12 11" xfId="1610"/>
    <cellStyle name="Output 2 12 11 2" xfId="3966"/>
    <cellStyle name="Output 2 12 11 3" xfId="5864"/>
    <cellStyle name="Output 2 12 12" xfId="1611"/>
    <cellStyle name="Output 2 12 12 2" xfId="3967"/>
    <cellStyle name="Output 2 12 12 3" xfId="5865"/>
    <cellStyle name="Output 2 12 13" xfId="1612"/>
    <cellStyle name="Output 2 12 13 2" xfId="3968"/>
    <cellStyle name="Output 2 12 13 3" xfId="5866"/>
    <cellStyle name="Output 2 12 14" xfId="1613"/>
    <cellStyle name="Output 2 12 14 2" xfId="3969"/>
    <cellStyle name="Output 2 12 14 3" xfId="5867"/>
    <cellStyle name="Output 2 12 15" xfId="1614"/>
    <cellStyle name="Output 2 12 15 2" xfId="3970"/>
    <cellStyle name="Output 2 12 15 3" xfId="5868"/>
    <cellStyle name="Output 2 12 16" xfId="1615"/>
    <cellStyle name="Output 2 12 16 2" xfId="3971"/>
    <cellStyle name="Output 2 12 16 3" xfId="5869"/>
    <cellStyle name="Output 2 12 17" xfId="1616"/>
    <cellStyle name="Output 2 12 17 2" xfId="3972"/>
    <cellStyle name="Output 2 12 17 3" xfId="5870"/>
    <cellStyle name="Output 2 12 18" xfId="1617"/>
    <cellStyle name="Output 2 12 18 2" xfId="3973"/>
    <cellStyle name="Output 2 12 18 3" xfId="5871"/>
    <cellStyle name="Output 2 12 19" xfId="1618"/>
    <cellStyle name="Output 2 12 19 2" xfId="3974"/>
    <cellStyle name="Output 2 12 19 3" xfId="5872"/>
    <cellStyle name="Output 2 12 2" xfId="1619"/>
    <cellStyle name="Output 2 12 2 2" xfId="3975"/>
    <cellStyle name="Output 2 12 2 3" xfId="5873"/>
    <cellStyle name="Output 2 12 20" xfId="1620"/>
    <cellStyle name="Output 2 12 20 2" xfId="3976"/>
    <cellStyle name="Output 2 12 20 3" xfId="5874"/>
    <cellStyle name="Output 2 12 21" xfId="1621"/>
    <cellStyle name="Output 2 12 21 2" xfId="3977"/>
    <cellStyle name="Output 2 12 21 3" xfId="5875"/>
    <cellStyle name="Output 2 12 22" xfId="1622"/>
    <cellStyle name="Output 2 12 22 2" xfId="3978"/>
    <cellStyle name="Output 2 12 22 3" xfId="5876"/>
    <cellStyle name="Output 2 12 23" xfId="1623"/>
    <cellStyle name="Output 2 12 23 2" xfId="3979"/>
    <cellStyle name="Output 2 12 23 3" xfId="5877"/>
    <cellStyle name="Output 2 12 24" xfId="3964"/>
    <cellStyle name="Output 2 12 25" xfId="5862"/>
    <cellStyle name="Output 2 12 3" xfId="1624"/>
    <cellStyle name="Output 2 12 3 2" xfId="3980"/>
    <cellStyle name="Output 2 12 3 3" xfId="5878"/>
    <cellStyle name="Output 2 12 4" xfId="1625"/>
    <cellStyle name="Output 2 12 4 2" xfId="3981"/>
    <cellStyle name="Output 2 12 4 3" xfId="5879"/>
    <cellStyle name="Output 2 12 5" xfId="1626"/>
    <cellStyle name="Output 2 12 5 2" xfId="3982"/>
    <cellStyle name="Output 2 12 5 3" xfId="5880"/>
    <cellStyle name="Output 2 12 6" xfId="1627"/>
    <cellStyle name="Output 2 12 6 2" xfId="3983"/>
    <cellStyle name="Output 2 12 6 3" xfId="5881"/>
    <cellStyle name="Output 2 12 7" xfId="1628"/>
    <cellStyle name="Output 2 12 7 2" xfId="3984"/>
    <cellStyle name="Output 2 12 7 3" xfId="5882"/>
    <cellStyle name="Output 2 12 8" xfId="1629"/>
    <cellStyle name="Output 2 12 8 2" xfId="3985"/>
    <cellStyle name="Output 2 12 8 3" xfId="5883"/>
    <cellStyle name="Output 2 12 9" xfId="1630"/>
    <cellStyle name="Output 2 12 9 2" xfId="3986"/>
    <cellStyle name="Output 2 12 9 3" xfId="5884"/>
    <cellStyle name="Output 2 13" xfId="1631"/>
    <cellStyle name="Output 2 13 10" xfId="1632"/>
    <cellStyle name="Output 2 13 10 2" xfId="3988"/>
    <cellStyle name="Output 2 13 10 3" xfId="5886"/>
    <cellStyle name="Output 2 13 11" xfId="1633"/>
    <cellStyle name="Output 2 13 11 2" xfId="3989"/>
    <cellStyle name="Output 2 13 11 3" xfId="5887"/>
    <cellStyle name="Output 2 13 12" xfId="1634"/>
    <cellStyle name="Output 2 13 12 2" xfId="3990"/>
    <cellStyle name="Output 2 13 12 3" xfId="5888"/>
    <cellStyle name="Output 2 13 13" xfId="1635"/>
    <cellStyle name="Output 2 13 13 2" xfId="3991"/>
    <cellStyle name="Output 2 13 13 3" xfId="5889"/>
    <cellStyle name="Output 2 13 14" xfId="1636"/>
    <cellStyle name="Output 2 13 14 2" xfId="3992"/>
    <cellStyle name="Output 2 13 14 3" xfId="5890"/>
    <cellStyle name="Output 2 13 15" xfId="1637"/>
    <cellStyle name="Output 2 13 15 2" xfId="3993"/>
    <cellStyle name="Output 2 13 15 3" xfId="5891"/>
    <cellStyle name="Output 2 13 16" xfId="1638"/>
    <cellStyle name="Output 2 13 16 2" xfId="3994"/>
    <cellStyle name="Output 2 13 16 3" xfId="5892"/>
    <cellStyle name="Output 2 13 17" xfId="1639"/>
    <cellStyle name="Output 2 13 17 2" xfId="3995"/>
    <cellStyle name="Output 2 13 17 3" xfId="5893"/>
    <cellStyle name="Output 2 13 18" xfId="1640"/>
    <cellStyle name="Output 2 13 18 2" xfId="3996"/>
    <cellStyle name="Output 2 13 18 3" xfId="5894"/>
    <cellStyle name="Output 2 13 19" xfId="1641"/>
    <cellStyle name="Output 2 13 19 2" xfId="3997"/>
    <cellStyle name="Output 2 13 19 3" xfId="5895"/>
    <cellStyle name="Output 2 13 2" xfId="1642"/>
    <cellStyle name="Output 2 13 2 2" xfId="3998"/>
    <cellStyle name="Output 2 13 2 3" xfId="5896"/>
    <cellStyle name="Output 2 13 20" xfId="1643"/>
    <cellStyle name="Output 2 13 20 2" xfId="3999"/>
    <cellStyle name="Output 2 13 20 3" xfId="5897"/>
    <cellStyle name="Output 2 13 21" xfId="1644"/>
    <cellStyle name="Output 2 13 21 2" xfId="4000"/>
    <cellStyle name="Output 2 13 21 3" xfId="5898"/>
    <cellStyle name="Output 2 13 22" xfId="1645"/>
    <cellStyle name="Output 2 13 22 2" xfId="4001"/>
    <cellStyle name="Output 2 13 22 3" xfId="5899"/>
    <cellStyle name="Output 2 13 23" xfId="1646"/>
    <cellStyle name="Output 2 13 23 2" xfId="4002"/>
    <cellStyle name="Output 2 13 23 3" xfId="5900"/>
    <cellStyle name="Output 2 13 24" xfId="3987"/>
    <cellStyle name="Output 2 13 25" xfId="5885"/>
    <cellStyle name="Output 2 13 3" xfId="1647"/>
    <cellStyle name="Output 2 13 3 2" xfId="4003"/>
    <cellStyle name="Output 2 13 3 3" xfId="5901"/>
    <cellStyle name="Output 2 13 4" xfId="1648"/>
    <cellStyle name="Output 2 13 4 2" xfId="4004"/>
    <cellStyle name="Output 2 13 4 3" xfId="5902"/>
    <cellStyle name="Output 2 13 5" xfId="1649"/>
    <cellStyle name="Output 2 13 5 2" xfId="4005"/>
    <cellStyle name="Output 2 13 5 3" xfId="5903"/>
    <cellStyle name="Output 2 13 6" xfId="1650"/>
    <cellStyle name="Output 2 13 6 2" xfId="4006"/>
    <cellStyle name="Output 2 13 6 3" xfId="5904"/>
    <cellStyle name="Output 2 13 7" xfId="1651"/>
    <cellStyle name="Output 2 13 7 2" xfId="4007"/>
    <cellStyle name="Output 2 13 7 3" xfId="5905"/>
    <cellStyle name="Output 2 13 8" xfId="1652"/>
    <cellStyle name="Output 2 13 8 2" xfId="4008"/>
    <cellStyle name="Output 2 13 8 3" xfId="5906"/>
    <cellStyle name="Output 2 13 9" xfId="1653"/>
    <cellStyle name="Output 2 13 9 2" xfId="4009"/>
    <cellStyle name="Output 2 13 9 3" xfId="5907"/>
    <cellStyle name="Output 2 14" xfId="1654"/>
    <cellStyle name="Output 2 14 10" xfId="1655"/>
    <cellStyle name="Output 2 14 10 2" xfId="4011"/>
    <cellStyle name="Output 2 14 10 3" xfId="5909"/>
    <cellStyle name="Output 2 14 11" xfId="1656"/>
    <cellStyle name="Output 2 14 11 2" xfId="4012"/>
    <cellStyle name="Output 2 14 11 3" xfId="5910"/>
    <cellStyle name="Output 2 14 12" xfId="1657"/>
    <cellStyle name="Output 2 14 12 2" xfId="4013"/>
    <cellStyle name="Output 2 14 12 3" xfId="5911"/>
    <cellStyle name="Output 2 14 13" xfId="1658"/>
    <cellStyle name="Output 2 14 13 2" xfId="4014"/>
    <cellStyle name="Output 2 14 13 3" xfId="5912"/>
    <cellStyle name="Output 2 14 14" xfId="1659"/>
    <cellStyle name="Output 2 14 14 2" xfId="4015"/>
    <cellStyle name="Output 2 14 14 3" xfId="5913"/>
    <cellStyle name="Output 2 14 15" xfId="1660"/>
    <cellStyle name="Output 2 14 15 2" xfId="4016"/>
    <cellStyle name="Output 2 14 15 3" xfId="5914"/>
    <cellStyle name="Output 2 14 16" xfId="1661"/>
    <cellStyle name="Output 2 14 16 2" xfId="4017"/>
    <cellStyle name="Output 2 14 16 3" xfId="5915"/>
    <cellStyle name="Output 2 14 17" xfId="1662"/>
    <cellStyle name="Output 2 14 17 2" xfId="4018"/>
    <cellStyle name="Output 2 14 17 3" xfId="5916"/>
    <cellStyle name="Output 2 14 18" xfId="1663"/>
    <cellStyle name="Output 2 14 18 2" xfId="4019"/>
    <cellStyle name="Output 2 14 18 3" xfId="5917"/>
    <cellStyle name="Output 2 14 19" xfId="1664"/>
    <cellStyle name="Output 2 14 19 2" xfId="4020"/>
    <cellStyle name="Output 2 14 19 3" xfId="5918"/>
    <cellStyle name="Output 2 14 2" xfId="1665"/>
    <cellStyle name="Output 2 14 2 2" xfId="4021"/>
    <cellStyle name="Output 2 14 2 3" xfId="5919"/>
    <cellStyle name="Output 2 14 20" xfId="1666"/>
    <cellStyle name="Output 2 14 20 2" xfId="4022"/>
    <cellStyle name="Output 2 14 20 3" xfId="5920"/>
    <cellStyle name="Output 2 14 21" xfId="1667"/>
    <cellStyle name="Output 2 14 21 2" xfId="4023"/>
    <cellStyle name="Output 2 14 21 3" xfId="5921"/>
    <cellStyle name="Output 2 14 22" xfId="1668"/>
    <cellStyle name="Output 2 14 22 2" xfId="4024"/>
    <cellStyle name="Output 2 14 22 3" xfId="5922"/>
    <cellStyle name="Output 2 14 23" xfId="1669"/>
    <cellStyle name="Output 2 14 23 2" xfId="4025"/>
    <cellStyle name="Output 2 14 23 3" xfId="5923"/>
    <cellStyle name="Output 2 14 24" xfId="4010"/>
    <cellStyle name="Output 2 14 25" xfId="5908"/>
    <cellStyle name="Output 2 14 3" xfId="1670"/>
    <cellStyle name="Output 2 14 3 2" xfId="4026"/>
    <cellStyle name="Output 2 14 3 3" xfId="5924"/>
    <cellStyle name="Output 2 14 4" xfId="1671"/>
    <cellStyle name="Output 2 14 4 2" xfId="4027"/>
    <cellStyle name="Output 2 14 4 3" xfId="5925"/>
    <cellStyle name="Output 2 14 5" xfId="1672"/>
    <cellStyle name="Output 2 14 5 2" xfId="4028"/>
    <cellStyle name="Output 2 14 5 3" xfId="5926"/>
    <cellStyle name="Output 2 14 6" xfId="1673"/>
    <cellStyle name="Output 2 14 6 2" xfId="4029"/>
    <cellStyle name="Output 2 14 6 3" xfId="5927"/>
    <cellStyle name="Output 2 14 7" xfId="1674"/>
    <cellStyle name="Output 2 14 7 2" xfId="4030"/>
    <cellStyle name="Output 2 14 7 3" xfId="5928"/>
    <cellStyle name="Output 2 14 8" xfId="1675"/>
    <cellStyle name="Output 2 14 8 2" xfId="4031"/>
    <cellStyle name="Output 2 14 8 3" xfId="5929"/>
    <cellStyle name="Output 2 14 9" xfId="1676"/>
    <cellStyle name="Output 2 14 9 2" xfId="4032"/>
    <cellStyle name="Output 2 14 9 3" xfId="5930"/>
    <cellStyle name="Output 2 15" xfId="1677"/>
    <cellStyle name="Output 2 15 10" xfId="1678"/>
    <cellStyle name="Output 2 15 10 2" xfId="4034"/>
    <cellStyle name="Output 2 15 10 3" xfId="5932"/>
    <cellStyle name="Output 2 15 11" xfId="1679"/>
    <cellStyle name="Output 2 15 11 2" xfId="4035"/>
    <cellStyle name="Output 2 15 11 3" xfId="5933"/>
    <cellStyle name="Output 2 15 12" xfId="1680"/>
    <cellStyle name="Output 2 15 12 2" xfId="4036"/>
    <cellStyle name="Output 2 15 12 3" xfId="5934"/>
    <cellStyle name="Output 2 15 13" xfId="1681"/>
    <cellStyle name="Output 2 15 13 2" xfId="4037"/>
    <cellStyle name="Output 2 15 13 3" xfId="5935"/>
    <cellStyle name="Output 2 15 14" xfId="1682"/>
    <cellStyle name="Output 2 15 14 2" xfId="4038"/>
    <cellStyle name="Output 2 15 14 3" xfId="5936"/>
    <cellStyle name="Output 2 15 15" xfId="1683"/>
    <cellStyle name="Output 2 15 15 2" xfId="4039"/>
    <cellStyle name="Output 2 15 15 3" xfId="5937"/>
    <cellStyle name="Output 2 15 16" xfId="1684"/>
    <cellStyle name="Output 2 15 16 2" xfId="4040"/>
    <cellStyle name="Output 2 15 16 3" xfId="5938"/>
    <cellStyle name="Output 2 15 17" xfId="1685"/>
    <cellStyle name="Output 2 15 17 2" xfId="4041"/>
    <cellStyle name="Output 2 15 17 3" xfId="5939"/>
    <cellStyle name="Output 2 15 18" xfId="1686"/>
    <cellStyle name="Output 2 15 18 2" xfId="4042"/>
    <cellStyle name="Output 2 15 18 3" xfId="5940"/>
    <cellStyle name="Output 2 15 19" xfId="1687"/>
    <cellStyle name="Output 2 15 19 2" xfId="4043"/>
    <cellStyle name="Output 2 15 19 3" xfId="5941"/>
    <cellStyle name="Output 2 15 2" xfId="1688"/>
    <cellStyle name="Output 2 15 2 2" xfId="4044"/>
    <cellStyle name="Output 2 15 2 3" xfId="5942"/>
    <cellStyle name="Output 2 15 20" xfId="1689"/>
    <cellStyle name="Output 2 15 20 2" xfId="4045"/>
    <cellStyle name="Output 2 15 20 3" xfId="5943"/>
    <cellStyle name="Output 2 15 21" xfId="1690"/>
    <cellStyle name="Output 2 15 21 2" xfId="4046"/>
    <cellStyle name="Output 2 15 21 3" xfId="5944"/>
    <cellStyle name="Output 2 15 22" xfId="1691"/>
    <cellStyle name="Output 2 15 22 2" xfId="4047"/>
    <cellStyle name="Output 2 15 22 3" xfId="5945"/>
    <cellStyle name="Output 2 15 23" xfId="1692"/>
    <cellStyle name="Output 2 15 23 2" xfId="4048"/>
    <cellStyle name="Output 2 15 23 3" xfId="5946"/>
    <cellStyle name="Output 2 15 24" xfId="4033"/>
    <cellStyle name="Output 2 15 25" xfId="5931"/>
    <cellStyle name="Output 2 15 3" xfId="1693"/>
    <cellStyle name="Output 2 15 3 2" xfId="4049"/>
    <cellStyle name="Output 2 15 3 3" xfId="5947"/>
    <cellStyle name="Output 2 15 4" xfId="1694"/>
    <cellStyle name="Output 2 15 4 2" xfId="4050"/>
    <cellStyle name="Output 2 15 4 3" xfId="5948"/>
    <cellStyle name="Output 2 15 5" xfId="1695"/>
    <cellStyle name="Output 2 15 5 2" xfId="4051"/>
    <cellStyle name="Output 2 15 5 3" xfId="5949"/>
    <cellStyle name="Output 2 15 6" xfId="1696"/>
    <cellStyle name="Output 2 15 6 2" xfId="4052"/>
    <cellStyle name="Output 2 15 6 3" xfId="5950"/>
    <cellStyle name="Output 2 15 7" xfId="1697"/>
    <cellStyle name="Output 2 15 7 2" xfId="4053"/>
    <cellStyle name="Output 2 15 7 3" xfId="5951"/>
    <cellStyle name="Output 2 15 8" xfId="1698"/>
    <cellStyle name="Output 2 15 8 2" xfId="4054"/>
    <cellStyle name="Output 2 15 8 3" xfId="5952"/>
    <cellStyle name="Output 2 15 9" xfId="1699"/>
    <cellStyle name="Output 2 15 9 2" xfId="4055"/>
    <cellStyle name="Output 2 15 9 3" xfId="5953"/>
    <cellStyle name="Output 2 16" xfId="1700"/>
    <cellStyle name="Output 2 16 2" xfId="4056"/>
    <cellStyle name="Output 2 16 3" xfId="5954"/>
    <cellStyle name="Output 2 17" xfId="1701"/>
    <cellStyle name="Output 2 17 2" xfId="4057"/>
    <cellStyle name="Output 2 17 3" xfId="5955"/>
    <cellStyle name="Output 2 18" xfId="1702"/>
    <cellStyle name="Output 2 18 2" xfId="4058"/>
    <cellStyle name="Output 2 18 3" xfId="5956"/>
    <cellStyle name="Output 2 19" xfId="1703"/>
    <cellStyle name="Output 2 19 2" xfId="4059"/>
    <cellStyle name="Output 2 19 3" xfId="5957"/>
    <cellStyle name="Output 2 2" xfId="1704"/>
    <cellStyle name="Output 2 2 10" xfId="1705"/>
    <cellStyle name="Output 2 2 10 2" xfId="4061"/>
    <cellStyle name="Output 2 2 10 3" xfId="5959"/>
    <cellStyle name="Output 2 2 11" xfId="1706"/>
    <cellStyle name="Output 2 2 11 2" xfId="4062"/>
    <cellStyle name="Output 2 2 11 3" xfId="5960"/>
    <cellStyle name="Output 2 2 12" xfId="1707"/>
    <cellStyle name="Output 2 2 12 2" xfId="4063"/>
    <cellStyle name="Output 2 2 12 3" xfId="5961"/>
    <cellStyle name="Output 2 2 13" xfId="1708"/>
    <cellStyle name="Output 2 2 13 2" xfId="4064"/>
    <cellStyle name="Output 2 2 13 3" xfId="5962"/>
    <cellStyle name="Output 2 2 14" xfId="1709"/>
    <cellStyle name="Output 2 2 14 2" xfId="4065"/>
    <cellStyle name="Output 2 2 14 3" xfId="5963"/>
    <cellStyle name="Output 2 2 15" xfId="1710"/>
    <cellStyle name="Output 2 2 15 2" xfId="4066"/>
    <cellStyle name="Output 2 2 15 3" xfId="5964"/>
    <cellStyle name="Output 2 2 16" xfId="1711"/>
    <cellStyle name="Output 2 2 16 2" xfId="4067"/>
    <cellStyle name="Output 2 2 16 3" xfId="5965"/>
    <cellStyle name="Output 2 2 17" xfId="1712"/>
    <cellStyle name="Output 2 2 17 2" xfId="4068"/>
    <cellStyle name="Output 2 2 17 3" xfId="5966"/>
    <cellStyle name="Output 2 2 18" xfId="1713"/>
    <cellStyle name="Output 2 2 18 2" xfId="4069"/>
    <cellStyle name="Output 2 2 18 3" xfId="5967"/>
    <cellStyle name="Output 2 2 19" xfId="1714"/>
    <cellStyle name="Output 2 2 19 2" xfId="4070"/>
    <cellStyle name="Output 2 2 19 3" xfId="5968"/>
    <cellStyle name="Output 2 2 2" xfId="1715"/>
    <cellStyle name="Output 2 2 2 2" xfId="4071"/>
    <cellStyle name="Output 2 2 2 3" xfId="5969"/>
    <cellStyle name="Output 2 2 20" xfId="1716"/>
    <cellStyle name="Output 2 2 20 2" xfId="4072"/>
    <cellStyle name="Output 2 2 20 3" xfId="5970"/>
    <cellStyle name="Output 2 2 21" xfId="1717"/>
    <cellStyle name="Output 2 2 21 2" xfId="4073"/>
    <cellStyle name="Output 2 2 21 3" xfId="5971"/>
    <cellStyle name="Output 2 2 22" xfId="1718"/>
    <cellStyle name="Output 2 2 22 2" xfId="4074"/>
    <cellStyle name="Output 2 2 22 3" xfId="5972"/>
    <cellStyle name="Output 2 2 23" xfId="1719"/>
    <cellStyle name="Output 2 2 23 2" xfId="4075"/>
    <cellStyle name="Output 2 2 23 3" xfId="5973"/>
    <cellStyle name="Output 2 2 24" xfId="4060"/>
    <cellStyle name="Output 2 2 25" xfId="5958"/>
    <cellStyle name="Output 2 2 3" xfId="1720"/>
    <cellStyle name="Output 2 2 3 2" xfId="4076"/>
    <cellStyle name="Output 2 2 3 3" xfId="5974"/>
    <cellStyle name="Output 2 2 4" xfId="1721"/>
    <cellStyle name="Output 2 2 4 2" xfId="4077"/>
    <cellStyle name="Output 2 2 4 3" xfId="5975"/>
    <cellStyle name="Output 2 2 5" xfId="1722"/>
    <cellStyle name="Output 2 2 5 2" xfId="4078"/>
    <cellStyle name="Output 2 2 5 3" xfId="5976"/>
    <cellStyle name="Output 2 2 6" xfId="1723"/>
    <cellStyle name="Output 2 2 6 2" xfId="4079"/>
    <cellStyle name="Output 2 2 6 3" xfId="5977"/>
    <cellStyle name="Output 2 2 7" xfId="1724"/>
    <cellStyle name="Output 2 2 7 2" xfId="4080"/>
    <cellStyle name="Output 2 2 7 3" xfId="5978"/>
    <cellStyle name="Output 2 2 8" xfId="1725"/>
    <cellStyle name="Output 2 2 8 2" xfId="4081"/>
    <cellStyle name="Output 2 2 8 3" xfId="5979"/>
    <cellStyle name="Output 2 2 9" xfId="1726"/>
    <cellStyle name="Output 2 2 9 2" xfId="4082"/>
    <cellStyle name="Output 2 2 9 3" xfId="5980"/>
    <cellStyle name="Output 2 20" xfId="1727"/>
    <cellStyle name="Output 2 20 2" xfId="4083"/>
    <cellStyle name="Output 2 20 3" xfId="5981"/>
    <cellStyle name="Output 2 21" xfId="1728"/>
    <cellStyle name="Output 2 21 2" xfId="4084"/>
    <cellStyle name="Output 2 21 3" xfId="5982"/>
    <cellStyle name="Output 2 22" xfId="1729"/>
    <cellStyle name="Output 2 22 2" xfId="4085"/>
    <cellStyle name="Output 2 22 3" xfId="5983"/>
    <cellStyle name="Output 2 23" xfId="1730"/>
    <cellStyle name="Output 2 23 2" xfId="4086"/>
    <cellStyle name="Output 2 23 3" xfId="5984"/>
    <cellStyle name="Output 2 24" xfId="1731"/>
    <cellStyle name="Output 2 24 2" xfId="4087"/>
    <cellStyle name="Output 2 24 3" xfId="5985"/>
    <cellStyle name="Output 2 25" xfId="1732"/>
    <cellStyle name="Output 2 25 2" xfId="4088"/>
    <cellStyle name="Output 2 25 3" xfId="5986"/>
    <cellStyle name="Output 2 26" xfId="1733"/>
    <cellStyle name="Output 2 26 2" xfId="4089"/>
    <cellStyle name="Output 2 26 3" xfId="5987"/>
    <cellStyle name="Output 2 27" xfId="1734"/>
    <cellStyle name="Output 2 27 2" xfId="4090"/>
    <cellStyle name="Output 2 27 3" xfId="5988"/>
    <cellStyle name="Output 2 28" xfId="1735"/>
    <cellStyle name="Output 2 28 2" xfId="4091"/>
    <cellStyle name="Output 2 28 3" xfId="5989"/>
    <cellStyle name="Output 2 29" xfId="1736"/>
    <cellStyle name="Output 2 29 2" xfId="4092"/>
    <cellStyle name="Output 2 29 3" xfId="5990"/>
    <cellStyle name="Output 2 3" xfId="1737"/>
    <cellStyle name="Output 2 3 10" xfId="1738"/>
    <cellStyle name="Output 2 3 10 2" xfId="4094"/>
    <cellStyle name="Output 2 3 10 3" xfId="5992"/>
    <cellStyle name="Output 2 3 11" xfId="1739"/>
    <cellStyle name="Output 2 3 11 2" xfId="4095"/>
    <cellStyle name="Output 2 3 11 3" xfId="5993"/>
    <cellStyle name="Output 2 3 12" xfId="1740"/>
    <cellStyle name="Output 2 3 12 2" xfId="4096"/>
    <cellStyle name="Output 2 3 12 3" xfId="5994"/>
    <cellStyle name="Output 2 3 13" xfId="1741"/>
    <cellStyle name="Output 2 3 13 2" xfId="4097"/>
    <cellStyle name="Output 2 3 13 3" xfId="5995"/>
    <cellStyle name="Output 2 3 14" xfId="1742"/>
    <cellStyle name="Output 2 3 14 2" xfId="4098"/>
    <cellStyle name="Output 2 3 14 3" xfId="5996"/>
    <cellStyle name="Output 2 3 15" xfId="1743"/>
    <cellStyle name="Output 2 3 15 2" xfId="4099"/>
    <cellStyle name="Output 2 3 15 3" xfId="5997"/>
    <cellStyle name="Output 2 3 16" xfId="1744"/>
    <cellStyle name="Output 2 3 16 2" xfId="4100"/>
    <cellStyle name="Output 2 3 16 3" xfId="5998"/>
    <cellStyle name="Output 2 3 17" xfId="1745"/>
    <cellStyle name="Output 2 3 17 2" xfId="4101"/>
    <cellStyle name="Output 2 3 17 3" xfId="5999"/>
    <cellStyle name="Output 2 3 18" xfId="1746"/>
    <cellStyle name="Output 2 3 18 2" xfId="4102"/>
    <cellStyle name="Output 2 3 18 3" xfId="6000"/>
    <cellStyle name="Output 2 3 19" xfId="1747"/>
    <cellStyle name="Output 2 3 19 2" xfId="4103"/>
    <cellStyle name="Output 2 3 19 3" xfId="6001"/>
    <cellStyle name="Output 2 3 2" xfId="1748"/>
    <cellStyle name="Output 2 3 2 2" xfId="4104"/>
    <cellStyle name="Output 2 3 2 3" xfId="6002"/>
    <cellStyle name="Output 2 3 20" xfId="1749"/>
    <cellStyle name="Output 2 3 20 2" xfId="4105"/>
    <cellStyle name="Output 2 3 20 3" xfId="6003"/>
    <cellStyle name="Output 2 3 21" xfId="1750"/>
    <cellStyle name="Output 2 3 21 2" xfId="4106"/>
    <cellStyle name="Output 2 3 21 3" xfId="6004"/>
    <cellStyle name="Output 2 3 22" xfId="1751"/>
    <cellStyle name="Output 2 3 22 2" xfId="4107"/>
    <cellStyle name="Output 2 3 22 3" xfId="6005"/>
    <cellStyle name="Output 2 3 23" xfId="1752"/>
    <cellStyle name="Output 2 3 23 2" xfId="4108"/>
    <cellStyle name="Output 2 3 23 3" xfId="6006"/>
    <cellStyle name="Output 2 3 24" xfId="4093"/>
    <cellStyle name="Output 2 3 25" xfId="5991"/>
    <cellStyle name="Output 2 3 3" xfId="1753"/>
    <cellStyle name="Output 2 3 3 2" xfId="4109"/>
    <cellStyle name="Output 2 3 3 3" xfId="6007"/>
    <cellStyle name="Output 2 3 4" xfId="1754"/>
    <cellStyle name="Output 2 3 4 2" xfId="4110"/>
    <cellStyle name="Output 2 3 4 3" xfId="6008"/>
    <cellStyle name="Output 2 3 5" xfId="1755"/>
    <cellStyle name="Output 2 3 5 2" xfId="4111"/>
    <cellStyle name="Output 2 3 5 3" xfId="6009"/>
    <cellStyle name="Output 2 3 6" xfId="1756"/>
    <cellStyle name="Output 2 3 6 2" xfId="4112"/>
    <cellStyle name="Output 2 3 6 3" xfId="6010"/>
    <cellStyle name="Output 2 3 7" xfId="1757"/>
    <cellStyle name="Output 2 3 7 2" xfId="4113"/>
    <cellStyle name="Output 2 3 7 3" xfId="6011"/>
    <cellStyle name="Output 2 3 8" xfId="1758"/>
    <cellStyle name="Output 2 3 8 2" xfId="4114"/>
    <cellStyle name="Output 2 3 8 3" xfId="6012"/>
    <cellStyle name="Output 2 3 9" xfId="1759"/>
    <cellStyle name="Output 2 3 9 2" xfId="4115"/>
    <cellStyle name="Output 2 3 9 3" xfId="6013"/>
    <cellStyle name="Output 2 30" xfId="1760"/>
    <cellStyle name="Output 2 30 2" xfId="4116"/>
    <cellStyle name="Output 2 30 3" xfId="6014"/>
    <cellStyle name="Output 2 31" xfId="1761"/>
    <cellStyle name="Output 2 31 2" xfId="4117"/>
    <cellStyle name="Output 2 31 3" xfId="6015"/>
    <cellStyle name="Output 2 32" xfId="1762"/>
    <cellStyle name="Output 2 32 2" xfId="4118"/>
    <cellStyle name="Output 2 32 3" xfId="6016"/>
    <cellStyle name="Output 2 33" xfId="1763"/>
    <cellStyle name="Output 2 33 2" xfId="4119"/>
    <cellStyle name="Output 2 33 3" xfId="6017"/>
    <cellStyle name="Output 2 34" xfId="1764"/>
    <cellStyle name="Output 2 34 2" xfId="4120"/>
    <cellStyle name="Output 2 34 3" xfId="6018"/>
    <cellStyle name="Output 2 35" xfId="1765"/>
    <cellStyle name="Output 2 35 2" xfId="4121"/>
    <cellStyle name="Output 2 35 3" xfId="6019"/>
    <cellStyle name="Output 2 36" xfId="1766"/>
    <cellStyle name="Output 2 36 2" xfId="4122"/>
    <cellStyle name="Output 2 36 3" xfId="6020"/>
    <cellStyle name="Output 2 37" xfId="1767"/>
    <cellStyle name="Output 2 37 2" xfId="4123"/>
    <cellStyle name="Output 2 37 3" xfId="6021"/>
    <cellStyle name="Output 2 38" xfId="3917"/>
    <cellStyle name="Output 2 39" xfId="5815"/>
    <cellStyle name="Output 2 4" xfId="1768"/>
    <cellStyle name="Output 2 4 10" xfId="1769"/>
    <cellStyle name="Output 2 4 10 2" xfId="4125"/>
    <cellStyle name="Output 2 4 10 3" xfId="6023"/>
    <cellStyle name="Output 2 4 11" xfId="1770"/>
    <cellStyle name="Output 2 4 11 2" xfId="4126"/>
    <cellStyle name="Output 2 4 11 3" xfId="6024"/>
    <cellStyle name="Output 2 4 12" xfId="1771"/>
    <cellStyle name="Output 2 4 12 2" xfId="4127"/>
    <cellStyle name="Output 2 4 12 3" xfId="6025"/>
    <cellStyle name="Output 2 4 13" xfId="1772"/>
    <cellStyle name="Output 2 4 13 2" xfId="4128"/>
    <cellStyle name="Output 2 4 13 3" xfId="6026"/>
    <cellStyle name="Output 2 4 14" xfId="1773"/>
    <cellStyle name="Output 2 4 14 2" xfId="4129"/>
    <cellStyle name="Output 2 4 14 3" xfId="6027"/>
    <cellStyle name="Output 2 4 15" xfId="1774"/>
    <cellStyle name="Output 2 4 15 2" xfId="4130"/>
    <cellStyle name="Output 2 4 15 3" xfId="6028"/>
    <cellStyle name="Output 2 4 16" xfId="1775"/>
    <cellStyle name="Output 2 4 16 2" xfId="4131"/>
    <cellStyle name="Output 2 4 16 3" xfId="6029"/>
    <cellStyle name="Output 2 4 17" xfId="1776"/>
    <cellStyle name="Output 2 4 17 2" xfId="4132"/>
    <cellStyle name="Output 2 4 17 3" xfId="6030"/>
    <cellStyle name="Output 2 4 18" xfId="1777"/>
    <cellStyle name="Output 2 4 18 2" xfId="4133"/>
    <cellStyle name="Output 2 4 18 3" xfId="6031"/>
    <cellStyle name="Output 2 4 19" xfId="1778"/>
    <cellStyle name="Output 2 4 19 2" xfId="4134"/>
    <cellStyle name="Output 2 4 19 3" xfId="6032"/>
    <cellStyle name="Output 2 4 2" xfId="1779"/>
    <cellStyle name="Output 2 4 2 2" xfId="4135"/>
    <cellStyle name="Output 2 4 2 3" xfId="6033"/>
    <cellStyle name="Output 2 4 20" xfId="1780"/>
    <cellStyle name="Output 2 4 20 2" xfId="4136"/>
    <cellStyle name="Output 2 4 20 3" xfId="6034"/>
    <cellStyle name="Output 2 4 21" xfId="1781"/>
    <cellStyle name="Output 2 4 21 2" xfId="4137"/>
    <cellStyle name="Output 2 4 21 3" xfId="6035"/>
    <cellStyle name="Output 2 4 22" xfId="1782"/>
    <cellStyle name="Output 2 4 22 2" xfId="4138"/>
    <cellStyle name="Output 2 4 22 3" xfId="6036"/>
    <cellStyle name="Output 2 4 23" xfId="1783"/>
    <cellStyle name="Output 2 4 23 2" xfId="4139"/>
    <cellStyle name="Output 2 4 23 3" xfId="6037"/>
    <cellStyle name="Output 2 4 24" xfId="4124"/>
    <cellStyle name="Output 2 4 25" xfId="6022"/>
    <cellStyle name="Output 2 4 3" xfId="1784"/>
    <cellStyle name="Output 2 4 3 2" xfId="4140"/>
    <cellStyle name="Output 2 4 3 3" xfId="6038"/>
    <cellStyle name="Output 2 4 4" xfId="1785"/>
    <cellStyle name="Output 2 4 4 2" xfId="4141"/>
    <cellStyle name="Output 2 4 4 3" xfId="6039"/>
    <cellStyle name="Output 2 4 5" xfId="1786"/>
    <cellStyle name="Output 2 4 5 2" xfId="4142"/>
    <cellStyle name="Output 2 4 5 3" xfId="6040"/>
    <cellStyle name="Output 2 4 6" xfId="1787"/>
    <cellStyle name="Output 2 4 6 2" xfId="4143"/>
    <cellStyle name="Output 2 4 6 3" xfId="6041"/>
    <cellStyle name="Output 2 4 7" xfId="1788"/>
    <cellStyle name="Output 2 4 7 2" xfId="4144"/>
    <cellStyle name="Output 2 4 7 3" xfId="6042"/>
    <cellStyle name="Output 2 4 8" xfId="1789"/>
    <cellStyle name="Output 2 4 8 2" xfId="4145"/>
    <cellStyle name="Output 2 4 8 3" xfId="6043"/>
    <cellStyle name="Output 2 4 9" xfId="1790"/>
    <cellStyle name="Output 2 4 9 2" xfId="4146"/>
    <cellStyle name="Output 2 4 9 3" xfId="6044"/>
    <cellStyle name="Output 2 5" xfId="1791"/>
    <cellStyle name="Output 2 5 10" xfId="1792"/>
    <cellStyle name="Output 2 5 10 2" xfId="4148"/>
    <cellStyle name="Output 2 5 10 3" xfId="6046"/>
    <cellStyle name="Output 2 5 11" xfId="1793"/>
    <cellStyle name="Output 2 5 11 2" xfId="4149"/>
    <cellStyle name="Output 2 5 11 3" xfId="6047"/>
    <cellStyle name="Output 2 5 12" xfId="1794"/>
    <cellStyle name="Output 2 5 12 2" xfId="4150"/>
    <cellStyle name="Output 2 5 12 3" xfId="6048"/>
    <cellStyle name="Output 2 5 13" xfId="1795"/>
    <cellStyle name="Output 2 5 13 2" xfId="4151"/>
    <cellStyle name="Output 2 5 13 3" xfId="6049"/>
    <cellStyle name="Output 2 5 14" xfId="1796"/>
    <cellStyle name="Output 2 5 14 2" xfId="4152"/>
    <cellStyle name="Output 2 5 14 3" xfId="6050"/>
    <cellStyle name="Output 2 5 15" xfId="1797"/>
    <cellStyle name="Output 2 5 15 2" xfId="4153"/>
    <cellStyle name="Output 2 5 15 3" xfId="6051"/>
    <cellStyle name="Output 2 5 16" xfId="1798"/>
    <cellStyle name="Output 2 5 16 2" xfId="4154"/>
    <cellStyle name="Output 2 5 16 3" xfId="6052"/>
    <cellStyle name="Output 2 5 17" xfId="1799"/>
    <cellStyle name="Output 2 5 17 2" xfId="4155"/>
    <cellStyle name="Output 2 5 17 3" xfId="6053"/>
    <cellStyle name="Output 2 5 18" xfId="1800"/>
    <cellStyle name="Output 2 5 18 2" xfId="4156"/>
    <cellStyle name="Output 2 5 18 3" xfId="6054"/>
    <cellStyle name="Output 2 5 19" xfId="1801"/>
    <cellStyle name="Output 2 5 19 2" xfId="4157"/>
    <cellStyle name="Output 2 5 19 3" xfId="6055"/>
    <cellStyle name="Output 2 5 2" xfId="1802"/>
    <cellStyle name="Output 2 5 2 2" xfId="4158"/>
    <cellStyle name="Output 2 5 2 3" xfId="6056"/>
    <cellStyle name="Output 2 5 20" xfId="1803"/>
    <cellStyle name="Output 2 5 20 2" xfId="4159"/>
    <cellStyle name="Output 2 5 20 3" xfId="6057"/>
    <cellStyle name="Output 2 5 21" xfId="1804"/>
    <cellStyle name="Output 2 5 21 2" xfId="4160"/>
    <cellStyle name="Output 2 5 21 3" xfId="6058"/>
    <cellStyle name="Output 2 5 22" xfId="1805"/>
    <cellStyle name="Output 2 5 22 2" xfId="4161"/>
    <cellStyle name="Output 2 5 22 3" xfId="6059"/>
    <cellStyle name="Output 2 5 23" xfId="1806"/>
    <cellStyle name="Output 2 5 23 2" xfId="4162"/>
    <cellStyle name="Output 2 5 23 3" xfId="6060"/>
    <cellStyle name="Output 2 5 24" xfId="4147"/>
    <cellStyle name="Output 2 5 25" xfId="6045"/>
    <cellStyle name="Output 2 5 3" xfId="1807"/>
    <cellStyle name="Output 2 5 3 2" xfId="4163"/>
    <cellStyle name="Output 2 5 3 3" xfId="6061"/>
    <cellStyle name="Output 2 5 4" xfId="1808"/>
    <cellStyle name="Output 2 5 4 2" xfId="4164"/>
    <cellStyle name="Output 2 5 4 3" xfId="6062"/>
    <cellStyle name="Output 2 5 5" xfId="1809"/>
    <cellStyle name="Output 2 5 5 2" xfId="4165"/>
    <cellStyle name="Output 2 5 5 3" xfId="6063"/>
    <cellStyle name="Output 2 5 6" xfId="1810"/>
    <cellStyle name="Output 2 5 6 2" xfId="4166"/>
    <cellStyle name="Output 2 5 6 3" xfId="6064"/>
    <cellStyle name="Output 2 5 7" xfId="1811"/>
    <cellStyle name="Output 2 5 7 2" xfId="4167"/>
    <cellStyle name="Output 2 5 7 3" xfId="6065"/>
    <cellStyle name="Output 2 5 8" xfId="1812"/>
    <cellStyle name="Output 2 5 8 2" xfId="4168"/>
    <cellStyle name="Output 2 5 8 3" xfId="6066"/>
    <cellStyle name="Output 2 5 9" xfId="1813"/>
    <cellStyle name="Output 2 5 9 2" xfId="4169"/>
    <cellStyle name="Output 2 5 9 3" xfId="6067"/>
    <cellStyle name="Output 2 6" xfId="1814"/>
    <cellStyle name="Output 2 6 10" xfId="1815"/>
    <cellStyle name="Output 2 6 10 2" xfId="4171"/>
    <cellStyle name="Output 2 6 10 3" xfId="6069"/>
    <cellStyle name="Output 2 6 11" xfId="1816"/>
    <cellStyle name="Output 2 6 11 2" xfId="4172"/>
    <cellStyle name="Output 2 6 11 3" xfId="6070"/>
    <cellStyle name="Output 2 6 12" xfId="1817"/>
    <cellStyle name="Output 2 6 12 2" xfId="4173"/>
    <cellStyle name="Output 2 6 12 3" xfId="6071"/>
    <cellStyle name="Output 2 6 13" xfId="1818"/>
    <cellStyle name="Output 2 6 13 2" xfId="4174"/>
    <cellStyle name="Output 2 6 13 3" xfId="6072"/>
    <cellStyle name="Output 2 6 14" xfId="1819"/>
    <cellStyle name="Output 2 6 14 2" xfId="4175"/>
    <cellStyle name="Output 2 6 14 3" xfId="6073"/>
    <cellStyle name="Output 2 6 15" xfId="1820"/>
    <cellStyle name="Output 2 6 15 2" xfId="4176"/>
    <cellStyle name="Output 2 6 15 3" xfId="6074"/>
    <cellStyle name="Output 2 6 16" xfId="1821"/>
    <cellStyle name="Output 2 6 16 2" xfId="4177"/>
    <cellStyle name="Output 2 6 16 3" xfId="6075"/>
    <cellStyle name="Output 2 6 17" xfId="1822"/>
    <cellStyle name="Output 2 6 17 2" xfId="4178"/>
    <cellStyle name="Output 2 6 17 3" xfId="6076"/>
    <cellStyle name="Output 2 6 18" xfId="1823"/>
    <cellStyle name="Output 2 6 18 2" xfId="4179"/>
    <cellStyle name="Output 2 6 18 3" xfId="6077"/>
    <cellStyle name="Output 2 6 19" xfId="1824"/>
    <cellStyle name="Output 2 6 19 2" xfId="4180"/>
    <cellStyle name="Output 2 6 19 3" xfId="6078"/>
    <cellStyle name="Output 2 6 2" xfId="1825"/>
    <cellStyle name="Output 2 6 2 2" xfId="4181"/>
    <cellStyle name="Output 2 6 2 3" xfId="6079"/>
    <cellStyle name="Output 2 6 20" xfId="1826"/>
    <cellStyle name="Output 2 6 20 2" xfId="4182"/>
    <cellStyle name="Output 2 6 20 3" xfId="6080"/>
    <cellStyle name="Output 2 6 21" xfId="1827"/>
    <cellStyle name="Output 2 6 21 2" xfId="4183"/>
    <cellStyle name="Output 2 6 21 3" xfId="6081"/>
    <cellStyle name="Output 2 6 22" xfId="1828"/>
    <cellStyle name="Output 2 6 22 2" xfId="4184"/>
    <cellStyle name="Output 2 6 22 3" xfId="6082"/>
    <cellStyle name="Output 2 6 23" xfId="1829"/>
    <cellStyle name="Output 2 6 23 2" xfId="4185"/>
    <cellStyle name="Output 2 6 23 3" xfId="6083"/>
    <cellStyle name="Output 2 6 24" xfId="4170"/>
    <cellStyle name="Output 2 6 25" xfId="6068"/>
    <cellStyle name="Output 2 6 3" xfId="1830"/>
    <cellStyle name="Output 2 6 3 2" xfId="4186"/>
    <cellStyle name="Output 2 6 3 3" xfId="6084"/>
    <cellStyle name="Output 2 6 4" xfId="1831"/>
    <cellStyle name="Output 2 6 4 2" xfId="4187"/>
    <cellStyle name="Output 2 6 4 3" xfId="6085"/>
    <cellStyle name="Output 2 6 5" xfId="1832"/>
    <cellStyle name="Output 2 6 5 2" xfId="4188"/>
    <cellStyle name="Output 2 6 5 3" xfId="6086"/>
    <cellStyle name="Output 2 6 6" xfId="1833"/>
    <cellStyle name="Output 2 6 6 2" xfId="4189"/>
    <cellStyle name="Output 2 6 6 3" xfId="6087"/>
    <cellStyle name="Output 2 6 7" xfId="1834"/>
    <cellStyle name="Output 2 6 7 2" xfId="4190"/>
    <cellStyle name="Output 2 6 7 3" xfId="6088"/>
    <cellStyle name="Output 2 6 8" xfId="1835"/>
    <cellStyle name="Output 2 6 8 2" xfId="4191"/>
    <cellStyle name="Output 2 6 8 3" xfId="6089"/>
    <cellStyle name="Output 2 6 9" xfId="1836"/>
    <cellStyle name="Output 2 6 9 2" xfId="4192"/>
    <cellStyle name="Output 2 6 9 3" xfId="6090"/>
    <cellStyle name="Output 2 7" xfId="1837"/>
    <cellStyle name="Output 2 7 10" xfId="1838"/>
    <cellStyle name="Output 2 7 10 2" xfId="4194"/>
    <cellStyle name="Output 2 7 10 3" xfId="6092"/>
    <cellStyle name="Output 2 7 11" xfId="1839"/>
    <cellStyle name="Output 2 7 11 2" xfId="4195"/>
    <cellStyle name="Output 2 7 11 3" xfId="6093"/>
    <cellStyle name="Output 2 7 12" xfId="1840"/>
    <cellStyle name="Output 2 7 12 2" xfId="4196"/>
    <cellStyle name="Output 2 7 12 3" xfId="6094"/>
    <cellStyle name="Output 2 7 13" xfId="1841"/>
    <cellStyle name="Output 2 7 13 2" xfId="4197"/>
    <cellStyle name="Output 2 7 13 3" xfId="6095"/>
    <cellStyle name="Output 2 7 14" xfId="1842"/>
    <cellStyle name="Output 2 7 14 2" xfId="4198"/>
    <cellStyle name="Output 2 7 14 3" xfId="6096"/>
    <cellStyle name="Output 2 7 15" xfId="1843"/>
    <cellStyle name="Output 2 7 15 2" xfId="4199"/>
    <cellStyle name="Output 2 7 15 3" xfId="6097"/>
    <cellStyle name="Output 2 7 16" xfId="1844"/>
    <cellStyle name="Output 2 7 16 2" xfId="4200"/>
    <cellStyle name="Output 2 7 16 3" xfId="6098"/>
    <cellStyle name="Output 2 7 17" xfId="1845"/>
    <cellStyle name="Output 2 7 17 2" xfId="4201"/>
    <cellStyle name="Output 2 7 17 3" xfId="6099"/>
    <cellStyle name="Output 2 7 18" xfId="1846"/>
    <cellStyle name="Output 2 7 18 2" xfId="4202"/>
    <cellStyle name="Output 2 7 18 3" xfId="6100"/>
    <cellStyle name="Output 2 7 19" xfId="1847"/>
    <cellStyle name="Output 2 7 19 2" xfId="4203"/>
    <cellStyle name="Output 2 7 19 3" xfId="6101"/>
    <cellStyle name="Output 2 7 2" xfId="1848"/>
    <cellStyle name="Output 2 7 2 2" xfId="4204"/>
    <cellStyle name="Output 2 7 2 3" xfId="6102"/>
    <cellStyle name="Output 2 7 20" xfId="1849"/>
    <cellStyle name="Output 2 7 20 2" xfId="4205"/>
    <cellStyle name="Output 2 7 20 3" xfId="6103"/>
    <cellStyle name="Output 2 7 21" xfId="1850"/>
    <cellStyle name="Output 2 7 21 2" xfId="4206"/>
    <cellStyle name="Output 2 7 21 3" xfId="6104"/>
    <cellStyle name="Output 2 7 22" xfId="1851"/>
    <cellStyle name="Output 2 7 22 2" xfId="4207"/>
    <cellStyle name="Output 2 7 22 3" xfId="6105"/>
    <cellStyle name="Output 2 7 23" xfId="1852"/>
    <cellStyle name="Output 2 7 23 2" xfId="4208"/>
    <cellStyle name="Output 2 7 23 3" xfId="6106"/>
    <cellStyle name="Output 2 7 24" xfId="4193"/>
    <cellStyle name="Output 2 7 25" xfId="6091"/>
    <cellStyle name="Output 2 7 3" xfId="1853"/>
    <cellStyle name="Output 2 7 3 2" xfId="4209"/>
    <cellStyle name="Output 2 7 3 3" xfId="6107"/>
    <cellStyle name="Output 2 7 4" xfId="1854"/>
    <cellStyle name="Output 2 7 4 2" xfId="4210"/>
    <cellStyle name="Output 2 7 4 3" xfId="6108"/>
    <cellStyle name="Output 2 7 5" xfId="1855"/>
    <cellStyle name="Output 2 7 5 2" xfId="4211"/>
    <cellStyle name="Output 2 7 5 3" xfId="6109"/>
    <cellStyle name="Output 2 7 6" xfId="1856"/>
    <cellStyle name="Output 2 7 6 2" xfId="4212"/>
    <cellStyle name="Output 2 7 6 3" xfId="6110"/>
    <cellStyle name="Output 2 7 7" xfId="1857"/>
    <cellStyle name="Output 2 7 7 2" xfId="4213"/>
    <cellStyle name="Output 2 7 7 3" xfId="6111"/>
    <cellStyle name="Output 2 7 8" xfId="1858"/>
    <cellStyle name="Output 2 7 8 2" xfId="4214"/>
    <cellStyle name="Output 2 7 8 3" xfId="6112"/>
    <cellStyle name="Output 2 7 9" xfId="1859"/>
    <cellStyle name="Output 2 7 9 2" xfId="4215"/>
    <cellStyle name="Output 2 7 9 3" xfId="6113"/>
    <cellStyle name="Output 2 8" xfId="1860"/>
    <cellStyle name="Output 2 8 10" xfId="1861"/>
    <cellStyle name="Output 2 8 10 2" xfId="4217"/>
    <cellStyle name="Output 2 8 10 3" xfId="6115"/>
    <cellStyle name="Output 2 8 11" xfId="1862"/>
    <cellStyle name="Output 2 8 11 2" xfId="4218"/>
    <cellStyle name="Output 2 8 11 3" xfId="6116"/>
    <cellStyle name="Output 2 8 12" xfId="1863"/>
    <cellStyle name="Output 2 8 12 2" xfId="4219"/>
    <cellStyle name="Output 2 8 12 3" xfId="6117"/>
    <cellStyle name="Output 2 8 13" xfId="1864"/>
    <cellStyle name="Output 2 8 13 2" xfId="4220"/>
    <cellStyle name="Output 2 8 13 3" xfId="6118"/>
    <cellStyle name="Output 2 8 14" xfId="1865"/>
    <cellStyle name="Output 2 8 14 2" xfId="4221"/>
    <cellStyle name="Output 2 8 14 3" xfId="6119"/>
    <cellStyle name="Output 2 8 15" xfId="1866"/>
    <cellStyle name="Output 2 8 15 2" xfId="4222"/>
    <cellStyle name="Output 2 8 15 3" xfId="6120"/>
    <cellStyle name="Output 2 8 16" xfId="1867"/>
    <cellStyle name="Output 2 8 16 2" xfId="4223"/>
    <cellStyle name="Output 2 8 16 3" xfId="6121"/>
    <cellStyle name="Output 2 8 17" xfId="1868"/>
    <cellStyle name="Output 2 8 17 2" xfId="4224"/>
    <cellStyle name="Output 2 8 17 3" xfId="6122"/>
    <cellStyle name="Output 2 8 18" xfId="1869"/>
    <cellStyle name="Output 2 8 18 2" xfId="4225"/>
    <cellStyle name="Output 2 8 18 3" xfId="6123"/>
    <cellStyle name="Output 2 8 19" xfId="1870"/>
    <cellStyle name="Output 2 8 19 2" xfId="4226"/>
    <cellStyle name="Output 2 8 19 3" xfId="6124"/>
    <cellStyle name="Output 2 8 2" xfId="1871"/>
    <cellStyle name="Output 2 8 2 2" xfId="4227"/>
    <cellStyle name="Output 2 8 2 3" xfId="6125"/>
    <cellStyle name="Output 2 8 20" xfId="1872"/>
    <cellStyle name="Output 2 8 20 2" xfId="4228"/>
    <cellStyle name="Output 2 8 20 3" xfId="6126"/>
    <cellStyle name="Output 2 8 21" xfId="1873"/>
    <cellStyle name="Output 2 8 21 2" xfId="4229"/>
    <cellStyle name="Output 2 8 21 3" xfId="6127"/>
    <cellStyle name="Output 2 8 22" xfId="1874"/>
    <cellStyle name="Output 2 8 22 2" xfId="4230"/>
    <cellStyle name="Output 2 8 22 3" xfId="6128"/>
    <cellStyle name="Output 2 8 23" xfId="1875"/>
    <cellStyle name="Output 2 8 23 2" xfId="4231"/>
    <cellStyle name="Output 2 8 23 3" xfId="6129"/>
    <cellStyle name="Output 2 8 24" xfId="4216"/>
    <cellStyle name="Output 2 8 25" xfId="6114"/>
    <cellStyle name="Output 2 8 3" xfId="1876"/>
    <cellStyle name="Output 2 8 3 2" xfId="4232"/>
    <cellStyle name="Output 2 8 3 3" xfId="6130"/>
    <cellStyle name="Output 2 8 4" xfId="1877"/>
    <cellStyle name="Output 2 8 4 2" xfId="4233"/>
    <cellStyle name="Output 2 8 4 3" xfId="6131"/>
    <cellStyle name="Output 2 8 5" xfId="1878"/>
    <cellStyle name="Output 2 8 5 2" xfId="4234"/>
    <cellStyle name="Output 2 8 5 3" xfId="6132"/>
    <cellStyle name="Output 2 8 6" xfId="1879"/>
    <cellStyle name="Output 2 8 6 2" xfId="4235"/>
    <cellStyle name="Output 2 8 6 3" xfId="6133"/>
    <cellStyle name="Output 2 8 7" xfId="1880"/>
    <cellStyle name="Output 2 8 7 2" xfId="4236"/>
    <cellStyle name="Output 2 8 7 3" xfId="6134"/>
    <cellStyle name="Output 2 8 8" xfId="1881"/>
    <cellStyle name="Output 2 8 8 2" xfId="4237"/>
    <cellStyle name="Output 2 8 8 3" xfId="6135"/>
    <cellStyle name="Output 2 8 9" xfId="1882"/>
    <cellStyle name="Output 2 8 9 2" xfId="4238"/>
    <cellStyle name="Output 2 8 9 3" xfId="6136"/>
    <cellStyle name="Output 2 9" xfId="1883"/>
    <cellStyle name="Output 2 9 10" xfId="1884"/>
    <cellStyle name="Output 2 9 10 2" xfId="4240"/>
    <cellStyle name="Output 2 9 10 3" xfId="6138"/>
    <cellStyle name="Output 2 9 11" xfId="1885"/>
    <cellStyle name="Output 2 9 11 2" xfId="4241"/>
    <cellStyle name="Output 2 9 11 3" xfId="6139"/>
    <cellStyle name="Output 2 9 12" xfId="1886"/>
    <cellStyle name="Output 2 9 12 2" xfId="4242"/>
    <cellStyle name="Output 2 9 12 3" xfId="6140"/>
    <cellStyle name="Output 2 9 13" xfId="1887"/>
    <cellStyle name="Output 2 9 13 2" xfId="4243"/>
    <cellStyle name="Output 2 9 13 3" xfId="6141"/>
    <cellStyle name="Output 2 9 14" xfId="1888"/>
    <cellStyle name="Output 2 9 14 2" xfId="4244"/>
    <cellStyle name="Output 2 9 14 3" xfId="6142"/>
    <cellStyle name="Output 2 9 15" xfId="1889"/>
    <cellStyle name="Output 2 9 15 2" xfId="4245"/>
    <cellStyle name="Output 2 9 15 3" xfId="6143"/>
    <cellStyle name="Output 2 9 16" xfId="1890"/>
    <cellStyle name="Output 2 9 16 2" xfId="4246"/>
    <cellStyle name="Output 2 9 16 3" xfId="6144"/>
    <cellStyle name="Output 2 9 17" xfId="1891"/>
    <cellStyle name="Output 2 9 17 2" xfId="4247"/>
    <cellStyle name="Output 2 9 17 3" xfId="6145"/>
    <cellStyle name="Output 2 9 18" xfId="1892"/>
    <cellStyle name="Output 2 9 18 2" xfId="4248"/>
    <cellStyle name="Output 2 9 18 3" xfId="6146"/>
    <cellStyle name="Output 2 9 19" xfId="1893"/>
    <cellStyle name="Output 2 9 19 2" xfId="4249"/>
    <cellStyle name="Output 2 9 19 3" xfId="6147"/>
    <cellStyle name="Output 2 9 2" xfId="1894"/>
    <cellStyle name="Output 2 9 2 2" xfId="4250"/>
    <cellStyle name="Output 2 9 2 3" xfId="6148"/>
    <cellStyle name="Output 2 9 20" xfId="1895"/>
    <cellStyle name="Output 2 9 20 2" xfId="4251"/>
    <cellStyle name="Output 2 9 20 3" xfId="6149"/>
    <cellStyle name="Output 2 9 21" xfId="1896"/>
    <cellStyle name="Output 2 9 21 2" xfId="4252"/>
    <cellStyle name="Output 2 9 21 3" xfId="6150"/>
    <cellStyle name="Output 2 9 22" xfId="1897"/>
    <cellStyle name="Output 2 9 22 2" xfId="4253"/>
    <cellStyle name="Output 2 9 22 3" xfId="6151"/>
    <cellStyle name="Output 2 9 23" xfId="1898"/>
    <cellStyle name="Output 2 9 23 2" xfId="4254"/>
    <cellStyle name="Output 2 9 23 3" xfId="6152"/>
    <cellStyle name="Output 2 9 24" xfId="4239"/>
    <cellStyle name="Output 2 9 25" xfId="6137"/>
    <cellStyle name="Output 2 9 3" xfId="1899"/>
    <cellStyle name="Output 2 9 3 2" xfId="4255"/>
    <cellStyle name="Output 2 9 3 3" xfId="6153"/>
    <cellStyle name="Output 2 9 4" xfId="1900"/>
    <cellStyle name="Output 2 9 4 2" xfId="4256"/>
    <cellStyle name="Output 2 9 4 3" xfId="6154"/>
    <cellStyle name="Output 2 9 5" xfId="1901"/>
    <cellStyle name="Output 2 9 5 2" xfId="4257"/>
    <cellStyle name="Output 2 9 5 3" xfId="6155"/>
    <cellStyle name="Output 2 9 6" xfId="1902"/>
    <cellStyle name="Output 2 9 6 2" xfId="4258"/>
    <cellStyle name="Output 2 9 6 3" xfId="6156"/>
    <cellStyle name="Output 2 9 7" xfId="1903"/>
    <cellStyle name="Output 2 9 7 2" xfId="4259"/>
    <cellStyle name="Output 2 9 7 3" xfId="6157"/>
    <cellStyle name="Output 2 9 8" xfId="1904"/>
    <cellStyle name="Output 2 9 8 2" xfId="4260"/>
    <cellStyle name="Output 2 9 8 3" xfId="6158"/>
    <cellStyle name="Output 2 9 9" xfId="1905"/>
    <cellStyle name="Output 2 9 9 2" xfId="4261"/>
    <cellStyle name="Output 2 9 9 3" xfId="6159"/>
    <cellStyle name="Output 3" xfId="4751"/>
    <cellStyle name="Output 4" xfId="2487"/>
    <cellStyle name="Output 5" xfId="4726"/>
    <cellStyle name="OUTPUT AMOUNTS" xfId="48"/>
    <cellStyle name="OUTPUT COLUMN HEADINGS" xfId="49"/>
    <cellStyle name="OUTPUT LINE ITEMS" xfId="50"/>
    <cellStyle name="OUTPUT REPORT HEADING" xfId="51"/>
    <cellStyle name="OUTPUT REPORT TITLE" xfId="52"/>
    <cellStyle name="Percent 2" xfId="88"/>
    <cellStyle name="Percent 2 2" xfId="97"/>
    <cellStyle name="Percent 2 3" xfId="2378"/>
    <cellStyle name="Percent 2 3 2" xfId="4725"/>
    <cellStyle name="Percent 2 4" xfId="2502"/>
    <cellStyle name="Percent 3" xfId="89"/>
    <cellStyle name="Percent 3 2" xfId="1906"/>
    <cellStyle name="Percent 3 3" xfId="2503"/>
    <cellStyle name="Percent 4" xfId="96"/>
    <cellStyle name="Percent 4 2" xfId="2448"/>
    <cellStyle name="Percent 5" xfId="2425"/>
    <cellStyle name="Percent 6" xfId="4741"/>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SecondHeader1" xfId="90"/>
    <cellStyle name="StandardNumberRow1" xfId="91"/>
    <cellStyle name="StandardRowHeader1" xfId="92"/>
    <cellStyle name="STYLE1" xfId="67"/>
    <cellStyle name="STYLE1 2" xfId="2449"/>
    <cellStyle name="STYLE2" xfId="1907"/>
    <cellStyle name="STYLE3" xfId="1908"/>
    <cellStyle name="Suma" xfId="1909"/>
    <cellStyle name="Suma 10" xfId="1910"/>
    <cellStyle name="Suma 10 2" xfId="4264"/>
    <cellStyle name="Suma 10 3" xfId="6161"/>
    <cellStyle name="Suma 11" xfId="1911"/>
    <cellStyle name="Suma 11 2" xfId="4265"/>
    <cellStyle name="Suma 11 3" xfId="6162"/>
    <cellStyle name="Suma 12" xfId="1912"/>
    <cellStyle name="Suma 12 2" xfId="4266"/>
    <cellStyle name="Suma 12 3" xfId="6163"/>
    <cellStyle name="Suma 13" xfId="1913"/>
    <cellStyle name="Suma 13 2" xfId="4267"/>
    <cellStyle name="Suma 13 3" xfId="6164"/>
    <cellStyle name="Suma 14" xfId="1914"/>
    <cellStyle name="Suma 14 2" xfId="4268"/>
    <cellStyle name="Suma 14 3" xfId="6165"/>
    <cellStyle name="Suma 15" xfId="1915"/>
    <cellStyle name="Suma 15 2" xfId="4269"/>
    <cellStyle name="Suma 15 3" xfId="6166"/>
    <cellStyle name="Suma 16" xfId="1916"/>
    <cellStyle name="Suma 16 2" xfId="4270"/>
    <cellStyle name="Suma 16 3" xfId="6167"/>
    <cellStyle name="Suma 17" xfId="1917"/>
    <cellStyle name="Suma 17 2" xfId="4271"/>
    <cellStyle name="Suma 17 3" xfId="6168"/>
    <cellStyle name="Suma 18" xfId="1918"/>
    <cellStyle name="Suma 18 2" xfId="4272"/>
    <cellStyle name="Suma 18 3" xfId="6169"/>
    <cellStyle name="Suma 19" xfId="1919"/>
    <cellStyle name="Suma 19 2" xfId="4273"/>
    <cellStyle name="Suma 19 3" xfId="6170"/>
    <cellStyle name="Suma 2" xfId="1920"/>
    <cellStyle name="Suma 2 10" xfId="1921"/>
    <cellStyle name="Suma 2 10 2" xfId="4275"/>
    <cellStyle name="Suma 2 10 3" xfId="6172"/>
    <cellStyle name="Suma 2 11" xfId="1922"/>
    <cellStyle name="Suma 2 11 2" xfId="4276"/>
    <cellStyle name="Suma 2 11 3" xfId="6173"/>
    <cellStyle name="Suma 2 12" xfId="1923"/>
    <cellStyle name="Suma 2 12 2" xfId="4277"/>
    <cellStyle name="Suma 2 12 3" xfId="6174"/>
    <cellStyle name="Suma 2 13" xfId="1924"/>
    <cellStyle name="Suma 2 13 2" xfId="4278"/>
    <cellStyle name="Suma 2 13 3" xfId="6175"/>
    <cellStyle name="Suma 2 14" xfId="1925"/>
    <cellStyle name="Suma 2 14 2" xfId="4279"/>
    <cellStyle name="Suma 2 14 3" xfId="6176"/>
    <cellStyle name="Suma 2 15" xfId="1926"/>
    <cellStyle name="Suma 2 15 2" xfId="4280"/>
    <cellStyle name="Suma 2 15 3" xfId="6177"/>
    <cellStyle name="Suma 2 16" xfId="1927"/>
    <cellStyle name="Suma 2 16 2" xfId="4281"/>
    <cellStyle name="Suma 2 16 3" xfId="6178"/>
    <cellStyle name="Suma 2 17" xfId="1928"/>
    <cellStyle name="Suma 2 17 2" xfId="4282"/>
    <cellStyle name="Suma 2 17 3" xfId="6179"/>
    <cellStyle name="Suma 2 18" xfId="1929"/>
    <cellStyle name="Suma 2 18 2" xfId="4283"/>
    <cellStyle name="Suma 2 18 3" xfId="6180"/>
    <cellStyle name="Suma 2 19" xfId="1930"/>
    <cellStyle name="Suma 2 19 2" xfId="4284"/>
    <cellStyle name="Suma 2 19 3" xfId="6181"/>
    <cellStyle name="Suma 2 2" xfId="1931"/>
    <cellStyle name="Suma 2 2 2" xfId="4285"/>
    <cellStyle name="Suma 2 2 3" xfId="6182"/>
    <cellStyle name="Suma 2 20" xfId="1932"/>
    <cellStyle name="Suma 2 20 2" xfId="4286"/>
    <cellStyle name="Suma 2 20 3" xfId="6183"/>
    <cellStyle name="Suma 2 21" xfId="1933"/>
    <cellStyle name="Suma 2 21 2" xfId="4287"/>
    <cellStyle name="Suma 2 21 3" xfId="6184"/>
    <cellStyle name="Suma 2 22" xfId="1934"/>
    <cellStyle name="Suma 2 22 2" xfId="4288"/>
    <cellStyle name="Suma 2 22 3" xfId="6185"/>
    <cellStyle name="Suma 2 23" xfId="1935"/>
    <cellStyle name="Suma 2 23 2" xfId="4289"/>
    <cellStyle name="Suma 2 23 3" xfId="6186"/>
    <cellStyle name="Suma 2 24" xfId="4274"/>
    <cellStyle name="Suma 2 25" xfId="6171"/>
    <cellStyle name="Suma 2 3" xfId="1936"/>
    <cellStyle name="Suma 2 3 2" xfId="4290"/>
    <cellStyle name="Suma 2 3 3" xfId="6187"/>
    <cellStyle name="Suma 2 4" xfId="1937"/>
    <cellStyle name="Suma 2 4 2" xfId="4291"/>
    <cellStyle name="Suma 2 4 3" xfId="6188"/>
    <cellStyle name="Suma 2 5" xfId="1938"/>
    <cellStyle name="Suma 2 5 2" xfId="4292"/>
    <cellStyle name="Suma 2 5 3" xfId="6189"/>
    <cellStyle name="Suma 2 6" xfId="1939"/>
    <cellStyle name="Suma 2 6 2" xfId="4293"/>
    <cellStyle name="Suma 2 6 3" xfId="6190"/>
    <cellStyle name="Suma 2 7" xfId="1940"/>
    <cellStyle name="Suma 2 7 2" xfId="4294"/>
    <cellStyle name="Suma 2 7 3" xfId="6191"/>
    <cellStyle name="Suma 2 8" xfId="1941"/>
    <cellStyle name="Suma 2 8 2" xfId="4295"/>
    <cellStyle name="Suma 2 8 3" xfId="6192"/>
    <cellStyle name="Suma 2 9" xfId="1942"/>
    <cellStyle name="Suma 2 9 2" xfId="4296"/>
    <cellStyle name="Suma 2 9 3" xfId="6193"/>
    <cellStyle name="Suma 20" xfId="1943"/>
    <cellStyle name="Suma 20 2" xfId="4297"/>
    <cellStyle name="Suma 20 3" xfId="6194"/>
    <cellStyle name="Suma 21" xfId="1944"/>
    <cellStyle name="Suma 21 2" xfId="4298"/>
    <cellStyle name="Suma 21 3" xfId="6195"/>
    <cellStyle name="Suma 22" xfId="1945"/>
    <cellStyle name="Suma 22 2" xfId="4299"/>
    <cellStyle name="Suma 22 3" xfId="6196"/>
    <cellStyle name="Suma 23" xfId="1946"/>
    <cellStyle name="Suma 23 2" xfId="4300"/>
    <cellStyle name="Suma 23 3" xfId="6197"/>
    <cellStyle name="Suma 24" xfId="1947"/>
    <cellStyle name="Suma 24 2" xfId="4301"/>
    <cellStyle name="Suma 24 3" xfId="6198"/>
    <cellStyle name="Suma 25" xfId="1948"/>
    <cellStyle name="Suma 25 2" xfId="4302"/>
    <cellStyle name="Suma 25 3" xfId="6199"/>
    <cellStyle name="Suma 26" xfId="4263"/>
    <cellStyle name="Suma 27" xfId="6160"/>
    <cellStyle name="Suma 3" xfId="1949"/>
    <cellStyle name="Suma 3 10" xfId="1950"/>
    <cellStyle name="Suma 3 10 2" xfId="4304"/>
    <cellStyle name="Suma 3 10 3" xfId="6201"/>
    <cellStyle name="Suma 3 11" xfId="1951"/>
    <cellStyle name="Suma 3 11 2" xfId="4305"/>
    <cellStyle name="Suma 3 11 3" xfId="6202"/>
    <cellStyle name="Suma 3 12" xfId="1952"/>
    <cellStyle name="Suma 3 12 2" xfId="4306"/>
    <cellStyle name="Suma 3 12 3" xfId="6203"/>
    <cellStyle name="Suma 3 13" xfId="1953"/>
    <cellStyle name="Suma 3 13 2" xfId="4307"/>
    <cellStyle name="Suma 3 13 3" xfId="6204"/>
    <cellStyle name="Suma 3 14" xfId="1954"/>
    <cellStyle name="Suma 3 14 2" xfId="4308"/>
    <cellStyle name="Suma 3 14 3" xfId="6205"/>
    <cellStyle name="Suma 3 15" xfId="1955"/>
    <cellStyle name="Suma 3 15 2" xfId="4309"/>
    <cellStyle name="Suma 3 15 3" xfId="6206"/>
    <cellStyle name="Suma 3 16" xfId="1956"/>
    <cellStyle name="Suma 3 16 2" xfId="4310"/>
    <cellStyle name="Suma 3 16 3" xfId="6207"/>
    <cellStyle name="Suma 3 17" xfId="1957"/>
    <cellStyle name="Suma 3 17 2" xfId="4311"/>
    <cellStyle name="Suma 3 17 3" xfId="6208"/>
    <cellStyle name="Suma 3 18" xfId="1958"/>
    <cellStyle name="Suma 3 18 2" xfId="4312"/>
    <cellStyle name="Suma 3 18 3" xfId="6209"/>
    <cellStyle name="Suma 3 19" xfId="1959"/>
    <cellStyle name="Suma 3 19 2" xfId="4313"/>
    <cellStyle name="Suma 3 19 3" xfId="6210"/>
    <cellStyle name="Suma 3 2" xfId="1960"/>
    <cellStyle name="Suma 3 2 2" xfId="4314"/>
    <cellStyle name="Suma 3 2 3" xfId="6211"/>
    <cellStyle name="Suma 3 20" xfId="1961"/>
    <cellStyle name="Suma 3 20 2" xfId="4315"/>
    <cellStyle name="Suma 3 20 3" xfId="6212"/>
    <cellStyle name="Suma 3 21" xfId="1962"/>
    <cellStyle name="Suma 3 21 2" xfId="4316"/>
    <cellStyle name="Suma 3 21 3" xfId="6213"/>
    <cellStyle name="Suma 3 22" xfId="1963"/>
    <cellStyle name="Suma 3 22 2" xfId="4317"/>
    <cellStyle name="Suma 3 22 3" xfId="6214"/>
    <cellStyle name="Suma 3 23" xfId="1964"/>
    <cellStyle name="Suma 3 23 2" xfId="4318"/>
    <cellStyle name="Suma 3 23 3" xfId="6215"/>
    <cellStyle name="Suma 3 24" xfId="4303"/>
    <cellStyle name="Suma 3 25" xfId="6200"/>
    <cellStyle name="Suma 3 3" xfId="1965"/>
    <cellStyle name="Suma 3 3 2" xfId="4319"/>
    <cellStyle name="Suma 3 3 3" xfId="6216"/>
    <cellStyle name="Suma 3 4" xfId="1966"/>
    <cellStyle name="Suma 3 4 2" xfId="4320"/>
    <cellStyle name="Suma 3 4 3" xfId="6217"/>
    <cellStyle name="Suma 3 5" xfId="1967"/>
    <cellStyle name="Suma 3 5 2" xfId="4321"/>
    <cellStyle name="Suma 3 5 3" xfId="6218"/>
    <cellStyle name="Suma 3 6" xfId="1968"/>
    <cellStyle name="Suma 3 6 2" xfId="4322"/>
    <cellStyle name="Suma 3 6 3" xfId="6219"/>
    <cellStyle name="Suma 3 7" xfId="1969"/>
    <cellStyle name="Suma 3 7 2" xfId="4323"/>
    <cellStyle name="Suma 3 7 3" xfId="6220"/>
    <cellStyle name="Suma 3 8" xfId="1970"/>
    <cellStyle name="Suma 3 8 2" xfId="4324"/>
    <cellStyle name="Suma 3 8 3" xfId="6221"/>
    <cellStyle name="Suma 3 9" xfId="1971"/>
    <cellStyle name="Suma 3 9 2" xfId="4325"/>
    <cellStyle name="Suma 3 9 3" xfId="6222"/>
    <cellStyle name="Suma 4" xfId="1972"/>
    <cellStyle name="Suma 4 2" xfId="4326"/>
    <cellStyle name="Suma 4 3" xfId="6223"/>
    <cellStyle name="Suma 5" xfId="1973"/>
    <cellStyle name="Suma 5 2" xfId="4327"/>
    <cellStyle name="Suma 5 3" xfId="6224"/>
    <cellStyle name="Suma 6" xfId="1974"/>
    <cellStyle name="Suma 6 2" xfId="4328"/>
    <cellStyle name="Suma 6 3" xfId="6225"/>
    <cellStyle name="Suma 7" xfId="1975"/>
    <cellStyle name="Suma 7 2" xfId="4329"/>
    <cellStyle name="Suma 7 3" xfId="6226"/>
    <cellStyle name="Suma 8" xfId="1976"/>
    <cellStyle name="Suma 8 2" xfId="4330"/>
    <cellStyle name="Suma 8 3" xfId="6227"/>
    <cellStyle name="Suma 9" xfId="1977"/>
    <cellStyle name="Suma 9 2" xfId="4331"/>
    <cellStyle name="Suma 9 3" xfId="6228"/>
    <cellStyle name="Tekst objaśnienia" xfId="1978"/>
    <cellStyle name="Tekst ostrzeżenia" xfId="1979"/>
    <cellStyle name="Text" xfId="1980"/>
    <cellStyle name="Title" xfId="68" builtinId="15" customBuiltin="1"/>
    <cellStyle name="Title 2" xfId="1981"/>
    <cellStyle name="Title 3" xfId="4742"/>
    <cellStyle name="Total" xfId="69" builtinId="25" customBuiltin="1"/>
    <cellStyle name="Total 2" xfId="1982"/>
    <cellStyle name="Total 2 10" xfId="1983"/>
    <cellStyle name="Total 2 10 10" xfId="1984"/>
    <cellStyle name="Total 2 10 10 2" xfId="4334"/>
    <cellStyle name="Total 2 10 10 3" xfId="6231"/>
    <cellStyle name="Total 2 10 11" xfId="1985"/>
    <cellStyle name="Total 2 10 11 2" xfId="4335"/>
    <cellStyle name="Total 2 10 11 3" xfId="6232"/>
    <cellStyle name="Total 2 10 12" xfId="1986"/>
    <cellStyle name="Total 2 10 12 2" xfId="4336"/>
    <cellStyle name="Total 2 10 12 3" xfId="6233"/>
    <cellStyle name="Total 2 10 13" xfId="1987"/>
    <cellStyle name="Total 2 10 13 2" xfId="4337"/>
    <cellStyle name="Total 2 10 13 3" xfId="6234"/>
    <cellStyle name="Total 2 10 14" xfId="1988"/>
    <cellStyle name="Total 2 10 14 2" xfId="4338"/>
    <cellStyle name="Total 2 10 14 3" xfId="6235"/>
    <cellStyle name="Total 2 10 15" xfId="1989"/>
    <cellStyle name="Total 2 10 15 2" xfId="4339"/>
    <cellStyle name="Total 2 10 15 3" xfId="6236"/>
    <cellStyle name="Total 2 10 16" xfId="1990"/>
    <cellStyle name="Total 2 10 16 2" xfId="4340"/>
    <cellStyle name="Total 2 10 16 3" xfId="6237"/>
    <cellStyle name="Total 2 10 17" xfId="1991"/>
    <cellStyle name="Total 2 10 17 2" xfId="4341"/>
    <cellStyle name="Total 2 10 17 3" xfId="6238"/>
    <cellStyle name="Total 2 10 18" xfId="1992"/>
    <cellStyle name="Total 2 10 18 2" xfId="4342"/>
    <cellStyle name="Total 2 10 18 3" xfId="6239"/>
    <cellStyle name="Total 2 10 19" xfId="1993"/>
    <cellStyle name="Total 2 10 19 2" xfId="4343"/>
    <cellStyle name="Total 2 10 19 3" xfId="6240"/>
    <cellStyle name="Total 2 10 2" xfId="1994"/>
    <cellStyle name="Total 2 10 2 2" xfId="4344"/>
    <cellStyle name="Total 2 10 2 3" xfId="6241"/>
    <cellStyle name="Total 2 10 20" xfId="1995"/>
    <cellStyle name="Total 2 10 20 2" xfId="4345"/>
    <cellStyle name="Total 2 10 20 3" xfId="6242"/>
    <cellStyle name="Total 2 10 21" xfId="1996"/>
    <cellStyle name="Total 2 10 21 2" xfId="4346"/>
    <cellStyle name="Total 2 10 21 3" xfId="6243"/>
    <cellStyle name="Total 2 10 22" xfId="1997"/>
    <cellStyle name="Total 2 10 22 2" xfId="4347"/>
    <cellStyle name="Total 2 10 22 3" xfId="6244"/>
    <cellStyle name="Total 2 10 23" xfId="1998"/>
    <cellStyle name="Total 2 10 23 2" xfId="4348"/>
    <cellStyle name="Total 2 10 23 3" xfId="6245"/>
    <cellStyle name="Total 2 10 24" xfId="4333"/>
    <cellStyle name="Total 2 10 25" xfId="6230"/>
    <cellStyle name="Total 2 10 3" xfId="1999"/>
    <cellStyle name="Total 2 10 3 2" xfId="4349"/>
    <cellStyle name="Total 2 10 3 3" xfId="6246"/>
    <cellStyle name="Total 2 10 4" xfId="2000"/>
    <cellStyle name="Total 2 10 4 2" xfId="4350"/>
    <cellStyle name="Total 2 10 4 3" xfId="6247"/>
    <cellStyle name="Total 2 10 5" xfId="2001"/>
    <cellStyle name="Total 2 10 5 2" xfId="4351"/>
    <cellStyle name="Total 2 10 5 3" xfId="6248"/>
    <cellStyle name="Total 2 10 6" xfId="2002"/>
    <cellStyle name="Total 2 10 6 2" xfId="4352"/>
    <cellStyle name="Total 2 10 6 3" xfId="6249"/>
    <cellStyle name="Total 2 10 7" xfId="2003"/>
    <cellStyle name="Total 2 10 7 2" xfId="4353"/>
    <cellStyle name="Total 2 10 7 3" xfId="6250"/>
    <cellStyle name="Total 2 10 8" xfId="2004"/>
    <cellStyle name="Total 2 10 8 2" xfId="4354"/>
    <cellStyle name="Total 2 10 8 3" xfId="6251"/>
    <cellStyle name="Total 2 10 9" xfId="2005"/>
    <cellStyle name="Total 2 10 9 2" xfId="4355"/>
    <cellStyle name="Total 2 10 9 3" xfId="6252"/>
    <cellStyle name="Total 2 11" xfId="2006"/>
    <cellStyle name="Total 2 11 10" xfId="2007"/>
    <cellStyle name="Total 2 11 10 2" xfId="4357"/>
    <cellStyle name="Total 2 11 10 3" xfId="6254"/>
    <cellStyle name="Total 2 11 11" xfId="2008"/>
    <cellStyle name="Total 2 11 11 2" xfId="4358"/>
    <cellStyle name="Total 2 11 11 3" xfId="6255"/>
    <cellStyle name="Total 2 11 12" xfId="2009"/>
    <cellStyle name="Total 2 11 12 2" xfId="4359"/>
    <cellStyle name="Total 2 11 12 3" xfId="6256"/>
    <cellStyle name="Total 2 11 13" xfId="2010"/>
    <cellStyle name="Total 2 11 13 2" xfId="4360"/>
    <cellStyle name="Total 2 11 13 3" xfId="6257"/>
    <cellStyle name="Total 2 11 14" xfId="2011"/>
    <cellStyle name="Total 2 11 14 2" xfId="4361"/>
    <cellStyle name="Total 2 11 14 3" xfId="6258"/>
    <cellStyle name="Total 2 11 15" xfId="2012"/>
    <cellStyle name="Total 2 11 15 2" xfId="4362"/>
    <cellStyle name="Total 2 11 15 3" xfId="6259"/>
    <cellStyle name="Total 2 11 16" xfId="2013"/>
    <cellStyle name="Total 2 11 16 2" xfId="4363"/>
    <cellStyle name="Total 2 11 16 3" xfId="6260"/>
    <cellStyle name="Total 2 11 17" xfId="2014"/>
    <cellStyle name="Total 2 11 17 2" xfId="4364"/>
    <cellStyle name="Total 2 11 17 3" xfId="6261"/>
    <cellStyle name="Total 2 11 18" xfId="2015"/>
    <cellStyle name="Total 2 11 18 2" xfId="4365"/>
    <cellStyle name="Total 2 11 18 3" xfId="6262"/>
    <cellStyle name="Total 2 11 19" xfId="2016"/>
    <cellStyle name="Total 2 11 19 2" xfId="4366"/>
    <cellStyle name="Total 2 11 19 3" xfId="6263"/>
    <cellStyle name="Total 2 11 2" xfId="2017"/>
    <cellStyle name="Total 2 11 2 2" xfId="4367"/>
    <cellStyle name="Total 2 11 2 3" xfId="6264"/>
    <cellStyle name="Total 2 11 20" xfId="2018"/>
    <cellStyle name="Total 2 11 20 2" xfId="4368"/>
    <cellStyle name="Total 2 11 20 3" xfId="6265"/>
    <cellStyle name="Total 2 11 21" xfId="2019"/>
    <cellStyle name="Total 2 11 21 2" xfId="4369"/>
    <cellStyle name="Total 2 11 21 3" xfId="6266"/>
    <cellStyle name="Total 2 11 22" xfId="2020"/>
    <cellStyle name="Total 2 11 22 2" xfId="4370"/>
    <cellStyle name="Total 2 11 22 3" xfId="6267"/>
    <cellStyle name="Total 2 11 23" xfId="2021"/>
    <cellStyle name="Total 2 11 23 2" xfId="4371"/>
    <cellStyle name="Total 2 11 23 3" xfId="6268"/>
    <cellStyle name="Total 2 11 24" xfId="4356"/>
    <cellStyle name="Total 2 11 25" xfId="6253"/>
    <cellStyle name="Total 2 11 3" xfId="2022"/>
    <cellStyle name="Total 2 11 3 2" xfId="4372"/>
    <cellStyle name="Total 2 11 3 3" xfId="6269"/>
    <cellStyle name="Total 2 11 4" xfId="2023"/>
    <cellStyle name="Total 2 11 4 2" xfId="4373"/>
    <cellStyle name="Total 2 11 4 3" xfId="6270"/>
    <cellStyle name="Total 2 11 5" xfId="2024"/>
    <cellStyle name="Total 2 11 5 2" xfId="4374"/>
    <cellStyle name="Total 2 11 5 3" xfId="6271"/>
    <cellStyle name="Total 2 11 6" xfId="2025"/>
    <cellStyle name="Total 2 11 6 2" xfId="4375"/>
    <cellStyle name="Total 2 11 6 3" xfId="6272"/>
    <cellStyle name="Total 2 11 7" xfId="2026"/>
    <cellStyle name="Total 2 11 7 2" xfId="4376"/>
    <cellStyle name="Total 2 11 7 3" xfId="6273"/>
    <cellStyle name="Total 2 11 8" xfId="2027"/>
    <cellStyle name="Total 2 11 8 2" xfId="4377"/>
    <cellStyle name="Total 2 11 8 3" xfId="6274"/>
    <cellStyle name="Total 2 11 9" xfId="2028"/>
    <cellStyle name="Total 2 11 9 2" xfId="4378"/>
    <cellStyle name="Total 2 11 9 3" xfId="6275"/>
    <cellStyle name="Total 2 12" xfId="2029"/>
    <cellStyle name="Total 2 12 10" xfId="2030"/>
    <cellStyle name="Total 2 12 10 2" xfId="4380"/>
    <cellStyle name="Total 2 12 10 3" xfId="6277"/>
    <cellStyle name="Total 2 12 11" xfId="2031"/>
    <cellStyle name="Total 2 12 11 2" xfId="4381"/>
    <cellStyle name="Total 2 12 11 3" xfId="6278"/>
    <cellStyle name="Total 2 12 12" xfId="2032"/>
    <cellStyle name="Total 2 12 12 2" xfId="4382"/>
    <cellStyle name="Total 2 12 12 3" xfId="6279"/>
    <cellStyle name="Total 2 12 13" xfId="2033"/>
    <cellStyle name="Total 2 12 13 2" xfId="4383"/>
    <cellStyle name="Total 2 12 13 3" xfId="6280"/>
    <cellStyle name="Total 2 12 14" xfId="2034"/>
    <cellStyle name="Total 2 12 14 2" xfId="4384"/>
    <cellStyle name="Total 2 12 14 3" xfId="6281"/>
    <cellStyle name="Total 2 12 15" xfId="2035"/>
    <cellStyle name="Total 2 12 15 2" xfId="4385"/>
    <cellStyle name="Total 2 12 15 3" xfId="6282"/>
    <cellStyle name="Total 2 12 16" xfId="2036"/>
    <cellStyle name="Total 2 12 16 2" xfId="4386"/>
    <cellStyle name="Total 2 12 16 3" xfId="6283"/>
    <cellStyle name="Total 2 12 17" xfId="2037"/>
    <cellStyle name="Total 2 12 17 2" xfId="4387"/>
    <cellStyle name="Total 2 12 17 3" xfId="6284"/>
    <cellStyle name="Total 2 12 18" xfId="2038"/>
    <cellStyle name="Total 2 12 18 2" xfId="4388"/>
    <cellStyle name="Total 2 12 18 3" xfId="6285"/>
    <cellStyle name="Total 2 12 19" xfId="2039"/>
    <cellStyle name="Total 2 12 19 2" xfId="4389"/>
    <cellStyle name="Total 2 12 19 3" xfId="6286"/>
    <cellStyle name="Total 2 12 2" xfId="2040"/>
    <cellStyle name="Total 2 12 2 2" xfId="4390"/>
    <cellStyle name="Total 2 12 2 3" xfId="6287"/>
    <cellStyle name="Total 2 12 20" xfId="2041"/>
    <cellStyle name="Total 2 12 20 2" xfId="4391"/>
    <cellStyle name="Total 2 12 20 3" xfId="6288"/>
    <cellStyle name="Total 2 12 21" xfId="2042"/>
    <cellStyle name="Total 2 12 21 2" xfId="4392"/>
    <cellStyle name="Total 2 12 21 3" xfId="6289"/>
    <cellStyle name="Total 2 12 22" xfId="2043"/>
    <cellStyle name="Total 2 12 22 2" xfId="4393"/>
    <cellStyle name="Total 2 12 22 3" xfId="6290"/>
    <cellStyle name="Total 2 12 23" xfId="2044"/>
    <cellStyle name="Total 2 12 23 2" xfId="4394"/>
    <cellStyle name="Total 2 12 23 3" xfId="6291"/>
    <cellStyle name="Total 2 12 24" xfId="4379"/>
    <cellStyle name="Total 2 12 25" xfId="6276"/>
    <cellStyle name="Total 2 12 3" xfId="2045"/>
    <cellStyle name="Total 2 12 3 2" xfId="4395"/>
    <cellStyle name="Total 2 12 3 3" xfId="6292"/>
    <cellStyle name="Total 2 12 4" xfId="2046"/>
    <cellStyle name="Total 2 12 4 2" xfId="4396"/>
    <cellStyle name="Total 2 12 4 3" xfId="6293"/>
    <cellStyle name="Total 2 12 5" xfId="2047"/>
    <cellStyle name="Total 2 12 5 2" xfId="4397"/>
    <cellStyle name="Total 2 12 5 3" xfId="6294"/>
    <cellStyle name="Total 2 12 6" xfId="2048"/>
    <cellStyle name="Total 2 12 6 2" xfId="4398"/>
    <cellStyle name="Total 2 12 6 3" xfId="6295"/>
    <cellStyle name="Total 2 12 7" xfId="2049"/>
    <cellStyle name="Total 2 12 7 2" xfId="4399"/>
    <cellStyle name="Total 2 12 7 3" xfId="6296"/>
    <cellStyle name="Total 2 12 8" xfId="2050"/>
    <cellStyle name="Total 2 12 8 2" xfId="4400"/>
    <cellStyle name="Total 2 12 8 3" xfId="6297"/>
    <cellStyle name="Total 2 12 9" xfId="2051"/>
    <cellStyle name="Total 2 12 9 2" xfId="4401"/>
    <cellStyle name="Total 2 12 9 3" xfId="6298"/>
    <cellStyle name="Total 2 13" xfId="2052"/>
    <cellStyle name="Total 2 13 10" xfId="2053"/>
    <cellStyle name="Total 2 13 10 2" xfId="4403"/>
    <cellStyle name="Total 2 13 10 3" xfId="6300"/>
    <cellStyle name="Total 2 13 11" xfId="2054"/>
    <cellStyle name="Total 2 13 11 2" xfId="4404"/>
    <cellStyle name="Total 2 13 11 3" xfId="6301"/>
    <cellStyle name="Total 2 13 12" xfId="2055"/>
    <cellStyle name="Total 2 13 12 2" xfId="4405"/>
    <cellStyle name="Total 2 13 12 3" xfId="6302"/>
    <cellStyle name="Total 2 13 13" xfId="2056"/>
    <cellStyle name="Total 2 13 13 2" xfId="4406"/>
    <cellStyle name="Total 2 13 13 3" xfId="6303"/>
    <cellStyle name="Total 2 13 14" xfId="2057"/>
    <cellStyle name="Total 2 13 14 2" xfId="4407"/>
    <cellStyle name="Total 2 13 14 3" xfId="6304"/>
    <cellStyle name="Total 2 13 15" xfId="2058"/>
    <cellStyle name="Total 2 13 15 2" xfId="4408"/>
    <cellStyle name="Total 2 13 15 3" xfId="6305"/>
    <cellStyle name="Total 2 13 16" xfId="2059"/>
    <cellStyle name="Total 2 13 16 2" xfId="4409"/>
    <cellStyle name="Total 2 13 16 3" xfId="6306"/>
    <cellStyle name="Total 2 13 17" xfId="2060"/>
    <cellStyle name="Total 2 13 17 2" xfId="4410"/>
    <cellStyle name="Total 2 13 17 3" xfId="6307"/>
    <cellStyle name="Total 2 13 18" xfId="2061"/>
    <cellStyle name="Total 2 13 18 2" xfId="4411"/>
    <cellStyle name="Total 2 13 18 3" xfId="6308"/>
    <cellStyle name="Total 2 13 19" xfId="2062"/>
    <cellStyle name="Total 2 13 19 2" xfId="4412"/>
    <cellStyle name="Total 2 13 19 3" xfId="6309"/>
    <cellStyle name="Total 2 13 2" xfId="2063"/>
    <cellStyle name="Total 2 13 2 2" xfId="4413"/>
    <cellStyle name="Total 2 13 2 3" xfId="6310"/>
    <cellStyle name="Total 2 13 20" xfId="2064"/>
    <cellStyle name="Total 2 13 20 2" xfId="4414"/>
    <cellStyle name="Total 2 13 20 3" xfId="6311"/>
    <cellStyle name="Total 2 13 21" xfId="2065"/>
    <cellStyle name="Total 2 13 21 2" xfId="4415"/>
    <cellStyle name="Total 2 13 21 3" xfId="6312"/>
    <cellStyle name="Total 2 13 22" xfId="2066"/>
    <cellStyle name="Total 2 13 22 2" xfId="4416"/>
    <cellStyle name="Total 2 13 22 3" xfId="6313"/>
    <cellStyle name="Total 2 13 23" xfId="2067"/>
    <cellStyle name="Total 2 13 23 2" xfId="4417"/>
    <cellStyle name="Total 2 13 23 3" xfId="6314"/>
    <cellStyle name="Total 2 13 24" xfId="4402"/>
    <cellStyle name="Total 2 13 25" xfId="6299"/>
    <cellStyle name="Total 2 13 3" xfId="2068"/>
    <cellStyle name="Total 2 13 3 2" xfId="4418"/>
    <cellStyle name="Total 2 13 3 3" xfId="6315"/>
    <cellStyle name="Total 2 13 4" xfId="2069"/>
    <cellStyle name="Total 2 13 4 2" xfId="4419"/>
    <cellStyle name="Total 2 13 4 3" xfId="6316"/>
    <cellStyle name="Total 2 13 5" xfId="2070"/>
    <cellStyle name="Total 2 13 5 2" xfId="4420"/>
    <cellStyle name="Total 2 13 5 3" xfId="6317"/>
    <cellStyle name="Total 2 13 6" xfId="2071"/>
    <cellStyle name="Total 2 13 6 2" xfId="4421"/>
    <cellStyle name="Total 2 13 6 3" xfId="6318"/>
    <cellStyle name="Total 2 13 7" xfId="2072"/>
    <cellStyle name="Total 2 13 7 2" xfId="4422"/>
    <cellStyle name="Total 2 13 7 3" xfId="6319"/>
    <cellStyle name="Total 2 13 8" xfId="2073"/>
    <cellStyle name="Total 2 13 8 2" xfId="4423"/>
    <cellStyle name="Total 2 13 8 3" xfId="6320"/>
    <cellStyle name="Total 2 13 9" xfId="2074"/>
    <cellStyle name="Total 2 13 9 2" xfId="4424"/>
    <cellStyle name="Total 2 13 9 3" xfId="6321"/>
    <cellStyle name="Total 2 14" xfId="2075"/>
    <cellStyle name="Total 2 14 10" xfId="2076"/>
    <cellStyle name="Total 2 14 10 2" xfId="4426"/>
    <cellStyle name="Total 2 14 10 3" xfId="6323"/>
    <cellStyle name="Total 2 14 11" xfId="2077"/>
    <cellStyle name="Total 2 14 11 2" xfId="4427"/>
    <cellStyle name="Total 2 14 11 3" xfId="6324"/>
    <cellStyle name="Total 2 14 12" xfId="2078"/>
    <cellStyle name="Total 2 14 12 2" xfId="4428"/>
    <cellStyle name="Total 2 14 12 3" xfId="6325"/>
    <cellStyle name="Total 2 14 13" xfId="2079"/>
    <cellStyle name="Total 2 14 13 2" xfId="4429"/>
    <cellStyle name="Total 2 14 13 3" xfId="6326"/>
    <cellStyle name="Total 2 14 14" xfId="2080"/>
    <cellStyle name="Total 2 14 14 2" xfId="4430"/>
    <cellStyle name="Total 2 14 14 3" xfId="6327"/>
    <cellStyle name="Total 2 14 15" xfId="2081"/>
    <cellStyle name="Total 2 14 15 2" xfId="4431"/>
    <cellStyle name="Total 2 14 15 3" xfId="6328"/>
    <cellStyle name="Total 2 14 16" xfId="2082"/>
    <cellStyle name="Total 2 14 16 2" xfId="4432"/>
    <cellStyle name="Total 2 14 16 3" xfId="6329"/>
    <cellStyle name="Total 2 14 17" xfId="2083"/>
    <cellStyle name="Total 2 14 17 2" xfId="4433"/>
    <cellStyle name="Total 2 14 17 3" xfId="6330"/>
    <cellStyle name="Total 2 14 18" xfId="2084"/>
    <cellStyle name="Total 2 14 18 2" xfId="4434"/>
    <cellStyle name="Total 2 14 18 3" xfId="6331"/>
    <cellStyle name="Total 2 14 19" xfId="2085"/>
    <cellStyle name="Total 2 14 19 2" xfId="4435"/>
    <cellStyle name="Total 2 14 19 3" xfId="6332"/>
    <cellStyle name="Total 2 14 2" xfId="2086"/>
    <cellStyle name="Total 2 14 2 2" xfId="4436"/>
    <cellStyle name="Total 2 14 2 3" xfId="6333"/>
    <cellStyle name="Total 2 14 20" xfId="2087"/>
    <cellStyle name="Total 2 14 20 2" xfId="4437"/>
    <cellStyle name="Total 2 14 20 3" xfId="6334"/>
    <cellStyle name="Total 2 14 21" xfId="2088"/>
    <cellStyle name="Total 2 14 21 2" xfId="4438"/>
    <cellStyle name="Total 2 14 21 3" xfId="6335"/>
    <cellStyle name="Total 2 14 22" xfId="2089"/>
    <cellStyle name="Total 2 14 22 2" xfId="4439"/>
    <cellStyle name="Total 2 14 22 3" xfId="6336"/>
    <cellStyle name="Total 2 14 23" xfId="2090"/>
    <cellStyle name="Total 2 14 23 2" xfId="4440"/>
    <cellStyle name="Total 2 14 23 3" xfId="6337"/>
    <cellStyle name="Total 2 14 24" xfId="4425"/>
    <cellStyle name="Total 2 14 25" xfId="6322"/>
    <cellStyle name="Total 2 14 3" xfId="2091"/>
    <cellStyle name="Total 2 14 3 2" xfId="4441"/>
    <cellStyle name="Total 2 14 3 3" xfId="6338"/>
    <cellStyle name="Total 2 14 4" xfId="2092"/>
    <cellStyle name="Total 2 14 4 2" xfId="4442"/>
    <cellStyle name="Total 2 14 4 3" xfId="6339"/>
    <cellStyle name="Total 2 14 5" xfId="2093"/>
    <cellStyle name="Total 2 14 5 2" xfId="4443"/>
    <cellStyle name="Total 2 14 5 3" xfId="6340"/>
    <cellStyle name="Total 2 14 6" xfId="2094"/>
    <cellStyle name="Total 2 14 6 2" xfId="4444"/>
    <cellStyle name="Total 2 14 6 3" xfId="6341"/>
    <cellStyle name="Total 2 14 7" xfId="2095"/>
    <cellStyle name="Total 2 14 7 2" xfId="4445"/>
    <cellStyle name="Total 2 14 7 3" xfId="6342"/>
    <cellStyle name="Total 2 14 8" xfId="2096"/>
    <cellStyle name="Total 2 14 8 2" xfId="4446"/>
    <cellStyle name="Total 2 14 8 3" xfId="6343"/>
    <cellStyle name="Total 2 14 9" xfId="2097"/>
    <cellStyle name="Total 2 14 9 2" xfId="4447"/>
    <cellStyle name="Total 2 14 9 3" xfId="6344"/>
    <cellStyle name="Total 2 15" xfId="2098"/>
    <cellStyle name="Total 2 15 2" xfId="4448"/>
    <cellStyle name="Total 2 15 3" xfId="6345"/>
    <cellStyle name="Total 2 16" xfId="2099"/>
    <cellStyle name="Total 2 16 2" xfId="4449"/>
    <cellStyle name="Total 2 16 3" xfId="6346"/>
    <cellStyle name="Total 2 17" xfId="2100"/>
    <cellStyle name="Total 2 17 2" xfId="4450"/>
    <cellStyle name="Total 2 17 3" xfId="6347"/>
    <cellStyle name="Total 2 18" xfId="2101"/>
    <cellStyle name="Total 2 18 2" xfId="4451"/>
    <cellStyle name="Total 2 18 3" xfId="6348"/>
    <cellStyle name="Total 2 19" xfId="2102"/>
    <cellStyle name="Total 2 19 2" xfId="4452"/>
    <cellStyle name="Total 2 19 3" xfId="6349"/>
    <cellStyle name="Total 2 2" xfId="2103"/>
    <cellStyle name="Total 2 2 10" xfId="2104"/>
    <cellStyle name="Total 2 2 10 2" xfId="4454"/>
    <cellStyle name="Total 2 2 10 3" xfId="6351"/>
    <cellStyle name="Total 2 2 11" xfId="2105"/>
    <cellStyle name="Total 2 2 11 2" xfId="4455"/>
    <cellStyle name="Total 2 2 11 3" xfId="6352"/>
    <cellStyle name="Total 2 2 12" xfId="2106"/>
    <cellStyle name="Total 2 2 12 2" xfId="4456"/>
    <cellStyle name="Total 2 2 12 3" xfId="6353"/>
    <cellStyle name="Total 2 2 13" xfId="2107"/>
    <cellStyle name="Total 2 2 13 2" xfId="4457"/>
    <cellStyle name="Total 2 2 13 3" xfId="6354"/>
    <cellStyle name="Total 2 2 14" xfId="2108"/>
    <cellStyle name="Total 2 2 14 2" xfId="4458"/>
    <cellStyle name="Total 2 2 14 3" xfId="6355"/>
    <cellStyle name="Total 2 2 15" xfId="2109"/>
    <cellStyle name="Total 2 2 15 2" xfId="4459"/>
    <cellStyle name="Total 2 2 15 3" xfId="6356"/>
    <cellStyle name="Total 2 2 16" xfId="2110"/>
    <cellStyle name="Total 2 2 16 2" xfId="4460"/>
    <cellStyle name="Total 2 2 16 3" xfId="6357"/>
    <cellStyle name="Total 2 2 17" xfId="2111"/>
    <cellStyle name="Total 2 2 17 2" xfId="4461"/>
    <cellStyle name="Total 2 2 17 3" xfId="6358"/>
    <cellStyle name="Total 2 2 18" xfId="2112"/>
    <cellStyle name="Total 2 2 18 2" xfId="4462"/>
    <cellStyle name="Total 2 2 18 3" xfId="6359"/>
    <cellStyle name="Total 2 2 19" xfId="2113"/>
    <cellStyle name="Total 2 2 19 2" xfId="4463"/>
    <cellStyle name="Total 2 2 19 3" xfId="6360"/>
    <cellStyle name="Total 2 2 2" xfId="2114"/>
    <cellStyle name="Total 2 2 2 2" xfId="4464"/>
    <cellStyle name="Total 2 2 2 3" xfId="6361"/>
    <cellStyle name="Total 2 2 20" xfId="2115"/>
    <cellStyle name="Total 2 2 20 2" xfId="4465"/>
    <cellStyle name="Total 2 2 20 3" xfId="6362"/>
    <cellStyle name="Total 2 2 21" xfId="2116"/>
    <cellStyle name="Total 2 2 21 2" xfId="4466"/>
    <cellStyle name="Total 2 2 21 3" xfId="6363"/>
    <cellStyle name="Total 2 2 22" xfId="2117"/>
    <cellStyle name="Total 2 2 22 2" xfId="4467"/>
    <cellStyle name="Total 2 2 22 3" xfId="6364"/>
    <cellStyle name="Total 2 2 23" xfId="2118"/>
    <cellStyle name="Total 2 2 23 2" xfId="4468"/>
    <cellStyle name="Total 2 2 23 3" xfId="6365"/>
    <cellStyle name="Total 2 2 24" xfId="4453"/>
    <cellStyle name="Total 2 2 25" xfId="6350"/>
    <cellStyle name="Total 2 2 3" xfId="2119"/>
    <cellStyle name="Total 2 2 3 2" xfId="4469"/>
    <cellStyle name="Total 2 2 3 3" xfId="6366"/>
    <cellStyle name="Total 2 2 4" xfId="2120"/>
    <cellStyle name="Total 2 2 4 2" xfId="4470"/>
    <cellStyle name="Total 2 2 4 3" xfId="6367"/>
    <cellStyle name="Total 2 2 5" xfId="2121"/>
    <cellStyle name="Total 2 2 5 2" xfId="4471"/>
    <cellStyle name="Total 2 2 5 3" xfId="6368"/>
    <cellStyle name="Total 2 2 6" xfId="2122"/>
    <cellStyle name="Total 2 2 6 2" xfId="4472"/>
    <cellStyle name="Total 2 2 6 3" xfId="6369"/>
    <cellStyle name="Total 2 2 7" xfId="2123"/>
    <cellStyle name="Total 2 2 7 2" xfId="4473"/>
    <cellStyle name="Total 2 2 7 3" xfId="6370"/>
    <cellStyle name="Total 2 2 8" xfId="2124"/>
    <cellStyle name="Total 2 2 8 2" xfId="4474"/>
    <cellStyle name="Total 2 2 8 3" xfId="6371"/>
    <cellStyle name="Total 2 2 9" xfId="2125"/>
    <cellStyle name="Total 2 2 9 2" xfId="4475"/>
    <cellStyle name="Total 2 2 9 3" xfId="6372"/>
    <cellStyle name="Total 2 20" xfId="2126"/>
    <cellStyle name="Total 2 20 2" xfId="4476"/>
    <cellStyle name="Total 2 20 3" xfId="6373"/>
    <cellStyle name="Total 2 21" xfId="2127"/>
    <cellStyle name="Total 2 21 2" xfId="4477"/>
    <cellStyle name="Total 2 21 3" xfId="6374"/>
    <cellStyle name="Total 2 22" xfId="2128"/>
    <cellStyle name="Total 2 22 2" xfId="4478"/>
    <cellStyle name="Total 2 22 3" xfId="6375"/>
    <cellStyle name="Total 2 23" xfId="2129"/>
    <cellStyle name="Total 2 23 2" xfId="4479"/>
    <cellStyle name="Total 2 23 3" xfId="6376"/>
    <cellStyle name="Total 2 24" xfId="2130"/>
    <cellStyle name="Total 2 24 2" xfId="4480"/>
    <cellStyle name="Total 2 24 3" xfId="6377"/>
    <cellStyle name="Total 2 25" xfId="2131"/>
    <cellStyle name="Total 2 25 2" xfId="4481"/>
    <cellStyle name="Total 2 25 3" xfId="6378"/>
    <cellStyle name="Total 2 26" xfId="2132"/>
    <cellStyle name="Total 2 26 2" xfId="4482"/>
    <cellStyle name="Total 2 26 3" xfId="6379"/>
    <cellStyle name="Total 2 27" xfId="2133"/>
    <cellStyle name="Total 2 27 2" xfId="4483"/>
    <cellStyle name="Total 2 27 3" xfId="6380"/>
    <cellStyle name="Total 2 28" xfId="2134"/>
    <cellStyle name="Total 2 28 2" xfId="4484"/>
    <cellStyle name="Total 2 28 3" xfId="6381"/>
    <cellStyle name="Total 2 29" xfId="2135"/>
    <cellStyle name="Total 2 29 2" xfId="4485"/>
    <cellStyle name="Total 2 29 3" xfId="6382"/>
    <cellStyle name="Total 2 3" xfId="2136"/>
    <cellStyle name="Total 2 3 10" xfId="2137"/>
    <cellStyle name="Total 2 3 10 2" xfId="4487"/>
    <cellStyle name="Total 2 3 10 3" xfId="6384"/>
    <cellStyle name="Total 2 3 11" xfId="2138"/>
    <cellStyle name="Total 2 3 11 2" xfId="4488"/>
    <cellStyle name="Total 2 3 11 3" xfId="6385"/>
    <cellStyle name="Total 2 3 12" xfId="2139"/>
    <cellStyle name="Total 2 3 12 2" xfId="4489"/>
    <cellStyle name="Total 2 3 12 3" xfId="6386"/>
    <cellStyle name="Total 2 3 13" xfId="2140"/>
    <cellStyle name="Total 2 3 13 2" xfId="4490"/>
    <cellStyle name="Total 2 3 13 3" xfId="6387"/>
    <cellStyle name="Total 2 3 14" xfId="2141"/>
    <cellStyle name="Total 2 3 14 2" xfId="4491"/>
    <cellStyle name="Total 2 3 14 3" xfId="6388"/>
    <cellStyle name="Total 2 3 15" xfId="2142"/>
    <cellStyle name="Total 2 3 15 2" xfId="4492"/>
    <cellStyle name="Total 2 3 15 3" xfId="6389"/>
    <cellStyle name="Total 2 3 16" xfId="2143"/>
    <cellStyle name="Total 2 3 16 2" xfId="4493"/>
    <cellStyle name="Total 2 3 16 3" xfId="6390"/>
    <cellStyle name="Total 2 3 17" xfId="2144"/>
    <cellStyle name="Total 2 3 17 2" xfId="4494"/>
    <cellStyle name="Total 2 3 17 3" xfId="6391"/>
    <cellStyle name="Total 2 3 18" xfId="2145"/>
    <cellStyle name="Total 2 3 18 2" xfId="4495"/>
    <cellStyle name="Total 2 3 18 3" xfId="6392"/>
    <cellStyle name="Total 2 3 19" xfId="2146"/>
    <cellStyle name="Total 2 3 19 2" xfId="4496"/>
    <cellStyle name="Total 2 3 19 3" xfId="6393"/>
    <cellStyle name="Total 2 3 2" xfId="2147"/>
    <cellStyle name="Total 2 3 2 2" xfId="4497"/>
    <cellStyle name="Total 2 3 2 3" xfId="6394"/>
    <cellStyle name="Total 2 3 20" xfId="2148"/>
    <cellStyle name="Total 2 3 20 2" xfId="4498"/>
    <cellStyle name="Total 2 3 20 3" xfId="6395"/>
    <cellStyle name="Total 2 3 21" xfId="2149"/>
    <cellStyle name="Total 2 3 21 2" xfId="4499"/>
    <cellStyle name="Total 2 3 21 3" xfId="6396"/>
    <cellStyle name="Total 2 3 22" xfId="2150"/>
    <cellStyle name="Total 2 3 22 2" xfId="4500"/>
    <cellStyle name="Total 2 3 22 3" xfId="6397"/>
    <cellStyle name="Total 2 3 23" xfId="2151"/>
    <cellStyle name="Total 2 3 23 2" xfId="4501"/>
    <cellStyle name="Total 2 3 23 3" xfId="6398"/>
    <cellStyle name="Total 2 3 24" xfId="4486"/>
    <cellStyle name="Total 2 3 25" xfId="6383"/>
    <cellStyle name="Total 2 3 3" xfId="2152"/>
    <cellStyle name="Total 2 3 3 2" xfId="4502"/>
    <cellStyle name="Total 2 3 3 3" xfId="6399"/>
    <cellStyle name="Total 2 3 4" xfId="2153"/>
    <cellStyle name="Total 2 3 4 2" xfId="4503"/>
    <cellStyle name="Total 2 3 4 3" xfId="6400"/>
    <cellStyle name="Total 2 3 5" xfId="2154"/>
    <cellStyle name="Total 2 3 5 2" xfId="4504"/>
    <cellStyle name="Total 2 3 5 3" xfId="6401"/>
    <cellStyle name="Total 2 3 6" xfId="2155"/>
    <cellStyle name="Total 2 3 6 2" xfId="4505"/>
    <cellStyle name="Total 2 3 6 3" xfId="6402"/>
    <cellStyle name="Total 2 3 7" xfId="2156"/>
    <cellStyle name="Total 2 3 7 2" xfId="4506"/>
    <cellStyle name="Total 2 3 7 3" xfId="6403"/>
    <cellStyle name="Total 2 3 8" xfId="2157"/>
    <cellStyle name="Total 2 3 8 2" xfId="4507"/>
    <cellStyle name="Total 2 3 8 3" xfId="6404"/>
    <cellStyle name="Total 2 3 9" xfId="2158"/>
    <cellStyle name="Total 2 3 9 2" xfId="4508"/>
    <cellStyle name="Total 2 3 9 3" xfId="6405"/>
    <cellStyle name="Total 2 30" xfId="2159"/>
    <cellStyle name="Total 2 30 2" xfId="4509"/>
    <cellStyle name="Total 2 30 3" xfId="6406"/>
    <cellStyle name="Total 2 31" xfId="2160"/>
    <cellStyle name="Total 2 31 2" xfId="4510"/>
    <cellStyle name="Total 2 31 3" xfId="6407"/>
    <cellStyle name="Total 2 32" xfId="2161"/>
    <cellStyle name="Total 2 32 2" xfId="4511"/>
    <cellStyle name="Total 2 32 3" xfId="6408"/>
    <cellStyle name="Total 2 33" xfId="2162"/>
    <cellStyle name="Total 2 33 2" xfId="4512"/>
    <cellStyle name="Total 2 33 3" xfId="6409"/>
    <cellStyle name="Total 2 34" xfId="2163"/>
    <cellStyle name="Total 2 34 2" xfId="4513"/>
    <cellStyle name="Total 2 34 3" xfId="6410"/>
    <cellStyle name="Total 2 35" xfId="2164"/>
    <cellStyle name="Total 2 35 2" xfId="4514"/>
    <cellStyle name="Total 2 35 3" xfId="6411"/>
    <cellStyle name="Total 2 36" xfId="2165"/>
    <cellStyle name="Total 2 36 2" xfId="4515"/>
    <cellStyle name="Total 2 36 3" xfId="6412"/>
    <cellStyle name="Total 2 37" xfId="4332"/>
    <cellStyle name="Total 2 38" xfId="6229"/>
    <cellStyle name="Total 2 4" xfId="2166"/>
    <cellStyle name="Total 2 4 10" xfId="2167"/>
    <cellStyle name="Total 2 4 10 2" xfId="4517"/>
    <cellStyle name="Total 2 4 10 3" xfId="6414"/>
    <cellStyle name="Total 2 4 11" xfId="2168"/>
    <cellStyle name="Total 2 4 11 2" xfId="4518"/>
    <cellStyle name="Total 2 4 11 3" xfId="6415"/>
    <cellStyle name="Total 2 4 12" xfId="2169"/>
    <cellStyle name="Total 2 4 12 2" xfId="4519"/>
    <cellStyle name="Total 2 4 12 3" xfId="6416"/>
    <cellStyle name="Total 2 4 13" xfId="2170"/>
    <cellStyle name="Total 2 4 13 2" xfId="4520"/>
    <cellStyle name="Total 2 4 13 3" xfId="6417"/>
    <cellStyle name="Total 2 4 14" xfId="2171"/>
    <cellStyle name="Total 2 4 14 2" xfId="4521"/>
    <cellStyle name="Total 2 4 14 3" xfId="6418"/>
    <cellStyle name="Total 2 4 15" xfId="2172"/>
    <cellStyle name="Total 2 4 15 2" xfId="4522"/>
    <cellStyle name="Total 2 4 15 3" xfId="6419"/>
    <cellStyle name="Total 2 4 16" xfId="2173"/>
    <cellStyle name="Total 2 4 16 2" xfId="4523"/>
    <cellStyle name="Total 2 4 16 3" xfId="6420"/>
    <cellStyle name="Total 2 4 17" xfId="2174"/>
    <cellStyle name="Total 2 4 17 2" xfId="4524"/>
    <cellStyle name="Total 2 4 17 3" xfId="6421"/>
    <cellStyle name="Total 2 4 18" xfId="2175"/>
    <cellStyle name="Total 2 4 18 2" xfId="4525"/>
    <cellStyle name="Total 2 4 18 3" xfId="6422"/>
    <cellStyle name="Total 2 4 19" xfId="2176"/>
    <cellStyle name="Total 2 4 19 2" xfId="4526"/>
    <cellStyle name="Total 2 4 19 3" xfId="6423"/>
    <cellStyle name="Total 2 4 2" xfId="2177"/>
    <cellStyle name="Total 2 4 2 2" xfId="4527"/>
    <cellStyle name="Total 2 4 2 3" xfId="6424"/>
    <cellStyle name="Total 2 4 20" xfId="2178"/>
    <cellStyle name="Total 2 4 20 2" xfId="4528"/>
    <cellStyle name="Total 2 4 20 3" xfId="6425"/>
    <cellStyle name="Total 2 4 21" xfId="2179"/>
    <cellStyle name="Total 2 4 21 2" xfId="4529"/>
    <cellStyle name="Total 2 4 21 3" xfId="6426"/>
    <cellStyle name="Total 2 4 22" xfId="2180"/>
    <cellStyle name="Total 2 4 22 2" xfId="4530"/>
    <cellStyle name="Total 2 4 22 3" xfId="6427"/>
    <cellStyle name="Total 2 4 23" xfId="2181"/>
    <cellStyle name="Total 2 4 23 2" xfId="4531"/>
    <cellStyle name="Total 2 4 23 3" xfId="6428"/>
    <cellStyle name="Total 2 4 24" xfId="4516"/>
    <cellStyle name="Total 2 4 25" xfId="6413"/>
    <cellStyle name="Total 2 4 3" xfId="2182"/>
    <cellStyle name="Total 2 4 3 2" xfId="4532"/>
    <cellStyle name="Total 2 4 3 3" xfId="6429"/>
    <cellStyle name="Total 2 4 4" xfId="2183"/>
    <cellStyle name="Total 2 4 4 2" xfId="4533"/>
    <cellStyle name="Total 2 4 4 3" xfId="6430"/>
    <cellStyle name="Total 2 4 5" xfId="2184"/>
    <cellStyle name="Total 2 4 5 2" xfId="4534"/>
    <cellStyle name="Total 2 4 5 3" xfId="6431"/>
    <cellStyle name="Total 2 4 6" xfId="2185"/>
    <cellStyle name="Total 2 4 6 2" xfId="4535"/>
    <cellStyle name="Total 2 4 6 3" xfId="6432"/>
    <cellStyle name="Total 2 4 7" xfId="2186"/>
    <cellStyle name="Total 2 4 7 2" xfId="4536"/>
    <cellStyle name="Total 2 4 7 3" xfId="6433"/>
    <cellStyle name="Total 2 4 8" xfId="2187"/>
    <cellStyle name="Total 2 4 8 2" xfId="4537"/>
    <cellStyle name="Total 2 4 8 3" xfId="6434"/>
    <cellStyle name="Total 2 4 9" xfId="2188"/>
    <cellStyle name="Total 2 4 9 2" xfId="4538"/>
    <cellStyle name="Total 2 4 9 3" xfId="6435"/>
    <cellStyle name="Total 2 5" xfId="2189"/>
    <cellStyle name="Total 2 5 10" xfId="2190"/>
    <cellStyle name="Total 2 5 10 2" xfId="4540"/>
    <cellStyle name="Total 2 5 10 3" xfId="6437"/>
    <cellStyle name="Total 2 5 11" xfId="2191"/>
    <cellStyle name="Total 2 5 11 2" xfId="4541"/>
    <cellStyle name="Total 2 5 11 3" xfId="6438"/>
    <cellStyle name="Total 2 5 12" xfId="2192"/>
    <cellStyle name="Total 2 5 12 2" xfId="4542"/>
    <cellStyle name="Total 2 5 12 3" xfId="6439"/>
    <cellStyle name="Total 2 5 13" xfId="2193"/>
    <cellStyle name="Total 2 5 13 2" xfId="4543"/>
    <cellStyle name="Total 2 5 13 3" xfId="6440"/>
    <cellStyle name="Total 2 5 14" xfId="2194"/>
    <cellStyle name="Total 2 5 14 2" xfId="4544"/>
    <cellStyle name="Total 2 5 14 3" xfId="6441"/>
    <cellStyle name="Total 2 5 15" xfId="2195"/>
    <cellStyle name="Total 2 5 15 2" xfId="4545"/>
    <cellStyle name="Total 2 5 15 3" xfId="6442"/>
    <cellStyle name="Total 2 5 16" xfId="2196"/>
    <cellStyle name="Total 2 5 16 2" xfId="4546"/>
    <cellStyle name="Total 2 5 16 3" xfId="6443"/>
    <cellStyle name="Total 2 5 17" xfId="2197"/>
    <cellStyle name="Total 2 5 17 2" xfId="4547"/>
    <cellStyle name="Total 2 5 17 3" xfId="6444"/>
    <cellStyle name="Total 2 5 18" xfId="2198"/>
    <cellStyle name="Total 2 5 18 2" xfId="4548"/>
    <cellStyle name="Total 2 5 18 3" xfId="6445"/>
    <cellStyle name="Total 2 5 19" xfId="2199"/>
    <cellStyle name="Total 2 5 19 2" xfId="4549"/>
    <cellStyle name="Total 2 5 19 3" xfId="6446"/>
    <cellStyle name="Total 2 5 2" xfId="2200"/>
    <cellStyle name="Total 2 5 2 2" xfId="4550"/>
    <cellStyle name="Total 2 5 2 3" xfId="6447"/>
    <cellStyle name="Total 2 5 20" xfId="2201"/>
    <cellStyle name="Total 2 5 20 2" xfId="4551"/>
    <cellStyle name="Total 2 5 20 3" xfId="6448"/>
    <cellStyle name="Total 2 5 21" xfId="2202"/>
    <cellStyle name="Total 2 5 21 2" xfId="4552"/>
    <cellStyle name="Total 2 5 21 3" xfId="6449"/>
    <cellStyle name="Total 2 5 22" xfId="2203"/>
    <cellStyle name="Total 2 5 22 2" xfId="4553"/>
    <cellStyle name="Total 2 5 22 3" xfId="6450"/>
    <cellStyle name="Total 2 5 23" xfId="2204"/>
    <cellStyle name="Total 2 5 23 2" xfId="4554"/>
    <cellStyle name="Total 2 5 23 3" xfId="6451"/>
    <cellStyle name="Total 2 5 24" xfId="4539"/>
    <cellStyle name="Total 2 5 25" xfId="6436"/>
    <cellStyle name="Total 2 5 3" xfId="2205"/>
    <cellStyle name="Total 2 5 3 2" xfId="4555"/>
    <cellStyle name="Total 2 5 3 3" xfId="6452"/>
    <cellStyle name="Total 2 5 4" xfId="2206"/>
    <cellStyle name="Total 2 5 4 2" xfId="4556"/>
    <cellStyle name="Total 2 5 4 3" xfId="6453"/>
    <cellStyle name="Total 2 5 5" xfId="2207"/>
    <cellStyle name="Total 2 5 5 2" xfId="4557"/>
    <cellStyle name="Total 2 5 5 3" xfId="6454"/>
    <cellStyle name="Total 2 5 6" xfId="2208"/>
    <cellStyle name="Total 2 5 6 2" xfId="4558"/>
    <cellStyle name="Total 2 5 6 3" xfId="6455"/>
    <cellStyle name="Total 2 5 7" xfId="2209"/>
    <cellStyle name="Total 2 5 7 2" xfId="4559"/>
    <cellStyle name="Total 2 5 7 3" xfId="6456"/>
    <cellStyle name="Total 2 5 8" xfId="2210"/>
    <cellStyle name="Total 2 5 8 2" xfId="4560"/>
    <cellStyle name="Total 2 5 8 3" xfId="6457"/>
    <cellStyle name="Total 2 5 9" xfId="2211"/>
    <cellStyle name="Total 2 5 9 2" xfId="4561"/>
    <cellStyle name="Total 2 5 9 3" xfId="6458"/>
    <cellStyle name="Total 2 6" xfId="2212"/>
    <cellStyle name="Total 2 6 10" xfId="2213"/>
    <cellStyle name="Total 2 6 10 2" xfId="4563"/>
    <cellStyle name="Total 2 6 10 3" xfId="6460"/>
    <cellStyle name="Total 2 6 11" xfId="2214"/>
    <cellStyle name="Total 2 6 11 2" xfId="4564"/>
    <cellStyle name="Total 2 6 11 3" xfId="6461"/>
    <cellStyle name="Total 2 6 12" xfId="2215"/>
    <cellStyle name="Total 2 6 12 2" xfId="4565"/>
    <cellStyle name="Total 2 6 12 3" xfId="6462"/>
    <cellStyle name="Total 2 6 13" xfId="2216"/>
    <cellStyle name="Total 2 6 13 2" xfId="4566"/>
    <cellStyle name="Total 2 6 13 3" xfId="6463"/>
    <cellStyle name="Total 2 6 14" xfId="2217"/>
    <cellStyle name="Total 2 6 14 2" xfId="4567"/>
    <cellStyle name="Total 2 6 14 3" xfId="6464"/>
    <cellStyle name="Total 2 6 15" xfId="2218"/>
    <cellStyle name="Total 2 6 15 2" xfId="4568"/>
    <cellStyle name="Total 2 6 15 3" xfId="6465"/>
    <cellStyle name="Total 2 6 16" xfId="2219"/>
    <cellStyle name="Total 2 6 16 2" xfId="4569"/>
    <cellStyle name="Total 2 6 16 3" xfId="6466"/>
    <cellStyle name="Total 2 6 17" xfId="2220"/>
    <cellStyle name="Total 2 6 17 2" xfId="4570"/>
    <cellStyle name="Total 2 6 17 3" xfId="6467"/>
    <cellStyle name="Total 2 6 18" xfId="2221"/>
    <cellStyle name="Total 2 6 18 2" xfId="4571"/>
    <cellStyle name="Total 2 6 18 3" xfId="6468"/>
    <cellStyle name="Total 2 6 19" xfId="2222"/>
    <cellStyle name="Total 2 6 19 2" xfId="4572"/>
    <cellStyle name="Total 2 6 19 3" xfId="6469"/>
    <cellStyle name="Total 2 6 2" xfId="2223"/>
    <cellStyle name="Total 2 6 2 2" xfId="4573"/>
    <cellStyle name="Total 2 6 2 3" xfId="6470"/>
    <cellStyle name="Total 2 6 20" xfId="2224"/>
    <cellStyle name="Total 2 6 20 2" xfId="4574"/>
    <cellStyle name="Total 2 6 20 3" xfId="6471"/>
    <cellStyle name="Total 2 6 21" xfId="2225"/>
    <cellStyle name="Total 2 6 21 2" xfId="4575"/>
    <cellStyle name="Total 2 6 21 3" xfId="6472"/>
    <cellStyle name="Total 2 6 22" xfId="2226"/>
    <cellStyle name="Total 2 6 22 2" xfId="4576"/>
    <cellStyle name="Total 2 6 22 3" xfId="6473"/>
    <cellStyle name="Total 2 6 23" xfId="2227"/>
    <cellStyle name="Total 2 6 23 2" xfId="4577"/>
    <cellStyle name="Total 2 6 23 3" xfId="6474"/>
    <cellStyle name="Total 2 6 24" xfId="4562"/>
    <cellStyle name="Total 2 6 25" xfId="6459"/>
    <cellStyle name="Total 2 6 3" xfId="2228"/>
    <cellStyle name="Total 2 6 3 2" xfId="4578"/>
    <cellStyle name="Total 2 6 3 3" xfId="6475"/>
    <cellStyle name="Total 2 6 4" xfId="2229"/>
    <cellStyle name="Total 2 6 4 2" xfId="4579"/>
    <cellStyle name="Total 2 6 4 3" xfId="6476"/>
    <cellStyle name="Total 2 6 5" xfId="2230"/>
    <cellStyle name="Total 2 6 5 2" xfId="4580"/>
    <cellStyle name="Total 2 6 5 3" xfId="6477"/>
    <cellStyle name="Total 2 6 6" xfId="2231"/>
    <cellStyle name="Total 2 6 6 2" xfId="4581"/>
    <cellStyle name="Total 2 6 6 3" xfId="6478"/>
    <cellStyle name="Total 2 6 7" xfId="2232"/>
    <cellStyle name="Total 2 6 7 2" xfId="4582"/>
    <cellStyle name="Total 2 6 7 3" xfId="6479"/>
    <cellStyle name="Total 2 6 8" xfId="2233"/>
    <cellStyle name="Total 2 6 8 2" xfId="4583"/>
    <cellStyle name="Total 2 6 8 3" xfId="6480"/>
    <cellStyle name="Total 2 6 9" xfId="2234"/>
    <cellStyle name="Total 2 6 9 2" xfId="4584"/>
    <cellStyle name="Total 2 6 9 3" xfId="6481"/>
    <cellStyle name="Total 2 7" xfId="2235"/>
    <cellStyle name="Total 2 7 10" xfId="2236"/>
    <cellStyle name="Total 2 7 10 2" xfId="4586"/>
    <cellStyle name="Total 2 7 10 3" xfId="6483"/>
    <cellStyle name="Total 2 7 11" xfId="2237"/>
    <cellStyle name="Total 2 7 11 2" xfId="4587"/>
    <cellStyle name="Total 2 7 11 3" xfId="6484"/>
    <cellStyle name="Total 2 7 12" xfId="2238"/>
    <cellStyle name="Total 2 7 12 2" xfId="4588"/>
    <cellStyle name="Total 2 7 12 3" xfId="6485"/>
    <cellStyle name="Total 2 7 13" xfId="2239"/>
    <cellStyle name="Total 2 7 13 2" xfId="4589"/>
    <cellStyle name="Total 2 7 13 3" xfId="6486"/>
    <cellStyle name="Total 2 7 14" xfId="2240"/>
    <cellStyle name="Total 2 7 14 2" xfId="4590"/>
    <cellStyle name="Total 2 7 14 3" xfId="6487"/>
    <cellStyle name="Total 2 7 15" xfId="2241"/>
    <cellStyle name="Total 2 7 15 2" xfId="4591"/>
    <cellStyle name="Total 2 7 15 3" xfId="6488"/>
    <cellStyle name="Total 2 7 16" xfId="2242"/>
    <cellStyle name="Total 2 7 16 2" xfId="4592"/>
    <cellStyle name="Total 2 7 16 3" xfId="6489"/>
    <cellStyle name="Total 2 7 17" xfId="2243"/>
    <cellStyle name="Total 2 7 17 2" xfId="4593"/>
    <cellStyle name="Total 2 7 17 3" xfId="6490"/>
    <cellStyle name="Total 2 7 18" xfId="2244"/>
    <cellStyle name="Total 2 7 18 2" xfId="4594"/>
    <cellStyle name="Total 2 7 18 3" xfId="6491"/>
    <cellStyle name="Total 2 7 19" xfId="2245"/>
    <cellStyle name="Total 2 7 19 2" xfId="4595"/>
    <cellStyle name="Total 2 7 19 3" xfId="6492"/>
    <cellStyle name="Total 2 7 2" xfId="2246"/>
    <cellStyle name="Total 2 7 2 2" xfId="4596"/>
    <cellStyle name="Total 2 7 2 3" xfId="6493"/>
    <cellStyle name="Total 2 7 20" xfId="2247"/>
    <cellStyle name="Total 2 7 20 2" xfId="4597"/>
    <cellStyle name="Total 2 7 20 3" xfId="6494"/>
    <cellStyle name="Total 2 7 21" xfId="2248"/>
    <cellStyle name="Total 2 7 21 2" xfId="4598"/>
    <cellStyle name="Total 2 7 21 3" xfId="6495"/>
    <cellStyle name="Total 2 7 22" xfId="2249"/>
    <cellStyle name="Total 2 7 22 2" xfId="4599"/>
    <cellStyle name="Total 2 7 22 3" xfId="6496"/>
    <cellStyle name="Total 2 7 23" xfId="2250"/>
    <cellStyle name="Total 2 7 23 2" xfId="4600"/>
    <cellStyle name="Total 2 7 23 3" xfId="6497"/>
    <cellStyle name="Total 2 7 24" xfId="4585"/>
    <cellStyle name="Total 2 7 25" xfId="6482"/>
    <cellStyle name="Total 2 7 3" xfId="2251"/>
    <cellStyle name="Total 2 7 3 2" xfId="4601"/>
    <cellStyle name="Total 2 7 3 3" xfId="6498"/>
    <cellStyle name="Total 2 7 4" xfId="2252"/>
    <cellStyle name="Total 2 7 4 2" xfId="4602"/>
    <cellStyle name="Total 2 7 4 3" xfId="6499"/>
    <cellStyle name="Total 2 7 5" xfId="2253"/>
    <cellStyle name="Total 2 7 5 2" xfId="4603"/>
    <cellStyle name="Total 2 7 5 3" xfId="6500"/>
    <cellStyle name="Total 2 7 6" xfId="2254"/>
    <cellStyle name="Total 2 7 6 2" xfId="4604"/>
    <cellStyle name="Total 2 7 6 3" xfId="6501"/>
    <cellStyle name="Total 2 7 7" xfId="2255"/>
    <cellStyle name="Total 2 7 7 2" xfId="4605"/>
    <cellStyle name="Total 2 7 7 3" xfId="6502"/>
    <cellStyle name="Total 2 7 8" xfId="2256"/>
    <cellStyle name="Total 2 7 8 2" xfId="4606"/>
    <cellStyle name="Total 2 7 8 3" xfId="6503"/>
    <cellStyle name="Total 2 7 9" xfId="2257"/>
    <cellStyle name="Total 2 7 9 2" xfId="4607"/>
    <cellStyle name="Total 2 7 9 3" xfId="6504"/>
    <cellStyle name="Total 2 8" xfId="2258"/>
    <cellStyle name="Total 2 8 10" xfId="2259"/>
    <cellStyle name="Total 2 8 10 2" xfId="4609"/>
    <cellStyle name="Total 2 8 10 3" xfId="6506"/>
    <cellStyle name="Total 2 8 11" xfId="2260"/>
    <cellStyle name="Total 2 8 11 2" xfId="4610"/>
    <cellStyle name="Total 2 8 11 3" xfId="6507"/>
    <cellStyle name="Total 2 8 12" xfId="2261"/>
    <cellStyle name="Total 2 8 12 2" xfId="4611"/>
    <cellStyle name="Total 2 8 12 3" xfId="6508"/>
    <cellStyle name="Total 2 8 13" xfId="2262"/>
    <cellStyle name="Total 2 8 13 2" xfId="4612"/>
    <cellStyle name="Total 2 8 13 3" xfId="6509"/>
    <cellStyle name="Total 2 8 14" xfId="2263"/>
    <cellStyle name="Total 2 8 14 2" xfId="4613"/>
    <cellStyle name="Total 2 8 14 3" xfId="6510"/>
    <cellStyle name="Total 2 8 15" xfId="2264"/>
    <cellStyle name="Total 2 8 15 2" xfId="4614"/>
    <cellStyle name="Total 2 8 15 3" xfId="6511"/>
    <cellStyle name="Total 2 8 16" xfId="2265"/>
    <cellStyle name="Total 2 8 16 2" xfId="4615"/>
    <cellStyle name="Total 2 8 16 3" xfId="6512"/>
    <cellStyle name="Total 2 8 17" xfId="2266"/>
    <cellStyle name="Total 2 8 17 2" xfId="4616"/>
    <cellStyle name="Total 2 8 17 3" xfId="6513"/>
    <cellStyle name="Total 2 8 18" xfId="2267"/>
    <cellStyle name="Total 2 8 18 2" xfId="4617"/>
    <cellStyle name="Total 2 8 18 3" xfId="6514"/>
    <cellStyle name="Total 2 8 19" xfId="2268"/>
    <cellStyle name="Total 2 8 19 2" xfId="4618"/>
    <cellStyle name="Total 2 8 19 3" xfId="6515"/>
    <cellStyle name="Total 2 8 2" xfId="2269"/>
    <cellStyle name="Total 2 8 2 2" xfId="4619"/>
    <cellStyle name="Total 2 8 2 3" xfId="6516"/>
    <cellStyle name="Total 2 8 20" xfId="2270"/>
    <cellStyle name="Total 2 8 20 2" xfId="4620"/>
    <cellStyle name="Total 2 8 20 3" xfId="6517"/>
    <cellStyle name="Total 2 8 21" xfId="2271"/>
    <cellStyle name="Total 2 8 21 2" xfId="4621"/>
    <cellStyle name="Total 2 8 21 3" xfId="6518"/>
    <cellStyle name="Total 2 8 22" xfId="2272"/>
    <cellStyle name="Total 2 8 22 2" xfId="4622"/>
    <cellStyle name="Total 2 8 22 3" xfId="6519"/>
    <cellStyle name="Total 2 8 23" xfId="2273"/>
    <cellStyle name="Total 2 8 23 2" xfId="4623"/>
    <cellStyle name="Total 2 8 23 3" xfId="6520"/>
    <cellStyle name="Total 2 8 24" xfId="4608"/>
    <cellStyle name="Total 2 8 25" xfId="6505"/>
    <cellStyle name="Total 2 8 3" xfId="2274"/>
    <cellStyle name="Total 2 8 3 2" xfId="4624"/>
    <cellStyle name="Total 2 8 3 3" xfId="6521"/>
    <cellStyle name="Total 2 8 4" xfId="2275"/>
    <cellStyle name="Total 2 8 4 2" xfId="4625"/>
    <cellStyle name="Total 2 8 4 3" xfId="6522"/>
    <cellStyle name="Total 2 8 5" xfId="2276"/>
    <cellStyle name="Total 2 8 5 2" xfId="4626"/>
    <cellStyle name="Total 2 8 5 3" xfId="6523"/>
    <cellStyle name="Total 2 8 6" xfId="2277"/>
    <cellStyle name="Total 2 8 6 2" xfId="4627"/>
    <cellStyle name="Total 2 8 6 3" xfId="6524"/>
    <cellStyle name="Total 2 8 7" xfId="2278"/>
    <cellStyle name="Total 2 8 7 2" xfId="4628"/>
    <cellStyle name="Total 2 8 7 3" xfId="6525"/>
    <cellStyle name="Total 2 8 8" xfId="2279"/>
    <cellStyle name="Total 2 8 8 2" xfId="4629"/>
    <cellStyle name="Total 2 8 8 3" xfId="6526"/>
    <cellStyle name="Total 2 8 9" xfId="2280"/>
    <cellStyle name="Total 2 8 9 2" xfId="4630"/>
    <cellStyle name="Total 2 8 9 3" xfId="6527"/>
    <cellStyle name="Total 2 9" xfId="2281"/>
    <cellStyle name="Total 2 9 10" xfId="2282"/>
    <cellStyle name="Total 2 9 10 2" xfId="4632"/>
    <cellStyle name="Total 2 9 10 3" xfId="6529"/>
    <cellStyle name="Total 2 9 11" xfId="2283"/>
    <cellStyle name="Total 2 9 11 2" xfId="4633"/>
    <cellStyle name="Total 2 9 11 3" xfId="6530"/>
    <cellStyle name="Total 2 9 12" xfId="2284"/>
    <cellStyle name="Total 2 9 12 2" xfId="4634"/>
    <cellStyle name="Total 2 9 12 3" xfId="6531"/>
    <cellStyle name="Total 2 9 13" xfId="2285"/>
    <cellStyle name="Total 2 9 13 2" xfId="4635"/>
    <cellStyle name="Total 2 9 13 3" xfId="6532"/>
    <cellStyle name="Total 2 9 14" xfId="2286"/>
    <cellStyle name="Total 2 9 14 2" xfId="4636"/>
    <cellStyle name="Total 2 9 14 3" xfId="6533"/>
    <cellStyle name="Total 2 9 15" xfId="2287"/>
    <cellStyle name="Total 2 9 15 2" xfId="4637"/>
    <cellStyle name="Total 2 9 15 3" xfId="6534"/>
    <cellStyle name="Total 2 9 16" xfId="2288"/>
    <cellStyle name="Total 2 9 16 2" xfId="4638"/>
    <cellStyle name="Total 2 9 16 3" xfId="6535"/>
    <cellStyle name="Total 2 9 17" xfId="2289"/>
    <cellStyle name="Total 2 9 17 2" xfId="4639"/>
    <cellStyle name="Total 2 9 17 3" xfId="6536"/>
    <cellStyle name="Total 2 9 18" xfId="2290"/>
    <cellStyle name="Total 2 9 18 2" xfId="4640"/>
    <cellStyle name="Total 2 9 18 3" xfId="6537"/>
    <cellStyle name="Total 2 9 19" xfId="2291"/>
    <cellStyle name="Total 2 9 19 2" xfId="4641"/>
    <cellStyle name="Total 2 9 19 3" xfId="6538"/>
    <cellStyle name="Total 2 9 2" xfId="2292"/>
    <cellStyle name="Total 2 9 2 2" xfId="4642"/>
    <cellStyle name="Total 2 9 2 3" xfId="6539"/>
    <cellStyle name="Total 2 9 20" xfId="2293"/>
    <cellStyle name="Total 2 9 20 2" xfId="4643"/>
    <cellStyle name="Total 2 9 20 3" xfId="6540"/>
    <cellStyle name="Total 2 9 21" xfId="2294"/>
    <cellStyle name="Total 2 9 21 2" xfId="4644"/>
    <cellStyle name="Total 2 9 21 3" xfId="6541"/>
    <cellStyle name="Total 2 9 22" xfId="2295"/>
    <cellStyle name="Total 2 9 22 2" xfId="4645"/>
    <cellStyle name="Total 2 9 22 3" xfId="6542"/>
    <cellStyle name="Total 2 9 23" xfId="2296"/>
    <cellStyle name="Total 2 9 23 2" xfId="4646"/>
    <cellStyle name="Total 2 9 23 3" xfId="6543"/>
    <cellStyle name="Total 2 9 24" xfId="4631"/>
    <cellStyle name="Total 2 9 25" xfId="6528"/>
    <cellStyle name="Total 2 9 3" xfId="2297"/>
    <cellStyle name="Total 2 9 3 2" xfId="4647"/>
    <cellStyle name="Total 2 9 3 3" xfId="6544"/>
    <cellStyle name="Total 2 9 4" xfId="2298"/>
    <cellStyle name="Total 2 9 4 2" xfId="4648"/>
    <cellStyle name="Total 2 9 4 3" xfId="6545"/>
    <cellStyle name="Total 2 9 5" xfId="2299"/>
    <cellStyle name="Total 2 9 5 2" xfId="4649"/>
    <cellStyle name="Total 2 9 5 3" xfId="6546"/>
    <cellStyle name="Total 2 9 6" xfId="2300"/>
    <cellStyle name="Total 2 9 6 2" xfId="4650"/>
    <cellStyle name="Total 2 9 6 3" xfId="6547"/>
    <cellStyle name="Total 2 9 7" xfId="2301"/>
    <cellStyle name="Total 2 9 7 2" xfId="4651"/>
    <cellStyle name="Total 2 9 7 3" xfId="6548"/>
    <cellStyle name="Total 2 9 8" xfId="2302"/>
    <cellStyle name="Total 2 9 8 2" xfId="4652"/>
    <cellStyle name="Total 2 9 8 3" xfId="6549"/>
    <cellStyle name="Total 2 9 9" xfId="2303"/>
    <cellStyle name="Total 2 9 9 2" xfId="4653"/>
    <cellStyle name="Total 2 9 9 3" xfId="6550"/>
    <cellStyle name="Total 3" xfId="4758"/>
    <cellStyle name="Total 4" xfId="2488"/>
    <cellStyle name="Total 5" xfId="4262"/>
    <cellStyle name="Tytuł" xfId="2304"/>
    <cellStyle name="UploadThisRowValue" xfId="70"/>
    <cellStyle name="Uwaga" xfId="2305"/>
    <cellStyle name="Uwaga 10" xfId="2306"/>
    <cellStyle name="Uwaga 10 2" xfId="4655"/>
    <cellStyle name="Uwaga 10 3" xfId="6552"/>
    <cellStyle name="Uwaga 11" xfId="2307"/>
    <cellStyle name="Uwaga 11 2" xfId="4656"/>
    <cellStyle name="Uwaga 11 3" xfId="6553"/>
    <cellStyle name="Uwaga 12" xfId="2308"/>
    <cellStyle name="Uwaga 12 2" xfId="4657"/>
    <cellStyle name="Uwaga 12 3" xfId="6554"/>
    <cellStyle name="Uwaga 13" xfId="2309"/>
    <cellStyle name="Uwaga 13 2" xfId="4658"/>
    <cellStyle name="Uwaga 13 3" xfId="6555"/>
    <cellStyle name="Uwaga 14" xfId="2310"/>
    <cellStyle name="Uwaga 14 2" xfId="4659"/>
    <cellStyle name="Uwaga 14 3" xfId="6556"/>
    <cellStyle name="Uwaga 15" xfId="2311"/>
    <cellStyle name="Uwaga 15 2" xfId="4660"/>
    <cellStyle name="Uwaga 15 3" xfId="6557"/>
    <cellStyle name="Uwaga 16" xfId="2312"/>
    <cellStyle name="Uwaga 16 2" xfId="4661"/>
    <cellStyle name="Uwaga 16 3" xfId="6558"/>
    <cellStyle name="Uwaga 17" xfId="2313"/>
    <cellStyle name="Uwaga 17 2" xfId="4662"/>
    <cellStyle name="Uwaga 17 3" xfId="6559"/>
    <cellStyle name="Uwaga 18" xfId="2314"/>
    <cellStyle name="Uwaga 18 2" xfId="4663"/>
    <cellStyle name="Uwaga 18 3" xfId="6560"/>
    <cellStyle name="Uwaga 19" xfId="2315"/>
    <cellStyle name="Uwaga 19 2" xfId="4664"/>
    <cellStyle name="Uwaga 19 3" xfId="6561"/>
    <cellStyle name="Uwaga 2" xfId="2316"/>
    <cellStyle name="Uwaga 2 10" xfId="2317"/>
    <cellStyle name="Uwaga 2 10 2" xfId="4666"/>
    <cellStyle name="Uwaga 2 10 3" xfId="6563"/>
    <cellStyle name="Uwaga 2 11" xfId="2318"/>
    <cellStyle name="Uwaga 2 11 2" xfId="4667"/>
    <cellStyle name="Uwaga 2 11 3" xfId="6564"/>
    <cellStyle name="Uwaga 2 12" xfId="2319"/>
    <cellStyle name="Uwaga 2 12 2" xfId="4668"/>
    <cellStyle name="Uwaga 2 12 3" xfId="6565"/>
    <cellStyle name="Uwaga 2 13" xfId="2320"/>
    <cellStyle name="Uwaga 2 13 2" xfId="4669"/>
    <cellStyle name="Uwaga 2 13 3" xfId="6566"/>
    <cellStyle name="Uwaga 2 14" xfId="2321"/>
    <cellStyle name="Uwaga 2 14 2" xfId="4670"/>
    <cellStyle name="Uwaga 2 14 3" xfId="6567"/>
    <cellStyle name="Uwaga 2 15" xfId="2322"/>
    <cellStyle name="Uwaga 2 15 2" xfId="4671"/>
    <cellStyle name="Uwaga 2 15 3" xfId="6568"/>
    <cellStyle name="Uwaga 2 16" xfId="2323"/>
    <cellStyle name="Uwaga 2 16 2" xfId="4672"/>
    <cellStyle name="Uwaga 2 16 3" xfId="6569"/>
    <cellStyle name="Uwaga 2 17" xfId="2324"/>
    <cellStyle name="Uwaga 2 17 2" xfId="4673"/>
    <cellStyle name="Uwaga 2 17 3" xfId="6570"/>
    <cellStyle name="Uwaga 2 18" xfId="2325"/>
    <cellStyle name="Uwaga 2 18 2" xfId="4674"/>
    <cellStyle name="Uwaga 2 18 3" xfId="6571"/>
    <cellStyle name="Uwaga 2 19" xfId="2326"/>
    <cellStyle name="Uwaga 2 19 2" xfId="4675"/>
    <cellStyle name="Uwaga 2 19 3" xfId="6572"/>
    <cellStyle name="Uwaga 2 2" xfId="2327"/>
    <cellStyle name="Uwaga 2 2 2" xfId="4676"/>
    <cellStyle name="Uwaga 2 2 3" xfId="6573"/>
    <cellStyle name="Uwaga 2 20" xfId="2328"/>
    <cellStyle name="Uwaga 2 20 2" xfId="4677"/>
    <cellStyle name="Uwaga 2 20 3" xfId="6574"/>
    <cellStyle name="Uwaga 2 21" xfId="2329"/>
    <cellStyle name="Uwaga 2 21 2" xfId="4678"/>
    <cellStyle name="Uwaga 2 21 3" xfId="6575"/>
    <cellStyle name="Uwaga 2 22" xfId="2330"/>
    <cellStyle name="Uwaga 2 22 2" xfId="4679"/>
    <cellStyle name="Uwaga 2 22 3" xfId="6576"/>
    <cellStyle name="Uwaga 2 23" xfId="2331"/>
    <cellStyle name="Uwaga 2 23 2" xfId="4680"/>
    <cellStyle name="Uwaga 2 23 3" xfId="6577"/>
    <cellStyle name="Uwaga 2 24" xfId="4665"/>
    <cellStyle name="Uwaga 2 25" xfId="6562"/>
    <cellStyle name="Uwaga 2 3" xfId="2332"/>
    <cellStyle name="Uwaga 2 3 2" xfId="4681"/>
    <cellStyle name="Uwaga 2 3 3" xfId="6578"/>
    <cellStyle name="Uwaga 2 4" xfId="2333"/>
    <cellStyle name="Uwaga 2 4 2" xfId="4682"/>
    <cellStyle name="Uwaga 2 4 3" xfId="6579"/>
    <cellStyle name="Uwaga 2 5" xfId="2334"/>
    <cellStyle name="Uwaga 2 5 2" xfId="4683"/>
    <cellStyle name="Uwaga 2 5 3" xfId="6580"/>
    <cellStyle name="Uwaga 2 6" xfId="2335"/>
    <cellStyle name="Uwaga 2 6 2" xfId="4684"/>
    <cellStyle name="Uwaga 2 6 3" xfId="6581"/>
    <cellStyle name="Uwaga 2 7" xfId="2336"/>
    <cellStyle name="Uwaga 2 7 2" xfId="4685"/>
    <cellStyle name="Uwaga 2 7 3" xfId="6582"/>
    <cellStyle name="Uwaga 2 8" xfId="2337"/>
    <cellStyle name="Uwaga 2 8 2" xfId="4686"/>
    <cellStyle name="Uwaga 2 8 3" xfId="6583"/>
    <cellStyle name="Uwaga 2 9" xfId="2338"/>
    <cellStyle name="Uwaga 2 9 2" xfId="4687"/>
    <cellStyle name="Uwaga 2 9 3" xfId="6584"/>
    <cellStyle name="Uwaga 20" xfId="2339"/>
    <cellStyle name="Uwaga 20 2" xfId="4688"/>
    <cellStyle name="Uwaga 20 3" xfId="6585"/>
    <cellStyle name="Uwaga 21" xfId="2340"/>
    <cellStyle name="Uwaga 21 2" xfId="4689"/>
    <cellStyle name="Uwaga 21 3" xfId="6586"/>
    <cellStyle name="Uwaga 22" xfId="2341"/>
    <cellStyle name="Uwaga 22 2" xfId="4690"/>
    <cellStyle name="Uwaga 22 3" xfId="6587"/>
    <cellStyle name="Uwaga 23" xfId="2342"/>
    <cellStyle name="Uwaga 23 2" xfId="4691"/>
    <cellStyle name="Uwaga 23 3" xfId="6588"/>
    <cellStyle name="Uwaga 24" xfId="2343"/>
    <cellStyle name="Uwaga 24 2" xfId="4692"/>
    <cellStyle name="Uwaga 24 3" xfId="6589"/>
    <cellStyle name="Uwaga 25" xfId="2344"/>
    <cellStyle name="Uwaga 25 2" xfId="4693"/>
    <cellStyle name="Uwaga 25 3" xfId="6590"/>
    <cellStyle name="Uwaga 26" xfId="4654"/>
    <cellStyle name="Uwaga 27" xfId="6551"/>
    <cellStyle name="Uwaga 3" xfId="2345"/>
    <cellStyle name="Uwaga 3 10" xfId="2346"/>
    <cellStyle name="Uwaga 3 10 2" xfId="4695"/>
    <cellStyle name="Uwaga 3 10 3" xfId="6592"/>
    <cellStyle name="Uwaga 3 11" xfId="2347"/>
    <cellStyle name="Uwaga 3 11 2" xfId="4696"/>
    <cellStyle name="Uwaga 3 11 3" xfId="6593"/>
    <cellStyle name="Uwaga 3 12" xfId="2348"/>
    <cellStyle name="Uwaga 3 12 2" xfId="4697"/>
    <cellStyle name="Uwaga 3 12 3" xfId="6594"/>
    <cellStyle name="Uwaga 3 13" xfId="2349"/>
    <cellStyle name="Uwaga 3 13 2" xfId="4698"/>
    <cellStyle name="Uwaga 3 13 3" xfId="6595"/>
    <cellStyle name="Uwaga 3 14" xfId="2350"/>
    <cellStyle name="Uwaga 3 14 2" xfId="4699"/>
    <cellStyle name="Uwaga 3 14 3" xfId="6596"/>
    <cellStyle name="Uwaga 3 15" xfId="2351"/>
    <cellStyle name="Uwaga 3 15 2" xfId="4700"/>
    <cellStyle name="Uwaga 3 15 3" xfId="6597"/>
    <cellStyle name="Uwaga 3 16" xfId="2352"/>
    <cellStyle name="Uwaga 3 16 2" xfId="4701"/>
    <cellStyle name="Uwaga 3 16 3" xfId="6598"/>
    <cellStyle name="Uwaga 3 17" xfId="2353"/>
    <cellStyle name="Uwaga 3 17 2" xfId="4702"/>
    <cellStyle name="Uwaga 3 17 3" xfId="6599"/>
    <cellStyle name="Uwaga 3 18" xfId="2354"/>
    <cellStyle name="Uwaga 3 18 2" xfId="4703"/>
    <cellStyle name="Uwaga 3 18 3" xfId="6600"/>
    <cellStyle name="Uwaga 3 19" xfId="2355"/>
    <cellStyle name="Uwaga 3 19 2" xfId="4704"/>
    <cellStyle name="Uwaga 3 19 3" xfId="6601"/>
    <cellStyle name="Uwaga 3 2" xfId="2356"/>
    <cellStyle name="Uwaga 3 2 2" xfId="4705"/>
    <cellStyle name="Uwaga 3 2 3" xfId="6602"/>
    <cellStyle name="Uwaga 3 20" xfId="2357"/>
    <cellStyle name="Uwaga 3 20 2" xfId="4706"/>
    <cellStyle name="Uwaga 3 20 3" xfId="6603"/>
    <cellStyle name="Uwaga 3 21" xfId="2358"/>
    <cellStyle name="Uwaga 3 21 2" xfId="4707"/>
    <cellStyle name="Uwaga 3 21 3" xfId="6604"/>
    <cellStyle name="Uwaga 3 22" xfId="2359"/>
    <cellStyle name="Uwaga 3 22 2" xfId="4708"/>
    <cellStyle name="Uwaga 3 22 3" xfId="6605"/>
    <cellStyle name="Uwaga 3 23" xfId="2360"/>
    <cellStyle name="Uwaga 3 23 2" xfId="4709"/>
    <cellStyle name="Uwaga 3 23 3" xfId="6606"/>
    <cellStyle name="Uwaga 3 24" xfId="4694"/>
    <cellStyle name="Uwaga 3 25" xfId="6591"/>
    <cellStyle name="Uwaga 3 3" xfId="2361"/>
    <cellStyle name="Uwaga 3 3 2" xfId="4710"/>
    <cellStyle name="Uwaga 3 3 3" xfId="6607"/>
    <cellStyle name="Uwaga 3 4" xfId="2362"/>
    <cellStyle name="Uwaga 3 4 2" xfId="4711"/>
    <cellStyle name="Uwaga 3 4 3" xfId="6608"/>
    <cellStyle name="Uwaga 3 5" xfId="2363"/>
    <cellStyle name="Uwaga 3 5 2" xfId="4712"/>
    <cellStyle name="Uwaga 3 5 3" xfId="6609"/>
    <cellStyle name="Uwaga 3 6" xfId="2364"/>
    <cellStyle name="Uwaga 3 6 2" xfId="4713"/>
    <cellStyle name="Uwaga 3 6 3" xfId="6610"/>
    <cellStyle name="Uwaga 3 7" xfId="2365"/>
    <cellStyle name="Uwaga 3 7 2" xfId="4714"/>
    <cellStyle name="Uwaga 3 7 3" xfId="6611"/>
    <cellStyle name="Uwaga 3 8" xfId="2366"/>
    <cellStyle name="Uwaga 3 8 2" xfId="4715"/>
    <cellStyle name="Uwaga 3 8 3" xfId="6612"/>
    <cellStyle name="Uwaga 3 9" xfId="2367"/>
    <cellStyle name="Uwaga 3 9 2" xfId="4716"/>
    <cellStyle name="Uwaga 3 9 3" xfId="6613"/>
    <cellStyle name="Uwaga 4" xfId="2368"/>
    <cellStyle name="Uwaga 4 2" xfId="4717"/>
    <cellStyle name="Uwaga 4 3" xfId="6614"/>
    <cellStyle name="Uwaga 5" xfId="2369"/>
    <cellStyle name="Uwaga 5 2" xfId="4718"/>
    <cellStyle name="Uwaga 5 3" xfId="6615"/>
    <cellStyle name="Uwaga 6" xfId="2370"/>
    <cellStyle name="Uwaga 6 2" xfId="4719"/>
    <cellStyle name="Uwaga 6 3" xfId="6616"/>
    <cellStyle name="Uwaga 7" xfId="2371"/>
    <cellStyle name="Uwaga 7 2" xfId="4720"/>
    <cellStyle name="Uwaga 7 3" xfId="6617"/>
    <cellStyle name="Uwaga 8" xfId="2372"/>
    <cellStyle name="Uwaga 8 2" xfId="4721"/>
    <cellStyle name="Uwaga 8 3" xfId="6618"/>
    <cellStyle name="Uwaga 9" xfId="2373"/>
    <cellStyle name="Uwaga 9 2" xfId="4722"/>
    <cellStyle name="Uwaga 9 3" xfId="6619"/>
    <cellStyle name="Warning Text" xfId="71" builtinId="11" customBuiltin="1"/>
    <cellStyle name="Warning Text 2" xfId="2374"/>
    <cellStyle name="Warning Text 3" xfId="4755"/>
    <cellStyle name="Złe" xfId="2375"/>
  </cellStyles>
  <dxfs count="116">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bottom"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border diagonalUp="0" diagonalDown="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font>
      <fill>
        <patternFill>
          <bgColor rgb="FFFFFF00"/>
        </patternFill>
      </fill>
    </dxf>
    <dxf>
      <font>
        <b val="0"/>
        <i/>
      </font>
      <fill>
        <patternFill>
          <bgColor rgb="FFFFFF00"/>
        </patternFill>
      </fill>
    </dxf>
    <dxf>
      <fill>
        <patternFill patternType="solid">
          <bgColor indexed="65"/>
        </patternFill>
      </fill>
    </dxf>
    <dxf>
      <font>
        <color theme="0"/>
      </font>
      <fill>
        <patternFill>
          <bgColor theme="3"/>
        </patternFill>
      </fill>
      <border>
        <left style="thin">
          <color auto="1"/>
        </left>
        <right style="thin">
          <color auto="1"/>
        </right>
        <bottom style="thin">
          <color auto="1"/>
        </bottom>
      </border>
    </dxf>
    <dxf>
      <font>
        <b val="0"/>
        <i/>
      </font>
      <fill>
        <patternFill>
          <bgColor rgb="FFFFFF00"/>
        </patternFill>
      </fill>
    </dxf>
    <dxf>
      <font>
        <b val="0"/>
        <i/>
      </font>
      <fill>
        <patternFill>
          <bgColor rgb="FFFFFF00"/>
        </patternFill>
      </fill>
    </dxf>
    <dxf>
      <fill>
        <patternFill>
          <bgColor theme="0" tint="-0.14996795556505021"/>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color rgb="FFFF0000"/>
      </font>
      <fill>
        <patternFill>
          <bgColor theme="0"/>
        </patternFill>
      </fill>
    </dxf>
    <dxf>
      <font>
        <color theme="0"/>
      </font>
      <fill>
        <patternFill>
          <bgColor theme="0"/>
        </patternFill>
      </fill>
      <border>
        <left/>
        <right/>
        <bottom/>
        <vertical/>
        <horizontal/>
      </border>
    </dxf>
    <dxf>
      <font>
        <color rgb="FFFF0000"/>
      </font>
      <fill>
        <patternFill patternType="none">
          <bgColor auto="1"/>
        </patternFill>
      </fill>
    </dxf>
    <dxf>
      <font>
        <b val="0"/>
        <i/>
      </font>
      <fill>
        <patternFill>
          <bgColor rgb="FFFFFF00"/>
        </patternFill>
      </fill>
    </dxf>
    <dxf>
      <font>
        <color rgb="FFFF0000"/>
      </font>
      <fill>
        <patternFill patternType="none">
          <bgColor auto="1"/>
        </patternFill>
      </fill>
    </dxf>
    <dxf>
      <font>
        <color rgb="FFFF0000"/>
      </font>
    </dxf>
    <dxf>
      <font>
        <color rgb="FFFF0000"/>
      </font>
      <fill>
        <patternFill>
          <bgColor theme="0"/>
        </patternFill>
      </fill>
    </dxf>
    <dxf>
      <fill>
        <patternFill>
          <bgColor rgb="FFFFFF00"/>
        </patternFill>
      </fill>
    </dxf>
    <dxf>
      <font>
        <color rgb="FFFF0000"/>
      </font>
      <border>
        <left/>
        <right/>
        <top/>
        <bottom/>
      </border>
    </dxf>
    <dxf>
      <font>
        <b val="0"/>
        <i/>
      </font>
      <fill>
        <patternFill>
          <bgColor rgb="FFFFFF00"/>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s>
  <tableStyles count="0" defaultTableStyle="TableStyleMedium9" defaultPivotStyle="PivotStyleLight16"/>
  <colors>
    <mruColors>
      <color rgb="FFCCCCFF"/>
      <color rgb="FFFFCC99"/>
      <color rgb="FF003366"/>
      <color rgb="FF333333"/>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Name of School'!D1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xdr:cNvPicPr>
          <a:picLocks noChangeAspect="1" noChangeArrowheads="1"/>
        </xdr:cNvPicPr>
      </xdr:nvPicPr>
      <xdr:blipFill>
        <a:blip xmlns:r="http://schemas.openxmlformats.org/officeDocument/2006/relationships" r:embed="rId1"/>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1</xdr:row>
      <xdr:rowOff>42334</xdr:rowOff>
    </xdr:from>
    <xdr:to>
      <xdr:col>3</xdr:col>
      <xdr:colOff>148167</xdr:colOff>
      <xdr:row>3</xdr:row>
      <xdr:rowOff>84693</xdr:rowOff>
    </xdr:to>
    <xdr:sp macro="" textlink="">
      <xdr:nvSpPr>
        <xdr:cNvPr id="3" name="TextBox 2"/>
        <xdr:cNvSpPr txBox="1"/>
      </xdr:nvSpPr>
      <xdr:spPr>
        <a:xfrm>
          <a:off x="433917" y="243417"/>
          <a:ext cx="539750" cy="423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1699275</xdr:colOff>
      <xdr:row>1</xdr:row>
      <xdr:rowOff>15052</xdr:rowOff>
    </xdr:from>
    <xdr:to>
      <xdr:col>4</xdr:col>
      <xdr:colOff>882434</xdr:colOff>
      <xdr:row>6</xdr:row>
      <xdr:rowOff>43627</xdr:rowOff>
    </xdr:to>
    <xdr:pic>
      <xdr:nvPicPr>
        <xdr:cNvPr id="43527" name="Picture 3" descr="charter schools logo bw"/>
        <xdr:cNvPicPr>
          <a:picLocks noChangeAspect="1" noChangeArrowheads="1"/>
        </xdr:cNvPicPr>
      </xdr:nvPicPr>
      <xdr:blipFill>
        <a:blip xmlns:r="http://schemas.openxmlformats.org/officeDocument/2006/relationships" r:embed="rId1"/>
        <a:stretch>
          <a:fillRect/>
        </a:stretch>
      </xdr:blipFill>
      <xdr:spPr bwMode="auto">
        <a:xfrm>
          <a:off x="2156475" y="129352"/>
          <a:ext cx="307888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10</xdr:row>
      <xdr:rowOff>19050</xdr:rowOff>
    </xdr:from>
    <xdr:to>
      <xdr:col>5</xdr:col>
      <xdr:colOff>171473</xdr:colOff>
      <xdr:row>10</xdr:row>
      <xdr:rowOff>180998</xdr:rowOff>
    </xdr:to>
    <xdr:pic>
      <xdr:nvPicPr>
        <xdr:cNvPr id="3" name="Picture 2">
          <a:hlinkClick xmlns:r="http://schemas.openxmlformats.org/officeDocument/2006/relationships" r:id="rId2" tooltip="Select Type"/>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86550" y="2438400"/>
          <a:ext cx="161948" cy="161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123824</xdr:colOff>
      <xdr:row>2</xdr:row>
      <xdr:rowOff>28575</xdr:rowOff>
    </xdr:from>
    <xdr:to>
      <xdr:col>3</xdr:col>
      <xdr:colOff>847724</xdr:colOff>
      <xdr:row>6</xdr:row>
      <xdr:rowOff>323850</xdr:rowOff>
    </xdr:to>
    <xdr:sp macro="" textlink="BSNote1">
      <xdr:nvSpPr>
        <xdr:cNvPr id="2" name="TextBox 1"/>
        <xdr:cNvSpPr txBox="1"/>
      </xdr:nvSpPr>
      <xdr:spPr>
        <a:xfrm>
          <a:off x="447674" y="428625"/>
          <a:ext cx="3171825" cy="1162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80CE987-E938-4E52-A44F-3DC325084BBD}" type="TxLink">
            <a:rPr lang="en-US" sz="1400" b="1" i="1" u="none" strike="noStrike">
              <a:solidFill>
                <a:schemeClr val="tx2"/>
              </a:solidFill>
              <a:latin typeface="Calibri"/>
            </a:rPr>
            <a:pPr algn="ctr"/>
            <a:t>#N/A</a:t>
          </a:fld>
          <a:endParaRPr lang="en-US" sz="1400" b="1" i="1">
            <a:solidFill>
              <a:schemeClr val="tx2"/>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2</xdr:row>
      <xdr:rowOff>57150</xdr:rowOff>
    </xdr:from>
    <xdr:to>
      <xdr:col>3</xdr:col>
      <xdr:colOff>2114550</xdr:colOff>
      <xdr:row>5</xdr:row>
      <xdr:rowOff>161925</xdr:rowOff>
    </xdr:to>
    <xdr:pic>
      <xdr:nvPicPr>
        <xdr:cNvPr id="2" name="Picture 4"/>
        <xdr:cNvPicPr>
          <a:picLocks noChangeAspect="1" noChangeArrowheads="1"/>
        </xdr:cNvPicPr>
      </xdr:nvPicPr>
      <xdr:blipFill>
        <a:blip xmlns:r="http://schemas.openxmlformats.org/officeDocument/2006/relationships" r:embed="rId1"/>
        <a:srcRect/>
        <a:stretch>
          <a:fillRect/>
        </a:stretch>
      </xdr:blipFill>
      <xdr:spPr bwMode="auto">
        <a:xfrm>
          <a:off x="1943100" y="447675"/>
          <a:ext cx="2286000" cy="676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ENFS1\DeptData$\My%20Documents\TEMPLATES\Annual%20Budget%20&amp;%20Quarterly%20Report%20Template\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ables/table1.xml><?xml version="1.0" encoding="utf-8"?>
<table xmlns="http://schemas.openxmlformats.org/spreadsheetml/2006/main" id="2" name="Table2" displayName="Table2" ref="B800:H945" totalsRowShown="0" dataDxfId="7">
  <autoFilter ref="B800:H945"/>
  <sortState ref="B801:H946">
    <sortCondition ref="B801:B946"/>
  </sortState>
  <tableColumns count="7">
    <tableColumn id="2" name="SCHOOLS" dataDxfId="6"/>
    <tableColumn id="3" name="YrOpen" dataDxfId="5"/>
    <tableColumn id="4" name="MergeYr" dataDxfId="4"/>
    <tableColumn id="5" name="MergeCorpID" dataDxfId="3"/>
    <tableColumn id="6" name="MergeName" dataDxfId="2"/>
    <tableColumn id="7" name="MergedEdCorp" dataDxfId="1"/>
    <tableColumn id="8" name="BS-NeedCode" dataDxfId="0">
      <calculatedColumnFormula>IF(ISBLANK(Table2[[#This Row],[MergedEdCorp]])=TRUE,0,IF(Table2[[#This Row],[MergedEdCorp]]=TRUE,1,2))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hyperlink" Target="http://www.contextures.com/xlDataVal03.html" TargetMode="External"/><Relationship Id="rId5" Type="http://schemas.openxmlformats.org/officeDocument/2006/relationships/comments" Target="../comments7.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63"/>
    <pageSetUpPr fitToPage="1"/>
  </sheetPr>
  <dimension ref="B1:J39"/>
  <sheetViews>
    <sheetView showGridLines="0" tabSelected="1" zoomScale="90" zoomScaleNormal="90" zoomScaleSheetLayoutView="100" workbookViewId="0">
      <selection activeCell="C3" sqref="C3"/>
    </sheetView>
  </sheetViews>
  <sheetFormatPr defaultColWidth="8.88671875" defaultRowHeight="15"/>
  <cols>
    <col min="1" max="1" width="5.6640625" style="1" customWidth="1"/>
    <col min="2" max="2" width="2.6640625" style="1" customWidth="1"/>
    <col min="3" max="3" width="4" style="1" customWidth="1"/>
    <col min="4" max="4" width="41.88671875" style="1" customWidth="1"/>
    <col min="5" max="5" width="65.5546875" style="1" customWidth="1"/>
    <col min="6" max="6" width="2.6640625" style="1" customWidth="1"/>
    <col min="7" max="16384" width="8.88671875" style="1"/>
  </cols>
  <sheetData>
    <row r="1" spans="2:10" ht="15.6" thickBot="1"/>
    <row r="2" spans="2:10">
      <c r="B2" s="181"/>
      <c r="C2" s="182"/>
      <c r="D2" s="182"/>
      <c r="E2" s="182"/>
      <c r="F2" s="183"/>
    </row>
    <row r="3" spans="2:10">
      <c r="B3" s="184"/>
      <c r="C3" s="69"/>
      <c r="D3" s="69"/>
      <c r="E3" s="69"/>
      <c r="F3" s="185"/>
    </row>
    <row r="4" spans="2:10">
      <c r="B4" s="184"/>
      <c r="C4" s="69"/>
      <c r="D4" s="69"/>
      <c r="E4" s="69"/>
      <c r="F4" s="185"/>
    </row>
    <row r="5" spans="2:10">
      <c r="B5" s="184"/>
      <c r="C5" s="69"/>
      <c r="D5" s="69"/>
      <c r="E5" s="69"/>
      <c r="F5" s="185"/>
    </row>
    <row r="6" spans="2:10">
      <c r="B6" s="184"/>
      <c r="C6" s="69"/>
      <c r="D6" s="69"/>
      <c r="E6" s="69"/>
      <c r="F6" s="185"/>
    </row>
    <row r="7" spans="2:10" ht="36">
      <c r="B7" s="186"/>
      <c r="C7" s="187" t="s">
        <v>368</v>
      </c>
      <c r="D7" s="188"/>
      <c r="E7" s="189"/>
      <c r="F7" s="190"/>
    </row>
    <row r="8" spans="2:10">
      <c r="B8" s="184"/>
      <c r="C8" s="179"/>
      <c r="D8" s="179"/>
      <c r="E8" s="69"/>
      <c r="F8" s="185"/>
    </row>
    <row r="9" spans="2:10">
      <c r="B9" s="184"/>
      <c r="C9" s="160" t="s">
        <v>376</v>
      </c>
      <c r="D9" s="160"/>
      <c r="E9" s="160"/>
      <c r="F9" s="185"/>
    </row>
    <row r="10" spans="2:10" ht="24.9" customHeight="1">
      <c r="B10" s="184"/>
      <c r="C10" s="195" t="s">
        <v>374</v>
      </c>
      <c r="E10" s="196"/>
      <c r="F10" s="185"/>
    </row>
    <row r="11" spans="2:10">
      <c r="B11" s="184"/>
      <c r="C11" s="197"/>
      <c r="D11" s="649" t="s">
        <v>154</v>
      </c>
      <c r="E11" s="598" t="s">
        <v>364</v>
      </c>
      <c r="F11" s="185"/>
    </row>
    <row r="12" spans="2:10">
      <c r="B12" s="703"/>
      <c r="C12" s="197"/>
      <c r="D12" s="706" t="s">
        <v>155</v>
      </c>
      <c r="E12" s="704" t="s">
        <v>1204</v>
      </c>
      <c r="F12" s="595"/>
    </row>
    <row r="13" spans="2:10" ht="24.9" customHeight="1">
      <c r="B13" s="184"/>
      <c r="C13" s="195" t="s">
        <v>375</v>
      </c>
      <c r="E13" s="69"/>
      <c r="F13" s="185"/>
    </row>
    <row r="14" spans="2:10" ht="30">
      <c r="B14" s="184"/>
      <c r="C14" s="69"/>
      <c r="D14" s="705" t="s">
        <v>357</v>
      </c>
      <c r="E14" s="597" t="s">
        <v>1247</v>
      </c>
      <c r="F14" s="185"/>
    </row>
    <row r="15" spans="2:10" ht="60">
      <c r="B15" s="184"/>
      <c r="C15" s="69"/>
      <c r="D15" s="705" t="s">
        <v>358</v>
      </c>
      <c r="E15" s="597" t="s">
        <v>1248</v>
      </c>
      <c r="F15" s="185"/>
    </row>
    <row r="16" spans="2:10" ht="45">
      <c r="B16" s="184"/>
      <c r="C16" s="69"/>
      <c r="D16" s="705" t="s">
        <v>359</v>
      </c>
      <c r="E16" s="597" t="s">
        <v>1249</v>
      </c>
      <c r="F16" s="185"/>
      <c r="J16" s="593"/>
    </row>
    <row r="17" spans="2:10" ht="180">
      <c r="B17" s="184"/>
      <c r="C17" s="69"/>
      <c r="D17" s="596" t="s">
        <v>360</v>
      </c>
      <c r="E17" s="597" t="s">
        <v>1252</v>
      </c>
      <c r="F17" s="595"/>
      <c r="J17" s="593"/>
    </row>
    <row r="18" spans="2:10" ht="75">
      <c r="B18" s="184"/>
      <c r="C18" s="69"/>
      <c r="D18" s="705" t="s">
        <v>361</v>
      </c>
      <c r="E18" s="597" t="s">
        <v>1251</v>
      </c>
      <c r="F18" s="595"/>
      <c r="J18" s="593"/>
    </row>
    <row r="19" spans="2:10" ht="105">
      <c r="B19" s="184"/>
      <c r="C19" s="69"/>
      <c r="D19" s="596" t="s">
        <v>362</v>
      </c>
      <c r="E19" s="597" t="s">
        <v>1254</v>
      </c>
      <c r="F19" s="595"/>
      <c r="J19" s="593"/>
    </row>
    <row r="20" spans="2:10">
      <c r="B20" s="184"/>
      <c r="C20" s="69"/>
      <c r="D20" s="596" t="s">
        <v>363</v>
      </c>
      <c r="E20" s="597" t="s">
        <v>367</v>
      </c>
      <c r="F20" s="595"/>
      <c r="J20" s="593"/>
    </row>
    <row r="21" spans="2:10">
      <c r="B21" s="184"/>
      <c r="C21" s="69"/>
      <c r="D21" s="593"/>
      <c r="E21" s="594"/>
      <c r="F21" s="595"/>
      <c r="J21" s="593"/>
    </row>
    <row r="22" spans="2:10">
      <c r="B22" s="184"/>
      <c r="C22" s="179"/>
      <c r="D22" s="199"/>
      <c r="E22" s="69"/>
      <c r="F22" s="185"/>
    </row>
    <row r="23" spans="2:10">
      <c r="B23" s="184"/>
      <c r="C23" s="160" t="s">
        <v>156</v>
      </c>
      <c r="D23" s="160"/>
      <c r="E23" s="160"/>
      <c r="F23" s="185"/>
    </row>
    <row r="24" spans="2:10" ht="24.9" customHeight="1">
      <c r="B24" s="184"/>
      <c r="C24" s="198"/>
      <c r="D24" s="198"/>
      <c r="E24" s="69"/>
      <c r="F24" s="185"/>
    </row>
    <row r="25" spans="2:10">
      <c r="B25" s="184"/>
      <c r="C25" s="161"/>
      <c r="D25" s="200" t="s">
        <v>163</v>
      </c>
      <c r="E25" s="201"/>
      <c r="F25" s="185"/>
    </row>
    <row r="26" spans="2:10" ht="5.0999999999999996" customHeight="1">
      <c r="B26" s="184"/>
      <c r="C26" s="162"/>
      <c r="D26" s="82"/>
      <c r="E26" s="201"/>
      <c r="F26" s="185"/>
    </row>
    <row r="27" spans="2:10">
      <c r="B27" s="184"/>
      <c r="C27" s="163"/>
      <c r="D27" s="200" t="s">
        <v>169</v>
      </c>
      <c r="E27" s="201"/>
      <c r="F27" s="185"/>
    </row>
    <row r="28" spans="2:10" ht="5.0999999999999996" customHeight="1">
      <c r="B28" s="184"/>
      <c r="C28" s="162"/>
      <c r="D28" s="200"/>
      <c r="E28" s="201"/>
      <c r="F28" s="185"/>
    </row>
    <row r="29" spans="2:10" s="180" customFormat="1" ht="31.5" customHeight="1">
      <c r="B29" s="191"/>
      <c r="C29" s="164"/>
      <c r="D29" s="962" t="s">
        <v>164</v>
      </c>
      <c r="E29" s="963"/>
      <c r="F29" s="193"/>
    </row>
    <row r="30" spans="2:10" ht="15" customHeight="1" thickBot="1">
      <c r="B30" s="192"/>
      <c r="C30" s="202"/>
      <c r="D30" s="202"/>
      <c r="E30" s="203"/>
      <c r="F30" s="658" t="s">
        <v>1265</v>
      </c>
    </row>
    <row r="31" spans="2:10" ht="15" customHeight="1">
      <c r="E31" s="82"/>
      <c r="F31" s="69"/>
    </row>
    <row r="32" spans="2:10" ht="15" customHeight="1">
      <c r="E32" s="82"/>
      <c r="F32" s="69"/>
    </row>
    <row r="33" spans="6:6">
      <c r="F33" s="69"/>
    </row>
    <row r="34" spans="6:6" ht="13.5" customHeight="1"/>
    <row r="35" spans="6:6" ht="15.75" customHeight="1"/>
    <row r="36" spans="6:6" ht="15" customHeight="1"/>
    <row r="37" spans="6:6" ht="12.75" customHeight="1"/>
    <row r="38" spans="6:6" ht="12.75" customHeight="1"/>
    <row r="39" spans="6:6" ht="12.75" customHeight="1"/>
  </sheetData>
  <sheetProtection password="CA09" sheet="1" objects="1" scenarios="1"/>
  <customSheetViews>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s>
  <mergeCells count="1">
    <mergeCell ref="D29:E29"/>
  </mergeCells>
  <phoneticPr fontId="4" type="noConversion"/>
  <hyperlinks>
    <hyperlink ref="D11" location="INSTRUCTIONS!A1" display="Instructions"/>
    <hyperlink ref="D14" location="'1.) Name of School'!A1" display="1.) Name of School"/>
    <hyperlink ref="D15" location="'2.) Enrollment'!A1" display="2.) Enrollment"/>
    <hyperlink ref="D16" location="'3.) Staffing Plan'!A1" display="3.) Staffing Plan"/>
    <hyperlink ref="D17" location="'4.) Yearly Budget'!A1" display="4.) Yearly Budget"/>
    <hyperlink ref="D18" location="'5.) Balance Sheet'!A1" display="5.) Balance Sheet"/>
    <hyperlink ref="D19" location="'6.) Quarterly Report'!A1" display="6.) Quarterly Report"/>
    <hyperlink ref="D20" location="'7.) Annual Report Requirement'!A1" display="7.) Annual Report Requirement"/>
    <hyperlink ref="D12" location="'Funding by District'!A1" display="Funding by District"/>
  </hyperlinks>
  <printOptions horizontalCentered="1"/>
  <pageMargins left="0.7" right="0.7" top="0.85" bottom="0.75" header="0.3" footer="0.3"/>
  <pageSetup scale="7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sheetPr>
  <dimension ref="A1:AH988"/>
  <sheetViews>
    <sheetView workbookViewId="0"/>
  </sheetViews>
  <sheetFormatPr defaultColWidth="9.109375" defaultRowHeight="15"/>
  <cols>
    <col min="1" max="1" width="9.109375" style="7"/>
    <col min="2" max="2" width="51.33203125" style="4" customWidth="1"/>
    <col min="3" max="3" width="11.5546875" style="4" customWidth="1"/>
    <col min="4" max="4" width="15.6640625" style="4" customWidth="1"/>
    <col min="5" max="5" width="17.33203125" style="4" customWidth="1"/>
    <col min="6" max="6" width="52.6640625" style="4" customWidth="1"/>
    <col min="7" max="8" width="15.6640625" style="4" customWidth="1"/>
    <col min="9" max="9" width="18.109375" style="4" customWidth="1"/>
    <col min="10" max="10" width="13.88671875" style="36" customWidth="1"/>
    <col min="11" max="11" width="27.5546875" style="22" customWidth="1"/>
    <col min="12" max="15" width="12.6640625" style="4" customWidth="1"/>
    <col min="16" max="16" width="13.88671875" style="4" customWidth="1"/>
    <col min="17" max="17" width="12.6640625" style="4" customWidth="1"/>
    <col min="18" max="18" width="12.6640625" customWidth="1"/>
    <col min="19" max="19" width="20.5546875" bestFit="1" customWidth="1"/>
    <col min="20" max="23" width="11.33203125" customWidth="1"/>
    <col min="24" max="24" width="14.6640625" bestFit="1" customWidth="1"/>
    <col min="25" max="25" width="16.6640625" bestFit="1" customWidth="1"/>
    <col min="26" max="29" width="11.33203125" bestFit="1" customWidth="1"/>
    <col min="30" max="30" width="8.88671875"/>
    <col min="31" max="31" width="17.6640625" customWidth="1"/>
    <col min="32" max="32" width="6.109375" bestFit="1" customWidth="1"/>
    <col min="33" max="34" width="8.88671875" customWidth="1"/>
    <col min="35" max="16384" width="9.109375" style="4"/>
  </cols>
  <sheetData>
    <row r="1" spans="1:34" ht="18">
      <c r="A1" s="24" t="s">
        <v>119</v>
      </c>
      <c r="L1"/>
      <c r="M1"/>
      <c r="N1"/>
      <c r="O1"/>
      <c r="P1"/>
      <c r="Q1"/>
    </row>
    <row r="2" spans="1:34" ht="18">
      <c r="A2" s="24"/>
      <c r="J2" s="22"/>
      <c r="L2"/>
      <c r="M2"/>
      <c r="N2"/>
      <c r="O2"/>
      <c r="P2"/>
      <c r="Q2"/>
    </row>
    <row r="3" spans="1:34" ht="31.2" thickBot="1">
      <c r="A3" s="24"/>
      <c r="J3" s="37" t="s">
        <v>134</v>
      </c>
      <c r="K3" s="38" t="s">
        <v>166</v>
      </c>
      <c r="L3"/>
      <c r="N3"/>
      <c r="O3"/>
      <c r="P3"/>
      <c r="Q3"/>
    </row>
    <row r="4" spans="1:34" ht="18.600000000000001" thickBot="1">
      <c r="A4" s="33" t="s">
        <v>141</v>
      </c>
      <c r="B4" s="34"/>
      <c r="L4"/>
      <c r="M4" s="1047" t="s">
        <v>1231</v>
      </c>
      <c r="N4" s="1048"/>
      <c r="O4" s="1049"/>
      <c r="P4"/>
      <c r="Q4"/>
    </row>
    <row r="5" spans="1:34" ht="18">
      <c r="A5" s="24"/>
      <c r="B5" s="4" t="s">
        <v>135</v>
      </c>
      <c r="E5" s="12" t="s">
        <v>136</v>
      </c>
      <c r="F5" s="13"/>
      <c r="G5" s="13"/>
      <c r="H5" s="14"/>
      <c r="I5" s="15" t="str">
        <f>UPPER('1.) Name of School'!C9)</f>
        <v/>
      </c>
      <c r="J5" s="38">
        <f>IF(I5="Select SCHOOL or MERGED EDCORP from drop-down list→",0,1)</f>
        <v>1</v>
      </c>
      <c r="L5"/>
      <c r="M5" s="882" t="s">
        <v>1227</v>
      </c>
      <c r="N5" s="877" t="s">
        <v>1228</v>
      </c>
      <c r="O5" s="883" t="s">
        <v>1229</v>
      </c>
      <c r="P5"/>
      <c r="Q5"/>
    </row>
    <row r="6" spans="1:34" ht="18">
      <c r="A6" s="25"/>
      <c r="B6" s="4" t="s">
        <v>137</v>
      </c>
      <c r="E6" s="12" t="s">
        <v>136</v>
      </c>
      <c r="F6" s="13"/>
      <c r="G6" s="13"/>
      <c r="H6" s="14"/>
      <c r="I6" s="15" t="str">
        <f>'1.) Name of School'!D13</f>
        <v>enter name</v>
      </c>
      <c r="J6" s="38">
        <f>IF(I6="enter name",0,1)</f>
        <v>0</v>
      </c>
      <c r="M6" s="878" t="s">
        <v>196</v>
      </c>
      <c r="N6" s="874">
        <f>COUNTIF('6.) Quarterly Report'!I6:I9,"&gt;0")</f>
        <v>0</v>
      </c>
      <c r="O6" s="879" t="b">
        <f>IF(N6&gt;0,1)</f>
        <v>0</v>
      </c>
      <c r="P6"/>
      <c r="Q6"/>
    </row>
    <row r="7" spans="1:34" ht="18">
      <c r="A7" s="25"/>
      <c r="B7" s="4" t="s">
        <v>138</v>
      </c>
      <c r="E7" s="12" t="s">
        <v>136</v>
      </c>
      <c r="F7" s="13"/>
      <c r="G7" s="13"/>
      <c r="H7" s="14"/>
      <c r="I7" s="15" t="str">
        <f>'1.) Name of School'!D14</f>
        <v>enter title</v>
      </c>
      <c r="J7" s="38">
        <f>IF(I7="enter title",0,1)</f>
        <v>0</v>
      </c>
      <c r="M7" s="878" t="s">
        <v>197</v>
      </c>
      <c r="N7" s="874">
        <f>COUNTIF('6.) Quarterly Report'!L6:L9,"&gt;0")</f>
        <v>0</v>
      </c>
      <c r="O7" s="879" t="b">
        <f>IF(N7&gt;0,2)</f>
        <v>0</v>
      </c>
      <c r="P7"/>
      <c r="Q7"/>
    </row>
    <row r="8" spans="1:34" ht="18">
      <c r="A8" s="25"/>
      <c r="B8" s="4" t="s">
        <v>139</v>
      </c>
      <c r="E8" s="12" t="s">
        <v>136</v>
      </c>
      <c r="F8" s="13"/>
      <c r="G8" s="13"/>
      <c r="H8" s="14"/>
      <c r="I8" s="15" t="str">
        <f>'1.) Name of School'!D15</f>
        <v>enter email address</v>
      </c>
      <c r="J8" s="38">
        <f>IF(I8="enter email address",0,1)</f>
        <v>0</v>
      </c>
      <c r="M8" s="878" t="s">
        <v>198</v>
      </c>
      <c r="N8" s="874">
        <f>COUNTIF('6.) Quarterly Report'!O6:O9,"&gt;0")</f>
        <v>0</v>
      </c>
      <c r="O8" s="879" t="b">
        <f>IF(N8&gt;0,3)</f>
        <v>0</v>
      </c>
      <c r="P8"/>
      <c r="Q8"/>
    </row>
    <row r="9" spans="1:34" ht="18.600000000000001" thickBot="1">
      <c r="A9" s="25"/>
      <c r="B9" s="4" t="s">
        <v>140</v>
      </c>
      <c r="E9" s="12" t="s">
        <v>136</v>
      </c>
      <c r="F9" s="13"/>
      <c r="G9" s="13"/>
      <c r="H9" s="14"/>
      <c r="I9" s="15" t="str">
        <f>'1.) Name of School'!D16</f>
        <v>enter phone number</v>
      </c>
      <c r="J9" s="38">
        <f>IF(I9="enter phone number",0,1)</f>
        <v>0</v>
      </c>
      <c r="M9" s="880" t="s">
        <v>199</v>
      </c>
      <c r="N9" s="876">
        <f>COUNTIF('6.) Quarterly Report'!R6:R9,"&gt;0")</f>
        <v>0</v>
      </c>
      <c r="O9" s="881" t="b">
        <f>IF(N9&gt;0,4)</f>
        <v>0</v>
      </c>
      <c r="P9"/>
      <c r="Q9"/>
    </row>
    <row r="10" spans="1:34" ht="18.600000000000001" thickBot="1">
      <c r="A10" s="24"/>
      <c r="E10"/>
      <c r="F10"/>
      <c r="G10"/>
      <c r="H10"/>
      <c r="I10"/>
      <c r="J10" s="38"/>
      <c r="L10"/>
      <c r="M10" s="884" t="s">
        <v>1230</v>
      </c>
      <c r="N10" s="885"/>
      <c r="O10" s="886">
        <f>MAX(O6:O9)</f>
        <v>0</v>
      </c>
      <c r="P10"/>
      <c r="Q10"/>
    </row>
    <row r="11" spans="1:34" ht="30.75" customHeight="1" thickBot="1">
      <c r="E11" s="32" t="s">
        <v>291</v>
      </c>
      <c r="J11" s="22"/>
      <c r="L11"/>
      <c r="M11" s="1044" t="s">
        <v>1232</v>
      </c>
      <c r="N11" s="1045"/>
      <c r="O11" s="1046"/>
      <c r="P11"/>
      <c r="Q11"/>
    </row>
    <row r="12" spans="1:34" ht="15.6" thickBot="1">
      <c r="A12" s="4"/>
      <c r="E12" s="12" t="s">
        <v>130</v>
      </c>
      <c r="F12" s="13"/>
      <c r="G12" s="13"/>
      <c r="H12" s="14"/>
      <c r="I12" s="15" t="str">
        <f>AcadYr1</f>
        <v>2016-17</v>
      </c>
      <c r="J12" s="36">
        <f>IF(I12=B15,0,1)</f>
        <v>1</v>
      </c>
      <c r="L12"/>
      <c r="M12" s="1050" t="str">
        <f>IF(QTR&gt;0,"QUARTER "&amp;QTR,"")</f>
        <v/>
      </c>
      <c r="N12" s="1051"/>
      <c r="O12" s="1052"/>
      <c r="P12"/>
      <c r="Q12"/>
    </row>
    <row r="13" spans="1:34">
      <c r="A13" s="35" t="s">
        <v>120</v>
      </c>
      <c r="L13"/>
      <c r="N13"/>
      <c r="O13"/>
      <c r="P13"/>
      <c r="Q13"/>
    </row>
    <row r="14" spans="1:34" s="6" customFormat="1">
      <c r="A14" s="7" t="s">
        <v>128</v>
      </c>
      <c r="B14" s="6" t="s">
        <v>127</v>
      </c>
      <c r="C14" s="5" t="s">
        <v>121</v>
      </c>
      <c r="E14" s="11" t="s">
        <v>129</v>
      </c>
      <c r="F14" s="9"/>
      <c r="G14" s="9"/>
      <c r="H14" s="9"/>
      <c r="I14" s="10"/>
      <c r="J14" s="38"/>
      <c r="K14" s="39"/>
      <c r="L14"/>
      <c r="M14"/>
      <c r="N14"/>
      <c r="O14"/>
      <c r="P14"/>
      <c r="Q14"/>
      <c r="R14"/>
      <c r="S14"/>
      <c r="T14"/>
      <c r="U14"/>
      <c r="V14"/>
      <c r="W14"/>
      <c r="X14"/>
      <c r="Y14"/>
      <c r="Z14"/>
      <c r="AA14"/>
      <c r="AB14"/>
      <c r="AC14"/>
      <c r="AD14"/>
      <c r="AE14"/>
      <c r="AF14"/>
      <c r="AG14"/>
      <c r="AH14"/>
    </row>
    <row r="15" spans="1:34">
      <c r="A15" s="4">
        <v>0</v>
      </c>
      <c r="B15" s="1" t="s">
        <v>1200</v>
      </c>
      <c r="E15" s="8" t="s">
        <v>125</v>
      </c>
      <c r="F15" s="8" t="s">
        <v>124</v>
      </c>
      <c r="G15" s="8" t="s">
        <v>126</v>
      </c>
      <c r="H15" s="8" t="s">
        <v>122</v>
      </c>
      <c r="I15" s="8" t="s">
        <v>123</v>
      </c>
      <c r="L15"/>
      <c r="M15"/>
      <c r="N15"/>
      <c r="O15"/>
      <c r="P15"/>
      <c r="Q15"/>
    </row>
    <row r="16" spans="1:34">
      <c r="A16" s="4">
        <v>1</v>
      </c>
      <c r="B16" s="1" t="str">
        <f t="shared" ref="B16:B24" ca="1" si="0">C16&amp;"-"&amp;RIGHT(C17,2)</f>
        <v>2015-16</v>
      </c>
      <c r="C16" s="3">
        <f ca="1">YEAR(NOW())-1</f>
        <v>2015</v>
      </c>
      <c r="E16" s="8" t="s">
        <v>103</v>
      </c>
      <c r="F16" s="8">
        <f ca="1">IFERROR(MATCH(AcadYr1,$B$16:$B$20,0),"")</f>
        <v>2</v>
      </c>
      <c r="G16" s="8" t="str">
        <f>IF(AcadYr1=B15,"",AcadYr1)</f>
        <v>2016-17</v>
      </c>
      <c r="H16" s="8">
        <f ca="1">IFERROR(VLOOKUP(F16,$A$16:$C$25,3),"")</f>
        <v>2016</v>
      </c>
      <c r="I16" s="8">
        <f ca="1">IFERROR(H16+1,"")</f>
        <v>2017</v>
      </c>
      <c r="L16"/>
      <c r="M16"/>
      <c r="N16"/>
      <c r="O16"/>
      <c r="P16"/>
      <c r="Q16"/>
    </row>
    <row r="17" spans="1:17">
      <c r="A17" s="4">
        <v>2</v>
      </c>
      <c r="B17" s="1" t="str">
        <f t="shared" ca="1" si="0"/>
        <v>2016-17</v>
      </c>
      <c r="C17" s="3">
        <f t="shared" ref="C17:C25" ca="1" si="1">C16+1</f>
        <v>2016</v>
      </c>
      <c r="E17" s="8" t="s">
        <v>104</v>
      </c>
      <c r="F17" s="8">
        <f ca="1">IFERROR(F16+1,"")</f>
        <v>3</v>
      </c>
      <c r="G17" s="8" t="str">
        <f ca="1">IFERROR(VLOOKUP(F17,$A$16:$C$25,2),"")</f>
        <v>2017-18</v>
      </c>
      <c r="H17" s="8">
        <f ca="1">IFERROR(VLOOKUP(F17,$A$16:$C$25,3),"")</f>
        <v>2017</v>
      </c>
      <c r="I17" s="8">
        <f ca="1">IFERROR(H17+1,"")</f>
        <v>2018</v>
      </c>
      <c r="L17"/>
      <c r="M17"/>
      <c r="N17"/>
      <c r="O17"/>
      <c r="P17"/>
      <c r="Q17"/>
    </row>
    <row r="18" spans="1:17">
      <c r="A18" s="4">
        <v>3</v>
      </c>
      <c r="B18" s="1" t="str">
        <f t="shared" ca="1" si="0"/>
        <v>2017-18</v>
      </c>
      <c r="C18" s="2">
        <f t="shared" ca="1" si="1"/>
        <v>2017</v>
      </c>
      <c r="E18" s="8" t="s">
        <v>105</v>
      </c>
      <c r="F18" s="8">
        <f ca="1">IFERROR(F17+1,"")</f>
        <v>4</v>
      </c>
      <c r="G18" s="8" t="str">
        <f ca="1">IFERROR(VLOOKUP(F18,$A$16:$C$25,2),"")</f>
        <v>2018-19</v>
      </c>
      <c r="H18" s="8">
        <f ca="1">IFERROR(VLOOKUP(F18,$A$16:$C$25,3),"")</f>
        <v>2018</v>
      </c>
      <c r="I18" s="8">
        <f ca="1">IFERROR(H18+1,"")</f>
        <v>2019</v>
      </c>
      <c r="L18"/>
      <c r="M18"/>
      <c r="N18"/>
      <c r="O18"/>
      <c r="P18"/>
      <c r="Q18"/>
    </row>
    <row r="19" spans="1:17">
      <c r="A19" s="4">
        <v>4</v>
      </c>
      <c r="B19" s="1" t="str">
        <f t="shared" ca="1" si="0"/>
        <v>2018-19</v>
      </c>
      <c r="C19" s="2">
        <f t="shared" ca="1" si="1"/>
        <v>2018</v>
      </c>
      <c r="E19" s="8" t="s">
        <v>106</v>
      </c>
      <c r="F19" s="8">
        <f ca="1">IFERROR(F18+1,"")</f>
        <v>5</v>
      </c>
      <c r="G19" s="8" t="str">
        <f ca="1">IFERROR(VLOOKUP(F19,$A$16:$C$25,2),"")</f>
        <v>2019-20</v>
      </c>
      <c r="H19" s="8">
        <f ca="1">IFERROR(VLOOKUP(F19,$A$16:$C$25,3),"")</f>
        <v>2019</v>
      </c>
      <c r="I19" s="8">
        <f ca="1">IFERROR(H19+1,"")</f>
        <v>2020</v>
      </c>
      <c r="L19"/>
      <c r="M19"/>
      <c r="N19"/>
      <c r="O19"/>
      <c r="P19"/>
      <c r="Q19"/>
    </row>
    <row r="20" spans="1:17">
      <c r="A20" s="4">
        <v>5</v>
      </c>
      <c r="B20" s="1" t="str">
        <f t="shared" ca="1" si="0"/>
        <v>2019-20</v>
      </c>
      <c r="C20" s="2">
        <f t="shared" ca="1" si="1"/>
        <v>2019</v>
      </c>
      <c r="E20" s="8" t="s">
        <v>107</v>
      </c>
      <c r="F20" s="8">
        <f ca="1">IFERROR(F19+1,"")</f>
        <v>6</v>
      </c>
      <c r="G20" s="8" t="str">
        <f ca="1">IFERROR(VLOOKUP(F20,$A$16:$C$25,2),"")</f>
        <v>2020-21</v>
      </c>
      <c r="H20" s="8">
        <f ca="1">IFERROR(VLOOKUP(F20,$A$16:$C$25,3),"")</f>
        <v>2020</v>
      </c>
      <c r="I20" s="8">
        <f ca="1">IFERROR(H20+1,"")</f>
        <v>2021</v>
      </c>
    </row>
    <row r="21" spans="1:17">
      <c r="A21" s="4">
        <v>6</v>
      </c>
      <c r="B21" s="1" t="str">
        <f t="shared" ca="1" si="0"/>
        <v>2020-21</v>
      </c>
      <c r="C21" s="2">
        <f t="shared" ca="1" si="1"/>
        <v>2020</v>
      </c>
      <c r="J21" s="40"/>
      <c r="L21"/>
      <c r="M21"/>
    </row>
    <row r="22" spans="1:17">
      <c r="A22" s="4">
        <v>7</v>
      </c>
      <c r="B22" s="1" t="str">
        <f t="shared" ca="1" si="0"/>
        <v>2021-22</v>
      </c>
      <c r="C22" s="2">
        <f t="shared" ca="1" si="1"/>
        <v>2021</v>
      </c>
      <c r="E22" s="17" t="s">
        <v>193</v>
      </c>
      <c r="F22" s="47"/>
      <c r="G22" s="47"/>
      <c r="H22" s="47"/>
      <c r="I22" s="23" t="str">
        <f>IF(INDEX(Table2[[#All],[YrOpen]],MATCH('1.) Name of School'!D11,Table2[[#All],[SCHOOLS]],0))=VALUE(LEFT(AcadYr1,4)),"Planning Year",IFERROR(LEFT(I12,4)-1&amp;"-"&amp;MID(I12,3,2),""))</f>
        <v>2015-16</v>
      </c>
      <c r="J22" s="40"/>
      <c r="L22"/>
      <c r="M22"/>
    </row>
    <row r="23" spans="1:17">
      <c r="A23" s="4">
        <v>8</v>
      </c>
      <c r="B23" s="1" t="str">
        <f t="shared" ca="1" si="0"/>
        <v>2022-23</v>
      </c>
      <c r="C23" s="2">
        <f t="shared" ca="1" si="1"/>
        <v>2022</v>
      </c>
      <c r="J23" s="40"/>
      <c r="L23"/>
      <c r="M23"/>
    </row>
    <row r="24" spans="1:17">
      <c r="A24" s="4">
        <v>9</v>
      </c>
      <c r="B24" s="1" t="str">
        <f t="shared" ca="1" si="0"/>
        <v>2023-24</v>
      </c>
      <c r="C24" s="2">
        <f t="shared" ca="1" si="1"/>
        <v>2023</v>
      </c>
      <c r="J24" s="40"/>
      <c r="L24"/>
      <c r="M24"/>
    </row>
    <row r="25" spans="1:17">
      <c r="A25" s="4">
        <v>10</v>
      </c>
      <c r="B25" s="1" t="str">
        <f ca="1">C25&amp;"-"&amp;RIGHT(C25+1,2)</f>
        <v>2024-25</v>
      </c>
      <c r="C25" s="2">
        <f t="shared" ca="1" si="1"/>
        <v>2024</v>
      </c>
      <c r="J25" s="40"/>
      <c r="L25"/>
      <c r="M25"/>
    </row>
    <row r="26" spans="1:17">
      <c r="J26" s="40"/>
      <c r="L26"/>
      <c r="M26"/>
    </row>
    <row r="27" spans="1:17">
      <c r="J27" s="40"/>
      <c r="K27" s="30"/>
      <c r="L27"/>
      <c r="M27"/>
    </row>
    <row r="28" spans="1:17">
      <c r="A28" s="35" t="s">
        <v>191</v>
      </c>
      <c r="E28" s="178"/>
      <c r="F28" s="14"/>
      <c r="G28" s="236"/>
      <c r="H28" s="14"/>
      <c r="I28" s="15"/>
    </row>
    <row r="29" spans="1:17">
      <c r="A29" s="7" t="s">
        <v>128</v>
      </c>
      <c r="B29" s="4" t="s">
        <v>133</v>
      </c>
      <c r="E29" s="16"/>
    </row>
    <row r="30" spans="1:17">
      <c r="A30" s="7">
        <v>0</v>
      </c>
      <c r="B30" s="1" t="s">
        <v>1200</v>
      </c>
      <c r="E30"/>
      <c r="F30"/>
      <c r="G30"/>
      <c r="H30"/>
    </row>
    <row r="31" spans="1:17">
      <c r="A31" s="7">
        <v>1</v>
      </c>
      <c r="B31" s="4" t="s">
        <v>192</v>
      </c>
      <c r="E31"/>
      <c r="F31"/>
      <c r="G31"/>
      <c r="H31"/>
      <c r="I31"/>
    </row>
    <row r="32" spans="1:17">
      <c r="A32" s="7">
        <v>2</v>
      </c>
      <c r="B32" s="4" t="s">
        <v>192</v>
      </c>
      <c r="E32"/>
      <c r="F32"/>
      <c r="G32"/>
      <c r="H32"/>
      <c r="I32"/>
    </row>
    <row r="33" spans="1:16">
      <c r="C33"/>
    </row>
    <row r="35" spans="1:16">
      <c r="A35" s="35" t="s">
        <v>152</v>
      </c>
      <c r="E35" s="46" t="s">
        <v>153</v>
      </c>
      <c r="F35" s="47"/>
      <c r="G35" s="47"/>
      <c r="H35" s="47"/>
      <c r="I35" s="23" t="str">
        <f>MID('Funding by District'!$F$5,FIND(" 2",'Funding by District'!$F$5)+1,7)</f>
        <v>2016-17</v>
      </c>
    </row>
    <row r="36" spans="1:16">
      <c r="K36" s="30"/>
    </row>
    <row r="37" spans="1:16">
      <c r="A37" s="35" t="s">
        <v>142</v>
      </c>
      <c r="C37" s="1"/>
      <c r="K37" s="30"/>
    </row>
    <row r="38" spans="1:16">
      <c r="A38" s="7">
        <v>1</v>
      </c>
      <c r="B38" s="18" t="s">
        <v>373</v>
      </c>
      <c r="C38" s="19"/>
      <c r="D38" s="19"/>
      <c r="E38" s="19"/>
      <c r="F38" s="19"/>
      <c r="G38" s="19"/>
      <c r="H38" s="19"/>
      <c r="I38" s="20"/>
      <c r="K38" s="30"/>
      <c r="L38" s="22"/>
      <c r="M38" s="22"/>
      <c r="N38" s="22"/>
      <c r="O38" s="22"/>
      <c r="P38" s="22"/>
    </row>
    <row r="39" spans="1:16">
      <c r="A39" s="7">
        <v>2</v>
      </c>
      <c r="B39" s="18" t="s">
        <v>372</v>
      </c>
      <c r="C39" s="19"/>
      <c r="D39" s="19"/>
      <c r="E39" s="19"/>
      <c r="F39" s="19"/>
      <c r="G39" s="19"/>
      <c r="H39" s="19"/>
      <c r="I39" s="20"/>
      <c r="K39" s="30"/>
    </row>
    <row r="40" spans="1:16">
      <c r="A40" s="7">
        <v>3</v>
      </c>
      <c r="B40" s="230" t="s">
        <v>185</v>
      </c>
      <c r="C40" s="231"/>
      <c r="D40" s="231"/>
      <c r="E40" s="231"/>
      <c r="F40" s="231"/>
      <c r="G40" s="231"/>
      <c r="H40" s="231"/>
      <c r="I40" s="232"/>
    </row>
    <row r="42" spans="1:16">
      <c r="A42" s="35" t="s">
        <v>145</v>
      </c>
    </row>
    <row r="43" spans="1:16">
      <c r="A43" s="7">
        <v>0</v>
      </c>
      <c r="B43" s="1" t="s">
        <v>1201</v>
      </c>
    </row>
    <row r="44" spans="1:16">
      <c r="A44" s="7">
        <v>1</v>
      </c>
      <c r="B44" s="4" t="s">
        <v>146</v>
      </c>
    </row>
    <row r="45" spans="1:16">
      <c r="A45" s="7">
        <v>2</v>
      </c>
      <c r="B45" s="4" t="s">
        <v>147</v>
      </c>
    </row>
    <row r="46" spans="1:16">
      <c r="A46" s="7">
        <v>3</v>
      </c>
      <c r="B46" s="4" t="s">
        <v>148</v>
      </c>
    </row>
    <row r="48" spans="1:16" ht="15.6" thickBot="1">
      <c r="A48" s="35" t="s">
        <v>143</v>
      </c>
    </row>
    <row r="49" spans="1:23" ht="15" customHeight="1">
      <c r="B49" s="45" t="s">
        <v>151</v>
      </c>
      <c r="D49"/>
      <c r="E49"/>
      <c r="F49"/>
      <c r="G49"/>
      <c r="H49"/>
      <c r="I49"/>
      <c r="K49"/>
      <c r="L49"/>
      <c r="M49"/>
      <c r="N49"/>
      <c r="O49"/>
      <c r="P49"/>
      <c r="Q49"/>
    </row>
    <row r="50" spans="1:23" ht="15.6" thickBot="1">
      <c r="B50" s="235" t="s">
        <v>149</v>
      </c>
      <c r="C50" s="1039" t="s">
        <v>188</v>
      </c>
      <c r="D50"/>
      <c r="E50"/>
      <c r="F50" s="490" t="s">
        <v>334</v>
      </c>
      <c r="G50"/>
      <c r="H50"/>
      <c r="I50"/>
      <c r="K50"/>
      <c r="L50" s="490" t="s">
        <v>335</v>
      </c>
      <c r="M50"/>
      <c r="N50"/>
      <c r="O50"/>
      <c r="P50"/>
      <c r="Q50"/>
      <c r="T50" s="490" t="s">
        <v>143</v>
      </c>
    </row>
    <row r="51" spans="1:23">
      <c r="B51" s="32"/>
      <c r="C51" s="1040"/>
      <c r="D51"/>
      <c r="E51" s="32" t="s">
        <v>336</v>
      </c>
      <c r="F51" s="656" t="s">
        <v>196</v>
      </c>
      <c r="G51" s="656" t="s">
        <v>197</v>
      </c>
      <c r="H51" s="656" t="s">
        <v>198</v>
      </c>
      <c r="I51" s="657" t="s">
        <v>199</v>
      </c>
      <c r="J51" s="924" t="s">
        <v>1239</v>
      </c>
      <c r="K51"/>
      <c r="L51" s="656" t="s">
        <v>196</v>
      </c>
      <c r="M51" s="656" t="s">
        <v>197</v>
      </c>
      <c r="N51" s="656" t="s">
        <v>198</v>
      </c>
      <c r="O51" s="657" t="s">
        <v>199</v>
      </c>
      <c r="P51" s="924" t="s">
        <v>1239</v>
      </c>
      <c r="Q51"/>
      <c r="T51" s="491" t="s">
        <v>196</v>
      </c>
      <c r="U51" s="491" t="s">
        <v>197</v>
      </c>
      <c r="V51" s="491" t="s">
        <v>198</v>
      </c>
      <c r="W51" s="492" t="s">
        <v>199</v>
      </c>
    </row>
    <row r="52" spans="1:23">
      <c r="A52" s="4">
        <v>1</v>
      </c>
      <c r="B52" s="482" t="str">
        <f>IF(OR('2.) Enrollment'!C22=$B$109,ISBLANK('2.) Enrollment'!C22)),"-",'2.) Enrollment'!C22)</f>
        <v>-</v>
      </c>
      <c r="C52" s="234">
        <f>IFERROR(VLOOKUP($B52,'Funding by District'!$D$6:$F$684,3,FALSE),0)</f>
        <v>0</v>
      </c>
      <c r="D52"/>
      <c r="E52">
        <f>SUM(T52:W52)/4</f>
        <v>0</v>
      </c>
      <c r="F52" s="323">
        <f>$C52*'2.) Enrollment'!G22*'4.) Yearly Budget'!$J$17</f>
        <v>0</v>
      </c>
      <c r="G52" s="323">
        <f>$C52*'2.) Enrollment'!I22*'4.) Yearly Budget'!$M$17</f>
        <v>0</v>
      </c>
      <c r="H52" s="323">
        <f>$C52*'2.) Enrollment'!K22*'4.) Yearly Budget'!$P$17</f>
        <v>0</v>
      </c>
      <c r="I52" s="323">
        <f>$C52*'2.) Enrollment'!M22*'4.) Yearly Budget'!$S$17</f>
        <v>0</v>
      </c>
      <c r="J52" s="925">
        <f>SUM(F52:I52)</f>
        <v>0</v>
      </c>
      <c r="K52"/>
      <c r="L52" s="323">
        <f>$C52*'2.) Enrollment'!H22*'4.) Yearly Budget'!$K$17</f>
        <v>0</v>
      </c>
      <c r="M52" s="323">
        <f>$C52*'2.) Enrollment'!J22*'4.) Yearly Budget'!$N$17</f>
        <v>0</v>
      </c>
      <c r="N52" s="323">
        <f>$C52*'2.) Enrollment'!L22*'4.) Yearly Budget'!$Q$17</f>
        <v>0</v>
      </c>
      <c r="O52" s="323">
        <f>$C52*'2.) Enrollment'!N22*'4.) Yearly Budget'!$T$17</f>
        <v>0</v>
      </c>
      <c r="P52" s="925">
        <f>SUM(L52:O52)</f>
        <v>0</v>
      </c>
      <c r="Q52"/>
      <c r="T52">
        <f>IF(ISBLANK('2.) Enrollment'!H22)=TRUE,'2.) Enrollment'!G22,'2.) Enrollment'!H22)</f>
        <v>0</v>
      </c>
      <c r="U52">
        <f>IF(ISBLANK('2.) Enrollment'!J22)=TRUE,'2.) Enrollment'!I22,'2.) Enrollment'!J22)</f>
        <v>0</v>
      </c>
      <c r="V52">
        <f>IF(ISBLANK('2.) Enrollment'!L22)=TRUE,'2.) Enrollment'!K22,'2.) Enrollment'!L22)</f>
        <v>0</v>
      </c>
      <c r="W52">
        <f>IF(ISBLANK('2.) Enrollment'!N22)=TRUE,'2.) Enrollment'!M22,'2.) Enrollment'!N22)</f>
        <v>0</v>
      </c>
    </row>
    <row r="53" spans="1:23">
      <c r="A53" s="4">
        <v>2</v>
      </c>
      <c r="B53" s="482" t="str">
        <f>IF(OR('2.) Enrollment'!C23=$B$109,ISBLANK('2.) Enrollment'!C23)),"-",'2.) Enrollment'!C23)</f>
        <v>-</v>
      </c>
      <c r="C53" s="234">
        <f>IFERROR(VLOOKUP($B53,'Funding by District'!$D$6:$F$684,3,FALSE),0)</f>
        <v>0</v>
      </c>
      <c r="D53"/>
      <c r="E53">
        <f t="shared" ref="E53:E101" si="2">SUM(T53:W53)/4</f>
        <v>0</v>
      </c>
      <c r="F53" s="323">
        <f>$C53*'2.) Enrollment'!G23*'4.) Yearly Budget'!$J$17</f>
        <v>0</v>
      </c>
      <c r="G53" s="323">
        <f>$C53*'2.) Enrollment'!I23*'4.) Yearly Budget'!$M$17</f>
        <v>0</v>
      </c>
      <c r="H53" s="323">
        <f>$C53*'2.) Enrollment'!K23*'4.) Yearly Budget'!$P$17</f>
        <v>0</v>
      </c>
      <c r="I53" s="323">
        <f>$C53*'2.) Enrollment'!M23*'4.) Yearly Budget'!$S$17</f>
        <v>0</v>
      </c>
      <c r="J53" s="925">
        <f t="shared" ref="J53:J101" si="3">SUM(F53:I53)</f>
        <v>0</v>
      </c>
      <c r="K53"/>
      <c r="L53" s="323">
        <f>$C53*'2.) Enrollment'!H23*'4.) Yearly Budget'!$K$17</f>
        <v>0</v>
      </c>
      <c r="M53" s="323">
        <f>$C53*'2.) Enrollment'!J23*'4.) Yearly Budget'!$N$17</f>
        <v>0</v>
      </c>
      <c r="N53" s="323">
        <f>$C53*'2.) Enrollment'!L23*'4.) Yearly Budget'!$Q$17</f>
        <v>0</v>
      </c>
      <c r="O53" s="323">
        <f>$C53*'2.) Enrollment'!N23*'4.) Yearly Budget'!$T$17</f>
        <v>0</v>
      </c>
      <c r="P53" s="925">
        <f t="shared" ref="P53:P101" si="4">SUM(L53:O53)</f>
        <v>0</v>
      </c>
      <c r="Q53"/>
      <c r="T53">
        <f>IF(ISBLANK('2.) Enrollment'!H23)=TRUE,'2.) Enrollment'!G23,'2.) Enrollment'!H23)</f>
        <v>0</v>
      </c>
      <c r="U53">
        <f>IF(ISBLANK('2.) Enrollment'!J23)=TRUE,'2.) Enrollment'!I23,'2.) Enrollment'!J23)</f>
        <v>0</v>
      </c>
      <c r="V53">
        <f>IF(ISBLANK('2.) Enrollment'!L23)=TRUE,'2.) Enrollment'!K23,'2.) Enrollment'!L23)</f>
        <v>0</v>
      </c>
      <c r="W53">
        <f>IF(ISBLANK('2.) Enrollment'!N23)=TRUE,'2.) Enrollment'!M23,'2.) Enrollment'!N23)</f>
        <v>0</v>
      </c>
    </row>
    <row r="54" spans="1:23">
      <c r="A54" s="4">
        <v>3</v>
      </c>
      <c r="B54" s="482" t="str">
        <f>IF(OR('2.) Enrollment'!C24=$B$109,ISBLANK('2.) Enrollment'!C24)),"-",'2.) Enrollment'!C24)</f>
        <v>-</v>
      </c>
      <c r="C54" s="234">
        <f>IFERROR(VLOOKUP($B54,'Funding by District'!$D$6:$F$684,3,FALSE),0)</f>
        <v>0</v>
      </c>
      <c r="D54"/>
      <c r="E54">
        <f t="shared" si="2"/>
        <v>0</v>
      </c>
      <c r="F54" s="323">
        <f>$C54*'2.) Enrollment'!G24*'4.) Yearly Budget'!$J$17</f>
        <v>0</v>
      </c>
      <c r="G54" s="323">
        <f>$C54*'2.) Enrollment'!I24*'4.) Yearly Budget'!$M$17</f>
        <v>0</v>
      </c>
      <c r="H54" s="323">
        <f>$C54*'2.) Enrollment'!K24*'4.) Yearly Budget'!$P$17</f>
        <v>0</v>
      </c>
      <c r="I54" s="323">
        <f>$C54*'2.) Enrollment'!M24*'4.) Yearly Budget'!$S$17</f>
        <v>0</v>
      </c>
      <c r="J54" s="925">
        <f t="shared" si="3"/>
        <v>0</v>
      </c>
      <c r="K54"/>
      <c r="L54" s="323">
        <f>$C54*'2.) Enrollment'!H24*'4.) Yearly Budget'!$K$17</f>
        <v>0</v>
      </c>
      <c r="M54" s="323">
        <f>$C54*'2.) Enrollment'!J24*'4.) Yearly Budget'!$N$17</f>
        <v>0</v>
      </c>
      <c r="N54" s="323">
        <f>$C54*'2.) Enrollment'!L24*'4.) Yearly Budget'!$Q$17</f>
        <v>0</v>
      </c>
      <c r="O54" s="323">
        <f>$C54*'2.) Enrollment'!N24*'4.) Yearly Budget'!$T$17</f>
        <v>0</v>
      </c>
      <c r="P54" s="925">
        <f t="shared" si="4"/>
        <v>0</v>
      </c>
      <c r="Q54"/>
      <c r="T54">
        <f>IF(ISBLANK('2.) Enrollment'!H24)=TRUE,'2.) Enrollment'!G24,'2.) Enrollment'!H24)</f>
        <v>0</v>
      </c>
      <c r="U54">
        <f>IF(ISBLANK('2.) Enrollment'!J24)=TRUE,'2.) Enrollment'!I24,'2.) Enrollment'!J24)</f>
        <v>0</v>
      </c>
      <c r="V54">
        <f>IF(ISBLANK('2.) Enrollment'!L24)=TRUE,'2.) Enrollment'!K24,'2.) Enrollment'!L24)</f>
        <v>0</v>
      </c>
      <c r="W54">
        <f>IF(ISBLANK('2.) Enrollment'!N24)=TRUE,'2.) Enrollment'!M24,'2.) Enrollment'!N24)</f>
        <v>0</v>
      </c>
    </row>
    <row r="55" spans="1:23">
      <c r="A55" s="4">
        <v>4</v>
      </c>
      <c r="B55" s="482" t="str">
        <f>IF(OR('2.) Enrollment'!C25=$B$109,ISBLANK('2.) Enrollment'!C25)),"-",'2.) Enrollment'!C25)</f>
        <v>-</v>
      </c>
      <c r="C55" s="234">
        <f>IFERROR(VLOOKUP($B55,'Funding by District'!$D$6:$F$684,3,FALSE),0)</f>
        <v>0</v>
      </c>
      <c r="D55"/>
      <c r="E55">
        <f t="shared" si="2"/>
        <v>0</v>
      </c>
      <c r="F55" s="323">
        <f>$C55*'2.) Enrollment'!G25*'4.) Yearly Budget'!$J$17</f>
        <v>0</v>
      </c>
      <c r="G55" s="323">
        <f>$C55*'2.) Enrollment'!I25*'4.) Yearly Budget'!$M$17</f>
        <v>0</v>
      </c>
      <c r="H55" s="323">
        <f>$C55*'2.) Enrollment'!K25*'4.) Yearly Budget'!$P$17</f>
        <v>0</v>
      </c>
      <c r="I55" s="323">
        <f>$C55*'2.) Enrollment'!M25*'4.) Yearly Budget'!$S$17</f>
        <v>0</v>
      </c>
      <c r="J55" s="925">
        <f t="shared" si="3"/>
        <v>0</v>
      </c>
      <c r="K55"/>
      <c r="L55" s="323">
        <f>$C55*'2.) Enrollment'!H25*'4.) Yearly Budget'!$K$17</f>
        <v>0</v>
      </c>
      <c r="M55" s="323">
        <f>$C55*'2.) Enrollment'!J25*'4.) Yearly Budget'!$N$17</f>
        <v>0</v>
      </c>
      <c r="N55" s="323">
        <f>$C55*'2.) Enrollment'!L25*'4.) Yearly Budget'!$Q$17</f>
        <v>0</v>
      </c>
      <c r="O55" s="323">
        <f>$C55*'2.) Enrollment'!N25*'4.) Yearly Budget'!$T$17</f>
        <v>0</v>
      </c>
      <c r="P55" s="925">
        <f t="shared" si="4"/>
        <v>0</v>
      </c>
      <c r="Q55"/>
      <c r="T55">
        <f>IF(ISBLANK('2.) Enrollment'!H25)=TRUE,'2.) Enrollment'!G25,'2.) Enrollment'!H25)</f>
        <v>0</v>
      </c>
      <c r="U55">
        <f>IF(ISBLANK('2.) Enrollment'!J25)=TRUE,'2.) Enrollment'!I25,'2.) Enrollment'!J25)</f>
        <v>0</v>
      </c>
      <c r="V55">
        <f>IF(ISBLANK('2.) Enrollment'!L25)=TRUE,'2.) Enrollment'!K25,'2.) Enrollment'!L25)</f>
        <v>0</v>
      </c>
      <c r="W55">
        <f>IF(ISBLANK('2.) Enrollment'!N25)=TRUE,'2.) Enrollment'!M25,'2.) Enrollment'!N25)</f>
        <v>0</v>
      </c>
    </row>
    <row r="56" spans="1:23">
      <c r="A56" s="4">
        <v>5</v>
      </c>
      <c r="B56" s="482" t="str">
        <f>IF(OR('2.) Enrollment'!C26=$B$109,ISBLANK('2.) Enrollment'!C26)),"-",'2.) Enrollment'!C26)</f>
        <v>-</v>
      </c>
      <c r="C56" s="234">
        <f>IFERROR(VLOOKUP($B56,'Funding by District'!$D$6:$F$684,3,FALSE),0)</f>
        <v>0</v>
      </c>
      <c r="D56"/>
      <c r="E56">
        <f t="shared" si="2"/>
        <v>0</v>
      </c>
      <c r="F56" s="323">
        <f>$C56*'2.) Enrollment'!G26*'4.) Yearly Budget'!$J$17</f>
        <v>0</v>
      </c>
      <c r="G56" s="323">
        <f>$C56*'2.) Enrollment'!I26*'4.) Yearly Budget'!$M$17</f>
        <v>0</v>
      </c>
      <c r="H56" s="323">
        <f>$C56*'2.) Enrollment'!K26*'4.) Yearly Budget'!$P$17</f>
        <v>0</v>
      </c>
      <c r="I56" s="323">
        <f>$C56*'2.) Enrollment'!M26*'4.) Yearly Budget'!$S$17</f>
        <v>0</v>
      </c>
      <c r="J56" s="925">
        <f t="shared" si="3"/>
        <v>0</v>
      </c>
      <c r="K56"/>
      <c r="L56" s="323">
        <f>$C56*'2.) Enrollment'!H26*'4.) Yearly Budget'!$K$17</f>
        <v>0</v>
      </c>
      <c r="M56" s="323">
        <f>$C56*'2.) Enrollment'!J26*'4.) Yearly Budget'!$N$17</f>
        <v>0</v>
      </c>
      <c r="N56" s="323">
        <f>$C56*'2.) Enrollment'!L26*'4.) Yearly Budget'!$Q$17</f>
        <v>0</v>
      </c>
      <c r="O56" s="323">
        <f>$C56*'2.) Enrollment'!N26*'4.) Yearly Budget'!$T$17</f>
        <v>0</v>
      </c>
      <c r="P56" s="925">
        <f t="shared" si="4"/>
        <v>0</v>
      </c>
      <c r="Q56"/>
      <c r="T56">
        <f>IF(ISBLANK('2.) Enrollment'!H26)=TRUE,'2.) Enrollment'!G26,'2.) Enrollment'!H26)</f>
        <v>0</v>
      </c>
      <c r="U56">
        <f>IF(ISBLANK('2.) Enrollment'!J26)=TRUE,'2.) Enrollment'!I26,'2.) Enrollment'!J26)</f>
        <v>0</v>
      </c>
      <c r="V56">
        <f>IF(ISBLANK('2.) Enrollment'!L26)=TRUE,'2.) Enrollment'!K26,'2.) Enrollment'!L26)</f>
        <v>0</v>
      </c>
      <c r="W56">
        <f>IF(ISBLANK('2.) Enrollment'!N26)=TRUE,'2.) Enrollment'!M26,'2.) Enrollment'!N26)</f>
        <v>0</v>
      </c>
    </row>
    <row r="57" spans="1:23">
      <c r="A57" s="4">
        <v>6</v>
      </c>
      <c r="B57" s="482" t="str">
        <f>IF(OR('2.) Enrollment'!C27=$B$109,ISBLANK('2.) Enrollment'!C27)),"-",'2.) Enrollment'!C27)</f>
        <v>-</v>
      </c>
      <c r="C57" s="234">
        <f>IFERROR(VLOOKUP($B57,'Funding by District'!$D$6:$F$684,3,FALSE),0)</f>
        <v>0</v>
      </c>
      <c r="D57"/>
      <c r="E57">
        <f t="shared" si="2"/>
        <v>0</v>
      </c>
      <c r="F57" s="323">
        <f>$C57*'2.) Enrollment'!G27*'4.) Yearly Budget'!$J$17</f>
        <v>0</v>
      </c>
      <c r="G57" s="323">
        <f>$C57*'2.) Enrollment'!I27*'4.) Yearly Budget'!$M$17</f>
        <v>0</v>
      </c>
      <c r="H57" s="323">
        <f>$C57*'2.) Enrollment'!K27*'4.) Yearly Budget'!$P$17</f>
        <v>0</v>
      </c>
      <c r="I57" s="323">
        <f>$C57*'2.) Enrollment'!M27*'4.) Yearly Budget'!$S$17</f>
        <v>0</v>
      </c>
      <c r="J57" s="925">
        <f t="shared" si="3"/>
        <v>0</v>
      </c>
      <c r="K57"/>
      <c r="L57" s="323">
        <f>$C57*'2.) Enrollment'!H27*'4.) Yearly Budget'!$K$17</f>
        <v>0</v>
      </c>
      <c r="M57" s="323">
        <f>$C57*'2.) Enrollment'!J27*'4.) Yearly Budget'!$N$17</f>
        <v>0</v>
      </c>
      <c r="N57" s="323">
        <f>$C57*'2.) Enrollment'!L27*'4.) Yearly Budget'!$Q$17</f>
        <v>0</v>
      </c>
      <c r="O57" s="323">
        <f>$C57*'2.) Enrollment'!N27*'4.) Yearly Budget'!$T$17</f>
        <v>0</v>
      </c>
      <c r="P57" s="925">
        <f t="shared" si="4"/>
        <v>0</v>
      </c>
      <c r="Q57"/>
      <c r="T57">
        <f>IF(ISBLANK('2.) Enrollment'!H27)=TRUE,'2.) Enrollment'!G27,'2.) Enrollment'!H27)</f>
        <v>0</v>
      </c>
      <c r="U57">
        <f>IF(ISBLANK('2.) Enrollment'!J27)=TRUE,'2.) Enrollment'!I27,'2.) Enrollment'!J27)</f>
        <v>0</v>
      </c>
      <c r="V57">
        <f>IF(ISBLANK('2.) Enrollment'!L27)=TRUE,'2.) Enrollment'!K27,'2.) Enrollment'!L27)</f>
        <v>0</v>
      </c>
      <c r="W57">
        <f>IF(ISBLANK('2.) Enrollment'!N27)=TRUE,'2.) Enrollment'!M27,'2.) Enrollment'!N27)</f>
        <v>0</v>
      </c>
    </row>
    <row r="58" spans="1:23">
      <c r="A58" s="4">
        <v>7</v>
      </c>
      <c r="B58" s="482" t="str">
        <f>IF(OR('2.) Enrollment'!C28=$B$109,ISBLANK('2.) Enrollment'!C28)),"-",'2.) Enrollment'!C28)</f>
        <v>-</v>
      </c>
      <c r="C58" s="234">
        <f>IFERROR(VLOOKUP($B58,'Funding by District'!$D$6:$F$684,3,FALSE),0)</f>
        <v>0</v>
      </c>
      <c r="D58"/>
      <c r="E58">
        <f t="shared" si="2"/>
        <v>0</v>
      </c>
      <c r="F58" s="323">
        <f>$C58*'2.) Enrollment'!G28*'4.) Yearly Budget'!$J$17</f>
        <v>0</v>
      </c>
      <c r="G58" s="323">
        <f>$C58*'2.) Enrollment'!I28*'4.) Yearly Budget'!$M$17</f>
        <v>0</v>
      </c>
      <c r="H58" s="323">
        <f>$C58*'2.) Enrollment'!K28*'4.) Yearly Budget'!$P$17</f>
        <v>0</v>
      </c>
      <c r="I58" s="323">
        <f>$C58*'2.) Enrollment'!M28*'4.) Yearly Budget'!$S$17</f>
        <v>0</v>
      </c>
      <c r="J58" s="925">
        <f t="shared" si="3"/>
        <v>0</v>
      </c>
      <c r="K58"/>
      <c r="L58" s="323">
        <f>$C58*'2.) Enrollment'!H28*'4.) Yearly Budget'!$K$17</f>
        <v>0</v>
      </c>
      <c r="M58" s="323">
        <f>$C58*'2.) Enrollment'!J28*'4.) Yearly Budget'!$N$17</f>
        <v>0</v>
      </c>
      <c r="N58" s="323">
        <f>$C58*'2.) Enrollment'!L28*'4.) Yearly Budget'!$Q$17</f>
        <v>0</v>
      </c>
      <c r="O58" s="323">
        <f>$C58*'2.) Enrollment'!N28*'4.) Yearly Budget'!$T$17</f>
        <v>0</v>
      </c>
      <c r="P58" s="925">
        <f t="shared" si="4"/>
        <v>0</v>
      </c>
      <c r="Q58"/>
      <c r="T58">
        <f>IF(ISBLANK('2.) Enrollment'!H28)=TRUE,'2.) Enrollment'!G28,'2.) Enrollment'!H28)</f>
        <v>0</v>
      </c>
      <c r="U58">
        <f>IF(ISBLANK('2.) Enrollment'!J28)=TRUE,'2.) Enrollment'!I28,'2.) Enrollment'!J28)</f>
        <v>0</v>
      </c>
      <c r="V58">
        <f>IF(ISBLANK('2.) Enrollment'!L28)=TRUE,'2.) Enrollment'!K28,'2.) Enrollment'!L28)</f>
        <v>0</v>
      </c>
      <c r="W58">
        <f>IF(ISBLANK('2.) Enrollment'!N28)=TRUE,'2.) Enrollment'!M28,'2.) Enrollment'!N28)</f>
        <v>0</v>
      </c>
    </row>
    <row r="59" spans="1:23">
      <c r="A59" s="4">
        <v>8</v>
      </c>
      <c r="B59" s="482" t="str">
        <f>IF(OR('2.) Enrollment'!C29=$B$109,ISBLANK('2.) Enrollment'!C29)),"-",'2.) Enrollment'!C29)</f>
        <v>-</v>
      </c>
      <c r="C59" s="234">
        <f>IFERROR(VLOOKUP($B59,'Funding by District'!$D$6:$F$684,3,FALSE),0)</f>
        <v>0</v>
      </c>
      <c r="D59"/>
      <c r="E59">
        <f t="shared" si="2"/>
        <v>0</v>
      </c>
      <c r="F59" s="323">
        <f>$C59*'2.) Enrollment'!G29*'4.) Yearly Budget'!$J$17</f>
        <v>0</v>
      </c>
      <c r="G59" s="323">
        <f>$C59*'2.) Enrollment'!I29*'4.) Yearly Budget'!$M$17</f>
        <v>0</v>
      </c>
      <c r="H59" s="323">
        <f>$C59*'2.) Enrollment'!K29*'4.) Yearly Budget'!$P$17</f>
        <v>0</v>
      </c>
      <c r="I59" s="323">
        <f>$C59*'2.) Enrollment'!M29*'4.) Yearly Budget'!$S$17</f>
        <v>0</v>
      </c>
      <c r="J59" s="925">
        <f t="shared" si="3"/>
        <v>0</v>
      </c>
      <c r="K59"/>
      <c r="L59" s="323">
        <f>$C59*'2.) Enrollment'!H29*'4.) Yearly Budget'!$K$17</f>
        <v>0</v>
      </c>
      <c r="M59" s="323">
        <f>$C59*'2.) Enrollment'!J29*'4.) Yearly Budget'!$N$17</f>
        <v>0</v>
      </c>
      <c r="N59" s="323">
        <f>$C59*'2.) Enrollment'!L29*'4.) Yearly Budget'!$Q$17</f>
        <v>0</v>
      </c>
      <c r="O59" s="323">
        <f>$C59*'2.) Enrollment'!N29*'4.) Yearly Budget'!$T$17</f>
        <v>0</v>
      </c>
      <c r="P59" s="925">
        <f t="shared" si="4"/>
        <v>0</v>
      </c>
      <c r="Q59"/>
      <c r="T59">
        <f>IF(ISBLANK('2.) Enrollment'!H29)=TRUE,'2.) Enrollment'!G29,'2.) Enrollment'!H29)</f>
        <v>0</v>
      </c>
      <c r="U59">
        <f>IF(ISBLANK('2.) Enrollment'!J29)=TRUE,'2.) Enrollment'!I29,'2.) Enrollment'!J29)</f>
        <v>0</v>
      </c>
      <c r="V59">
        <f>IF(ISBLANK('2.) Enrollment'!L29)=TRUE,'2.) Enrollment'!K29,'2.) Enrollment'!L29)</f>
        <v>0</v>
      </c>
      <c r="W59">
        <f>IF(ISBLANK('2.) Enrollment'!N29)=TRUE,'2.) Enrollment'!M29,'2.) Enrollment'!N29)</f>
        <v>0</v>
      </c>
    </row>
    <row r="60" spans="1:23">
      <c r="A60" s="4">
        <v>9</v>
      </c>
      <c r="B60" s="482" t="str">
        <f>IF(OR('2.) Enrollment'!C30=$B$109,ISBLANK('2.) Enrollment'!C30)),"-",'2.) Enrollment'!C30)</f>
        <v>-</v>
      </c>
      <c r="C60" s="234">
        <f>IFERROR(VLOOKUP($B60,'Funding by District'!$D$6:$F$684,3,FALSE),0)</f>
        <v>0</v>
      </c>
      <c r="D60"/>
      <c r="E60">
        <f t="shared" si="2"/>
        <v>0</v>
      </c>
      <c r="F60" s="323">
        <f>$C60*'2.) Enrollment'!G30*'4.) Yearly Budget'!$J$17</f>
        <v>0</v>
      </c>
      <c r="G60" s="323">
        <f>$C60*'2.) Enrollment'!I30*'4.) Yearly Budget'!$M$17</f>
        <v>0</v>
      </c>
      <c r="H60" s="323">
        <f>$C60*'2.) Enrollment'!K30*'4.) Yearly Budget'!$P$17</f>
        <v>0</v>
      </c>
      <c r="I60" s="323">
        <f>$C60*'2.) Enrollment'!M30*'4.) Yearly Budget'!$S$17</f>
        <v>0</v>
      </c>
      <c r="J60" s="925">
        <f t="shared" si="3"/>
        <v>0</v>
      </c>
      <c r="K60"/>
      <c r="L60" s="323">
        <f>$C60*'2.) Enrollment'!H30*'4.) Yearly Budget'!$K$17</f>
        <v>0</v>
      </c>
      <c r="M60" s="323">
        <f>$C60*'2.) Enrollment'!J30*'4.) Yearly Budget'!$N$17</f>
        <v>0</v>
      </c>
      <c r="N60" s="323">
        <f>$C60*'2.) Enrollment'!L30*'4.) Yearly Budget'!$Q$17</f>
        <v>0</v>
      </c>
      <c r="O60" s="323">
        <f>$C60*'2.) Enrollment'!N30*'4.) Yearly Budget'!$T$17</f>
        <v>0</v>
      </c>
      <c r="P60" s="925">
        <f t="shared" si="4"/>
        <v>0</v>
      </c>
      <c r="Q60"/>
      <c r="T60">
        <f>IF(ISBLANK('2.) Enrollment'!H30)=TRUE,'2.) Enrollment'!G30,'2.) Enrollment'!H30)</f>
        <v>0</v>
      </c>
      <c r="U60">
        <f>IF(ISBLANK('2.) Enrollment'!J30)=TRUE,'2.) Enrollment'!I30,'2.) Enrollment'!J30)</f>
        <v>0</v>
      </c>
      <c r="V60">
        <f>IF(ISBLANK('2.) Enrollment'!L30)=TRUE,'2.) Enrollment'!K30,'2.) Enrollment'!L30)</f>
        <v>0</v>
      </c>
      <c r="W60">
        <f>IF(ISBLANK('2.) Enrollment'!N30)=TRUE,'2.) Enrollment'!M30,'2.) Enrollment'!N30)</f>
        <v>0</v>
      </c>
    </row>
    <row r="61" spans="1:23">
      <c r="A61" s="4">
        <v>10</v>
      </c>
      <c r="B61" s="482" t="str">
        <f>IF(OR('2.) Enrollment'!C31=$B$109,ISBLANK('2.) Enrollment'!C31)),"-",'2.) Enrollment'!C31)</f>
        <v>-</v>
      </c>
      <c r="C61" s="234">
        <f>IFERROR(VLOOKUP($B61,'Funding by District'!$D$6:$F$684,3,FALSE),0)</f>
        <v>0</v>
      </c>
      <c r="D61"/>
      <c r="E61">
        <f t="shared" si="2"/>
        <v>0</v>
      </c>
      <c r="F61" s="323">
        <f>$C61*'2.) Enrollment'!G31*'4.) Yearly Budget'!$J$17</f>
        <v>0</v>
      </c>
      <c r="G61" s="323">
        <f>$C61*'2.) Enrollment'!I31*'4.) Yearly Budget'!$M$17</f>
        <v>0</v>
      </c>
      <c r="H61" s="323">
        <f>$C61*'2.) Enrollment'!K31*'4.) Yearly Budget'!$P$17</f>
        <v>0</v>
      </c>
      <c r="I61" s="323">
        <f>$C61*'2.) Enrollment'!M31*'4.) Yearly Budget'!$S$17</f>
        <v>0</v>
      </c>
      <c r="J61" s="925">
        <f t="shared" si="3"/>
        <v>0</v>
      </c>
      <c r="K61"/>
      <c r="L61" s="323">
        <f>$C61*'2.) Enrollment'!H31*'4.) Yearly Budget'!$K$17</f>
        <v>0</v>
      </c>
      <c r="M61" s="323">
        <f>$C61*'2.) Enrollment'!J31*'4.) Yearly Budget'!$N$17</f>
        <v>0</v>
      </c>
      <c r="N61" s="323">
        <f>$C61*'2.) Enrollment'!L31*'4.) Yearly Budget'!$Q$17</f>
        <v>0</v>
      </c>
      <c r="O61" s="323">
        <f>$C61*'2.) Enrollment'!N31*'4.) Yearly Budget'!$T$17</f>
        <v>0</v>
      </c>
      <c r="P61" s="925">
        <f t="shared" si="4"/>
        <v>0</v>
      </c>
      <c r="Q61"/>
      <c r="T61">
        <f>IF(ISBLANK('2.) Enrollment'!H31)=TRUE,'2.) Enrollment'!G31,'2.) Enrollment'!H31)</f>
        <v>0</v>
      </c>
      <c r="U61">
        <f>IF(ISBLANK('2.) Enrollment'!J31)=TRUE,'2.) Enrollment'!I31,'2.) Enrollment'!J31)</f>
        <v>0</v>
      </c>
      <c r="V61">
        <f>IF(ISBLANK('2.) Enrollment'!L31)=TRUE,'2.) Enrollment'!K31,'2.) Enrollment'!L31)</f>
        <v>0</v>
      </c>
      <c r="W61">
        <f>IF(ISBLANK('2.) Enrollment'!N31)=TRUE,'2.) Enrollment'!M31,'2.) Enrollment'!N31)</f>
        <v>0</v>
      </c>
    </row>
    <row r="62" spans="1:23">
      <c r="A62" s="4">
        <v>11</v>
      </c>
      <c r="B62" s="482" t="str">
        <f>IF(OR('2.) Enrollment'!C32=$B$109,ISBLANK('2.) Enrollment'!C32)),"-",'2.) Enrollment'!C32)</f>
        <v>-</v>
      </c>
      <c r="C62" s="234">
        <f>IFERROR(VLOOKUP($B62,'Funding by District'!$D$6:$F$684,3,FALSE),0)</f>
        <v>0</v>
      </c>
      <c r="D62"/>
      <c r="E62">
        <f t="shared" si="2"/>
        <v>0</v>
      </c>
      <c r="F62" s="323">
        <f>$C62*'2.) Enrollment'!G32*'4.) Yearly Budget'!$J$17</f>
        <v>0</v>
      </c>
      <c r="G62" s="323">
        <f>$C62*'2.) Enrollment'!I32*'4.) Yearly Budget'!$M$17</f>
        <v>0</v>
      </c>
      <c r="H62" s="323">
        <f>$C62*'2.) Enrollment'!K32*'4.) Yearly Budget'!$P$17</f>
        <v>0</v>
      </c>
      <c r="I62" s="323">
        <f>$C62*'2.) Enrollment'!M32*'4.) Yearly Budget'!$S$17</f>
        <v>0</v>
      </c>
      <c r="J62" s="925">
        <f t="shared" si="3"/>
        <v>0</v>
      </c>
      <c r="K62"/>
      <c r="L62" s="323">
        <f>$C62*'2.) Enrollment'!H32*'4.) Yearly Budget'!$K$17</f>
        <v>0</v>
      </c>
      <c r="M62" s="323">
        <f>$C62*'2.) Enrollment'!J32*'4.) Yearly Budget'!$N$17</f>
        <v>0</v>
      </c>
      <c r="N62" s="323">
        <f>$C62*'2.) Enrollment'!L32*'4.) Yearly Budget'!$Q$17</f>
        <v>0</v>
      </c>
      <c r="O62" s="323">
        <f>$C62*'2.) Enrollment'!N32*'4.) Yearly Budget'!$T$17</f>
        <v>0</v>
      </c>
      <c r="P62" s="925">
        <f t="shared" si="4"/>
        <v>0</v>
      </c>
      <c r="Q62"/>
      <c r="T62">
        <f>IF(ISBLANK('2.) Enrollment'!H32)=TRUE,'2.) Enrollment'!G32,'2.) Enrollment'!H32)</f>
        <v>0</v>
      </c>
      <c r="U62">
        <f>IF(ISBLANK('2.) Enrollment'!J32)=TRUE,'2.) Enrollment'!I32,'2.) Enrollment'!J32)</f>
        <v>0</v>
      </c>
      <c r="V62">
        <f>IF(ISBLANK('2.) Enrollment'!L32)=TRUE,'2.) Enrollment'!K32,'2.) Enrollment'!L32)</f>
        <v>0</v>
      </c>
      <c r="W62">
        <f>IF(ISBLANK('2.) Enrollment'!N32)=TRUE,'2.) Enrollment'!M32,'2.) Enrollment'!N32)</f>
        <v>0</v>
      </c>
    </row>
    <row r="63" spans="1:23">
      <c r="A63" s="4">
        <v>12</v>
      </c>
      <c r="B63" s="482" t="str">
        <f>IF(OR('2.) Enrollment'!C33=$B$109,ISBLANK('2.) Enrollment'!C33)),"-",'2.) Enrollment'!C33)</f>
        <v>-</v>
      </c>
      <c r="C63" s="234">
        <f>IFERROR(VLOOKUP($B63,'Funding by District'!$D$6:$F$684,3,FALSE),0)</f>
        <v>0</v>
      </c>
      <c r="D63"/>
      <c r="E63">
        <f t="shared" si="2"/>
        <v>0</v>
      </c>
      <c r="F63" s="323">
        <f>$C63*'2.) Enrollment'!G33*'4.) Yearly Budget'!$J$17</f>
        <v>0</v>
      </c>
      <c r="G63" s="323">
        <f>$C63*'2.) Enrollment'!I33*'4.) Yearly Budget'!$M$17</f>
        <v>0</v>
      </c>
      <c r="H63" s="323">
        <f>$C63*'2.) Enrollment'!K33*'4.) Yearly Budget'!$P$17</f>
        <v>0</v>
      </c>
      <c r="I63" s="323">
        <f>$C63*'2.) Enrollment'!M33*'4.) Yearly Budget'!$S$17</f>
        <v>0</v>
      </c>
      <c r="J63" s="925">
        <f t="shared" si="3"/>
        <v>0</v>
      </c>
      <c r="K63"/>
      <c r="L63" s="323">
        <f>$C63*'2.) Enrollment'!H33*'4.) Yearly Budget'!$K$17</f>
        <v>0</v>
      </c>
      <c r="M63" s="323">
        <f>$C63*'2.) Enrollment'!J33*'4.) Yearly Budget'!$N$17</f>
        <v>0</v>
      </c>
      <c r="N63" s="323">
        <f>$C63*'2.) Enrollment'!L33*'4.) Yearly Budget'!$Q$17</f>
        <v>0</v>
      </c>
      <c r="O63" s="323">
        <f>$C63*'2.) Enrollment'!N33*'4.) Yearly Budget'!$T$17</f>
        <v>0</v>
      </c>
      <c r="P63" s="925">
        <f t="shared" si="4"/>
        <v>0</v>
      </c>
      <c r="Q63"/>
      <c r="T63">
        <f>IF(ISBLANK('2.) Enrollment'!H33)=TRUE,'2.) Enrollment'!G33,'2.) Enrollment'!H33)</f>
        <v>0</v>
      </c>
      <c r="U63">
        <f>IF(ISBLANK('2.) Enrollment'!J33)=TRUE,'2.) Enrollment'!I33,'2.) Enrollment'!J33)</f>
        <v>0</v>
      </c>
      <c r="V63">
        <f>IF(ISBLANK('2.) Enrollment'!L33)=TRUE,'2.) Enrollment'!K33,'2.) Enrollment'!L33)</f>
        <v>0</v>
      </c>
      <c r="W63">
        <f>IF(ISBLANK('2.) Enrollment'!N33)=TRUE,'2.) Enrollment'!M33,'2.) Enrollment'!N33)</f>
        <v>0</v>
      </c>
    </row>
    <row r="64" spans="1:23">
      <c r="A64" s="4">
        <v>13</v>
      </c>
      <c r="B64" s="482" t="str">
        <f>IF(OR('2.) Enrollment'!C34=$B$109,ISBLANK('2.) Enrollment'!C34)),"-",'2.) Enrollment'!C34)</f>
        <v>-</v>
      </c>
      <c r="C64" s="234">
        <f>IFERROR(VLOOKUP($B64,'Funding by District'!$D$6:$F$684,3,FALSE),0)</f>
        <v>0</v>
      </c>
      <c r="D64"/>
      <c r="E64">
        <f t="shared" si="2"/>
        <v>0</v>
      </c>
      <c r="F64" s="323">
        <f>$C64*'2.) Enrollment'!G34*'4.) Yearly Budget'!$J$17</f>
        <v>0</v>
      </c>
      <c r="G64" s="323">
        <f>$C64*'2.) Enrollment'!I34*'4.) Yearly Budget'!$M$17</f>
        <v>0</v>
      </c>
      <c r="H64" s="323">
        <f>$C64*'2.) Enrollment'!K34*'4.) Yearly Budget'!$P$17</f>
        <v>0</v>
      </c>
      <c r="I64" s="323">
        <f>$C64*'2.) Enrollment'!M34*'4.) Yearly Budget'!$S$17</f>
        <v>0</v>
      </c>
      <c r="J64" s="925">
        <f t="shared" si="3"/>
        <v>0</v>
      </c>
      <c r="K64"/>
      <c r="L64" s="323">
        <f>$C64*'2.) Enrollment'!H34*'4.) Yearly Budget'!$K$17</f>
        <v>0</v>
      </c>
      <c r="M64" s="323">
        <f>$C64*'2.) Enrollment'!J34*'4.) Yearly Budget'!$N$17</f>
        <v>0</v>
      </c>
      <c r="N64" s="323">
        <f>$C64*'2.) Enrollment'!L34*'4.) Yearly Budget'!$Q$17</f>
        <v>0</v>
      </c>
      <c r="O64" s="323">
        <f>$C64*'2.) Enrollment'!N34*'4.) Yearly Budget'!$T$17</f>
        <v>0</v>
      </c>
      <c r="P64" s="925">
        <f t="shared" si="4"/>
        <v>0</v>
      </c>
      <c r="Q64"/>
      <c r="T64">
        <f>IF(ISBLANK('2.) Enrollment'!H34)=TRUE,'2.) Enrollment'!G34,'2.) Enrollment'!H34)</f>
        <v>0</v>
      </c>
      <c r="U64">
        <f>IF(ISBLANK('2.) Enrollment'!J34)=TRUE,'2.) Enrollment'!I34,'2.) Enrollment'!J34)</f>
        <v>0</v>
      </c>
      <c r="V64">
        <f>IF(ISBLANK('2.) Enrollment'!L34)=TRUE,'2.) Enrollment'!K34,'2.) Enrollment'!L34)</f>
        <v>0</v>
      </c>
      <c r="W64">
        <f>IF(ISBLANK('2.) Enrollment'!N34)=TRUE,'2.) Enrollment'!M34,'2.) Enrollment'!N34)</f>
        <v>0</v>
      </c>
    </row>
    <row r="65" spans="1:23">
      <c r="A65" s="4">
        <v>14</v>
      </c>
      <c r="B65" s="482" t="str">
        <f>IF(OR('2.) Enrollment'!C35=$B$109,ISBLANK('2.) Enrollment'!C35)),"-",'2.) Enrollment'!C35)</f>
        <v>-</v>
      </c>
      <c r="C65" s="234">
        <f>IFERROR(VLOOKUP($B65,'Funding by District'!$D$6:$F$684,3,FALSE),0)</f>
        <v>0</v>
      </c>
      <c r="D65"/>
      <c r="E65">
        <f t="shared" si="2"/>
        <v>0</v>
      </c>
      <c r="F65" s="323">
        <f>$C65*'2.) Enrollment'!G35*'4.) Yearly Budget'!$J$17</f>
        <v>0</v>
      </c>
      <c r="G65" s="323">
        <f>$C65*'2.) Enrollment'!I35*'4.) Yearly Budget'!$M$17</f>
        <v>0</v>
      </c>
      <c r="H65" s="323">
        <f>$C65*'2.) Enrollment'!K35*'4.) Yearly Budget'!$P$17</f>
        <v>0</v>
      </c>
      <c r="I65" s="323">
        <f>$C65*'2.) Enrollment'!M35*'4.) Yearly Budget'!$S$17</f>
        <v>0</v>
      </c>
      <c r="J65" s="925">
        <f t="shared" si="3"/>
        <v>0</v>
      </c>
      <c r="K65"/>
      <c r="L65" s="323">
        <f>$C65*'2.) Enrollment'!H35*'4.) Yearly Budget'!$K$17</f>
        <v>0</v>
      </c>
      <c r="M65" s="323">
        <f>$C65*'2.) Enrollment'!J35*'4.) Yearly Budget'!$N$17</f>
        <v>0</v>
      </c>
      <c r="N65" s="323">
        <f>$C65*'2.) Enrollment'!L35*'4.) Yearly Budget'!$Q$17</f>
        <v>0</v>
      </c>
      <c r="O65" s="323">
        <f>$C65*'2.) Enrollment'!N35*'4.) Yearly Budget'!$T$17</f>
        <v>0</v>
      </c>
      <c r="P65" s="925">
        <f t="shared" si="4"/>
        <v>0</v>
      </c>
      <c r="Q65"/>
      <c r="T65">
        <f>IF(ISBLANK('2.) Enrollment'!H35)=TRUE,'2.) Enrollment'!G35,'2.) Enrollment'!H35)</f>
        <v>0</v>
      </c>
      <c r="U65">
        <f>IF(ISBLANK('2.) Enrollment'!J35)=TRUE,'2.) Enrollment'!I35,'2.) Enrollment'!J35)</f>
        <v>0</v>
      </c>
      <c r="V65">
        <f>IF(ISBLANK('2.) Enrollment'!L35)=TRUE,'2.) Enrollment'!K35,'2.) Enrollment'!L35)</f>
        <v>0</v>
      </c>
      <c r="W65">
        <f>IF(ISBLANK('2.) Enrollment'!N35)=TRUE,'2.) Enrollment'!M35,'2.) Enrollment'!N35)</f>
        <v>0</v>
      </c>
    </row>
    <row r="66" spans="1:23" ht="15.6" thickBot="1">
      <c r="A66" s="214">
        <v>15</v>
      </c>
      <c r="B66" s="488" t="str">
        <f>IF(OR('2.) Enrollment'!C36=$B$109,ISBLANK('2.) Enrollment'!C36)),"-",'2.) Enrollment'!C36)</f>
        <v>-</v>
      </c>
      <c r="C66" s="325">
        <f>IFERROR(VLOOKUP($B66,'Funding by District'!$D$6:$F$684,3,FALSE),0)</f>
        <v>0</v>
      </c>
      <c r="D66" s="494"/>
      <c r="E66" s="655">
        <f t="shared" si="2"/>
        <v>0</v>
      </c>
      <c r="F66" s="654">
        <f>$C66*'2.) Enrollment'!G36*'4.) Yearly Budget'!$J$17</f>
        <v>0</v>
      </c>
      <c r="G66" s="654">
        <f>$C66*'2.) Enrollment'!I36*'4.) Yearly Budget'!$M$17</f>
        <v>0</v>
      </c>
      <c r="H66" s="654">
        <f>$C66*'2.) Enrollment'!K36*'4.) Yearly Budget'!$P$17</f>
        <v>0</v>
      </c>
      <c r="I66" s="654">
        <f>$C66*'2.) Enrollment'!M36*'4.) Yearly Budget'!$S$17</f>
        <v>0</v>
      </c>
      <c r="J66" s="926">
        <f t="shared" si="3"/>
        <v>0</v>
      </c>
      <c r="K66" s="655"/>
      <c r="L66" s="654">
        <f>$C66*'2.) Enrollment'!H36*'4.) Yearly Budget'!$K$17</f>
        <v>0</v>
      </c>
      <c r="M66" s="654">
        <f>$C66*'2.) Enrollment'!J36*'4.) Yearly Budget'!$N$17</f>
        <v>0</v>
      </c>
      <c r="N66" s="654">
        <f>$C66*'2.) Enrollment'!L36*'4.) Yearly Budget'!$Q$17</f>
        <v>0</v>
      </c>
      <c r="O66" s="654">
        <f>$C66*'2.) Enrollment'!N36*'4.) Yearly Budget'!$T$17</f>
        <v>0</v>
      </c>
      <c r="P66" s="926">
        <f t="shared" si="4"/>
        <v>0</v>
      </c>
      <c r="Q66" s="655"/>
      <c r="R66" s="655"/>
      <c r="S66" s="655"/>
      <c r="T66" s="655">
        <f>IF(ISBLANK('2.) Enrollment'!H36)=TRUE,'2.) Enrollment'!G36,'2.) Enrollment'!H36)</f>
        <v>0</v>
      </c>
      <c r="U66" s="655">
        <f>IF(ISBLANK('2.) Enrollment'!J36)=TRUE,'2.) Enrollment'!I36,'2.) Enrollment'!J36)</f>
        <v>0</v>
      </c>
      <c r="V66" s="655">
        <f>IF(ISBLANK('2.) Enrollment'!L36)=TRUE,'2.) Enrollment'!K36,'2.) Enrollment'!L36)</f>
        <v>0</v>
      </c>
      <c r="W66" s="655">
        <f>IF(ISBLANK('2.) Enrollment'!N36)=TRUE,'2.) Enrollment'!M36,'2.) Enrollment'!N36)</f>
        <v>0</v>
      </c>
    </row>
    <row r="67" spans="1:23">
      <c r="A67" s="4">
        <v>16</v>
      </c>
      <c r="B67" s="487" t="str">
        <f>IF(OR('2.) Enrollment'!C37=$B$109,ISBLANK('2.) Enrollment'!C37)),"-",'2.) Enrollment'!C37)</f>
        <v>-</v>
      </c>
      <c r="C67" s="234">
        <f>IFERROR(VLOOKUP($B67,'Funding by District'!$D$6:$F$684,3,FALSE),0)</f>
        <v>0</v>
      </c>
      <c r="D67"/>
      <c r="E67">
        <f t="shared" si="2"/>
        <v>0</v>
      </c>
      <c r="F67" s="323">
        <f>$C67*'2.) Enrollment'!G37*'4.) Yearly Budget'!$J$17</f>
        <v>0</v>
      </c>
      <c r="G67" s="323">
        <f>$C67*'2.) Enrollment'!I37*'4.) Yearly Budget'!$M$17</f>
        <v>0</v>
      </c>
      <c r="H67" s="323">
        <f>$C67*'2.) Enrollment'!K37*'4.) Yearly Budget'!$P$17</f>
        <v>0</v>
      </c>
      <c r="I67" s="323">
        <f>$C67*'2.) Enrollment'!M37*'4.) Yearly Budget'!$S$17</f>
        <v>0</v>
      </c>
      <c r="J67" s="925">
        <f t="shared" si="3"/>
        <v>0</v>
      </c>
      <c r="K67" s="929"/>
      <c r="L67" s="927">
        <f>$C67*'2.) Enrollment'!H37*'4.) Yearly Budget'!$K$17</f>
        <v>0</v>
      </c>
      <c r="M67" s="927">
        <f>$C67*'2.) Enrollment'!J37*'4.) Yearly Budget'!$N$17</f>
        <v>0</v>
      </c>
      <c r="N67" s="927">
        <f>$C67*'2.) Enrollment'!L37*'4.) Yearly Budget'!$Q$17</f>
        <v>0</v>
      </c>
      <c r="O67" s="927">
        <f>$C67*'2.) Enrollment'!N37*'4.) Yearly Budget'!$T$17</f>
        <v>0</v>
      </c>
      <c r="P67" s="928">
        <f t="shared" si="4"/>
        <v>0</v>
      </c>
      <c r="Q67"/>
      <c r="T67">
        <f>IF(ISBLANK('2.) Enrollment'!H37)=TRUE,'2.) Enrollment'!G37,'2.) Enrollment'!H37)</f>
        <v>0</v>
      </c>
      <c r="U67">
        <f>IF(ISBLANK('2.) Enrollment'!J37)=TRUE,'2.) Enrollment'!I37,'2.) Enrollment'!J37)</f>
        <v>0</v>
      </c>
      <c r="V67">
        <f>IF(ISBLANK('2.) Enrollment'!L37)=TRUE,'2.) Enrollment'!K37,'2.) Enrollment'!L37)</f>
        <v>0</v>
      </c>
      <c r="W67">
        <f>IF(ISBLANK('2.) Enrollment'!N37)=TRUE,'2.) Enrollment'!M37,'2.) Enrollment'!N37)</f>
        <v>0</v>
      </c>
    </row>
    <row r="68" spans="1:23">
      <c r="A68" s="4">
        <v>17</v>
      </c>
      <c r="B68" s="482" t="str">
        <f>IF(OR('2.) Enrollment'!C38=$B$109,ISBLANK('2.) Enrollment'!C38)),"-",'2.) Enrollment'!C38)</f>
        <v>-</v>
      </c>
      <c r="C68" s="234">
        <f>IFERROR(VLOOKUP($B68,'Funding by District'!$D$6:$F$684,3,FALSE),0)</f>
        <v>0</v>
      </c>
      <c r="D68"/>
      <c r="E68">
        <f t="shared" si="2"/>
        <v>0</v>
      </c>
      <c r="F68" s="323">
        <f>$C68*'2.) Enrollment'!G38*'4.) Yearly Budget'!$J$17</f>
        <v>0</v>
      </c>
      <c r="G68" s="323">
        <f>$C68*'2.) Enrollment'!I38*'4.) Yearly Budget'!$M$17</f>
        <v>0</v>
      </c>
      <c r="H68" s="323">
        <f>$C68*'2.) Enrollment'!K38*'4.) Yearly Budget'!$P$17</f>
        <v>0</v>
      </c>
      <c r="I68" s="323">
        <f>$C68*'2.) Enrollment'!M38*'4.) Yearly Budget'!$S$17</f>
        <v>0</v>
      </c>
      <c r="J68" s="925">
        <f t="shared" si="3"/>
        <v>0</v>
      </c>
      <c r="K68"/>
      <c r="L68" s="323">
        <f>$C68*'2.) Enrollment'!H38*'4.) Yearly Budget'!$K$17</f>
        <v>0</v>
      </c>
      <c r="M68" s="323">
        <f>$C68*'2.) Enrollment'!J38*'4.) Yearly Budget'!$N$17</f>
        <v>0</v>
      </c>
      <c r="N68" s="323">
        <f>$C68*'2.) Enrollment'!L38*'4.) Yearly Budget'!$Q$17</f>
        <v>0</v>
      </c>
      <c r="O68" s="323">
        <f>$C68*'2.) Enrollment'!N38*'4.) Yearly Budget'!$T$17</f>
        <v>0</v>
      </c>
      <c r="P68" s="925">
        <f t="shared" si="4"/>
        <v>0</v>
      </c>
      <c r="Q68"/>
      <c r="T68">
        <f>IF(ISBLANK('2.) Enrollment'!H38)=TRUE,'2.) Enrollment'!G38,'2.) Enrollment'!H38)</f>
        <v>0</v>
      </c>
      <c r="U68">
        <f>IF(ISBLANK('2.) Enrollment'!J38)=TRUE,'2.) Enrollment'!I38,'2.) Enrollment'!J38)</f>
        <v>0</v>
      </c>
      <c r="V68">
        <f>IF(ISBLANK('2.) Enrollment'!L38)=TRUE,'2.) Enrollment'!K38,'2.) Enrollment'!L38)</f>
        <v>0</v>
      </c>
      <c r="W68">
        <f>IF(ISBLANK('2.) Enrollment'!N38)=TRUE,'2.) Enrollment'!M38,'2.) Enrollment'!N38)</f>
        <v>0</v>
      </c>
    </row>
    <row r="69" spans="1:23">
      <c r="A69" s="4">
        <v>18</v>
      </c>
      <c r="B69" s="482" t="str">
        <f>IF(OR('2.) Enrollment'!C39=$B$109,ISBLANK('2.) Enrollment'!C39)),"-",'2.) Enrollment'!C39)</f>
        <v>-</v>
      </c>
      <c r="C69" s="234">
        <f>IFERROR(VLOOKUP($B69,'Funding by District'!$D$6:$F$684,3,FALSE),0)</f>
        <v>0</v>
      </c>
      <c r="D69"/>
      <c r="E69">
        <f t="shared" si="2"/>
        <v>0</v>
      </c>
      <c r="F69" s="323">
        <f>$C69*'2.) Enrollment'!G39*'4.) Yearly Budget'!$J$17</f>
        <v>0</v>
      </c>
      <c r="G69" s="323">
        <f>$C69*'2.) Enrollment'!I39*'4.) Yearly Budget'!$M$17</f>
        <v>0</v>
      </c>
      <c r="H69" s="323">
        <f>$C69*'2.) Enrollment'!K39*'4.) Yearly Budget'!$P$17</f>
        <v>0</v>
      </c>
      <c r="I69" s="323">
        <f>$C69*'2.) Enrollment'!M39*'4.) Yearly Budget'!$S$17</f>
        <v>0</v>
      </c>
      <c r="J69" s="925">
        <f t="shared" si="3"/>
        <v>0</v>
      </c>
      <c r="K69"/>
      <c r="L69" s="323">
        <f>$C69*'2.) Enrollment'!H39*'4.) Yearly Budget'!$K$17</f>
        <v>0</v>
      </c>
      <c r="M69" s="323">
        <f>$C69*'2.) Enrollment'!J39*'4.) Yearly Budget'!$N$17</f>
        <v>0</v>
      </c>
      <c r="N69" s="323">
        <f>$C69*'2.) Enrollment'!L39*'4.) Yearly Budget'!$Q$17</f>
        <v>0</v>
      </c>
      <c r="O69" s="323">
        <f>$C69*'2.) Enrollment'!N39*'4.) Yearly Budget'!$T$17</f>
        <v>0</v>
      </c>
      <c r="P69" s="925">
        <f t="shared" si="4"/>
        <v>0</v>
      </c>
      <c r="Q69"/>
      <c r="T69">
        <f>IF(ISBLANK('2.) Enrollment'!H39)=TRUE,'2.) Enrollment'!G39,'2.) Enrollment'!H39)</f>
        <v>0</v>
      </c>
      <c r="U69">
        <f>IF(ISBLANK('2.) Enrollment'!J39)=TRUE,'2.) Enrollment'!I39,'2.) Enrollment'!J39)</f>
        <v>0</v>
      </c>
      <c r="V69">
        <f>IF(ISBLANK('2.) Enrollment'!L39)=TRUE,'2.) Enrollment'!K39,'2.) Enrollment'!L39)</f>
        <v>0</v>
      </c>
      <c r="W69">
        <f>IF(ISBLANK('2.) Enrollment'!N39)=TRUE,'2.) Enrollment'!M39,'2.) Enrollment'!N39)</f>
        <v>0</v>
      </c>
    </row>
    <row r="70" spans="1:23">
      <c r="A70" s="4">
        <v>19</v>
      </c>
      <c r="B70" s="482" t="str">
        <f>IF(OR('2.) Enrollment'!C40=$B$109,ISBLANK('2.) Enrollment'!C40)),"-",'2.) Enrollment'!C40)</f>
        <v>-</v>
      </c>
      <c r="C70" s="234">
        <f>IFERROR(VLOOKUP($B70,'Funding by District'!$D$6:$F$684,3,FALSE),0)</f>
        <v>0</v>
      </c>
      <c r="D70"/>
      <c r="E70">
        <f t="shared" si="2"/>
        <v>0</v>
      </c>
      <c r="F70" s="323">
        <f>$C70*'2.) Enrollment'!G40*'4.) Yearly Budget'!$J$17</f>
        <v>0</v>
      </c>
      <c r="G70" s="323">
        <f>$C70*'2.) Enrollment'!I40*'4.) Yearly Budget'!$M$17</f>
        <v>0</v>
      </c>
      <c r="H70" s="323">
        <f>$C70*'2.) Enrollment'!K40*'4.) Yearly Budget'!$P$17</f>
        <v>0</v>
      </c>
      <c r="I70" s="323">
        <f>$C70*'2.) Enrollment'!M40*'4.) Yearly Budget'!$S$17</f>
        <v>0</v>
      </c>
      <c r="J70" s="925">
        <f t="shared" si="3"/>
        <v>0</v>
      </c>
      <c r="K70"/>
      <c r="L70" s="323">
        <f>$C70*'2.) Enrollment'!H40*'4.) Yearly Budget'!$K$17</f>
        <v>0</v>
      </c>
      <c r="M70" s="323">
        <f>$C70*'2.) Enrollment'!J40*'4.) Yearly Budget'!$N$17</f>
        <v>0</v>
      </c>
      <c r="N70" s="323">
        <f>$C70*'2.) Enrollment'!L40*'4.) Yearly Budget'!$Q$17</f>
        <v>0</v>
      </c>
      <c r="O70" s="323">
        <f>$C70*'2.) Enrollment'!N40*'4.) Yearly Budget'!$T$17</f>
        <v>0</v>
      </c>
      <c r="P70" s="925">
        <f t="shared" si="4"/>
        <v>0</v>
      </c>
      <c r="Q70"/>
      <c r="T70">
        <f>IF(ISBLANK('2.) Enrollment'!H40)=TRUE,'2.) Enrollment'!G40,'2.) Enrollment'!H40)</f>
        <v>0</v>
      </c>
      <c r="U70">
        <f>IF(ISBLANK('2.) Enrollment'!J40)=TRUE,'2.) Enrollment'!I40,'2.) Enrollment'!J40)</f>
        <v>0</v>
      </c>
      <c r="V70">
        <f>IF(ISBLANK('2.) Enrollment'!L40)=TRUE,'2.) Enrollment'!K40,'2.) Enrollment'!L40)</f>
        <v>0</v>
      </c>
      <c r="W70">
        <f>IF(ISBLANK('2.) Enrollment'!N40)=TRUE,'2.) Enrollment'!M40,'2.) Enrollment'!N40)</f>
        <v>0</v>
      </c>
    </row>
    <row r="71" spans="1:23">
      <c r="A71" s="4">
        <v>20</v>
      </c>
      <c r="B71" s="482" t="str">
        <f>IF(OR('2.) Enrollment'!C41=$B$109,ISBLANK('2.) Enrollment'!C41)),"-",'2.) Enrollment'!C41)</f>
        <v>-</v>
      </c>
      <c r="C71" s="234">
        <f>IFERROR(VLOOKUP($B71,'Funding by District'!$D$6:$F$684,3,FALSE),0)</f>
        <v>0</v>
      </c>
      <c r="D71"/>
      <c r="E71">
        <f t="shared" si="2"/>
        <v>0</v>
      </c>
      <c r="F71" s="323">
        <f>$C71*'2.) Enrollment'!G41*'4.) Yearly Budget'!$J$17</f>
        <v>0</v>
      </c>
      <c r="G71" s="323">
        <f>$C71*'2.) Enrollment'!I41*'4.) Yearly Budget'!$M$17</f>
        <v>0</v>
      </c>
      <c r="H71" s="323">
        <f>$C71*'2.) Enrollment'!K41*'4.) Yearly Budget'!$P$17</f>
        <v>0</v>
      </c>
      <c r="I71" s="323">
        <f>$C71*'2.) Enrollment'!M41*'4.) Yearly Budget'!$S$17</f>
        <v>0</v>
      </c>
      <c r="J71" s="925">
        <f t="shared" si="3"/>
        <v>0</v>
      </c>
      <c r="K71"/>
      <c r="L71" s="323">
        <f>$C71*'2.) Enrollment'!H41*'4.) Yearly Budget'!$K$17</f>
        <v>0</v>
      </c>
      <c r="M71" s="323">
        <f>$C71*'2.) Enrollment'!J41*'4.) Yearly Budget'!$N$17</f>
        <v>0</v>
      </c>
      <c r="N71" s="323">
        <f>$C71*'2.) Enrollment'!L41*'4.) Yearly Budget'!$Q$17</f>
        <v>0</v>
      </c>
      <c r="O71" s="323">
        <f>$C71*'2.) Enrollment'!N41*'4.) Yearly Budget'!$T$17</f>
        <v>0</v>
      </c>
      <c r="P71" s="925">
        <f t="shared" si="4"/>
        <v>0</v>
      </c>
      <c r="Q71"/>
      <c r="T71">
        <f>IF(ISBLANK('2.) Enrollment'!H41)=TRUE,'2.) Enrollment'!G41,'2.) Enrollment'!H41)</f>
        <v>0</v>
      </c>
      <c r="U71">
        <f>IF(ISBLANK('2.) Enrollment'!J41)=TRUE,'2.) Enrollment'!I41,'2.) Enrollment'!J41)</f>
        <v>0</v>
      </c>
      <c r="V71">
        <f>IF(ISBLANK('2.) Enrollment'!L41)=TRUE,'2.) Enrollment'!K41,'2.) Enrollment'!L41)</f>
        <v>0</v>
      </c>
      <c r="W71">
        <f>IF(ISBLANK('2.) Enrollment'!N41)=TRUE,'2.) Enrollment'!M41,'2.) Enrollment'!N41)</f>
        <v>0</v>
      </c>
    </row>
    <row r="72" spans="1:23">
      <c r="A72" s="4">
        <v>21</v>
      </c>
      <c r="B72" s="482" t="str">
        <f>IF(OR('2.) Enrollment'!C42=$B$109,ISBLANK('2.) Enrollment'!C42)),"-",'2.) Enrollment'!C42)</f>
        <v>-</v>
      </c>
      <c r="C72" s="234">
        <f>IFERROR(VLOOKUP($B72,'Funding by District'!$D$6:$F$684,3,FALSE),0)</f>
        <v>0</v>
      </c>
      <c r="D72"/>
      <c r="E72">
        <f t="shared" si="2"/>
        <v>0</v>
      </c>
      <c r="F72" s="323">
        <f>$C72*'2.) Enrollment'!G42*'4.) Yearly Budget'!$J$17</f>
        <v>0</v>
      </c>
      <c r="G72" s="323">
        <f>$C72*'2.) Enrollment'!I42*'4.) Yearly Budget'!$M$17</f>
        <v>0</v>
      </c>
      <c r="H72" s="323">
        <f>$C72*'2.) Enrollment'!K42*'4.) Yearly Budget'!$P$17</f>
        <v>0</v>
      </c>
      <c r="I72" s="323">
        <f>$C72*'2.) Enrollment'!M42*'4.) Yearly Budget'!$S$17</f>
        <v>0</v>
      </c>
      <c r="J72" s="925">
        <f t="shared" si="3"/>
        <v>0</v>
      </c>
      <c r="K72"/>
      <c r="L72" s="323">
        <f>$C72*'2.) Enrollment'!H42*'4.) Yearly Budget'!$K$17</f>
        <v>0</v>
      </c>
      <c r="M72" s="323">
        <f>$C72*'2.) Enrollment'!J42*'4.) Yearly Budget'!$N$17</f>
        <v>0</v>
      </c>
      <c r="N72" s="323">
        <f>$C72*'2.) Enrollment'!L42*'4.) Yearly Budget'!$Q$17</f>
        <v>0</v>
      </c>
      <c r="O72" s="323">
        <f>$C72*'2.) Enrollment'!N42*'4.) Yearly Budget'!$T$17</f>
        <v>0</v>
      </c>
      <c r="P72" s="925">
        <f t="shared" si="4"/>
        <v>0</v>
      </c>
      <c r="Q72"/>
      <c r="T72">
        <f>IF(ISBLANK('2.) Enrollment'!H42)=TRUE,'2.) Enrollment'!G42,'2.) Enrollment'!H42)</f>
        <v>0</v>
      </c>
      <c r="U72">
        <f>IF(ISBLANK('2.) Enrollment'!J42)=TRUE,'2.) Enrollment'!I42,'2.) Enrollment'!J42)</f>
        <v>0</v>
      </c>
      <c r="V72">
        <f>IF(ISBLANK('2.) Enrollment'!L42)=TRUE,'2.) Enrollment'!K42,'2.) Enrollment'!L42)</f>
        <v>0</v>
      </c>
      <c r="W72">
        <f>IF(ISBLANK('2.) Enrollment'!N42)=TRUE,'2.) Enrollment'!M42,'2.) Enrollment'!N42)</f>
        <v>0</v>
      </c>
    </row>
    <row r="73" spans="1:23">
      <c r="A73" s="4">
        <v>22</v>
      </c>
      <c r="B73" s="482" t="str">
        <f>IF(OR('2.) Enrollment'!C43=$B$109,ISBLANK('2.) Enrollment'!C43)),"-",'2.) Enrollment'!C43)</f>
        <v>-</v>
      </c>
      <c r="C73" s="234">
        <f>IFERROR(VLOOKUP($B73,'Funding by District'!$D$6:$F$684,3,FALSE),0)</f>
        <v>0</v>
      </c>
      <c r="D73"/>
      <c r="E73">
        <f t="shared" si="2"/>
        <v>0</v>
      </c>
      <c r="F73" s="323">
        <f>$C73*'2.) Enrollment'!G43*'4.) Yearly Budget'!$J$17</f>
        <v>0</v>
      </c>
      <c r="G73" s="323">
        <f>$C73*'2.) Enrollment'!I43*'4.) Yearly Budget'!$M$17</f>
        <v>0</v>
      </c>
      <c r="H73" s="323">
        <f>$C73*'2.) Enrollment'!K43*'4.) Yearly Budget'!$P$17</f>
        <v>0</v>
      </c>
      <c r="I73" s="323">
        <f>$C73*'2.) Enrollment'!M43*'4.) Yearly Budget'!$S$17</f>
        <v>0</v>
      </c>
      <c r="J73" s="925">
        <f t="shared" si="3"/>
        <v>0</v>
      </c>
      <c r="K73"/>
      <c r="L73" s="323">
        <f>$C73*'2.) Enrollment'!H43*'4.) Yearly Budget'!$K$17</f>
        <v>0</v>
      </c>
      <c r="M73" s="323">
        <f>$C73*'2.) Enrollment'!J43*'4.) Yearly Budget'!$N$17</f>
        <v>0</v>
      </c>
      <c r="N73" s="323">
        <f>$C73*'2.) Enrollment'!L43*'4.) Yearly Budget'!$Q$17</f>
        <v>0</v>
      </c>
      <c r="O73" s="323">
        <f>$C73*'2.) Enrollment'!N43*'4.) Yearly Budget'!$T$17</f>
        <v>0</v>
      </c>
      <c r="P73" s="925">
        <f t="shared" si="4"/>
        <v>0</v>
      </c>
      <c r="Q73"/>
      <c r="T73">
        <f>IF(ISBLANK('2.) Enrollment'!H43)=TRUE,'2.) Enrollment'!G43,'2.) Enrollment'!H43)</f>
        <v>0</v>
      </c>
      <c r="U73">
        <f>IF(ISBLANK('2.) Enrollment'!J43)=TRUE,'2.) Enrollment'!I43,'2.) Enrollment'!J43)</f>
        <v>0</v>
      </c>
      <c r="V73">
        <f>IF(ISBLANK('2.) Enrollment'!L43)=TRUE,'2.) Enrollment'!K43,'2.) Enrollment'!L43)</f>
        <v>0</v>
      </c>
      <c r="W73">
        <f>IF(ISBLANK('2.) Enrollment'!N43)=TRUE,'2.) Enrollment'!M43,'2.) Enrollment'!N43)</f>
        <v>0</v>
      </c>
    </row>
    <row r="74" spans="1:23">
      <c r="A74" s="4">
        <v>23</v>
      </c>
      <c r="B74" s="482" t="str">
        <f>IF(OR('2.) Enrollment'!C44=$B$109,ISBLANK('2.) Enrollment'!C44)),"-",'2.) Enrollment'!C44)</f>
        <v>-</v>
      </c>
      <c r="C74" s="234">
        <f>IFERROR(VLOOKUP($B74,'Funding by District'!$D$6:$F$684,3,FALSE),0)</f>
        <v>0</v>
      </c>
      <c r="D74"/>
      <c r="E74">
        <f t="shared" si="2"/>
        <v>0</v>
      </c>
      <c r="F74" s="323">
        <f>$C74*'2.) Enrollment'!G44*'4.) Yearly Budget'!$J$17</f>
        <v>0</v>
      </c>
      <c r="G74" s="323">
        <f>$C74*'2.) Enrollment'!I44*'4.) Yearly Budget'!$M$17</f>
        <v>0</v>
      </c>
      <c r="H74" s="323">
        <f>$C74*'2.) Enrollment'!K44*'4.) Yearly Budget'!$P$17</f>
        <v>0</v>
      </c>
      <c r="I74" s="323">
        <f>$C74*'2.) Enrollment'!M44*'4.) Yearly Budget'!$S$17</f>
        <v>0</v>
      </c>
      <c r="J74" s="925">
        <f t="shared" si="3"/>
        <v>0</v>
      </c>
      <c r="K74"/>
      <c r="L74" s="323">
        <f>$C74*'2.) Enrollment'!H44*'4.) Yearly Budget'!$K$17</f>
        <v>0</v>
      </c>
      <c r="M74" s="323">
        <f>$C74*'2.) Enrollment'!J44*'4.) Yearly Budget'!$N$17</f>
        <v>0</v>
      </c>
      <c r="N74" s="323">
        <f>$C74*'2.) Enrollment'!L44*'4.) Yearly Budget'!$Q$17</f>
        <v>0</v>
      </c>
      <c r="O74" s="323">
        <f>$C74*'2.) Enrollment'!N44*'4.) Yearly Budget'!$T$17</f>
        <v>0</v>
      </c>
      <c r="P74" s="925">
        <f t="shared" si="4"/>
        <v>0</v>
      </c>
      <c r="Q74"/>
      <c r="T74">
        <f>IF(ISBLANK('2.) Enrollment'!H44)=TRUE,'2.) Enrollment'!G44,'2.) Enrollment'!H44)</f>
        <v>0</v>
      </c>
      <c r="U74">
        <f>IF(ISBLANK('2.) Enrollment'!J44)=TRUE,'2.) Enrollment'!I44,'2.) Enrollment'!J44)</f>
        <v>0</v>
      </c>
      <c r="V74">
        <f>IF(ISBLANK('2.) Enrollment'!L44)=TRUE,'2.) Enrollment'!K44,'2.) Enrollment'!L44)</f>
        <v>0</v>
      </c>
      <c r="W74">
        <f>IF(ISBLANK('2.) Enrollment'!N44)=TRUE,'2.) Enrollment'!M44,'2.) Enrollment'!N44)</f>
        <v>0</v>
      </c>
    </row>
    <row r="75" spans="1:23">
      <c r="A75" s="4">
        <v>24</v>
      </c>
      <c r="B75" s="482" t="str">
        <f>IF(OR('2.) Enrollment'!C45=$B$109,ISBLANK('2.) Enrollment'!C45)),"-",'2.) Enrollment'!C45)</f>
        <v>-</v>
      </c>
      <c r="C75" s="234">
        <f>IFERROR(VLOOKUP($B75,'Funding by District'!$D$6:$F$684,3,FALSE),0)</f>
        <v>0</v>
      </c>
      <c r="D75"/>
      <c r="E75">
        <f t="shared" si="2"/>
        <v>0</v>
      </c>
      <c r="F75" s="323">
        <f>$C75*'2.) Enrollment'!G45*'4.) Yearly Budget'!$J$17</f>
        <v>0</v>
      </c>
      <c r="G75" s="323">
        <f>$C75*'2.) Enrollment'!I45*'4.) Yearly Budget'!$M$17</f>
        <v>0</v>
      </c>
      <c r="H75" s="323">
        <f>$C75*'2.) Enrollment'!K45*'4.) Yearly Budget'!$P$17</f>
        <v>0</v>
      </c>
      <c r="I75" s="323">
        <f>$C75*'2.) Enrollment'!M45*'4.) Yearly Budget'!$S$17</f>
        <v>0</v>
      </c>
      <c r="J75" s="925">
        <f t="shared" si="3"/>
        <v>0</v>
      </c>
      <c r="K75"/>
      <c r="L75" s="323">
        <f>$C75*'2.) Enrollment'!H45*'4.) Yearly Budget'!$K$17</f>
        <v>0</v>
      </c>
      <c r="M75" s="323">
        <f>$C75*'2.) Enrollment'!J45*'4.) Yearly Budget'!$N$17</f>
        <v>0</v>
      </c>
      <c r="N75" s="323">
        <f>$C75*'2.) Enrollment'!L45*'4.) Yearly Budget'!$Q$17</f>
        <v>0</v>
      </c>
      <c r="O75" s="323">
        <f>$C75*'2.) Enrollment'!N45*'4.) Yearly Budget'!$T$17</f>
        <v>0</v>
      </c>
      <c r="P75" s="925">
        <f t="shared" si="4"/>
        <v>0</v>
      </c>
      <c r="Q75"/>
      <c r="T75">
        <f>IF(ISBLANK('2.) Enrollment'!H45)=TRUE,'2.) Enrollment'!G45,'2.) Enrollment'!H45)</f>
        <v>0</v>
      </c>
      <c r="U75">
        <f>IF(ISBLANK('2.) Enrollment'!J45)=TRUE,'2.) Enrollment'!I45,'2.) Enrollment'!J45)</f>
        <v>0</v>
      </c>
      <c r="V75">
        <f>IF(ISBLANK('2.) Enrollment'!L45)=TRUE,'2.) Enrollment'!K45,'2.) Enrollment'!L45)</f>
        <v>0</v>
      </c>
      <c r="W75">
        <f>IF(ISBLANK('2.) Enrollment'!N45)=TRUE,'2.) Enrollment'!M45,'2.) Enrollment'!N45)</f>
        <v>0</v>
      </c>
    </row>
    <row r="76" spans="1:23">
      <c r="A76" s="4">
        <v>25</v>
      </c>
      <c r="B76" s="482" t="str">
        <f>IF(OR('2.) Enrollment'!C46=$B$109,ISBLANK('2.) Enrollment'!C46)),"-",'2.) Enrollment'!C46)</f>
        <v>-</v>
      </c>
      <c r="C76" s="234">
        <f>IFERROR(VLOOKUP($B76,'Funding by District'!$D$6:$F$684,3,FALSE),0)</f>
        <v>0</v>
      </c>
      <c r="D76"/>
      <c r="E76">
        <f t="shared" si="2"/>
        <v>0</v>
      </c>
      <c r="F76" s="323">
        <f>$C76*'2.) Enrollment'!G46*'4.) Yearly Budget'!$J$17</f>
        <v>0</v>
      </c>
      <c r="G76" s="323">
        <f>$C76*'2.) Enrollment'!I46*'4.) Yearly Budget'!$M$17</f>
        <v>0</v>
      </c>
      <c r="H76" s="323">
        <f>$C76*'2.) Enrollment'!K46*'4.) Yearly Budget'!$P$17</f>
        <v>0</v>
      </c>
      <c r="I76" s="323">
        <f>$C76*'2.) Enrollment'!M46*'4.) Yearly Budget'!$S$17</f>
        <v>0</v>
      </c>
      <c r="J76" s="925">
        <f t="shared" si="3"/>
        <v>0</v>
      </c>
      <c r="K76"/>
      <c r="L76" s="323">
        <f>$C76*'2.) Enrollment'!H46*'4.) Yearly Budget'!$K$17</f>
        <v>0</v>
      </c>
      <c r="M76" s="323">
        <f>$C76*'2.) Enrollment'!J46*'4.) Yearly Budget'!$N$17</f>
        <v>0</v>
      </c>
      <c r="N76" s="323">
        <f>$C76*'2.) Enrollment'!L46*'4.) Yearly Budget'!$Q$17</f>
        <v>0</v>
      </c>
      <c r="O76" s="323">
        <f>$C76*'2.) Enrollment'!N46*'4.) Yearly Budget'!$T$17</f>
        <v>0</v>
      </c>
      <c r="P76" s="925">
        <f t="shared" si="4"/>
        <v>0</v>
      </c>
      <c r="Q76"/>
      <c r="T76">
        <f>IF(ISBLANK('2.) Enrollment'!H46)=TRUE,'2.) Enrollment'!G46,'2.) Enrollment'!H46)</f>
        <v>0</v>
      </c>
      <c r="U76">
        <f>IF(ISBLANK('2.) Enrollment'!J46)=TRUE,'2.) Enrollment'!I46,'2.) Enrollment'!J46)</f>
        <v>0</v>
      </c>
      <c r="V76">
        <f>IF(ISBLANK('2.) Enrollment'!L46)=TRUE,'2.) Enrollment'!K46,'2.) Enrollment'!L46)</f>
        <v>0</v>
      </c>
      <c r="W76">
        <f>IF(ISBLANK('2.) Enrollment'!N46)=TRUE,'2.) Enrollment'!M46,'2.) Enrollment'!N46)</f>
        <v>0</v>
      </c>
    </row>
    <row r="77" spans="1:23">
      <c r="A77" s="4">
        <v>26</v>
      </c>
      <c r="B77" s="482" t="str">
        <f>IF(OR('2.) Enrollment'!C47=$B$109,ISBLANK('2.) Enrollment'!C47)),"-",'2.) Enrollment'!C47)</f>
        <v>-</v>
      </c>
      <c r="C77" s="234">
        <f>IFERROR(VLOOKUP($B77,'Funding by District'!$D$6:$F$684,3,FALSE),0)</f>
        <v>0</v>
      </c>
      <c r="D77"/>
      <c r="E77">
        <f t="shared" si="2"/>
        <v>0</v>
      </c>
      <c r="F77" s="323">
        <f>$C77*'2.) Enrollment'!G47*'4.) Yearly Budget'!$J$17</f>
        <v>0</v>
      </c>
      <c r="G77" s="323">
        <f>$C77*'2.) Enrollment'!I47*'4.) Yearly Budget'!$M$17</f>
        <v>0</v>
      </c>
      <c r="H77" s="323">
        <f>$C77*'2.) Enrollment'!K47*'4.) Yearly Budget'!$P$17</f>
        <v>0</v>
      </c>
      <c r="I77" s="323">
        <f>$C77*'2.) Enrollment'!M47*'4.) Yearly Budget'!$S$17</f>
        <v>0</v>
      </c>
      <c r="J77" s="925">
        <f t="shared" si="3"/>
        <v>0</v>
      </c>
      <c r="K77"/>
      <c r="L77" s="323">
        <f>$C77*'2.) Enrollment'!H47*'4.) Yearly Budget'!$K$17</f>
        <v>0</v>
      </c>
      <c r="M77" s="323">
        <f>$C77*'2.) Enrollment'!J47*'4.) Yearly Budget'!$N$17</f>
        <v>0</v>
      </c>
      <c r="N77" s="323">
        <f>$C77*'2.) Enrollment'!L47*'4.) Yearly Budget'!$Q$17</f>
        <v>0</v>
      </c>
      <c r="O77" s="323">
        <f>$C77*'2.) Enrollment'!N47*'4.) Yearly Budget'!$T$17</f>
        <v>0</v>
      </c>
      <c r="P77" s="925">
        <f t="shared" si="4"/>
        <v>0</v>
      </c>
      <c r="Q77"/>
      <c r="T77">
        <f>IF(ISBLANK('2.) Enrollment'!H47)=TRUE,'2.) Enrollment'!G47,'2.) Enrollment'!H47)</f>
        <v>0</v>
      </c>
      <c r="U77">
        <f>IF(ISBLANK('2.) Enrollment'!J47)=TRUE,'2.) Enrollment'!I47,'2.) Enrollment'!J47)</f>
        <v>0</v>
      </c>
      <c r="V77">
        <f>IF(ISBLANK('2.) Enrollment'!L47)=TRUE,'2.) Enrollment'!K47,'2.) Enrollment'!L47)</f>
        <v>0</v>
      </c>
      <c r="W77">
        <f>IF(ISBLANK('2.) Enrollment'!N47)=TRUE,'2.) Enrollment'!M47,'2.) Enrollment'!N47)</f>
        <v>0</v>
      </c>
    </row>
    <row r="78" spans="1:23">
      <c r="A78" s="4">
        <v>27</v>
      </c>
      <c r="B78" s="482" t="str">
        <f>IF(OR('2.) Enrollment'!C48=$B$109,ISBLANK('2.) Enrollment'!C48)),"-",'2.) Enrollment'!C48)</f>
        <v>-</v>
      </c>
      <c r="C78" s="234">
        <f>IFERROR(VLOOKUP($B78,'Funding by District'!$D$6:$F$684,3,FALSE),0)</f>
        <v>0</v>
      </c>
      <c r="D78"/>
      <c r="E78">
        <f t="shared" si="2"/>
        <v>0</v>
      </c>
      <c r="F78" s="323">
        <f>$C78*'2.) Enrollment'!G48*'4.) Yearly Budget'!$J$17</f>
        <v>0</v>
      </c>
      <c r="G78" s="323">
        <f>$C78*'2.) Enrollment'!I48*'4.) Yearly Budget'!$M$17</f>
        <v>0</v>
      </c>
      <c r="H78" s="323">
        <f>$C78*'2.) Enrollment'!K48*'4.) Yearly Budget'!$P$17</f>
        <v>0</v>
      </c>
      <c r="I78" s="323">
        <f>$C78*'2.) Enrollment'!M48*'4.) Yearly Budget'!$S$17</f>
        <v>0</v>
      </c>
      <c r="J78" s="925">
        <f t="shared" si="3"/>
        <v>0</v>
      </c>
      <c r="K78"/>
      <c r="L78" s="323">
        <f>$C78*'2.) Enrollment'!H48*'4.) Yearly Budget'!$K$17</f>
        <v>0</v>
      </c>
      <c r="M78" s="323">
        <f>$C78*'2.) Enrollment'!J48*'4.) Yearly Budget'!$N$17</f>
        <v>0</v>
      </c>
      <c r="N78" s="323">
        <f>$C78*'2.) Enrollment'!L48*'4.) Yearly Budget'!$Q$17</f>
        <v>0</v>
      </c>
      <c r="O78" s="323">
        <f>$C78*'2.) Enrollment'!N48*'4.) Yearly Budget'!$T$17</f>
        <v>0</v>
      </c>
      <c r="P78" s="925">
        <f t="shared" si="4"/>
        <v>0</v>
      </c>
      <c r="Q78"/>
      <c r="T78">
        <f>IF(ISBLANK('2.) Enrollment'!H48)=TRUE,'2.) Enrollment'!G48,'2.) Enrollment'!H48)</f>
        <v>0</v>
      </c>
      <c r="U78">
        <f>IF(ISBLANK('2.) Enrollment'!J48)=TRUE,'2.) Enrollment'!I48,'2.) Enrollment'!J48)</f>
        <v>0</v>
      </c>
      <c r="V78">
        <f>IF(ISBLANK('2.) Enrollment'!L48)=TRUE,'2.) Enrollment'!K48,'2.) Enrollment'!L48)</f>
        <v>0</v>
      </c>
      <c r="W78">
        <f>IF(ISBLANK('2.) Enrollment'!N48)=TRUE,'2.) Enrollment'!M48,'2.) Enrollment'!N48)</f>
        <v>0</v>
      </c>
    </row>
    <row r="79" spans="1:23">
      <c r="A79" s="4">
        <v>28</v>
      </c>
      <c r="B79" s="482" t="str">
        <f>IF(OR('2.) Enrollment'!C49=$B$109,ISBLANK('2.) Enrollment'!C49)),"-",'2.) Enrollment'!C49)</f>
        <v>-</v>
      </c>
      <c r="C79" s="234">
        <f>IFERROR(VLOOKUP($B79,'Funding by District'!$D$6:$F$684,3,FALSE),0)</f>
        <v>0</v>
      </c>
      <c r="D79"/>
      <c r="E79">
        <f t="shared" si="2"/>
        <v>0</v>
      </c>
      <c r="F79" s="323">
        <f>$C79*'2.) Enrollment'!G49*'4.) Yearly Budget'!$J$17</f>
        <v>0</v>
      </c>
      <c r="G79" s="323">
        <f>$C79*'2.) Enrollment'!I49*'4.) Yearly Budget'!$M$17</f>
        <v>0</v>
      </c>
      <c r="H79" s="323">
        <f>$C79*'2.) Enrollment'!K49*'4.) Yearly Budget'!$P$17</f>
        <v>0</v>
      </c>
      <c r="I79" s="323">
        <f>$C79*'2.) Enrollment'!M49*'4.) Yearly Budget'!$S$17</f>
        <v>0</v>
      </c>
      <c r="J79" s="925">
        <f t="shared" si="3"/>
        <v>0</v>
      </c>
      <c r="K79"/>
      <c r="L79" s="323">
        <f>$C79*'2.) Enrollment'!H49*'4.) Yearly Budget'!$K$17</f>
        <v>0</v>
      </c>
      <c r="M79" s="323">
        <f>$C79*'2.) Enrollment'!J49*'4.) Yearly Budget'!$N$17</f>
        <v>0</v>
      </c>
      <c r="N79" s="323">
        <f>$C79*'2.) Enrollment'!L49*'4.) Yearly Budget'!$Q$17</f>
        <v>0</v>
      </c>
      <c r="O79" s="323">
        <f>$C79*'2.) Enrollment'!N49*'4.) Yearly Budget'!$T$17</f>
        <v>0</v>
      </c>
      <c r="P79" s="925">
        <f t="shared" si="4"/>
        <v>0</v>
      </c>
      <c r="Q79"/>
      <c r="T79">
        <f>IF(ISBLANK('2.) Enrollment'!H49)=TRUE,'2.) Enrollment'!G49,'2.) Enrollment'!H49)</f>
        <v>0</v>
      </c>
      <c r="U79">
        <f>IF(ISBLANK('2.) Enrollment'!J49)=TRUE,'2.) Enrollment'!I49,'2.) Enrollment'!J49)</f>
        <v>0</v>
      </c>
      <c r="V79">
        <f>IF(ISBLANK('2.) Enrollment'!L49)=TRUE,'2.) Enrollment'!K49,'2.) Enrollment'!L49)</f>
        <v>0</v>
      </c>
      <c r="W79">
        <f>IF(ISBLANK('2.) Enrollment'!N49)=TRUE,'2.) Enrollment'!M49,'2.) Enrollment'!N49)</f>
        <v>0</v>
      </c>
    </row>
    <row r="80" spans="1:23">
      <c r="A80" s="4">
        <v>29</v>
      </c>
      <c r="B80" s="482" t="str">
        <f>IF(OR('2.) Enrollment'!C50=$B$109,ISBLANK('2.) Enrollment'!C50)),"-",'2.) Enrollment'!C50)</f>
        <v>-</v>
      </c>
      <c r="C80" s="234">
        <f>IFERROR(VLOOKUP($B80,'Funding by District'!$D$6:$F$684,3,FALSE),0)</f>
        <v>0</v>
      </c>
      <c r="D80"/>
      <c r="E80">
        <f t="shared" si="2"/>
        <v>0</v>
      </c>
      <c r="F80" s="323">
        <f>$C80*'2.) Enrollment'!G50*'4.) Yearly Budget'!$J$17</f>
        <v>0</v>
      </c>
      <c r="G80" s="323">
        <f>$C80*'2.) Enrollment'!I50*'4.) Yearly Budget'!$M$17</f>
        <v>0</v>
      </c>
      <c r="H80" s="323">
        <f>$C80*'2.) Enrollment'!K50*'4.) Yearly Budget'!$P$17</f>
        <v>0</v>
      </c>
      <c r="I80" s="323">
        <f>$C80*'2.) Enrollment'!M50*'4.) Yearly Budget'!$S$17</f>
        <v>0</v>
      </c>
      <c r="J80" s="925">
        <f t="shared" si="3"/>
        <v>0</v>
      </c>
      <c r="K80"/>
      <c r="L80" s="323">
        <f>$C80*'2.) Enrollment'!H50*'4.) Yearly Budget'!$K$17</f>
        <v>0</v>
      </c>
      <c r="M80" s="323">
        <f>$C80*'2.) Enrollment'!J50*'4.) Yearly Budget'!$N$17</f>
        <v>0</v>
      </c>
      <c r="N80" s="323">
        <f>$C80*'2.) Enrollment'!L50*'4.) Yearly Budget'!$Q$17</f>
        <v>0</v>
      </c>
      <c r="O80" s="323">
        <f>$C80*'2.) Enrollment'!N50*'4.) Yearly Budget'!$T$17</f>
        <v>0</v>
      </c>
      <c r="P80" s="925">
        <f t="shared" si="4"/>
        <v>0</v>
      </c>
      <c r="Q80"/>
      <c r="T80">
        <f>IF(ISBLANK('2.) Enrollment'!H50)=TRUE,'2.) Enrollment'!G50,'2.) Enrollment'!H50)</f>
        <v>0</v>
      </c>
      <c r="U80">
        <f>IF(ISBLANK('2.) Enrollment'!J50)=TRUE,'2.) Enrollment'!I50,'2.) Enrollment'!J50)</f>
        <v>0</v>
      </c>
      <c r="V80">
        <f>IF(ISBLANK('2.) Enrollment'!L50)=TRUE,'2.) Enrollment'!K50,'2.) Enrollment'!L50)</f>
        <v>0</v>
      </c>
      <c r="W80">
        <f>IF(ISBLANK('2.) Enrollment'!N50)=TRUE,'2.) Enrollment'!M50,'2.) Enrollment'!N50)</f>
        <v>0</v>
      </c>
    </row>
    <row r="81" spans="1:23">
      <c r="A81" s="4">
        <v>30</v>
      </c>
      <c r="B81" s="482" t="str">
        <f>IF(OR('2.) Enrollment'!C51=$B$109,ISBLANK('2.) Enrollment'!C51)),"-",'2.) Enrollment'!C51)</f>
        <v>-</v>
      </c>
      <c r="C81" s="234">
        <f>IFERROR(VLOOKUP($B81,'Funding by District'!$D$6:$F$684,3,FALSE),0)</f>
        <v>0</v>
      </c>
      <c r="D81"/>
      <c r="E81">
        <f t="shared" si="2"/>
        <v>0</v>
      </c>
      <c r="F81" s="323">
        <f>$C81*'2.) Enrollment'!G51*'4.) Yearly Budget'!$J$17</f>
        <v>0</v>
      </c>
      <c r="G81" s="323">
        <f>$C81*'2.) Enrollment'!I51*'4.) Yearly Budget'!$M$17</f>
        <v>0</v>
      </c>
      <c r="H81" s="323">
        <f>$C81*'2.) Enrollment'!K51*'4.) Yearly Budget'!$P$17</f>
        <v>0</v>
      </c>
      <c r="I81" s="323">
        <f>$C81*'2.) Enrollment'!M51*'4.) Yearly Budget'!$S$17</f>
        <v>0</v>
      </c>
      <c r="J81" s="925">
        <f t="shared" si="3"/>
        <v>0</v>
      </c>
      <c r="K81"/>
      <c r="L81" s="323">
        <f>$C81*'2.) Enrollment'!H51*'4.) Yearly Budget'!$K$17</f>
        <v>0</v>
      </c>
      <c r="M81" s="323">
        <f>$C81*'2.) Enrollment'!J51*'4.) Yearly Budget'!$N$17</f>
        <v>0</v>
      </c>
      <c r="N81" s="323">
        <f>$C81*'2.) Enrollment'!L51*'4.) Yearly Budget'!$Q$17</f>
        <v>0</v>
      </c>
      <c r="O81" s="323">
        <f>$C81*'2.) Enrollment'!N51*'4.) Yearly Budget'!$T$17</f>
        <v>0</v>
      </c>
      <c r="P81" s="925">
        <f t="shared" si="4"/>
        <v>0</v>
      </c>
      <c r="Q81"/>
      <c r="T81">
        <f>IF(ISBLANK('2.) Enrollment'!H51)=TRUE,'2.) Enrollment'!G51,'2.) Enrollment'!H51)</f>
        <v>0</v>
      </c>
      <c r="U81">
        <f>IF(ISBLANK('2.) Enrollment'!J51)=TRUE,'2.) Enrollment'!I51,'2.) Enrollment'!J51)</f>
        <v>0</v>
      </c>
      <c r="V81">
        <f>IF(ISBLANK('2.) Enrollment'!L51)=TRUE,'2.) Enrollment'!K51,'2.) Enrollment'!L51)</f>
        <v>0</v>
      </c>
      <c r="W81">
        <f>IF(ISBLANK('2.) Enrollment'!N51)=TRUE,'2.) Enrollment'!M51,'2.) Enrollment'!N51)</f>
        <v>0</v>
      </c>
    </row>
    <row r="82" spans="1:23">
      <c r="A82" s="4">
        <v>31</v>
      </c>
      <c r="B82" s="482" t="str">
        <f>IF(OR('2.) Enrollment'!C52=$B$109,ISBLANK('2.) Enrollment'!C52)),"-",'2.) Enrollment'!C52)</f>
        <v>-</v>
      </c>
      <c r="C82" s="234">
        <f>IFERROR(VLOOKUP($B82,'Funding by District'!$D$6:$F$684,3,FALSE),0)</f>
        <v>0</v>
      </c>
      <c r="D82"/>
      <c r="E82">
        <f t="shared" si="2"/>
        <v>0</v>
      </c>
      <c r="F82" s="323">
        <f>$C82*'2.) Enrollment'!G52*'4.) Yearly Budget'!$J$17</f>
        <v>0</v>
      </c>
      <c r="G82" s="323">
        <f>$C82*'2.) Enrollment'!I52*'4.) Yearly Budget'!$M$17</f>
        <v>0</v>
      </c>
      <c r="H82" s="323">
        <f>$C82*'2.) Enrollment'!K52*'4.) Yearly Budget'!$P$17</f>
        <v>0</v>
      </c>
      <c r="I82" s="323">
        <f>$C82*'2.) Enrollment'!M52*'4.) Yearly Budget'!$S$17</f>
        <v>0</v>
      </c>
      <c r="J82" s="925">
        <f t="shared" si="3"/>
        <v>0</v>
      </c>
      <c r="K82"/>
      <c r="L82" s="323">
        <f>$C82*'2.) Enrollment'!H52*'4.) Yearly Budget'!$K$17</f>
        <v>0</v>
      </c>
      <c r="M82" s="323">
        <f>$C82*'2.) Enrollment'!J52*'4.) Yearly Budget'!$N$17</f>
        <v>0</v>
      </c>
      <c r="N82" s="323">
        <f>$C82*'2.) Enrollment'!L52*'4.) Yearly Budget'!$Q$17</f>
        <v>0</v>
      </c>
      <c r="O82" s="323">
        <f>$C82*'2.) Enrollment'!N52*'4.) Yearly Budget'!$T$17</f>
        <v>0</v>
      </c>
      <c r="P82" s="925">
        <f t="shared" si="4"/>
        <v>0</v>
      </c>
      <c r="Q82"/>
      <c r="T82">
        <f>IF(ISBLANK('2.) Enrollment'!H52)=TRUE,'2.) Enrollment'!G52,'2.) Enrollment'!H52)</f>
        <v>0</v>
      </c>
      <c r="U82">
        <f>IF(ISBLANK('2.) Enrollment'!J52)=TRUE,'2.) Enrollment'!I52,'2.) Enrollment'!J52)</f>
        <v>0</v>
      </c>
      <c r="V82">
        <f>IF(ISBLANK('2.) Enrollment'!L52)=TRUE,'2.) Enrollment'!K52,'2.) Enrollment'!L52)</f>
        <v>0</v>
      </c>
      <c r="W82">
        <f>IF(ISBLANK('2.) Enrollment'!N52)=TRUE,'2.) Enrollment'!M52,'2.) Enrollment'!N52)</f>
        <v>0</v>
      </c>
    </row>
    <row r="83" spans="1:23">
      <c r="A83" s="4">
        <v>32</v>
      </c>
      <c r="B83" s="482" t="str">
        <f>IF(OR('2.) Enrollment'!C53=$B$109,ISBLANK('2.) Enrollment'!C53)),"-",'2.) Enrollment'!C53)</f>
        <v>-</v>
      </c>
      <c r="C83" s="234">
        <f>IFERROR(VLOOKUP($B83,'Funding by District'!$D$6:$F$684,3,FALSE),0)</f>
        <v>0</v>
      </c>
      <c r="D83"/>
      <c r="E83">
        <f t="shared" si="2"/>
        <v>0</v>
      </c>
      <c r="F83" s="323">
        <f>$C83*'2.) Enrollment'!G53*'4.) Yearly Budget'!$J$17</f>
        <v>0</v>
      </c>
      <c r="G83" s="323">
        <f>$C83*'2.) Enrollment'!I53*'4.) Yearly Budget'!$M$17</f>
        <v>0</v>
      </c>
      <c r="H83" s="323">
        <f>$C83*'2.) Enrollment'!K53*'4.) Yearly Budget'!$P$17</f>
        <v>0</v>
      </c>
      <c r="I83" s="323">
        <f>$C83*'2.) Enrollment'!M53*'4.) Yearly Budget'!$S$17</f>
        <v>0</v>
      </c>
      <c r="J83" s="925">
        <f t="shared" si="3"/>
        <v>0</v>
      </c>
      <c r="K83"/>
      <c r="L83" s="323">
        <f>$C83*'2.) Enrollment'!H53*'4.) Yearly Budget'!$K$17</f>
        <v>0</v>
      </c>
      <c r="M83" s="323">
        <f>$C83*'2.) Enrollment'!J53*'4.) Yearly Budget'!$N$17</f>
        <v>0</v>
      </c>
      <c r="N83" s="323">
        <f>$C83*'2.) Enrollment'!L53*'4.) Yearly Budget'!$Q$17</f>
        <v>0</v>
      </c>
      <c r="O83" s="323">
        <f>$C83*'2.) Enrollment'!N53*'4.) Yearly Budget'!$T$17</f>
        <v>0</v>
      </c>
      <c r="P83" s="925">
        <f t="shared" si="4"/>
        <v>0</v>
      </c>
      <c r="Q83"/>
      <c r="T83">
        <f>IF(ISBLANK('2.) Enrollment'!H53)=TRUE,'2.) Enrollment'!G53,'2.) Enrollment'!H53)</f>
        <v>0</v>
      </c>
      <c r="U83">
        <f>IF(ISBLANK('2.) Enrollment'!J53)=TRUE,'2.) Enrollment'!I53,'2.) Enrollment'!J53)</f>
        <v>0</v>
      </c>
      <c r="V83">
        <f>IF(ISBLANK('2.) Enrollment'!L53)=TRUE,'2.) Enrollment'!K53,'2.) Enrollment'!L53)</f>
        <v>0</v>
      </c>
      <c r="W83">
        <f>IF(ISBLANK('2.) Enrollment'!N53)=TRUE,'2.) Enrollment'!M53,'2.) Enrollment'!N53)</f>
        <v>0</v>
      </c>
    </row>
    <row r="84" spans="1:23">
      <c r="A84" s="4">
        <v>33</v>
      </c>
      <c r="B84" s="482" t="str">
        <f>IF(OR('2.) Enrollment'!C54=$B$109,ISBLANK('2.) Enrollment'!C54)),"-",'2.) Enrollment'!C54)</f>
        <v>-</v>
      </c>
      <c r="C84" s="234">
        <f>IFERROR(VLOOKUP($B84,'Funding by District'!$D$6:$F$684,3,FALSE),0)</f>
        <v>0</v>
      </c>
      <c r="D84"/>
      <c r="E84">
        <f t="shared" si="2"/>
        <v>0</v>
      </c>
      <c r="F84" s="323">
        <f>$C84*'2.) Enrollment'!G54*'4.) Yearly Budget'!$J$17</f>
        <v>0</v>
      </c>
      <c r="G84" s="323">
        <f>$C84*'2.) Enrollment'!I54*'4.) Yearly Budget'!$M$17</f>
        <v>0</v>
      </c>
      <c r="H84" s="323">
        <f>$C84*'2.) Enrollment'!K54*'4.) Yearly Budget'!$P$17</f>
        <v>0</v>
      </c>
      <c r="I84" s="323">
        <f>$C84*'2.) Enrollment'!M54*'4.) Yearly Budget'!$S$17</f>
        <v>0</v>
      </c>
      <c r="J84" s="925">
        <f t="shared" si="3"/>
        <v>0</v>
      </c>
      <c r="K84"/>
      <c r="L84" s="323">
        <f>$C84*'2.) Enrollment'!H54*'4.) Yearly Budget'!$K$17</f>
        <v>0</v>
      </c>
      <c r="M84" s="323">
        <f>$C84*'2.) Enrollment'!J54*'4.) Yearly Budget'!$N$17</f>
        <v>0</v>
      </c>
      <c r="N84" s="323">
        <f>$C84*'2.) Enrollment'!L54*'4.) Yearly Budget'!$Q$17</f>
        <v>0</v>
      </c>
      <c r="O84" s="323">
        <f>$C84*'2.) Enrollment'!N54*'4.) Yearly Budget'!$T$17</f>
        <v>0</v>
      </c>
      <c r="P84" s="925">
        <f t="shared" si="4"/>
        <v>0</v>
      </c>
      <c r="Q84"/>
      <c r="T84">
        <f>IF(ISBLANK('2.) Enrollment'!H54)=TRUE,'2.) Enrollment'!G54,'2.) Enrollment'!H54)</f>
        <v>0</v>
      </c>
      <c r="U84">
        <f>IF(ISBLANK('2.) Enrollment'!J54)=TRUE,'2.) Enrollment'!I54,'2.) Enrollment'!J54)</f>
        <v>0</v>
      </c>
      <c r="V84">
        <f>IF(ISBLANK('2.) Enrollment'!L54)=TRUE,'2.) Enrollment'!K54,'2.) Enrollment'!L54)</f>
        <v>0</v>
      </c>
      <c r="W84">
        <f>IF(ISBLANK('2.) Enrollment'!N54)=TRUE,'2.) Enrollment'!M54,'2.) Enrollment'!N54)</f>
        <v>0</v>
      </c>
    </row>
    <row r="85" spans="1:23">
      <c r="A85" s="4">
        <v>34</v>
      </c>
      <c r="B85" s="482" t="str">
        <f>IF(OR('2.) Enrollment'!C55=$B$109,ISBLANK('2.) Enrollment'!C55)),"-",'2.) Enrollment'!C55)</f>
        <v>-</v>
      </c>
      <c r="C85" s="234">
        <f>IFERROR(VLOOKUP($B85,'Funding by District'!$D$6:$F$684,3,FALSE),0)</f>
        <v>0</v>
      </c>
      <c r="D85"/>
      <c r="E85">
        <f t="shared" si="2"/>
        <v>0</v>
      </c>
      <c r="F85" s="323">
        <f>$C85*'2.) Enrollment'!G55*'4.) Yearly Budget'!$J$17</f>
        <v>0</v>
      </c>
      <c r="G85" s="323">
        <f>$C85*'2.) Enrollment'!I55*'4.) Yearly Budget'!$M$17</f>
        <v>0</v>
      </c>
      <c r="H85" s="323">
        <f>$C85*'2.) Enrollment'!K55*'4.) Yearly Budget'!$P$17</f>
        <v>0</v>
      </c>
      <c r="I85" s="323">
        <f>$C85*'2.) Enrollment'!M55*'4.) Yearly Budget'!$S$17</f>
        <v>0</v>
      </c>
      <c r="J85" s="925">
        <f t="shared" si="3"/>
        <v>0</v>
      </c>
      <c r="K85"/>
      <c r="L85" s="323">
        <f>$C85*'2.) Enrollment'!H55*'4.) Yearly Budget'!$K$17</f>
        <v>0</v>
      </c>
      <c r="M85" s="323">
        <f>$C85*'2.) Enrollment'!J55*'4.) Yearly Budget'!$N$17</f>
        <v>0</v>
      </c>
      <c r="N85" s="323">
        <f>$C85*'2.) Enrollment'!L55*'4.) Yearly Budget'!$Q$17</f>
        <v>0</v>
      </c>
      <c r="O85" s="323">
        <f>$C85*'2.) Enrollment'!N55*'4.) Yearly Budget'!$T$17</f>
        <v>0</v>
      </c>
      <c r="P85" s="925">
        <f t="shared" si="4"/>
        <v>0</v>
      </c>
      <c r="Q85"/>
      <c r="T85">
        <f>IF(ISBLANK('2.) Enrollment'!H55)=TRUE,'2.) Enrollment'!G55,'2.) Enrollment'!H55)</f>
        <v>0</v>
      </c>
      <c r="U85">
        <f>IF(ISBLANK('2.) Enrollment'!J55)=TRUE,'2.) Enrollment'!I55,'2.) Enrollment'!J55)</f>
        <v>0</v>
      </c>
      <c r="V85">
        <f>IF(ISBLANK('2.) Enrollment'!L55)=TRUE,'2.) Enrollment'!K55,'2.) Enrollment'!L55)</f>
        <v>0</v>
      </c>
      <c r="W85">
        <f>IF(ISBLANK('2.) Enrollment'!N55)=TRUE,'2.) Enrollment'!M55,'2.) Enrollment'!N55)</f>
        <v>0</v>
      </c>
    </row>
    <row r="86" spans="1:23">
      <c r="A86" s="4">
        <v>35</v>
      </c>
      <c r="B86" s="482" t="str">
        <f>IF(OR('2.) Enrollment'!C56=$B$109,ISBLANK('2.) Enrollment'!C56)),"-",'2.) Enrollment'!C56)</f>
        <v>-</v>
      </c>
      <c r="C86" s="234">
        <f>IFERROR(VLOOKUP($B86,'Funding by District'!$D$6:$F$684,3,FALSE),0)</f>
        <v>0</v>
      </c>
      <c r="D86"/>
      <c r="E86">
        <f t="shared" si="2"/>
        <v>0</v>
      </c>
      <c r="F86" s="323">
        <f>$C86*'2.) Enrollment'!G56*'4.) Yearly Budget'!$J$17</f>
        <v>0</v>
      </c>
      <c r="G86" s="323">
        <f>$C86*'2.) Enrollment'!I56*'4.) Yearly Budget'!$M$17</f>
        <v>0</v>
      </c>
      <c r="H86" s="323">
        <f>$C86*'2.) Enrollment'!K56*'4.) Yearly Budget'!$P$17</f>
        <v>0</v>
      </c>
      <c r="I86" s="323">
        <f>$C86*'2.) Enrollment'!M56*'4.) Yearly Budget'!$S$17</f>
        <v>0</v>
      </c>
      <c r="J86" s="925">
        <f t="shared" si="3"/>
        <v>0</v>
      </c>
      <c r="K86"/>
      <c r="L86" s="323">
        <f>$C86*'2.) Enrollment'!H56*'4.) Yearly Budget'!$K$17</f>
        <v>0</v>
      </c>
      <c r="M86" s="323">
        <f>$C86*'2.) Enrollment'!J56*'4.) Yearly Budget'!$N$17</f>
        <v>0</v>
      </c>
      <c r="N86" s="323">
        <f>$C86*'2.) Enrollment'!L56*'4.) Yearly Budget'!$Q$17</f>
        <v>0</v>
      </c>
      <c r="O86" s="323">
        <f>$C86*'2.) Enrollment'!N56*'4.) Yearly Budget'!$T$17</f>
        <v>0</v>
      </c>
      <c r="P86" s="925">
        <f t="shared" si="4"/>
        <v>0</v>
      </c>
      <c r="Q86"/>
      <c r="T86">
        <f>IF(ISBLANK('2.) Enrollment'!H56)=TRUE,'2.) Enrollment'!G56,'2.) Enrollment'!H56)</f>
        <v>0</v>
      </c>
      <c r="U86">
        <f>IF(ISBLANK('2.) Enrollment'!J56)=TRUE,'2.) Enrollment'!I56,'2.) Enrollment'!J56)</f>
        <v>0</v>
      </c>
      <c r="V86">
        <f>IF(ISBLANK('2.) Enrollment'!L56)=TRUE,'2.) Enrollment'!K56,'2.) Enrollment'!L56)</f>
        <v>0</v>
      </c>
      <c r="W86">
        <f>IF(ISBLANK('2.) Enrollment'!N56)=TRUE,'2.) Enrollment'!M56,'2.) Enrollment'!N56)</f>
        <v>0</v>
      </c>
    </row>
    <row r="87" spans="1:23">
      <c r="A87" s="4">
        <v>36</v>
      </c>
      <c r="B87" s="482" t="str">
        <f>IF(OR('2.) Enrollment'!C57=$B$109,ISBLANK('2.) Enrollment'!C57)),"-",'2.) Enrollment'!C57)</f>
        <v>-</v>
      </c>
      <c r="C87" s="234">
        <f>IFERROR(VLOOKUP($B87,'Funding by District'!$D$6:$F$684,3,FALSE),0)</f>
        <v>0</v>
      </c>
      <c r="D87"/>
      <c r="E87">
        <f t="shared" si="2"/>
        <v>0</v>
      </c>
      <c r="F87" s="323">
        <f>$C87*'2.) Enrollment'!G57*'4.) Yearly Budget'!$J$17</f>
        <v>0</v>
      </c>
      <c r="G87" s="323">
        <f>$C87*'2.) Enrollment'!I57*'4.) Yearly Budget'!$M$17</f>
        <v>0</v>
      </c>
      <c r="H87" s="323">
        <f>$C87*'2.) Enrollment'!K57*'4.) Yearly Budget'!$P$17</f>
        <v>0</v>
      </c>
      <c r="I87" s="323">
        <f>$C87*'2.) Enrollment'!M57*'4.) Yearly Budget'!$S$17</f>
        <v>0</v>
      </c>
      <c r="J87" s="925">
        <f t="shared" si="3"/>
        <v>0</v>
      </c>
      <c r="K87"/>
      <c r="L87" s="323">
        <f>$C87*'2.) Enrollment'!H57*'4.) Yearly Budget'!$K$17</f>
        <v>0</v>
      </c>
      <c r="M87" s="323">
        <f>$C87*'2.) Enrollment'!J57*'4.) Yearly Budget'!$N$17</f>
        <v>0</v>
      </c>
      <c r="N87" s="323">
        <f>$C87*'2.) Enrollment'!L57*'4.) Yearly Budget'!$Q$17</f>
        <v>0</v>
      </c>
      <c r="O87" s="323">
        <f>$C87*'2.) Enrollment'!N57*'4.) Yearly Budget'!$T$17</f>
        <v>0</v>
      </c>
      <c r="P87" s="925">
        <f t="shared" si="4"/>
        <v>0</v>
      </c>
      <c r="Q87"/>
      <c r="T87">
        <f>IF(ISBLANK('2.) Enrollment'!H57)=TRUE,'2.) Enrollment'!G57,'2.) Enrollment'!H57)</f>
        <v>0</v>
      </c>
      <c r="U87">
        <f>IF(ISBLANK('2.) Enrollment'!J57)=TRUE,'2.) Enrollment'!I57,'2.) Enrollment'!J57)</f>
        <v>0</v>
      </c>
      <c r="V87">
        <f>IF(ISBLANK('2.) Enrollment'!L57)=TRUE,'2.) Enrollment'!K57,'2.) Enrollment'!L57)</f>
        <v>0</v>
      </c>
      <c r="W87">
        <f>IF(ISBLANK('2.) Enrollment'!N57)=TRUE,'2.) Enrollment'!M57,'2.) Enrollment'!N57)</f>
        <v>0</v>
      </c>
    </row>
    <row r="88" spans="1:23">
      <c r="A88" s="4">
        <v>37</v>
      </c>
      <c r="B88" s="482" t="str">
        <f>IF(OR('2.) Enrollment'!C58=$B$109,ISBLANK('2.) Enrollment'!C58)),"-",'2.) Enrollment'!C58)</f>
        <v>-</v>
      </c>
      <c r="C88" s="234">
        <f>IFERROR(VLOOKUP($B88,'Funding by District'!$D$6:$F$684,3,FALSE),0)</f>
        <v>0</v>
      </c>
      <c r="D88"/>
      <c r="E88">
        <f t="shared" si="2"/>
        <v>0</v>
      </c>
      <c r="F88" s="323">
        <f>$C88*'2.) Enrollment'!G58*'4.) Yearly Budget'!$J$17</f>
        <v>0</v>
      </c>
      <c r="G88" s="323">
        <f>$C88*'2.) Enrollment'!I58*'4.) Yearly Budget'!$M$17</f>
        <v>0</v>
      </c>
      <c r="H88" s="323">
        <f>$C88*'2.) Enrollment'!K58*'4.) Yearly Budget'!$P$17</f>
        <v>0</v>
      </c>
      <c r="I88" s="323">
        <f>$C88*'2.) Enrollment'!M58*'4.) Yearly Budget'!$S$17</f>
        <v>0</v>
      </c>
      <c r="J88" s="925">
        <f t="shared" si="3"/>
        <v>0</v>
      </c>
      <c r="K88"/>
      <c r="L88" s="323">
        <f>$C88*'2.) Enrollment'!H58*'4.) Yearly Budget'!$K$17</f>
        <v>0</v>
      </c>
      <c r="M88" s="323">
        <f>$C88*'2.) Enrollment'!J58*'4.) Yearly Budget'!$N$17</f>
        <v>0</v>
      </c>
      <c r="N88" s="323">
        <f>$C88*'2.) Enrollment'!L58*'4.) Yearly Budget'!$Q$17</f>
        <v>0</v>
      </c>
      <c r="O88" s="323">
        <f>$C88*'2.) Enrollment'!N58*'4.) Yearly Budget'!$T$17</f>
        <v>0</v>
      </c>
      <c r="P88" s="925">
        <f t="shared" si="4"/>
        <v>0</v>
      </c>
      <c r="Q88"/>
      <c r="T88">
        <f>IF(ISBLANK('2.) Enrollment'!H58)=TRUE,'2.) Enrollment'!G58,'2.) Enrollment'!H58)</f>
        <v>0</v>
      </c>
      <c r="U88">
        <f>IF(ISBLANK('2.) Enrollment'!J58)=TRUE,'2.) Enrollment'!I58,'2.) Enrollment'!J58)</f>
        <v>0</v>
      </c>
      <c r="V88">
        <f>IF(ISBLANK('2.) Enrollment'!L58)=TRUE,'2.) Enrollment'!K58,'2.) Enrollment'!L58)</f>
        <v>0</v>
      </c>
      <c r="W88">
        <f>IF(ISBLANK('2.) Enrollment'!N58)=TRUE,'2.) Enrollment'!M58,'2.) Enrollment'!N58)</f>
        <v>0</v>
      </c>
    </row>
    <row r="89" spans="1:23">
      <c r="A89" s="4">
        <v>38</v>
      </c>
      <c r="B89" s="482" t="str">
        <f>IF(OR('2.) Enrollment'!C59=$B$109,ISBLANK('2.) Enrollment'!C59)),"-",'2.) Enrollment'!C59)</f>
        <v>-</v>
      </c>
      <c r="C89" s="234">
        <f>IFERROR(VLOOKUP($B89,'Funding by District'!$D$6:$F$684,3,FALSE),0)</f>
        <v>0</v>
      </c>
      <c r="D89"/>
      <c r="E89">
        <f t="shared" si="2"/>
        <v>0</v>
      </c>
      <c r="F89" s="323">
        <f>$C89*'2.) Enrollment'!G59*'4.) Yearly Budget'!$J$17</f>
        <v>0</v>
      </c>
      <c r="G89" s="323">
        <f>$C89*'2.) Enrollment'!I59*'4.) Yearly Budget'!$M$17</f>
        <v>0</v>
      </c>
      <c r="H89" s="323">
        <f>$C89*'2.) Enrollment'!K59*'4.) Yearly Budget'!$P$17</f>
        <v>0</v>
      </c>
      <c r="I89" s="323">
        <f>$C89*'2.) Enrollment'!M59*'4.) Yearly Budget'!$S$17</f>
        <v>0</v>
      </c>
      <c r="J89" s="925">
        <f t="shared" si="3"/>
        <v>0</v>
      </c>
      <c r="K89"/>
      <c r="L89" s="323">
        <f>$C89*'2.) Enrollment'!H59*'4.) Yearly Budget'!$K$17</f>
        <v>0</v>
      </c>
      <c r="M89" s="323">
        <f>$C89*'2.) Enrollment'!J59*'4.) Yearly Budget'!$N$17</f>
        <v>0</v>
      </c>
      <c r="N89" s="323">
        <f>$C89*'2.) Enrollment'!L59*'4.) Yearly Budget'!$Q$17</f>
        <v>0</v>
      </c>
      <c r="O89" s="323">
        <f>$C89*'2.) Enrollment'!N59*'4.) Yearly Budget'!$T$17</f>
        <v>0</v>
      </c>
      <c r="P89" s="925">
        <f t="shared" si="4"/>
        <v>0</v>
      </c>
      <c r="Q89"/>
      <c r="T89">
        <f>IF(ISBLANK('2.) Enrollment'!H59)=TRUE,'2.) Enrollment'!G59,'2.) Enrollment'!H59)</f>
        <v>0</v>
      </c>
      <c r="U89">
        <f>IF(ISBLANK('2.) Enrollment'!J59)=TRUE,'2.) Enrollment'!I59,'2.) Enrollment'!J59)</f>
        <v>0</v>
      </c>
      <c r="V89">
        <f>IF(ISBLANK('2.) Enrollment'!L59)=TRUE,'2.) Enrollment'!K59,'2.) Enrollment'!L59)</f>
        <v>0</v>
      </c>
      <c r="W89">
        <f>IF(ISBLANK('2.) Enrollment'!N59)=TRUE,'2.) Enrollment'!M59,'2.) Enrollment'!N59)</f>
        <v>0</v>
      </c>
    </row>
    <row r="90" spans="1:23">
      <c r="A90" s="4">
        <v>39</v>
      </c>
      <c r="B90" s="482" t="str">
        <f>IF(OR('2.) Enrollment'!C60=$B$109,ISBLANK('2.) Enrollment'!C60)),"-",'2.) Enrollment'!C60)</f>
        <v>-</v>
      </c>
      <c r="C90" s="234">
        <f>IFERROR(VLOOKUP($B90,'Funding by District'!$D$6:$F$684,3,FALSE),0)</f>
        <v>0</v>
      </c>
      <c r="D90"/>
      <c r="E90">
        <f t="shared" si="2"/>
        <v>0</v>
      </c>
      <c r="F90" s="323">
        <f>$C90*'2.) Enrollment'!G60*'4.) Yearly Budget'!$J$17</f>
        <v>0</v>
      </c>
      <c r="G90" s="323">
        <f>$C90*'2.) Enrollment'!I60*'4.) Yearly Budget'!$M$17</f>
        <v>0</v>
      </c>
      <c r="H90" s="323">
        <f>$C90*'2.) Enrollment'!K60*'4.) Yearly Budget'!$P$17</f>
        <v>0</v>
      </c>
      <c r="I90" s="323">
        <f>$C90*'2.) Enrollment'!M60*'4.) Yearly Budget'!$S$17</f>
        <v>0</v>
      </c>
      <c r="J90" s="925">
        <f t="shared" si="3"/>
        <v>0</v>
      </c>
      <c r="K90"/>
      <c r="L90" s="323">
        <f>$C90*'2.) Enrollment'!H60*'4.) Yearly Budget'!$K$17</f>
        <v>0</v>
      </c>
      <c r="M90" s="323">
        <f>$C90*'2.) Enrollment'!J60*'4.) Yearly Budget'!$N$17</f>
        <v>0</v>
      </c>
      <c r="N90" s="323">
        <f>$C90*'2.) Enrollment'!L60*'4.) Yearly Budget'!$Q$17</f>
        <v>0</v>
      </c>
      <c r="O90" s="323">
        <f>$C90*'2.) Enrollment'!N60*'4.) Yearly Budget'!$T$17</f>
        <v>0</v>
      </c>
      <c r="P90" s="925">
        <f t="shared" si="4"/>
        <v>0</v>
      </c>
      <c r="Q90"/>
      <c r="T90">
        <f>IF(ISBLANK('2.) Enrollment'!H60)=TRUE,'2.) Enrollment'!G60,'2.) Enrollment'!H60)</f>
        <v>0</v>
      </c>
      <c r="U90">
        <f>IF(ISBLANK('2.) Enrollment'!J60)=TRUE,'2.) Enrollment'!I60,'2.) Enrollment'!J60)</f>
        <v>0</v>
      </c>
      <c r="V90">
        <f>IF(ISBLANK('2.) Enrollment'!L60)=TRUE,'2.) Enrollment'!K60,'2.) Enrollment'!L60)</f>
        <v>0</v>
      </c>
      <c r="W90">
        <f>IF(ISBLANK('2.) Enrollment'!N60)=TRUE,'2.) Enrollment'!M60,'2.) Enrollment'!N60)</f>
        <v>0</v>
      </c>
    </row>
    <row r="91" spans="1:23">
      <c r="A91" s="4">
        <v>40</v>
      </c>
      <c r="B91" s="482" t="str">
        <f>IF(OR('2.) Enrollment'!C61=$B$109,ISBLANK('2.) Enrollment'!C61)),"-",'2.) Enrollment'!C61)</f>
        <v>-</v>
      </c>
      <c r="C91" s="234">
        <f>IFERROR(VLOOKUP($B91,'Funding by District'!$D$6:$F$684,3,FALSE),0)</f>
        <v>0</v>
      </c>
      <c r="D91"/>
      <c r="E91">
        <f t="shared" si="2"/>
        <v>0</v>
      </c>
      <c r="F91" s="323">
        <f>$C91*'2.) Enrollment'!G61*'4.) Yearly Budget'!$J$17</f>
        <v>0</v>
      </c>
      <c r="G91" s="323">
        <f>$C91*'2.) Enrollment'!I61*'4.) Yearly Budget'!$M$17</f>
        <v>0</v>
      </c>
      <c r="H91" s="323">
        <f>$C91*'2.) Enrollment'!K61*'4.) Yearly Budget'!$P$17</f>
        <v>0</v>
      </c>
      <c r="I91" s="323">
        <f>$C91*'2.) Enrollment'!M61*'4.) Yearly Budget'!$S$17</f>
        <v>0</v>
      </c>
      <c r="J91" s="925">
        <f t="shared" si="3"/>
        <v>0</v>
      </c>
      <c r="K91"/>
      <c r="L91" s="323">
        <f>$C91*'2.) Enrollment'!H61*'4.) Yearly Budget'!$K$17</f>
        <v>0</v>
      </c>
      <c r="M91" s="323">
        <f>$C91*'2.) Enrollment'!J61*'4.) Yearly Budget'!$N$17</f>
        <v>0</v>
      </c>
      <c r="N91" s="323">
        <f>$C91*'2.) Enrollment'!L61*'4.) Yearly Budget'!$Q$17</f>
        <v>0</v>
      </c>
      <c r="O91" s="323">
        <f>$C91*'2.) Enrollment'!N61*'4.) Yearly Budget'!$T$17</f>
        <v>0</v>
      </c>
      <c r="P91" s="925">
        <f t="shared" si="4"/>
        <v>0</v>
      </c>
      <c r="Q91"/>
      <c r="T91">
        <f>IF(ISBLANK('2.) Enrollment'!H61)=TRUE,'2.) Enrollment'!G61,'2.) Enrollment'!H61)</f>
        <v>0</v>
      </c>
      <c r="U91">
        <f>IF(ISBLANK('2.) Enrollment'!J61)=TRUE,'2.) Enrollment'!I61,'2.) Enrollment'!J61)</f>
        <v>0</v>
      </c>
      <c r="V91">
        <f>IF(ISBLANK('2.) Enrollment'!L61)=TRUE,'2.) Enrollment'!K61,'2.) Enrollment'!L61)</f>
        <v>0</v>
      </c>
      <c r="W91">
        <f>IF(ISBLANK('2.) Enrollment'!N61)=TRUE,'2.) Enrollment'!M61,'2.) Enrollment'!N61)</f>
        <v>0</v>
      </c>
    </row>
    <row r="92" spans="1:23">
      <c r="A92" s="4">
        <v>41</v>
      </c>
      <c r="B92" s="482" t="str">
        <f>IF(OR('2.) Enrollment'!C62=$B$109,ISBLANK('2.) Enrollment'!C62)),"-",'2.) Enrollment'!C62)</f>
        <v>-</v>
      </c>
      <c r="C92" s="234">
        <f>IFERROR(VLOOKUP($B92,'Funding by District'!$D$6:$F$684,3,FALSE),0)</f>
        <v>0</v>
      </c>
      <c r="D92"/>
      <c r="E92">
        <f t="shared" si="2"/>
        <v>0</v>
      </c>
      <c r="F92" s="323">
        <f>$C92*'2.) Enrollment'!G62*'4.) Yearly Budget'!$J$17</f>
        <v>0</v>
      </c>
      <c r="G92" s="323">
        <f>$C92*'2.) Enrollment'!I62*'4.) Yearly Budget'!$M$17</f>
        <v>0</v>
      </c>
      <c r="H92" s="323">
        <f>$C92*'2.) Enrollment'!K62*'4.) Yearly Budget'!$P$17</f>
        <v>0</v>
      </c>
      <c r="I92" s="323">
        <f>$C92*'2.) Enrollment'!M62*'4.) Yearly Budget'!$S$17</f>
        <v>0</v>
      </c>
      <c r="J92" s="925">
        <f t="shared" si="3"/>
        <v>0</v>
      </c>
      <c r="K92"/>
      <c r="L92" s="323">
        <f>$C92*'2.) Enrollment'!H62*'4.) Yearly Budget'!$K$17</f>
        <v>0</v>
      </c>
      <c r="M92" s="323">
        <f>$C92*'2.) Enrollment'!J62*'4.) Yearly Budget'!$N$17</f>
        <v>0</v>
      </c>
      <c r="N92" s="323">
        <f>$C92*'2.) Enrollment'!L62*'4.) Yearly Budget'!$Q$17</f>
        <v>0</v>
      </c>
      <c r="O92" s="323">
        <f>$C92*'2.) Enrollment'!N62*'4.) Yearly Budget'!$T$17</f>
        <v>0</v>
      </c>
      <c r="P92" s="925">
        <f t="shared" si="4"/>
        <v>0</v>
      </c>
      <c r="Q92"/>
      <c r="T92">
        <f>IF(ISBLANK('2.) Enrollment'!H62)=TRUE,'2.) Enrollment'!G62,'2.) Enrollment'!H62)</f>
        <v>0</v>
      </c>
      <c r="U92">
        <f>IF(ISBLANK('2.) Enrollment'!J62)=TRUE,'2.) Enrollment'!I62,'2.) Enrollment'!J62)</f>
        <v>0</v>
      </c>
      <c r="V92">
        <f>IF(ISBLANK('2.) Enrollment'!L62)=TRUE,'2.) Enrollment'!K62,'2.) Enrollment'!L62)</f>
        <v>0</v>
      </c>
      <c r="W92">
        <f>IF(ISBLANK('2.) Enrollment'!N62)=TRUE,'2.) Enrollment'!M62,'2.) Enrollment'!N62)</f>
        <v>0</v>
      </c>
    </row>
    <row r="93" spans="1:23">
      <c r="A93" s="4">
        <v>42</v>
      </c>
      <c r="B93" s="482" t="str">
        <f>IF(OR('2.) Enrollment'!C63=$B$109,ISBLANK('2.) Enrollment'!C63)),"-",'2.) Enrollment'!C63)</f>
        <v>-</v>
      </c>
      <c r="C93" s="234">
        <f>IFERROR(VLOOKUP($B93,'Funding by District'!$D$6:$F$684,3,FALSE),0)</f>
        <v>0</v>
      </c>
      <c r="D93"/>
      <c r="E93">
        <f t="shared" si="2"/>
        <v>0</v>
      </c>
      <c r="F93" s="323">
        <f>$C93*'2.) Enrollment'!G63*'4.) Yearly Budget'!$J$17</f>
        <v>0</v>
      </c>
      <c r="G93" s="323">
        <f>$C93*'2.) Enrollment'!I63*'4.) Yearly Budget'!$M$17</f>
        <v>0</v>
      </c>
      <c r="H93" s="323">
        <f>$C93*'2.) Enrollment'!K63*'4.) Yearly Budget'!$P$17</f>
        <v>0</v>
      </c>
      <c r="I93" s="323">
        <f>$C93*'2.) Enrollment'!M63*'4.) Yearly Budget'!$S$17</f>
        <v>0</v>
      </c>
      <c r="J93" s="925">
        <f t="shared" si="3"/>
        <v>0</v>
      </c>
      <c r="K93"/>
      <c r="L93" s="323">
        <f>$C93*'2.) Enrollment'!H63*'4.) Yearly Budget'!$K$17</f>
        <v>0</v>
      </c>
      <c r="M93" s="323">
        <f>$C93*'2.) Enrollment'!J63*'4.) Yearly Budget'!$N$17</f>
        <v>0</v>
      </c>
      <c r="N93" s="323">
        <f>$C93*'2.) Enrollment'!L63*'4.) Yearly Budget'!$Q$17</f>
        <v>0</v>
      </c>
      <c r="O93" s="323">
        <f>$C93*'2.) Enrollment'!N63*'4.) Yearly Budget'!$T$17</f>
        <v>0</v>
      </c>
      <c r="P93" s="925">
        <f t="shared" si="4"/>
        <v>0</v>
      </c>
      <c r="Q93"/>
      <c r="T93">
        <f>IF(ISBLANK('2.) Enrollment'!H63)=TRUE,'2.) Enrollment'!G63,'2.) Enrollment'!H63)</f>
        <v>0</v>
      </c>
      <c r="U93">
        <f>IF(ISBLANK('2.) Enrollment'!J63)=TRUE,'2.) Enrollment'!I63,'2.) Enrollment'!J63)</f>
        <v>0</v>
      </c>
      <c r="V93">
        <f>IF(ISBLANK('2.) Enrollment'!L63)=TRUE,'2.) Enrollment'!K63,'2.) Enrollment'!L63)</f>
        <v>0</v>
      </c>
      <c r="W93">
        <f>IF(ISBLANK('2.) Enrollment'!N63)=TRUE,'2.) Enrollment'!M63,'2.) Enrollment'!N63)</f>
        <v>0</v>
      </c>
    </row>
    <row r="94" spans="1:23">
      <c r="A94" s="4">
        <v>43</v>
      </c>
      <c r="B94" s="482" t="str">
        <f>IF(OR('2.) Enrollment'!C64=$B$109,ISBLANK('2.) Enrollment'!C64)),"-",'2.) Enrollment'!C64)</f>
        <v>-</v>
      </c>
      <c r="C94" s="234">
        <f>IFERROR(VLOOKUP($B94,'Funding by District'!$D$6:$F$684,3,FALSE),0)</f>
        <v>0</v>
      </c>
      <c r="D94"/>
      <c r="E94">
        <f t="shared" si="2"/>
        <v>0</v>
      </c>
      <c r="F94" s="323">
        <f>$C94*'2.) Enrollment'!G64*'4.) Yearly Budget'!$J$17</f>
        <v>0</v>
      </c>
      <c r="G94" s="323">
        <f>$C94*'2.) Enrollment'!I64*'4.) Yearly Budget'!$M$17</f>
        <v>0</v>
      </c>
      <c r="H94" s="323">
        <f>$C94*'2.) Enrollment'!K64*'4.) Yearly Budget'!$P$17</f>
        <v>0</v>
      </c>
      <c r="I94" s="323">
        <f>$C94*'2.) Enrollment'!M64*'4.) Yearly Budget'!$S$17</f>
        <v>0</v>
      </c>
      <c r="J94" s="925">
        <f t="shared" si="3"/>
        <v>0</v>
      </c>
      <c r="K94"/>
      <c r="L94" s="323">
        <f>$C94*'2.) Enrollment'!H64*'4.) Yearly Budget'!$K$17</f>
        <v>0</v>
      </c>
      <c r="M94" s="323">
        <f>$C94*'2.) Enrollment'!J64*'4.) Yearly Budget'!$N$17</f>
        <v>0</v>
      </c>
      <c r="N94" s="323">
        <f>$C94*'2.) Enrollment'!L64*'4.) Yearly Budget'!$Q$17</f>
        <v>0</v>
      </c>
      <c r="O94" s="323">
        <f>$C94*'2.) Enrollment'!N64*'4.) Yearly Budget'!$T$17</f>
        <v>0</v>
      </c>
      <c r="P94" s="925">
        <f t="shared" si="4"/>
        <v>0</v>
      </c>
      <c r="Q94"/>
      <c r="T94">
        <f>IF(ISBLANK('2.) Enrollment'!H64)=TRUE,'2.) Enrollment'!G64,'2.) Enrollment'!H64)</f>
        <v>0</v>
      </c>
      <c r="U94">
        <f>IF(ISBLANK('2.) Enrollment'!J64)=TRUE,'2.) Enrollment'!I64,'2.) Enrollment'!J64)</f>
        <v>0</v>
      </c>
      <c r="V94">
        <f>IF(ISBLANK('2.) Enrollment'!L64)=TRUE,'2.) Enrollment'!K64,'2.) Enrollment'!L64)</f>
        <v>0</v>
      </c>
      <c r="W94">
        <f>IF(ISBLANK('2.) Enrollment'!N64)=TRUE,'2.) Enrollment'!M64,'2.) Enrollment'!N64)</f>
        <v>0</v>
      </c>
    </row>
    <row r="95" spans="1:23">
      <c r="A95" s="4">
        <v>44</v>
      </c>
      <c r="B95" s="482" t="str">
        <f>IF(OR('2.) Enrollment'!C65=$B$109,ISBLANK('2.) Enrollment'!C65)),"-",'2.) Enrollment'!C65)</f>
        <v>-</v>
      </c>
      <c r="C95" s="234">
        <f>IFERROR(VLOOKUP($B95,'Funding by District'!$D$6:$F$684,3,FALSE),0)</f>
        <v>0</v>
      </c>
      <c r="D95"/>
      <c r="E95">
        <f t="shared" si="2"/>
        <v>0</v>
      </c>
      <c r="F95" s="323">
        <f>$C95*'2.) Enrollment'!G65*'4.) Yearly Budget'!$J$17</f>
        <v>0</v>
      </c>
      <c r="G95" s="323">
        <f>$C95*'2.) Enrollment'!I65*'4.) Yearly Budget'!$M$17</f>
        <v>0</v>
      </c>
      <c r="H95" s="323">
        <f>$C95*'2.) Enrollment'!K65*'4.) Yearly Budget'!$P$17</f>
        <v>0</v>
      </c>
      <c r="I95" s="323">
        <f>$C95*'2.) Enrollment'!M65*'4.) Yearly Budget'!$S$17</f>
        <v>0</v>
      </c>
      <c r="J95" s="925">
        <f t="shared" si="3"/>
        <v>0</v>
      </c>
      <c r="K95"/>
      <c r="L95" s="323">
        <f>$C95*'2.) Enrollment'!H65*'4.) Yearly Budget'!$K$17</f>
        <v>0</v>
      </c>
      <c r="M95" s="323">
        <f>$C95*'2.) Enrollment'!J65*'4.) Yearly Budget'!$N$17</f>
        <v>0</v>
      </c>
      <c r="N95" s="323">
        <f>$C95*'2.) Enrollment'!L65*'4.) Yearly Budget'!$Q$17</f>
        <v>0</v>
      </c>
      <c r="O95" s="323">
        <f>$C95*'2.) Enrollment'!N65*'4.) Yearly Budget'!$T$17</f>
        <v>0</v>
      </c>
      <c r="P95" s="925">
        <f t="shared" si="4"/>
        <v>0</v>
      </c>
      <c r="Q95"/>
      <c r="T95">
        <f>IF(ISBLANK('2.) Enrollment'!H65)=TRUE,'2.) Enrollment'!G65,'2.) Enrollment'!H65)</f>
        <v>0</v>
      </c>
      <c r="U95">
        <f>IF(ISBLANK('2.) Enrollment'!J65)=TRUE,'2.) Enrollment'!I65,'2.) Enrollment'!J65)</f>
        <v>0</v>
      </c>
      <c r="V95">
        <f>IF(ISBLANK('2.) Enrollment'!L65)=TRUE,'2.) Enrollment'!K65,'2.) Enrollment'!L65)</f>
        <v>0</v>
      </c>
      <c r="W95">
        <f>IF(ISBLANK('2.) Enrollment'!N65)=TRUE,'2.) Enrollment'!M65,'2.) Enrollment'!N65)</f>
        <v>0</v>
      </c>
    </row>
    <row r="96" spans="1:23">
      <c r="A96" s="4">
        <v>45</v>
      </c>
      <c r="B96" s="482" t="str">
        <f>IF(OR('2.) Enrollment'!C66=$B$109,ISBLANK('2.) Enrollment'!C66)),"-",'2.) Enrollment'!C66)</f>
        <v>-</v>
      </c>
      <c r="C96" s="234">
        <f>IFERROR(VLOOKUP($B96,'Funding by District'!$D$6:$F$684,3,FALSE),0)</f>
        <v>0</v>
      </c>
      <c r="D96"/>
      <c r="E96">
        <f t="shared" si="2"/>
        <v>0</v>
      </c>
      <c r="F96" s="323">
        <f>$C96*'2.) Enrollment'!G66*'4.) Yearly Budget'!$J$17</f>
        <v>0</v>
      </c>
      <c r="G96" s="323">
        <f>$C96*'2.) Enrollment'!I66*'4.) Yearly Budget'!$M$17</f>
        <v>0</v>
      </c>
      <c r="H96" s="323">
        <f>$C96*'2.) Enrollment'!K66*'4.) Yearly Budget'!$P$17</f>
        <v>0</v>
      </c>
      <c r="I96" s="323">
        <f>$C96*'2.) Enrollment'!M66*'4.) Yearly Budget'!$S$17</f>
        <v>0</v>
      </c>
      <c r="J96" s="925">
        <f t="shared" si="3"/>
        <v>0</v>
      </c>
      <c r="K96"/>
      <c r="L96" s="323">
        <f>$C96*'2.) Enrollment'!H66*'4.) Yearly Budget'!$K$17</f>
        <v>0</v>
      </c>
      <c r="M96" s="323">
        <f>$C96*'2.) Enrollment'!J66*'4.) Yearly Budget'!$N$17</f>
        <v>0</v>
      </c>
      <c r="N96" s="323">
        <f>$C96*'2.) Enrollment'!L66*'4.) Yearly Budget'!$Q$17</f>
        <v>0</v>
      </c>
      <c r="O96" s="323">
        <f>$C96*'2.) Enrollment'!N66*'4.) Yearly Budget'!$T$17</f>
        <v>0</v>
      </c>
      <c r="P96" s="925">
        <f t="shared" si="4"/>
        <v>0</v>
      </c>
      <c r="Q96"/>
      <c r="T96">
        <f>IF(ISBLANK('2.) Enrollment'!H66)=TRUE,'2.) Enrollment'!G66,'2.) Enrollment'!H66)</f>
        <v>0</v>
      </c>
      <c r="U96">
        <f>IF(ISBLANK('2.) Enrollment'!J66)=TRUE,'2.) Enrollment'!I66,'2.) Enrollment'!J66)</f>
        <v>0</v>
      </c>
      <c r="V96">
        <f>IF(ISBLANK('2.) Enrollment'!L66)=TRUE,'2.) Enrollment'!K66,'2.) Enrollment'!L66)</f>
        <v>0</v>
      </c>
      <c r="W96">
        <f>IF(ISBLANK('2.) Enrollment'!N66)=TRUE,'2.) Enrollment'!M66,'2.) Enrollment'!N66)</f>
        <v>0</v>
      </c>
    </row>
    <row r="97" spans="1:34">
      <c r="A97" s="4">
        <v>46</v>
      </c>
      <c r="B97" s="482" t="str">
        <f>IF(OR('2.) Enrollment'!C67=$B$109,ISBLANK('2.) Enrollment'!C67)),"-",'2.) Enrollment'!C67)</f>
        <v>-</v>
      </c>
      <c r="C97" s="234">
        <f>IFERROR(VLOOKUP($B97,'Funding by District'!$D$6:$F$684,3,FALSE),0)</f>
        <v>0</v>
      </c>
      <c r="D97"/>
      <c r="E97">
        <f t="shared" si="2"/>
        <v>0</v>
      </c>
      <c r="F97" s="323">
        <f>$C97*'2.) Enrollment'!G67*'4.) Yearly Budget'!$J$17</f>
        <v>0</v>
      </c>
      <c r="G97" s="323">
        <f>$C97*'2.) Enrollment'!I67*'4.) Yearly Budget'!$M$17</f>
        <v>0</v>
      </c>
      <c r="H97" s="323">
        <f>$C97*'2.) Enrollment'!K67*'4.) Yearly Budget'!$P$17</f>
        <v>0</v>
      </c>
      <c r="I97" s="323">
        <f>$C97*'2.) Enrollment'!M67*'4.) Yearly Budget'!$S$17</f>
        <v>0</v>
      </c>
      <c r="J97" s="925">
        <f t="shared" si="3"/>
        <v>0</v>
      </c>
      <c r="K97"/>
      <c r="L97" s="323">
        <f>$C97*'2.) Enrollment'!H67*'4.) Yearly Budget'!$K$17</f>
        <v>0</v>
      </c>
      <c r="M97" s="323">
        <f>$C97*'2.) Enrollment'!J67*'4.) Yearly Budget'!$N$17</f>
        <v>0</v>
      </c>
      <c r="N97" s="323">
        <f>$C97*'2.) Enrollment'!L67*'4.) Yearly Budget'!$Q$17</f>
        <v>0</v>
      </c>
      <c r="O97" s="323">
        <f>$C97*'2.) Enrollment'!N67*'4.) Yearly Budget'!$T$17</f>
        <v>0</v>
      </c>
      <c r="P97" s="925">
        <f t="shared" si="4"/>
        <v>0</v>
      </c>
      <c r="Q97"/>
      <c r="T97">
        <f>IF(ISBLANK('2.) Enrollment'!H67)=TRUE,'2.) Enrollment'!G67,'2.) Enrollment'!H67)</f>
        <v>0</v>
      </c>
      <c r="U97">
        <f>IF(ISBLANK('2.) Enrollment'!J67)=TRUE,'2.) Enrollment'!I67,'2.) Enrollment'!J67)</f>
        <v>0</v>
      </c>
      <c r="V97">
        <f>IF(ISBLANK('2.) Enrollment'!L67)=TRUE,'2.) Enrollment'!K67,'2.) Enrollment'!L67)</f>
        <v>0</v>
      </c>
      <c r="W97">
        <f>IF(ISBLANK('2.) Enrollment'!N67)=TRUE,'2.) Enrollment'!M67,'2.) Enrollment'!N67)</f>
        <v>0</v>
      </c>
    </row>
    <row r="98" spans="1:34">
      <c r="A98" s="4">
        <v>47</v>
      </c>
      <c r="B98" s="482" t="str">
        <f>IF(OR('2.) Enrollment'!C68=$B$109,ISBLANK('2.) Enrollment'!C68)),"-",'2.) Enrollment'!C68)</f>
        <v>-</v>
      </c>
      <c r="C98" s="234">
        <f>IFERROR(VLOOKUP($B98,'Funding by District'!$D$6:$F$684,3,FALSE),0)</f>
        <v>0</v>
      </c>
      <c r="D98"/>
      <c r="E98">
        <f t="shared" si="2"/>
        <v>0</v>
      </c>
      <c r="F98" s="323">
        <f>$C98*'2.) Enrollment'!G68*'4.) Yearly Budget'!$J$17</f>
        <v>0</v>
      </c>
      <c r="G98" s="323">
        <f>$C98*'2.) Enrollment'!I68*'4.) Yearly Budget'!$M$17</f>
        <v>0</v>
      </c>
      <c r="H98" s="323">
        <f>$C98*'2.) Enrollment'!K68*'4.) Yearly Budget'!$P$17</f>
        <v>0</v>
      </c>
      <c r="I98" s="323">
        <f>$C98*'2.) Enrollment'!M68*'4.) Yearly Budget'!$S$17</f>
        <v>0</v>
      </c>
      <c r="J98" s="925">
        <f t="shared" si="3"/>
        <v>0</v>
      </c>
      <c r="K98"/>
      <c r="L98" s="323">
        <f>$C98*'2.) Enrollment'!H68*'4.) Yearly Budget'!$K$17</f>
        <v>0</v>
      </c>
      <c r="M98" s="323">
        <f>$C98*'2.) Enrollment'!J68*'4.) Yearly Budget'!$N$17</f>
        <v>0</v>
      </c>
      <c r="N98" s="323">
        <f>$C98*'2.) Enrollment'!L68*'4.) Yearly Budget'!$Q$17</f>
        <v>0</v>
      </c>
      <c r="O98" s="323">
        <f>$C98*'2.) Enrollment'!N68*'4.) Yearly Budget'!$T$17</f>
        <v>0</v>
      </c>
      <c r="P98" s="925">
        <f t="shared" si="4"/>
        <v>0</v>
      </c>
      <c r="Q98"/>
      <c r="T98">
        <f>IF(ISBLANK('2.) Enrollment'!H68)=TRUE,'2.) Enrollment'!G68,'2.) Enrollment'!H68)</f>
        <v>0</v>
      </c>
      <c r="U98">
        <f>IF(ISBLANK('2.) Enrollment'!J68)=TRUE,'2.) Enrollment'!I68,'2.) Enrollment'!J68)</f>
        <v>0</v>
      </c>
      <c r="V98">
        <f>IF(ISBLANK('2.) Enrollment'!L68)=TRUE,'2.) Enrollment'!K68,'2.) Enrollment'!L68)</f>
        <v>0</v>
      </c>
      <c r="W98">
        <f>IF(ISBLANK('2.) Enrollment'!N68)=TRUE,'2.) Enrollment'!M68,'2.) Enrollment'!N68)</f>
        <v>0</v>
      </c>
    </row>
    <row r="99" spans="1:34">
      <c r="A99" s="4">
        <v>48</v>
      </c>
      <c r="B99" s="482" t="str">
        <f>IF(OR('2.) Enrollment'!C69=$B$109,ISBLANK('2.) Enrollment'!C69)),"-",'2.) Enrollment'!C69)</f>
        <v>-</v>
      </c>
      <c r="C99" s="234">
        <f>IFERROR(VLOOKUP($B99,'Funding by District'!$D$6:$F$684,3,FALSE),0)</f>
        <v>0</v>
      </c>
      <c r="D99"/>
      <c r="E99">
        <f t="shared" si="2"/>
        <v>0</v>
      </c>
      <c r="F99" s="323">
        <f>$C99*'2.) Enrollment'!G69*'4.) Yearly Budget'!$J$17</f>
        <v>0</v>
      </c>
      <c r="G99" s="323">
        <f>$C99*'2.) Enrollment'!I69*'4.) Yearly Budget'!$M$17</f>
        <v>0</v>
      </c>
      <c r="H99" s="323">
        <f>$C99*'2.) Enrollment'!K69*'4.) Yearly Budget'!$P$17</f>
        <v>0</v>
      </c>
      <c r="I99" s="323">
        <f>$C99*'2.) Enrollment'!M69*'4.) Yearly Budget'!$S$17</f>
        <v>0</v>
      </c>
      <c r="J99" s="925">
        <f t="shared" si="3"/>
        <v>0</v>
      </c>
      <c r="K99"/>
      <c r="L99" s="323">
        <f>$C99*'2.) Enrollment'!H69*'4.) Yearly Budget'!$K$17</f>
        <v>0</v>
      </c>
      <c r="M99" s="323">
        <f>$C99*'2.) Enrollment'!J69*'4.) Yearly Budget'!$N$17</f>
        <v>0</v>
      </c>
      <c r="N99" s="323">
        <f>$C99*'2.) Enrollment'!L69*'4.) Yearly Budget'!$Q$17</f>
        <v>0</v>
      </c>
      <c r="O99" s="323">
        <f>$C99*'2.) Enrollment'!N69*'4.) Yearly Budget'!$T$17</f>
        <v>0</v>
      </c>
      <c r="P99" s="925">
        <f t="shared" si="4"/>
        <v>0</v>
      </c>
      <c r="Q99"/>
      <c r="T99">
        <f>IF(ISBLANK('2.) Enrollment'!H69)=TRUE,'2.) Enrollment'!G69,'2.) Enrollment'!H69)</f>
        <v>0</v>
      </c>
      <c r="U99">
        <f>IF(ISBLANK('2.) Enrollment'!J69)=TRUE,'2.) Enrollment'!I69,'2.) Enrollment'!J69)</f>
        <v>0</v>
      </c>
      <c r="V99">
        <f>IF(ISBLANK('2.) Enrollment'!L69)=TRUE,'2.) Enrollment'!K69,'2.) Enrollment'!L69)</f>
        <v>0</v>
      </c>
      <c r="W99">
        <f>IF(ISBLANK('2.) Enrollment'!N69)=TRUE,'2.) Enrollment'!M69,'2.) Enrollment'!N69)</f>
        <v>0</v>
      </c>
    </row>
    <row r="100" spans="1:34">
      <c r="A100" s="4">
        <v>49</v>
      </c>
      <c r="B100" s="482" t="str">
        <f>IF(OR('2.) Enrollment'!C70=$B$109,ISBLANK('2.) Enrollment'!C70)),"-",'2.) Enrollment'!C70)</f>
        <v>-</v>
      </c>
      <c r="C100" s="234">
        <f>IFERROR(VLOOKUP($B100,'Funding by District'!$D$6:$F$684,3,FALSE),0)</f>
        <v>0</v>
      </c>
      <c r="D100"/>
      <c r="E100">
        <f t="shared" si="2"/>
        <v>0</v>
      </c>
      <c r="F100" s="323">
        <f>$C100*'2.) Enrollment'!G70*'4.) Yearly Budget'!$J$17</f>
        <v>0</v>
      </c>
      <c r="G100" s="323">
        <f>$C100*'2.) Enrollment'!I70*'4.) Yearly Budget'!$M$17</f>
        <v>0</v>
      </c>
      <c r="H100" s="323">
        <f>$C100*'2.) Enrollment'!K70*'4.) Yearly Budget'!$P$17</f>
        <v>0</v>
      </c>
      <c r="I100" s="323">
        <f>$C100*'2.) Enrollment'!M70*'4.) Yearly Budget'!$S$17</f>
        <v>0</v>
      </c>
      <c r="J100" s="925">
        <f t="shared" si="3"/>
        <v>0</v>
      </c>
      <c r="K100"/>
      <c r="L100" s="323">
        <f>$C100*'2.) Enrollment'!H70*'4.) Yearly Budget'!$K$17</f>
        <v>0</v>
      </c>
      <c r="M100" s="323">
        <f>$C100*'2.) Enrollment'!J70*'4.) Yearly Budget'!$N$17</f>
        <v>0</v>
      </c>
      <c r="N100" s="323">
        <f>$C100*'2.) Enrollment'!L70*'4.) Yearly Budget'!$Q$17</f>
        <v>0</v>
      </c>
      <c r="O100" s="323">
        <f>$C100*'2.) Enrollment'!N70*'4.) Yearly Budget'!$T$17</f>
        <v>0</v>
      </c>
      <c r="P100" s="925">
        <f t="shared" si="4"/>
        <v>0</v>
      </c>
      <c r="Q100"/>
      <c r="T100">
        <f>IF(ISBLANK('2.) Enrollment'!H70)=TRUE,'2.) Enrollment'!G70,'2.) Enrollment'!H70)</f>
        <v>0</v>
      </c>
      <c r="U100">
        <f>IF(ISBLANK('2.) Enrollment'!J70)=TRUE,'2.) Enrollment'!I70,'2.) Enrollment'!J70)</f>
        <v>0</v>
      </c>
      <c r="V100">
        <f>IF(ISBLANK('2.) Enrollment'!L70)=TRUE,'2.) Enrollment'!K70,'2.) Enrollment'!L70)</f>
        <v>0</v>
      </c>
      <c r="W100">
        <f>IF(ISBLANK('2.) Enrollment'!N70)=TRUE,'2.) Enrollment'!M70,'2.) Enrollment'!N70)</f>
        <v>0</v>
      </c>
    </row>
    <row r="101" spans="1:34" ht="15.6" thickBot="1">
      <c r="A101" s="4">
        <v>50</v>
      </c>
      <c r="B101" s="482" t="str">
        <f>IF(OR('2.) Enrollment'!C71=$B$109,ISBLANK('2.) Enrollment'!C71)),"-",'2.) Enrollment'!C71)</f>
        <v>-</v>
      </c>
      <c r="C101" s="234">
        <f>IFERROR(VLOOKUP($B101,'Funding by District'!$D$6:$F$684,3,FALSE),0)</f>
        <v>0</v>
      </c>
      <c r="D101"/>
      <c r="E101">
        <f t="shared" si="2"/>
        <v>0</v>
      </c>
      <c r="F101" s="323">
        <f>$C101*'2.) Enrollment'!G71*'4.) Yearly Budget'!$J$17</f>
        <v>0</v>
      </c>
      <c r="G101" s="323">
        <f>$C101*'2.) Enrollment'!I71*'4.) Yearly Budget'!$M$17</f>
        <v>0</v>
      </c>
      <c r="H101" s="323">
        <f>$C101*'2.) Enrollment'!K71*'4.) Yearly Budget'!$P$17</f>
        <v>0</v>
      </c>
      <c r="I101" s="323">
        <f>$C101*'2.) Enrollment'!M71*'4.) Yearly Budget'!$S$17</f>
        <v>0</v>
      </c>
      <c r="J101" s="925">
        <f t="shared" si="3"/>
        <v>0</v>
      </c>
      <c r="L101" s="323">
        <f>$C101*'2.) Enrollment'!H71*'4.) Yearly Budget'!$K$17</f>
        <v>0</v>
      </c>
      <c r="M101" s="323">
        <f>$C101*'2.) Enrollment'!J71*'4.) Yearly Budget'!$N$17</f>
        <v>0</v>
      </c>
      <c r="N101" s="323">
        <f>$C101*'2.) Enrollment'!L71*'4.) Yearly Budget'!$Q$17</f>
        <v>0</v>
      </c>
      <c r="O101" s="323">
        <f>$C101*'2.) Enrollment'!N71*'4.) Yearly Budget'!$T$17</f>
        <v>0</v>
      </c>
      <c r="P101" s="925">
        <f t="shared" si="4"/>
        <v>0</v>
      </c>
      <c r="Q101"/>
      <c r="T101">
        <f>IF(ISBLANK('2.) Enrollment'!H71)=TRUE,'2.) Enrollment'!G71,'2.) Enrollment'!H71)</f>
        <v>0</v>
      </c>
      <c r="U101">
        <f>IF(ISBLANK('2.) Enrollment'!J71)=TRUE,'2.) Enrollment'!I71,'2.) Enrollment'!J71)</f>
        <v>0</v>
      </c>
      <c r="V101">
        <f>IF(ISBLANK('2.) Enrollment'!L71)=TRUE,'2.) Enrollment'!K71,'2.) Enrollment'!L71)</f>
        <v>0</v>
      </c>
      <c r="W101">
        <f>IF(ISBLANK('2.) Enrollment'!N71)=TRUE,'2.) Enrollment'!M71,'2.) Enrollment'!N71)</f>
        <v>0</v>
      </c>
    </row>
    <row r="102" spans="1:34" s="42" customFormat="1">
      <c r="A102" s="41"/>
      <c r="B102" s="44" t="s">
        <v>296</v>
      </c>
      <c r="C102" s="43">
        <f>SUM(C67:C101)</f>
        <v>0</v>
      </c>
      <c r="D102"/>
      <c r="E102"/>
      <c r="F102"/>
      <c r="G102"/>
      <c r="H102" s="331" t="s">
        <v>301</v>
      </c>
      <c r="I102" s="332" t="s">
        <v>144</v>
      </c>
      <c r="J102" s="333" t="s">
        <v>304</v>
      </c>
      <c r="K102" s="1041" t="s">
        <v>302</v>
      </c>
      <c r="L102"/>
      <c r="M102"/>
      <c r="N102" s="323"/>
      <c r="O102" s="323"/>
      <c r="P102"/>
      <c r="Q102"/>
      <c r="R102"/>
      <c r="S102"/>
      <c r="T102"/>
      <c r="U102"/>
      <c r="V102"/>
      <c r="W102"/>
      <c r="X102"/>
      <c r="Y102"/>
      <c r="Z102"/>
      <c r="AA102"/>
      <c r="AB102"/>
      <c r="AC102"/>
      <c r="AD102"/>
      <c r="AE102"/>
      <c r="AF102"/>
      <c r="AG102"/>
      <c r="AH102"/>
    </row>
    <row r="103" spans="1:34" s="42" customFormat="1">
      <c r="A103" s="41"/>
      <c r="B103" s="44" t="s">
        <v>150</v>
      </c>
      <c r="C103" s="326">
        <f>IFERROR(SUMPRODUCT(C52:C101,L52:L101)/SUM(L52:L101),0)</f>
        <v>0</v>
      </c>
      <c r="D103"/>
      <c r="E103" s="341"/>
      <c r="F103"/>
      <c r="G103" s="324" t="s">
        <v>196</v>
      </c>
      <c r="H103" s="334">
        <f>IF('4.) Yearly Budget'!K18&lt;&gt;0,'4.) Yearly Budget'!K33,'4.) Yearly Budget'!J33)</f>
        <v>0</v>
      </c>
      <c r="I103" s="335">
        <f>IF('4.) Yearly Budget'!K161&lt;&gt;0,'4.) Yearly Budget'!K176,'4.) Yearly Budget'!J176)</f>
        <v>0</v>
      </c>
      <c r="J103" s="342" t="b">
        <f>OR(AND(H103&lt;&gt;0,I103&lt;&gt;0),AND(H103=0,I103=0))</f>
        <v>1</v>
      </c>
      <c r="K103" s="1042"/>
      <c r="L103"/>
      <c r="M103"/>
      <c r="N103" s="323"/>
      <c r="O103" s="323"/>
      <c r="P103"/>
      <c r="Q103"/>
      <c r="R103"/>
      <c r="S103"/>
      <c r="T103"/>
      <c r="U103"/>
      <c r="V103"/>
      <c r="W103"/>
      <c r="X103"/>
      <c r="Y103"/>
      <c r="Z103"/>
      <c r="AA103"/>
      <c r="AB103"/>
      <c r="AC103"/>
      <c r="AD103"/>
      <c r="AE103"/>
      <c r="AF103"/>
      <c r="AG103"/>
      <c r="AH103"/>
    </row>
    <row r="104" spans="1:34">
      <c r="B104" s="17" t="s">
        <v>297</v>
      </c>
      <c r="C104" s="327">
        <f>COUNTIF(E67:E101,"&lt;&gt;0")</f>
        <v>0</v>
      </c>
      <c r="D104"/>
      <c r="E104" s="17" t="s">
        <v>299</v>
      </c>
      <c r="F104" s="328"/>
      <c r="G104" s="324" t="s">
        <v>197</v>
      </c>
      <c r="H104" s="334">
        <f>IF('4.) Yearly Budget'!N18&lt;&gt;0,'4.) Yearly Budget'!N33,'4.) Yearly Budget'!M33)</f>
        <v>0</v>
      </c>
      <c r="I104" s="335">
        <f>IF('4.) Yearly Budget'!N161&lt;&gt;0,'4.) Yearly Budget'!N176,'4.) Yearly Budget'!M176)</f>
        <v>0</v>
      </c>
      <c r="J104" s="342" t="b">
        <f t="shared" ref="J104:J106" si="5">OR(AND(H104&lt;&gt;0,I104&lt;&gt;0),AND(H104=0,I104=0))</f>
        <v>1</v>
      </c>
      <c r="K104" s="1042"/>
      <c r="L104"/>
      <c r="M104"/>
      <c r="N104" s="323"/>
      <c r="O104" s="323"/>
      <c r="P104"/>
      <c r="Q104"/>
    </row>
    <row r="105" spans="1:34">
      <c r="B105" s="17" t="s">
        <v>298</v>
      </c>
      <c r="C105" s="327">
        <f>SUM(IF('4.) Yearly Budget'!K$177&lt;&gt;0,'4.) Yearly Budget'!K176,'4.) Yearly Budget'!J176)+IF('4.) Yearly Budget'!N$177&lt;&gt;0,'4.) Yearly Budget'!N176,'4.) Yearly Budget'!M176)+IF('4.) Yearly Budget'!Q$177&lt;&gt;0,'4.) Yearly Budget'!Q176,'4.) Yearly Budget'!P176)+IF('4.) Yearly Budget'!T$177&lt;&gt;0,'4.) Yearly Budget'!T176,'4.) Yearly Budget'!S176))/4</f>
        <v>0</v>
      </c>
      <c r="E105" s="21" t="s">
        <v>300</v>
      </c>
      <c r="F105" s="329">
        <f>IFERROR(SUMPRODUCT(C67:C101,E67:E101)/SUM(E67:E101),0)</f>
        <v>0</v>
      </c>
      <c r="G105" s="324" t="s">
        <v>198</v>
      </c>
      <c r="H105" s="334">
        <f>IF('4.) Yearly Budget'!Q18&lt;&gt;0,'4.) Yearly Budget'!Q33,'4.) Yearly Budget'!P33)</f>
        <v>0</v>
      </c>
      <c r="I105" s="335">
        <f>IF('4.) Yearly Budget'!Q161&lt;&gt;0,'4.) Yearly Budget'!Q176,'4.) Yearly Budget'!P176)</f>
        <v>0</v>
      </c>
      <c r="J105" s="342" t="b">
        <f t="shared" si="5"/>
        <v>1</v>
      </c>
      <c r="K105" s="1042"/>
      <c r="L105"/>
      <c r="M105"/>
      <c r="N105" s="323"/>
      <c r="O105" s="323"/>
      <c r="P105"/>
      <c r="Q105"/>
    </row>
    <row r="106" spans="1:34">
      <c r="E106" s="669"/>
      <c r="F106" s="329">
        <f>IFERROR(SUMPRODUCT(C52:C101,E52:E101)/SUM(E52:E101),0)</f>
        <v>0</v>
      </c>
      <c r="G106" s="324" t="s">
        <v>199</v>
      </c>
      <c r="H106" s="336">
        <f>IF('4.) Yearly Budget'!T18&lt;&gt;0,'4.) Yearly Budget'!T33,'4.) Yearly Budget'!S33)</f>
        <v>0</v>
      </c>
      <c r="I106" s="337">
        <f>IF('4.) Yearly Budget'!T161&lt;&gt;0,'4.) Yearly Budget'!T176,'4.) Yearly Budget'!S176)</f>
        <v>0</v>
      </c>
      <c r="J106" s="342" t="b">
        <f t="shared" si="5"/>
        <v>1</v>
      </c>
      <c r="K106" s="1042"/>
      <c r="L106"/>
      <c r="M106"/>
      <c r="N106" s="323"/>
      <c r="O106" s="323"/>
      <c r="P106"/>
      <c r="Q106"/>
    </row>
    <row r="107" spans="1:34" ht="15.6" thickBot="1">
      <c r="A107" s="35" t="s">
        <v>172</v>
      </c>
      <c r="G107" s="330" t="s">
        <v>303</v>
      </c>
      <c r="H107" s="338">
        <f>SUM(H103:H106)</f>
        <v>0</v>
      </c>
      <c r="I107" s="339">
        <f>SUM(I103:I106)/4</f>
        <v>0</v>
      </c>
      <c r="J107" s="340">
        <f>COUNTIF(J103:J106,"TRUE")</f>
        <v>4</v>
      </c>
      <c r="K107" s="1043"/>
      <c r="L107"/>
      <c r="N107" s="323"/>
      <c r="O107" s="323"/>
      <c r="P107"/>
      <c r="Q107"/>
    </row>
    <row r="108" spans="1:34" ht="15.6" thickBot="1">
      <c r="A108" s="35"/>
      <c r="B108" s="204" t="s">
        <v>170</v>
      </c>
      <c r="C108" s="206" t="s">
        <v>171</v>
      </c>
      <c r="F108" s="227" t="s">
        <v>175</v>
      </c>
      <c r="G108" s="228"/>
      <c r="H108" s="228"/>
      <c r="I108" s="228"/>
      <c r="J108" s="229"/>
      <c r="N108" s="323"/>
      <c r="O108" s="323"/>
    </row>
    <row r="109" spans="1:34">
      <c r="B109" s="216" t="s">
        <v>1202</v>
      </c>
      <c r="C109" s="217"/>
      <c r="D109" s="4" t="s">
        <v>176</v>
      </c>
      <c r="F109" s="209" t="s">
        <v>173</v>
      </c>
      <c r="G109" s="210"/>
      <c r="H109" s="210"/>
      <c r="I109" s="22"/>
      <c r="J109" s="211"/>
      <c r="N109" s="323"/>
      <c r="O109" s="323"/>
    </row>
    <row r="110" spans="1:34" ht="15.6" thickBot="1">
      <c r="B110" s="205" t="str">
        <f t="array" ref="B110:B788" ca="1">IF(ROW('Funding by District'!$D$6:$D$684)-ROW($D$6)+1&gt;COUNT(C110:C788),"",
    INDEX('Funding by District'!$D:$D,SMALL(C110:C788,ROW(INDIRECT("1:"&amp;ROWS('Funding by District'!$D$6:$D$684))))))</f>
        <v>ADDISON CSD</v>
      </c>
      <c r="C110" s="207">
        <f>IF(COUNTIF(CONTROL!$B$52:$B$101,'Funding by District'!D6)&gt;=1,"",ROW()-104)</f>
        <v>6</v>
      </c>
      <c r="D110" s="4" t="s">
        <v>178</v>
      </c>
      <c r="F110" s="212" t="s">
        <v>174</v>
      </c>
      <c r="G110" s="213"/>
      <c r="H110" s="213"/>
      <c r="I110" s="214"/>
      <c r="J110" s="215"/>
      <c r="N110" s="323"/>
      <c r="O110" s="323"/>
    </row>
    <row r="111" spans="1:34">
      <c r="B111" s="205" t="str">
        <f ca="1"/>
        <v>ADIRONDACK CSD</v>
      </c>
      <c r="C111" s="207">
        <f>IF(COUNTIF(CONTROL!$B$52:$B$101,'Funding by District'!D7)&gt;=1,"",ROW()-104)</f>
        <v>7</v>
      </c>
      <c r="D111" s="4" t="s">
        <v>177</v>
      </c>
      <c r="F111" s="218" t="s">
        <v>179</v>
      </c>
      <c r="G111" s="219"/>
      <c r="H111" s="208"/>
      <c r="I111" s="208"/>
      <c r="J111" s="220"/>
      <c r="N111" s="323"/>
      <c r="O111" s="323"/>
    </row>
    <row r="112" spans="1:34">
      <c r="B112" s="205" t="str">
        <f ca="1"/>
        <v>AFTON CSD</v>
      </c>
      <c r="C112" s="207">
        <f>IF(COUNTIF(CONTROL!$B$52:$B$101,'Funding by District'!D8)&gt;=1,"",ROW()-104)</f>
        <v>8</v>
      </c>
      <c r="D112" s="4" t="s">
        <v>180</v>
      </c>
      <c r="F112" s="221" t="s">
        <v>181</v>
      </c>
      <c r="G112" s="210"/>
      <c r="H112" s="22"/>
      <c r="I112" s="22"/>
      <c r="J112" s="222"/>
      <c r="N112" s="323"/>
      <c r="O112" s="323"/>
    </row>
    <row r="113" spans="2:15">
      <c r="B113" s="205" t="str">
        <f ca="1"/>
        <v>AKRON CSD</v>
      </c>
      <c r="C113" s="207">
        <f>IF(COUNTIF(CONTROL!$B$52:$B$101,'Funding by District'!D9)&gt;=1,"",ROW()-104)</f>
        <v>9</v>
      </c>
      <c r="F113" s="221" t="s">
        <v>183</v>
      </c>
      <c r="G113" s="210"/>
      <c r="H113" s="22"/>
      <c r="I113" s="22"/>
      <c r="J113" s="222"/>
      <c r="N113" s="323"/>
      <c r="O113" s="323"/>
    </row>
    <row r="114" spans="2:15" ht="16.8">
      <c r="B114" s="205" t="str">
        <f ca="1"/>
        <v>ALBANY CITY SD</v>
      </c>
      <c r="C114" s="207">
        <f>IF(COUNTIF(CONTROL!$B$52:$B$101,'Funding by District'!D10)&gt;=1,"",ROW()-104)</f>
        <v>10</v>
      </c>
      <c r="F114" s="221" t="s">
        <v>184</v>
      </c>
      <c r="G114" s="210"/>
      <c r="H114" s="22"/>
      <c r="I114" s="22"/>
      <c r="J114" s="222"/>
      <c r="K114" s="225"/>
      <c r="N114" s="323"/>
      <c r="O114" s="323"/>
    </row>
    <row r="115" spans="2:15">
      <c r="B115" s="205" t="str">
        <f ca="1"/>
        <v>ALBION CSD</v>
      </c>
      <c r="C115" s="207">
        <f>IF(COUNTIF(CONTROL!$B$52:$B$101,'Funding by District'!D11)&gt;=1,"",ROW()-104)</f>
        <v>11</v>
      </c>
      <c r="F115" s="221" t="s">
        <v>182</v>
      </c>
      <c r="G115" s="210"/>
      <c r="H115" s="22"/>
      <c r="I115" s="22"/>
      <c r="J115" s="222"/>
      <c r="K115" s="226"/>
      <c r="N115" s="323"/>
      <c r="O115" s="323"/>
    </row>
    <row r="116" spans="2:15" ht="15.6" thickBot="1">
      <c r="B116" s="205" t="str">
        <f ca="1"/>
        <v>ALDEN CSD</v>
      </c>
      <c r="C116" s="207">
        <f>IF(COUNTIF(CONTROL!$B$52:$B$101,'Funding by District'!D12)&gt;=1,"",ROW()-104)</f>
        <v>12</v>
      </c>
      <c r="D116" s="4" t="s">
        <v>180</v>
      </c>
      <c r="F116" s="223" t="s">
        <v>187</v>
      </c>
      <c r="G116" s="233" t="s">
        <v>186</v>
      </c>
      <c r="H116" s="214"/>
      <c r="I116" s="214"/>
      <c r="J116" s="224"/>
      <c r="K116" s="226"/>
      <c r="N116" s="323"/>
      <c r="O116" s="323"/>
    </row>
    <row r="117" spans="2:15">
      <c r="B117" s="205" t="str">
        <f ca="1"/>
        <v>ALEXANDER CSD</v>
      </c>
      <c r="C117" s="207">
        <f>IF(COUNTIF(CONTROL!$B$52:$B$101,'Funding by District'!D13)&gt;=1,"",ROW()-104)</f>
        <v>13</v>
      </c>
      <c r="F117" s="48"/>
      <c r="G117" s="48"/>
      <c r="N117" s="323"/>
      <c r="O117" s="323"/>
    </row>
    <row r="118" spans="2:15">
      <c r="B118" s="205" t="str">
        <f ca="1"/>
        <v>ALEXANDRIA CSD</v>
      </c>
      <c r="C118" s="207">
        <f>IF(COUNTIF(CONTROL!$B$52:$B$101,'Funding by District'!D14)&gt;=1,"",ROW()-104)</f>
        <v>14</v>
      </c>
      <c r="F118" s="48"/>
      <c r="G118" s="48"/>
      <c r="N118" s="323"/>
      <c r="O118" s="323"/>
    </row>
    <row r="119" spans="2:15">
      <c r="B119" s="205" t="str">
        <f ca="1"/>
        <v>ALFRED-ALMOND CSD</v>
      </c>
      <c r="C119" s="207">
        <f>IF(COUNTIF(CONTROL!$B$52:$B$101,'Funding by District'!D15)&gt;=1,"",ROW()-104)</f>
        <v>15</v>
      </c>
      <c r="F119" s="48"/>
      <c r="G119" s="48"/>
      <c r="N119" s="323"/>
      <c r="O119" s="323"/>
    </row>
    <row r="120" spans="2:15">
      <c r="B120" s="205" t="str">
        <f ca="1"/>
        <v>ALLEGANY-LIMESTONE CSD</v>
      </c>
      <c r="C120" s="207">
        <f>IF(COUNTIF(CONTROL!$B$52:$B$101,'Funding by District'!D16)&gt;=1,"",ROW()-104)</f>
        <v>16</v>
      </c>
      <c r="F120" s="48"/>
      <c r="G120" s="48"/>
      <c r="N120" s="323"/>
      <c r="O120" s="323"/>
    </row>
    <row r="121" spans="2:15">
      <c r="B121" s="205" t="str">
        <f ca="1"/>
        <v>ALTMAR-PARISH-WILLIAMSTOWN CSD</v>
      </c>
      <c r="C121" s="207">
        <f>IF(COUNTIF(CONTROL!$B$52:$B$101,'Funding by District'!D17)&gt;=1,"",ROW()-104)</f>
        <v>17</v>
      </c>
      <c r="F121" s="48"/>
      <c r="G121" s="48"/>
      <c r="N121" s="323"/>
      <c r="O121" s="323"/>
    </row>
    <row r="122" spans="2:15">
      <c r="B122" s="205" t="str">
        <f ca="1"/>
        <v>AMAGANSETT UFSD</v>
      </c>
      <c r="C122" s="207">
        <f>IF(COUNTIF(CONTROL!$B$52:$B$101,'Funding by District'!D18)&gt;=1,"",ROW()-104)</f>
        <v>18</v>
      </c>
      <c r="F122" s="48"/>
      <c r="G122" s="48"/>
      <c r="N122" s="323"/>
      <c r="O122" s="323"/>
    </row>
    <row r="123" spans="2:15">
      <c r="B123" s="205" t="str">
        <f ca="1"/>
        <v>AMHERST CSD</v>
      </c>
      <c r="C123" s="207">
        <f>IF(COUNTIF(CONTROL!$B$52:$B$101,'Funding by District'!D19)&gt;=1,"",ROW()-104)</f>
        <v>19</v>
      </c>
      <c r="F123" s="48"/>
      <c r="G123" s="48"/>
      <c r="N123" s="323"/>
      <c r="O123" s="323"/>
    </row>
    <row r="124" spans="2:15">
      <c r="B124" s="205" t="str">
        <f ca="1"/>
        <v>AMITYVILLE UFSD</v>
      </c>
      <c r="C124" s="207">
        <f>IF(COUNTIF(CONTROL!$B$52:$B$101,'Funding by District'!D20)&gt;=1,"",ROW()-104)</f>
        <v>20</v>
      </c>
      <c r="F124" s="48"/>
      <c r="G124" s="48"/>
      <c r="N124" s="323"/>
      <c r="O124" s="323"/>
    </row>
    <row r="125" spans="2:15">
      <c r="B125" s="205" t="str">
        <f ca="1"/>
        <v>AMSTERDAM CITY SD</v>
      </c>
      <c r="C125" s="207">
        <f>IF(COUNTIF(CONTROL!$B$52:$B$101,'Funding by District'!D21)&gt;=1,"",ROW()-104)</f>
        <v>21</v>
      </c>
      <c r="F125" s="48"/>
      <c r="G125" s="48"/>
      <c r="N125" s="323"/>
      <c r="O125" s="323"/>
    </row>
    <row r="126" spans="2:15">
      <c r="B126" s="205" t="str">
        <f ca="1"/>
        <v>ANDES CSD</v>
      </c>
      <c r="C126" s="207">
        <f>IF(COUNTIF(CONTROL!$B$52:$B$101,'Funding by District'!D22)&gt;=1,"",ROW()-104)</f>
        <v>22</v>
      </c>
      <c r="F126" s="48"/>
      <c r="G126" s="48"/>
      <c r="N126" s="323"/>
      <c r="O126" s="323"/>
    </row>
    <row r="127" spans="2:15">
      <c r="B127" s="205" t="str">
        <f ca="1"/>
        <v>ANDOVER CSD</v>
      </c>
      <c r="C127" s="207">
        <f>IF(COUNTIF(CONTROL!$B$52:$B$101,'Funding by District'!D23)&gt;=1,"",ROW()-104)</f>
        <v>23</v>
      </c>
      <c r="F127" s="48"/>
      <c r="G127" s="48"/>
      <c r="N127" s="323"/>
      <c r="O127" s="323"/>
    </row>
    <row r="128" spans="2:15">
      <c r="B128" s="205" t="str">
        <f ca="1"/>
        <v>ARDSLEY UFSD</v>
      </c>
      <c r="C128" s="207">
        <f>IF(COUNTIF(CONTROL!$B$52:$B$101,'Funding by District'!D24)&gt;=1,"",ROW()-104)</f>
        <v>24</v>
      </c>
      <c r="F128" s="48"/>
      <c r="G128" s="48"/>
      <c r="N128" s="323"/>
      <c r="O128" s="323"/>
    </row>
    <row r="129" spans="2:15">
      <c r="B129" s="205" t="str">
        <f ca="1"/>
        <v>ARGYLE CSD</v>
      </c>
      <c r="C129" s="207">
        <f>IF(COUNTIF(CONTROL!$B$52:$B$101,'Funding by District'!D25)&gt;=1,"",ROW()-104)</f>
        <v>25</v>
      </c>
      <c r="F129" s="48"/>
      <c r="G129" s="48"/>
      <c r="N129" s="323"/>
      <c r="O129" s="323"/>
    </row>
    <row r="130" spans="2:15">
      <c r="B130" s="205" t="str">
        <f ca="1"/>
        <v>ARKPORT CSD</v>
      </c>
      <c r="C130" s="207">
        <f>IF(COUNTIF(CONTROL!$B$52:$B$101,'Funding by District'!D26)&gt;=1,"",ROW()-104)</f>
        <v>26</v>
      </c>
      <c r="F130" s="48"/>
      <c r="G130" s="48"/>
      <c r="N130" s="323"/>
      <c r="O130" s="323"/>
    </row>
    <row r="131" spans="2:15">
      <c r="B131" s="205" t="str">
        <f ca="1"/>
        <v>ARLINGTON CSD</v>
      </c>
      <c r="C131" s="207">
        <f>IF(COUNTIF(CONTROL!$B$52:$B$101,'Funding by District'!D27)&gt;=1,"",ROW()-104)</f>
        <v>27</v>
      </c>
      <c r="F131" s="48"/>
      <c r="G131" s="48"/>
      <c r="N131" s="323"/>
      <c r="O131" s="323"/>
    </row>
    <row r="132" spans="2:15">
      <c r="B132" s="205" t="str">
        <f ca="1"/>
        <v>ATTICA CSD</v>
      </c>
      <c r="C132" s="207">
        <f>IF(COUNTIF(CONTROL!$B$52:$B$101,'Funding by District'!D28)&gt;=1,"",ROW()-104)</f>
        <v>28</v>
      </c>
      <c r="F132" s="48"/>
      <c r="G132" s="48"/>
      <c r="N132" s="323"/>
      <c r="O132" s="323"/>
    </row>
    <row r="133" spans="2:15">
      <c r="B133" s="205" t="str">
        <f ca="1"/>
        <v>AUBURN CITY SD</v>
      </c>
      <c r="C133" s="207">
        <f>IF(COUNTIF(CONTROL!$B$52:$B$101,'Funding by District'!D29)&gt;=1,"",ROW()-104)</f>
        <v>29</v>
      </c>
      <c r="F133" s="48"/>
      <c r="G133" s="48"/>
      <c r="N133" s="323"/>
      <c r="O133" s="323"/>
    </row>
    <row r="134" spans="2:15">
      <c r="B134" s="205" t="str">
        <f ca="1"/>
        <v>AUSABLE VALLEY CSD</v>
      </c>
      <c r="C134" s="207">
        <f>IF(COUNTIF(CONTROL!$B$52:$B$101,'Funding by District'!D30)&gt;=1,"",ROW()-104)</f>
        <v>30</v>
      </c>
      <c r="F134" s="48"/>
      <c r="G134" s="48"/>
      <c r="N134" s="323"/>
      <c r="O134" s="323"/>
    </row>
    <row r="135" spans="2:15">
      <c r="B135" s="205" t="str">
        <f ca="1"/>
        <v>AVERILL PARK CSD</v>
      </c>
      <c r="C135" s="207">
        <f>IF(COUNTIF(CONTROL!$B$52:$B$101,'Funding by District'!D31)&gt;=1,"",ROW()-104)</f>
        <v>31</v>
      </c>
      <c r="F135" s="48"/>
      <c r="G135" s="48"/>
      <c r="N135" s="323"/>
      <c r="O135" s="323"/>
    </row>
    <row r="136" spans="2:15">
      <c r="B136" s="205" t="str">
        <f ca="1"/>
        <v>AVOCA CSD</v>
      </c>
      <c r="C136" s="207">
        <f>IF(COUNTIF(CONTROL!$B$52:$B$101,'Funding by District'!D32)&gt;=1,"",ROW()-104)</f>
        <v>32</v>
      </c>
      <c r="F136" s="48"/>
      <c r="G136" s="48"/>
      <c r="N136" s="323"/>
      <c r="O136" s="323"/>
    </row>
    <row r="137" spans="2:15">
      <c r="B137" s="205" t="str">
        <f ca="1"/>
        <v>AVON CSD</v>
      </c>
      <c r="C137" s="207">
        <f>IF(COUNTIF(CONTROL!$B$52:$B$101,'Funding by District'!D33)&gt;=1,"",ROW()-104)</f>
        <v>33</v>
      </c>
      <c r="F137" s="48"/>
      <c r="G137" s="48"/>
      <c r="N137" s="323"/>
      <c r="O137" s="323"/>
    </row>
    <row r="138" spans="2:15">
      <c r="B138" s="205" t="str">
        <f ca="1"/>
        <v>BABYLON UFSD</v>
      </c>
      <c r="C138" s="207">
        <f>IF(COUNTIF(CONTROL!$B$52:$B$101,'Funding by District'!D34)&gt;=1,"",ROW()-104)</f>
        <v>34</v>
      </c>
      <c r="F138" s="48"/>
      <c r="G138" s="48"/>
      <c r="N138" s="323"/>
      <c r="O138" s="323"/>
    </row>
    <row r="139" spans="2:15">
      <c r="B139" s="205" t="str">
        <f ca="1"/>
        <v>BAINBRIDGE-GUILFORD CSD</v>
      </c>
      <c r="C139" s="207">
        <f>IF(COUNTIF(CONTROL!$B$52:$B$101,'Funding by District'!D35)&gt;=1,"",ROW()-104)</f>
        <v>35</v>
      </c>
      <c r="F139" s="48"/>
      <c r="G139" s="48"/>
      <c r="N139" s="323"/>
      <c r="O139" s="323"/>
    </row>
    <row r="140" spans="2:15">
      <c r="B140" s="205" t="str">
        <f ca="1"/>
        <v>BALDWIN UFSD</v>
      </c>
      <c r="C140" s="207">
        <f>IF(COUNTIF(CONTROL!$B$52:$B$101,'Funding by District'!D36)&gt;=1,"",ROW()-104)</f>
        <v>36</v>
      </c>
      <c r="F140" s="48"/>
      <c r="G140" s="48"/>
      <c r="N140" s="323"/>
      <c r="O140" s="323"/>
    </row>
    <row r="141" spans="2:15">
      <c r="B141" s="205" t="str">
        <f ca="1"/>
        <v>BALDWINSVILLE CSD</v>
      </c>
      <c r="C141" s="207">
        <f>IF(COUNTIF(CONTROL!$B$52:$B$101,'Funding by District'!D37)&gt;=1,"",ROW()-104)</f>
        <v>37</v>
      </c>
      <c r="F141" s="48"/>
      <c r="G141" s="48"/>
      <c r="N141" s="323"/>
      <c r="O141" s="323"/>
    </row>
    <row r="142" spans="2:15">
      <c r="B142" s="205" t="str">
        <f ca="1"/>
        <v>BALLSTON SPA CSD</v>
      </c>
      <c r="C142" s="207">
        <f>IF(COUNTIF(CONTROL!$B$52:$B$101,'Funding by District'!D38)&gt;=1,"",ROW()-104)</f>
        <v>38</v>
      </c>
      <c r="F142" s="48"/>
      <c r="G142" s="48"/>
      <c r="N142" s="323"/>
      <c r="O142" s="323"/>
    </row>
    <row r="143" spans="2:15">
      <c r="B143" s="205" t="str">
        <f ca="1"/>
        <v>BARKER CSD</v>
      </c>
      <c r="C143" s="207">
        <f>IF(COUNTIF(CONTROL!$B$52:$B$101,'Funding by District'!D39)&gt;=1,"",ROW()-104)</f>
        <v>39</v>
      </c>
      <c r="F143" s="48"/>
      <c r="G143" s="48"/>
      <c r="N143" s="323"/>
      <c r="O143" s="323"/>
    </row>
    <row r="144" spans="2:15">
      <c r="B144" s="205" t="str">
        <f ca="1"/>
        <v>BATAVIA CITY SD</v>
      </c>
      <c r="C144" s="207">
        <f>IF(COUNTIF(CONTROL!$B$52:$B$101,'Funding by District'!D40)&gt;=1,"",ROW()-104)</f>
        <v>40</v>
      </c>
      <c r="F144" s="48"/>
      <c r="G144" s="48"/>
      <c r="N144" s="323"/>
      <c r="O144" s="323"/>
    </row>
    <row r="145" spans="2:15">
      <c r="B145" s="205" t="str">
        <f ca="1"/>
        <v>BATH CSD</v>
      </c>
      <c r="C145" s="207">
        <f>IF(COUNTIF(CONTROL!$B$52:$B$101,'Funding by District'!D41)&gt;=1,"",ROW()-104)</f>
        <v>41</v>
      </c>
      <c r="F145" s="48"/>
      <c r="G145" s="48"/>
      <c r="N145" s="323"/>
      <c r="O145" s="323"/>
    </row>
    <row r="146" spans="2:15">
      <c r="B146" s="205" t="str">
        <f ca="1"/>
        <v>BAY SHORE UFSD</v>
      </c>
      <c r="C146" s="207">
        <f>IF(COUNTIF(CONTROL!$B$52:$B$101,'Funding by District'!D42)&gt;=1,"",ROW()-104)</f>
        <v>42</v>
      </c>
      <c r="F146" s="48"/>
      <c r="G146" s="48"/>
      <c r="N146" s="323"/>
      <c r="O146" s="323"/>
    </row>
    <row r="147" spans="2:15">
      <c r="B147" s="205" t="str">
        <f ca="1"/>
        <v>BAYPORT-BLUE POINT UFSD</v>
      </c>
      <c r="C147" s="207">
        <f>IF(COUNTIF(CONTROL!$B$52:$B$101,'Funding by District'!D43)&gt;=1,"",ROW()-104)</f>
        <v>43</v>
      </c>
      <c r="F147" s="48"/>
      <c r="G147" s="48"/>
      <c r="N147" s="323"/>
      <c r="O147" s="323"/>
    </row>
    <row r="148" spans="2:15">
      <c r="B148" s="205" t="str">
        <f ca="1"/>
        <v>BEACON CITY SD</v>
      </c>
      <c r="C148" s="207">
        <f>IF(COUNTIF(CONTROL!$B$52:$B$101,'Funding by District'!D44)&gt;=1,"",ROW()-104)</f>
        <v>44</v>
      </c>
      <c r="F148" s="48"/>
      <c r="G148" s="48"/>
      <c r="N148" s="323"/>
      <c r="O148" s="323"/>
    </row>
    <row r="149" spans="2:15">
      <c r="B149" s="205" t="str">
        <f ca="1"/>
        <v>BEAVER RIVER CSD</v>
      </c>
      <c r="C149" s="207">
        <f>IF(COUNTIF(CONTROL!$B$52:$B$101,'Funding by District'!D45)&gt;=1,"",ROW()-104)</f>
        <v>45</v>
      </c>
      <c r="F149" s="48"/>
      <c r="G149" s="48"/>
      <c r="N149" s="323"/>
      <c r="O149" s="323"/>
    </row>
    <row r="150" spans="2:15">
      <c r="B150" s="205" t="str">
        <f ca="1"/>
        <v>BEDFORD CSD</v>
      </c>
      <c r="C150" s="207">
        <f>IF(COUNTIF(CONTROL!$B$52:$B$101,'Funding by District'!D46)&gt;=1,"",ROW()-104)</f>
        <v>46</v>
      </c>
      <c r="F150" s="48"/>
      <c r="G150" s="48"/>
      <c r="N150" s="323"/>
      <c r="O150" s="323"/>
    </row>
    <row r="151" spans="2:15">
      <c r="B151" s="205" t="str">
        <f ca="1"/>
        <v>BEEKMANTOWN CSD</v>
      </c>
      <c r="C151" s="207">
        <f>IF(COUNTIF(CONTROL!$B$52:$B$101,'Funding by District'!D47)&gt;=1,"",ROW()-104)</f>
        <v>47</v>
      </c>
      <c r="F151" s="48"/>
      <c r="G151" s="48"/>
      <c r="N151" s="323"/>
      <c r="O151" s="323"/>
    </row>
    <row r="152" spans="2:15">
      <c r="B152" s="205" t="str">
        <f ca="1"/>
        <v>BELFAST CSD</v>
      </c>
      <c r="C152" s="207">
        <f>IF(COUNTIF(CONTROL!$B$52:$B$101,'Funding by District'!D48)&gt;=1,"",ROW()-104)</f>
        <v>48</v>
      </c>
      <c r="F152" s="48"/>
      <c r="G152" s="48"/>
      <c r="N152" s="323"/>
      <c r="O152" s="323"/>
    </row>
    <row r="153" spans="2:15">
      <c r="B153" s="205" t="str">
        <f ca="1"/>
        <v>BELLEVILLE HENDERSON CSD</v>
      </c>
      <c r="C153" s="207">
        <f>IF(COUNTIF(CONTROL!$B$52:$B$101,'Funding by District'!D49)&gt;=1,"",ROW()-104)</f>
        <v>49</v>
      </c>
      <c r="F153" s="48"/>
      <c r="G153" s="48"/>
      <c r="N153" s="323"/>
      <c r="O153" s="323"/>
    </row>
    <row r="154" spans="2:15">
      <c r="B154" s="205" t="str">
        <f ca="1"/>
        <v>BELLMORE UFSD</v>
      </c>
      <c r="C154" s="207">
        <f>IF(COUNTIF(CONTROL!$B$52:$B$101,'Funding by District'!D50)&gt;=1,"",ROW()-104)</f>
        <v>50</v>
      </c>
      <c r="F154" s="48"/>
      <c r="G154" s="48"/>
      <c r="N154" s="323"/>
      <c r="O154" s="323"/>
    </row>
    <row r="155" spans="2:15">
      <c r="B155" s="205" t="str">
        <f ca="1"/>
        <v>BELLMORE-MERRICK CENTRAL HS DISTRICT</v>
      </c>
      <c r="C155" s="207">
        <f>IF(COUNTIF(CONTROL!$B$52:$B$101,'Funding by District'!D51)&gt;=1,"",ROW()-104)</f>
        <v>51</v>
      </c>
      <c r="F155" s="48"/>
      <c r="G155" s="48"/>
      <c r="N155" s="323"/>
      <c r="O155" s="323"/>
    </row>
    <row r="156" spans="2:15">
      <c r="B156" s="205" t="str">
        <f ca="1"/>
        <v>BEMUS POINT CSD</v>
      </c>
      <c r="C156" s="207">
        <f>IF(COUNTIF(CONTROL!$B$52:$B$101,'Funding by District'!D52)&gt;=1,"",ROW()-104)</f>
        <v>52</v>
      </c>
      <c r="F156" s="48"/>
      <c r="G156" s="48"/>
      <c r="N156" s="323"/>
      <c r="O156" s="323"/>
    </row>
    <row r="157" spans="2:15">
      <c r="B157" s="205" t="str">
        <f ca="1"/>
        <v>BERLIN CSD</v>
      </c>
      <c r="C157" s="207">
        <f>IF(COUNTIF(CONTROL!$B$52:$B$101,'Funding by District'!D53)&gt;=1,"",ROW()-104)</f>
        <v>53</v>
      </c>
      <c r="F157" s="48"/>
      <c r="G157" s="48"/>
      <c r="N157" s="323"/>
      <c r="O157" s="323"/>
    </row>
    <row r="158" spans="2:15">
      <c r="B158" s="205" t="str">
        <f ca="1"/>
        <v>BERNE-KNOX-WESTERLO CSD</v>
      </c>
      <c r="C158" s="207">
        <f>IF(COUNTIF(CONTROL!$B$52:$B$101,'Funding by District'!D54)&gt;=1,"",ROW()-104)</f>
        <v>54</v>
      </c>
      <c r="F158" s="48"/>
      <c r="G158" s="48"/>
      <c r="N158" s="323"/>
      <c r="O158" s="323"/>
    </row>
    <row r="159" spans="2:15">
      <c r="B159" s="205" t="str">
        <f ca="1"/>
        <v>BETHLEHEM CSD</v>
      </c>
      <c r="C159" s="207">
        <f>IF(COUNTIF(CONTROL!$B$52:$B$101,'Funding by District'!D55)&gt;=1,"",ROW()-104)</f>
        <v>55</v>
      </c>
      <c r="F159" s="48"/>
      <c r="G159" s="48"/>
      <c r="N159" s="323"/>
      <c r="O159" s="323"/>
    </row>
    <row r="160" spans="2:15">
      <c r="B160" s="205" t="str">
        <f ca="1"/>
        <v>BETHPAGE UFSD</v>
      </c>
      <c r="C160" s="207">
        <f>IF(COUNTIF(CONTROL!$B$52:$B$101,'Funding by District'!D56)&gt;=1,"",ROW()-104)</f>
        <v>56</v>
      </c>
      <c r="F160" s="48"/>
      <c r="G160" s="48"/>
      <c r="N160" s="323"/>
      <c r="O160" s="323"/>
    </row>
    <row r="161" spans="2:15">
      <c r="B161" s="205" t="str">
        <f ca="1"/>
        <v>BINGHAMTON CITY SD</v>
      </c>
      <c r="C161" s="207">
        <f>IF(COUNTIF(CONTROL!$B$52:$B$101,'Funding by District'!D57)&gt;=1,"",ROW()-104)</f>
        <v>57</v>
      </c>
      <c r="F161" s="48"/>
      <c r="G161" s="48"/>
      <c r="N161" s="323"/>
      <c r="O161" s="323"/>
    </row>
    <row r="162" spans="2:15">
      <c r="B162" s="205" t="str">
        <f ca="1"/>
        <v>BLIND BROOK-RYE UFSD</v>
      </c>
      <c r="C162" s="207">
        <f>IF(COUNTIF(CONTROL!$B$52:$B$101,'Funding by District'!D58)&gt;=1,"",ROW()-104)</f>
        <v>58</v>
      </c>
      <c r="F162" s="48"/>
      <c r="G162" s="48"/>
      <c r="N162" s="323"/>
      <c r="O162" s="323"/>
    </row>
    <row r="163" spans="2:15">
      <c r="B163" s="205" t="str">
        <f ca="1"/>
        <v>BOLIVAR-RICHBURG CSD</v>
      </c>
      <c r="C163" s="207">
        <f>IF(COUNTIF(CONTROL!$B$52:$B$101,'Funding by District'!D59)&gt;=1,"",ROW()-104)</f>
        <v>59</v>
      </c>
      <c r="F163" s="48"/>
      <c r="G163" s="48"/>
      <c r="N163" s="323"/>
      <c r="O163" s="323"/>
    </row>
    <row r="164" spans="2:15">
      <c r="B164" s="205" t="str">
        <f ca="1"/>
        <v>BOLTON CSD</v>
      </c>
      <c r="C164" s="207">
        <f>IF(COUNTIF(CONTROL!$B$52:$B$101,'Funding by District'!D60)&gt;=1,"",ROW()-104)</f>
        <v>60</v>
      </c>
      <c r="F164" s="48"/>
      <c r="G164" s="48"/>
      <c r="N164" s="323"/>
      <c r="O164" s="323"/>
    </row>
    <row r="165" spans="2:15">
      <c r="B165" s="205" t="str">
        <f ca="1"/>
        <v>BRADFORD CSD</v>
      </c>
      <c r="C165" s="207">
        <f>IF(COUNTIF(CONTROL!$B$52:$B$101,'Funding by District'!D61)&gt;=1,"",ROW()-104)</f>
        <v>61</v>
      </c>
      <c r="F165" s="48"/>
      <c r="G165" s="48"/>
      <c r="N165" s="323"/>
      <c r="O165" s="323"/>
    </row>
    <row r="166" spans="2:15">
      <c r="B166" s="205" t="str">
        <f ca="1"/>
        <v>BRASHER FALLS CSD</v>
      </c>
      <c r="C166" s="207">
        <f>IF(COUNTIF(CONTROL!$B$52:$B$101,'Funding by District'!D62)&gt;=1,"",ROW()-104)</f>
        <v>62</v>
      </c>
      <c r="F166" s="48"/>
      <c r="G166" s="48"/>
      <c r="N166" s="323"/>
      <c r="O166" s="323"/>
    </row>
    <row r="167" spans="2:15">
      <c r="B167" s="205" t="str">
        <f ca="1"/>
        <v>BRENTWOOD UFSD</v>
      </c>
      <c r="C167" s="207">
        <f>IF(COUNTIF(CONTROL!$B$52:$B$101,'Funding by District'!D63)&gt;=1,"",ROW()-104)</f>
        <v>63</v>
      </c>
      <c r="F167" s="48"/>
      <c r="G167" s="48"/>
      <c r="N167" s="323"/>
      <c r="O167" s="323"/>
    </row>
    <row r="168" spans="2:15">
      <c r="B168" s="205" t="str">
        <f ca="1"/>
        <v>BREWSTER CSD</v>
      </c>
      <c r="C168" s="207">
        <f>IF(COUNTIF(CONTROL!$B$52:$B$101,'Funding by District'!D64)&gt;=1,"",ROW()-104)</f>
        <v>64</v>
      </c>
      <c r="F168" s="48"/>
      <c r="G168" s="48"/>
      <c r="N168" s="323"/>
      <c r="O168" s="323"/>
    </row>
    <row r="169" spans="2:15">
      <c r="B169" s="205" t="str">
        <f ca="1"/>
        <v>BRIARCLIFF MANOR UFSD</v>
      </c>
      <c r="C169" s="207">
        <f>IF(COUNTIF(CONTROL!$B$52:$B$101,'Funding by District'!D65)&gt;=1,"",ROW()-104)</f>
        <v>65</v>
      </c>
      <c r="F169" s="48"/>
      <c r="G169" s="48"/>
      <c r="N169" s="323"/>
      <c r="O169" s="323"/>
    </row>
    <row r="170" spans="2:15">
      <c r="B170" s="205" t="str">
        <f ca="1"/>
        <v>BRIDGEHAMPTON UFSD</v>
      </c>
      <c r="C170" s="207">
        <f>IF(COUNTIF(CONTROL!$B$52:$B$101,'Funding by District'!D66)&gt;=1,"",ROW()-104)</f>
        <v>66</v>
      </c>
      <c r="F170" s="48"/>
      <c r="G170" s="48"/>
      <c r="N170" s="323"/>
      <c r="O170" s="323"/>
    </row>
    <row r="171" spans="2:15">
      <c r="B171" s="205" t="str">
        <f ca="1"/>
        <v>BRIGHTON CSD</v>
      </c>
      <c r="C171" s="207">
        <f>IF(COUNTIF(CONTROL!$B$52:$B$101,'Funding by District'!D67)&gt;=1,"",ROW()-104)</f>
        <v>67</v>
      </c>
      <c r="F171" s="48"/>
      <c r="G171" s="48"/>
      <c r="N171" s="323"/>
      <c r="O171" s="323"/>
    </row>
    <row r="172" spans="2:15">
      <c r="B172" s="205" t="str">
        <f ca="1"/>
        <v>BROADALBIN-PERTH CSD</v>
      </c>
      <c r="C172" s="207">
        <f>IF(COUNTIF(CONTROL!$B$52:$B$101,'Funding by District'!D68)&gt;=1,"",ROW()-104)</f>
        <v>68</v>
      </c>
      <c r="F172" s="48"/>
      <c r="G172" s="48"/>
      <c r="N172" s="323"/>
      <c r="O172" s="323"/>
    </row>
    <row r="173" spans="2:15">
      <c r="B173" s="205" t="str">
        <f ca="1"/>
        <v>BROCKPORT CSD</v>
      </c>
      <c r="C173" s="207">
        <f>IF(COUNTIF(CONTROL!$B$52:$B$101,'Funding by District'!D69)&gt;=1,"",ROW()-104)</f>
        <v>69</v>
      </c>
      <c r="F173" s="48"/>
      <c r="G173" s="48"/>
      <c r="N173" s="323"/>
      <c r="O173" s="323"/>
    </row>
    <row r="174" spans="2:15">
      <c r="B174" s="205" t="str">
        <f ca="1"/>
        <v>BROCTON CSD</v>
      </c>
      <c r="C174" s="207">
        <f>IF(COUNTIF(CONTROL!$B$52:$B$101,'Funding by District'!D70)&gt;=1,"",ROW()-104)</f>
        <v>70</v>
      </c>
      <c r="F174" s="48"/>
      <c r="G174" s="48"/>
      <c r="N174" s="323"/>
      <c r="O174" s="323"/>
    </row>
    <row r="175" spans="2:15">
      <c r="B175" s="205" t="str">
        <f ca="1"/>
        <v>BRONXVILLE UFSD</v>
      </c>
      <c r="C175" s="207">
        <f>IF(COUNTIF(CONTROL!$B$52:$B$101,'Funding by District'!D71)&gt;=1,"",ROW()-104)</f>
        <v>71</v>
      </c>
      <c r="F175" s="48"/>
      <c r="G175" s="48"/>
      <c r="N175" s="323"/>
      <c r="O175" s="323"/>
    </row>
    <row r="176" spans="2:15">
      <c r="B176" s="205" t="str">
        <f ca="1"/>
        <v>BROOKFIELD CSD</v>
      </c>
      <c r="C176" s="207">
        <f>IF(COUNTIF(CONTROL!$B$52:$B$101,'Funding by District'!D72)&gt;=1,"",ROW()-104)</f>
        <v>72</v>
      </c>
      <c r="F176" s="48"/>
      <c r="G176" s="48"/>
      <c r="N176" s="323"/>
      <c r="O176" s="323"/>
    </row>
    <row r="177" spans="2:15">
      <c r="B177" s="205" t="str">
        <f ca="1"/>
        <v>BROOKHAVEN-COMSEWOGUE UFSD</v>
      </c>
      <c r="C177" s="207">
        <f>IF(COUNTIF(CONTROL!$B$52:$B$101,'Funding by District'!D73)&gt;=1,"",ROW()-104)</f>
        <v>73</v>
      </c>
      <c r="F177" s="48"/>
      <c r="G177" s="48"/>
      <c r="N177" s="323"/>
      <c r="O177" s="323"/>
    </row>
    <row r="178" spans="2:15">
      <c r="B178" s="205" t="str">
        <f ca="1"/>
        <v>BRUNSWICK CSD (BRITTONKILL)</v>
      </c>
      <c r="C178" s="207">
        <f>IF(COUNTIF(CONTROL!$B$52:$B$101,'Funding by District'!D74)&gt;=1,"",ROW()-104)</f>
        <v>74</v>
      </c>
      <c r="F178" s="48"/>
      <c r="G178" s="48"/>
      <c r="N178" s="323"/>
      <c r="O178" s="323"/>
    </row>
    <row r="179" spans="2:15">
      <c r="B179" s="205" t="str">
        <f ca="1"/>
        <v>BRUSHTON-MOIRA CSD</v>
      </c>
      <c r="C179" s="207">
        <f>IF(COUNTIF(CONTROL!$B$52:$B$101,'Funding by District'!D75)&gt;=1,"",ROW()-104)</f>
        <v>75</v>
      </c>
      <c r="F179" s="48"/>
      <c r="G179" s="48"/>
      <c r="N179" s="323"/>
      <c r="O179" s="323"/>
    </row>
    <row r="180" spans="2:15">
      <c r="B180" s="205" t="str">
        <f ca="1"/>
        <v>BUFFALO CITY SD</v>
      </c>
      <c r="C180" s="207">
        <f>IF(COUNTIF(CONTROL!$B$52:$B$101,'Funding by District'!D76)&gt;=1,"",ROW()-104)</f>
        <v>76</v>
      </c>
      <c r="F180" s="48"/>
      <c r="G180" s="48"/>
      <c r="N180" s="323"/>
      <c r="O180" s="323"/>
    </row>
    <row r="181" spans="2:15">
      <c r="B181" s="205" t="str">
        <f ca="1"/>
        <v>BURNT HILLS-BALLSTON LAKE CSD</v>
      </c>
      <c r="C181" s="207">
        <f>IF(COUNTIF(CONTROL!$B$52:$B$101,'Funding by District'!D77)&gt;=1,"",ROW()-104)</f>
        <v>77</v>
      </c>
      <c r="F181" s="48"/>
      <c r="G181" s="48"/>
      <c r="N181" s="323"/>
      <c r="O181" s="323"/>
    </row>
    <row r="182" spans="2:15">
      <c r="B182" s="205" t="str">
        <f ca="1"/>
        <v>BYRAM HILLS CSD</v>
      </c>
      <c r="C182" s="207">
        <f>IF(COUNTIF(CONTROL!$B$52:$B$101,'Funding by District'!D78)&gt;=1,"",ROW()-104)</f>
        <v>78</v>
      </c>
      <c r="F182" s="48"/>
      <c r="G182" s="48"/>
      <c r="N182" s="323"/>
      <c r="O182" s="323"/>
    </row>
    <row r="183" spans="2:15">
      <c r="B183" s="205" t="str">
        <f ca="1"/>
        <v>BYRON-BERGEN CSD</v>
      </c>
      <c r="C183" s="207">
        <f>IF(COUNTIF(CONTROL!$B$52:$B$101,'Funding by District'!D79)&gt;=1,"",ROW()-104)</f>
        <v>79</v>
      </c>
      <c r="F183" s="48"/>
      <c r="G183" s="48"/>
      <c r="N183" s="323"/>
      <c r="O183" s="323"/>
    </row>
    <row r="184" spans="2:15">
      <c r="B184" s="205" t="str">
        <f ca="1"/>
        <v>CAIRO-DURHAM CSD</v>
      </c>
      <c r="C184" s="207">
        <f>IF(COUNTIF(CONTROL!$B$52:$B$101,'Funding by District'!D80)&gt;=1,"",ROW()-104)</f>
        <v>80</v>
      </c>
      <c r="F184" s="48"/>
      <c r="G184" s="48"/>
      <c r="N184" s="323"/>
      <c r="O184" s="323"/>
    </row>
    <row r="185" spans="2:15">
      <c r="B185" s="205" t="str">
        <f ca="1"/>
        <v>CALEDONIA-MUMFORD CSD</v>
      </c>
      <c r="C185" s="207">
        <f>IF(COUNTIF(CONTROL!$B$52:$B$101,'Funding by District'!D81)&gt;=1,"",ROW()-104)</f>
        <v>81</v>
      </c>
      <c r="F185" s="48"/>
      <c r="G185" s="48"/>
      <c r="N185" s="323"/>
      <c r="O185" s="323"/>
    </row>
    <row r="186" spans="2:15">
      <c r="B186" s="205" t="str">
        <f ca="1"/>
        <v>CAMBRIDGE CSD</v>
      </c>
      <c r="C186" s="207">
        <f>IF(COUNTIF(CONTROL!$B$52:$B$101,'Funding by District'!D82)&gt;=1,"",ROW()-104)</f>
        <v>82</v>
      </c>
      <c r="F186" s="48"/>
      <c r="G186" s="48"/>
      <c r="N186" s="323"/>
      <c r="O186" s="323"/>
    </row>
    <row r="187" spans="2:15">
      <c r="B187" s="205" t="str">
        <f ca="1"/>
        <v>CAMDEN CSD</v>
      </c>
      <c r="C187" s="207">
        <f>IF(COUNTIF(CONTROL!$B$52:$B$101,'Funding by District'!D83)&gt;=1,"",ROW()-104)</f>
        <v>83</v>
      </c>
      <c r="F187" s="48"/>
      <c r="G187" s="48"/>
      <c r="N187" s="323"/>
      <c r="O187" s="323"/>
    </row>
    <row r="188" spans="2:15">
      <c r="B188" s="205" t="str">
        <f ca="1"/>
        <v>CAMPBELL-SAVONA CSD</v>
      </c>
      <c r="C188" s="207">
        <f>IF(COUNTIF(CONTROL!$B$52:$B$101,'Funding by District'!D84)&gt;=1,"",ROW()-104)</f>
        <v>84</v>
      </c>
      <c r="F188" s="48"/>
      <c r="G188" s="48"/>
      <c r="N188" s="323"/>
      <c r="O188" s="323"/>
    </row>
    <row r="189" spans="2:15">
      <c r="B189" s="205" t="str">
        <f ca="1"/>
        <v>CANAJOHARIE CSD</v>
      </c>
      <c r="C189" s="207">
        <f>IF(COUNTIF(CONTROL!$B$52:$B$101,'Funding by District'!D85)&gt;=1,"",ROW()-104)</f>
        <v>85</v>
      </c>
      <c r="F189" s="48"/>
      <c r="G189" s="48"/>
      <c r="N189" s="323"/>
      <c r="O189" s="323"/>
    </row>
    <row r="190" spans="2:15">
      <c r="B190" s="205" t="str">
        <f ca="1"/>
        <v>CANANDAIGUA CITY SD</v>
      </c>
      <c r="C190" s="207">
        <f>IF(COUNTIF(CONTROL!$B$52:$B$101,'Funding by District'!D86)&gt;=1,"",ROW()-104)</f>
        <v>86</v>
      </c>
      <c r="F190" s="48"/>
      <c r="G190" s="48"/>
      <c r="N190" s="323"/>
      <c r="O190" s="323"/>
    </row>
    <row r="191" spans="2:15">
      <c r="B191" s="205" t="str">
        <f ca="1"/>
        <v>CANASERAGA CSD</v>
      </c>
      <c r="C191" s="207">
        <f>IF(COUNTIF(CONTROL!$B$52:$B$101,'Funding by District'!D87)&gt;=1,"",ROW()-104)</f>
        <v>87</v>
      </c>
      <c r="F191" s="48"/>
      <c r="G191" s="48"/>
      <c r="N191" s="323"/>
      <c r="O191" s="323"/>
    </row>
    <row r="192" spans="2:15">
      <c r="B192" s="205" t="str">
        <f ca="1"/>
        <v>CANASTOTA CSD</v>
      </c>
      <c r="C192" s="207">
        <f>IF(COUNTIF(CONTROL!$B$52:$B$101,'Funding by District'!D88)&gt;=1,"",ROW()-104)</f>
        <v>88</v>
      </c>
      <c r="F192" s="48"/>
      <c r="G192" s="48"/>
      <c r="N192" s="323"/>
      <c r="O192" s="323"/>
    </row>
    <row r="193" spans="2:15">
      <c r="B193" s="205" t="str">
        <f ca="1"/>
        <v>CANDOR CSD</v>
      </c>
      <c r="C193" s="207">
        <f>IF(COUNTIF(CONTROL!$B$52:$B$101,'Funding by District'!D89)&gt;=1,"",ROW()-104)</f>
        <v>89</v>
      </c>
      <c r="F193" s="48"/>
      <c r="G193" s="48"/>
      <c r="N193" s="323"/>
      <c r="O193" s="323"/>
    </row>
    <row r="194" spans="2:15">
      <c r="B194" s="205" t="str">
        <f ca="1"/>
        <v>CANISTEO-GREENWOOD CSD</v>
      </c>
      <c r="C194" s="207">
        <f>IF(COUNTIF(CONTROL!$B$52:$B$101,'Funding by District'!D90)&gt;=1,"",ROW()-104)</f>
        <v>90</v>
      </c>
      <c r="F194" s="48"/>
      <c r="G194" s="48"/>
      <c r="N194" s="323"/>
      <c r="O194" s="323"/>
    </row>
    <row r="195" spans="2:15">
      <c r="B195" s="205" t="str">
        <f ca="1"/>
        <v>CANTON CSD</v>
      </c>
      <c r="C195" s="207">
        <f>IF(COUNTIF(CONTROL!$B$52:$B$101,'Funding by District'!D91)&gt;=1,"",ROW()-104)</f>
        <v>91</v>
      </c>
      <c r="F195" s="48"/>
      <c r="G195" s="48"/>
      <c r="N195" s="323"/>
      <c r="O195" s="323"/>
    </row>
    <row r="196" spans="2:15">
      <c r="B196" s="205" t="str">
        <f ca="1"/>
        <v>CARLE PLACE UFSD</v>
      </c>
      <c r="C196" s="207">
        <f>IF(COUNTIF(CONTROL!$B$52:$B$101,'Funding by District'!D92)&gt;=1,"",ROW()-104)</f>
        <v>92</v>
      </c>
      <c r="F196" s="48"/>
      <c r="G196" s="48"/>
      <c r="N196" s="323"/>
      <c r="O196" s="323"/>
    </row>
    <row r="197" spans="2:15">
      <c r="B197" s="205" t="str">
        <f ca="1"/>
        <v>CARMEL CSD</v>
      </c>
      <c r="C197" s="207">
        <f>IF(COUNTIF(CONTROL!$B$52:$B$101,'Funding by District'!D93)&gt;=1,"",ROW()-104)</f>
        <v>93</v>
      </c>
      <c r="F197" s="48"/>
      <c r="G197" s="48"/>
      <c r="N197" s="323"/>
      <c r="O197" s="323"/>
    </row>
    <row r="198" spans="2:15">
      <c r="B198" s="205" t="str">
        <f ca="1"/>
        <v>CARTHAGE CSD</v>
      </c>
      <c r="C198" s="207">
        <f>IF(COUNTIF(CONTROL!$B$52:$B$101,'Funding by District'!D94)&gt;=1,"",ROW()-104)</f>
        <v>94</v>
      </c>
      <c r="F198" s="48"/>
      <c r="G198" s="48"/>
      <c r="N198" s="323"/>
      <c r="O198" s="323"/>
    </row>
    <row r="199" spans="2:15">
      <c r="B199" s="205" t="str">
        <f ca="1"/>
        <v>CASSADAGA VALLEY CSD</v>
      </c>
      <c r="C199" s="207">
        <f>IF(COUNTIF(CONTROL!$B$52:$B$101,'Funding by District'!D95)&gt;=1,"",ROW()-104)</f>
        <v>95</v>
      </c>
      <c r="F199" s="48"/>
      <c r="G199" s="48"/>
      <c r="N199" s="323"/>
      <c r="O199" s="323"/>
    </row>
    <row r="200" spans="2:15">
      <c r="B200" s="205" t="str">
        <f ca="1"/>
        <v>CATO-MERIDIAN CSD</v>
      </c>
      <c r="C200" s="207">
        <f>IF(COUNTIF(CONTROL!$B$52:$B$101,'Funding by District'!D96)&gt;=1,"",ROW()-104)</f>
        <v>96</v>
      </c>
      <c r="F200" s="48"/>
      <c r="G200" s="48"/>
      <c r="N200" s="323"/>
      <c r="O200" s="323"/>
    </row>
    <row r="201" spans="2:15">
      <c r="B201" s="205" t="str">
        <f ca="1"/>
        <v>CATSKILL CSD</v>
      </c>
      <c r="C201" s="207">
        <f>IF(COUNTIF(CONTROL!$B$52:$B$101,'Funding by District'!D97)&gt;=1,"",ROW()-104)</f>
        <v>97</v>
      </c>
      <c r="F201" s="48"/>
      <c r="G201" s="48"/>
      <c r="N201" s="323"/>
      <c r="O201" s="323"/>
    </row>
    <row r="202" spans="2:15">
      <c r="B202" s="205" t="str">
        <f ca="1"/>
        <v>CATTARAUGUS-LITTLE VALLEY CSD</v>
      </c>
      <c r="C202" s="207">
        <f>IF(COUNTIF(CONTROL!$B$52:$B$101,'Funding by District'!D98)&gt;=1,"",ROW()-104)</f>
        <v>98</v>
      </c>
      <c r="F202" s="48"/>
      <c r="G202" s="48"/>
      <c r="N202" s="323"/>
      <c r="O202" s="323"/>
    </row>
    <row r="203" spans="2:15">
      <c r="B203" s="205" t="str">
        <f ca="1"/>
        <v>CAZENOVIA CSD</v>
      </c>
      <c r="C203" s="207">
        <f>IF(COUNTIF(CONTROL!$B$52:$B$101,'Funding by District'!D99)&gt;=1,"",ROW()-104)</f>
        <v>99</v>
      </c>
      <c r="F203" s="48"/>
      <c r="G203" s="48"/>
      <c r="N203" s="323"/>
      <c r="O203" s="323"/>
    </row>
    <row r="204" spans="2:15">
      <c r="B204" s="205" t="str">
        <f ca="1"/>
        <v>CENTER MORICHES UFSD</v>
      </c>
      <c r="C204" s="207">
        <f>IF(COUNTIF(CONTROL!$B$52:$B$101,'Funding by District'!D100)&gt;=1,"",ROW()-104)</f>
        <v>100</v>
      </c>
      <c r="F204" s="48"/>
      <c r="G204" s="48"/>
      <c r="N204" s="323"/>
      <c r="O204" s="323"/>
    </row>
    <row r="205" spans="2:15">
      <c r="B205" s="205" t="str">
        <f ca="1"/>
        <v>CENTRAL ISLIP UFSD</v>
      </c>
      <c r="C205" s="207">
        <f>IF(COUNTIF(CONTROL!$B$52:$B$101,'Funding by District'!D101)&gt;=1,"",ROW()-104)</f>
        <v>101</v>
      </c>
      <c r="F205" s="48"/>
      <c r="G205" s="48"/>
      <c r="N205" s="323"/>
      <c r="O205" s="323"/>
    </row>
    <row r="206" spans="2:15">
      <c r="B206" s="205" t="str">
        <f ca="1"/>
        <v>CENTRAL SQUARE CSD</v>
      </c>
      <c r="C206" s="207">
        <f>IF(COUNTIF(CONTROL!$B$52:$B$101,'Funding by District'!D102)&gt;=1,"",ROW()-104)</f>
        <v>102</v>
      </c>
      <c r="F206" s="48"/>
      <c r="G206" s="48"/>
      <c r="N206" s="323"/>
      <c r="O206" s="323"/>
    </row>
    <row r="207" spans="2:15">
      <c r="B207" s="205" t="str">
        <f ca="1"/>
        <v>CENTRAL VALLEY CSD AT ILION-MOHAWK</v>
      </c>
      <c r="C207" s="207">
        <f>IF(COUNTIF(CONTROL!$B$52:$B$101,'Funding by District'!D103)&gt;=1,"",ROW()-104)</f>
        <v>103</v>
      </c>
      <c r="F207" s="48"/>
      <c r="G207" s="48"/>
      <c r="N207" s="323"/>
      <c r="O207" s="323"/>
    </row>
    <row r="208" spans="2:15">
      <c r="B208" s="205" t="str">
        <f ca="1"/>
        <v>CHAPPAQUA CSD</v>
      </c>
      <c r="C208" s="207">
        <f>IF(COUNTIF(CONTROL!$B$52:$B$101,'Funding by District'!D104)&gt;=1,"",ROW()-104)</f>
        <v>104</v>
      </c>
      <c r="F208" s="48"/>
      <c r="G208" s="48"/>
      <c r="N208" s="323"/>
      <c r="O208" s="323"/>
    </row>
    <row r="209" spans="2:15">
      <c r="B209" s="205" t="str">
        <f ca="1"/>
        <v>CHARLOTTE VALLEY CSD</v>
      </c>
      <c r="C209" s="207">
        <f>IF(COUNTIF(CONTROL!$B$52:$B$101,'Funding by District'!D105)&gt;=1,"",ROW()-104)</f>
        <v>105</v>
      </c>
      <c r="F209" s="48"/>
      <c r="G209" s="48"/>
      <c r="N209" s="323"/>
      <c r="O209" s="323"/>
    </row>
    <row r="210" spans="2:15">
      <c r="B210" s="205" t="str">
        <f ca="1"/>
        <v>CHATEAUGAY CSD</v>
      </c>
      <c r="C210" s="207">
        <f>IF(COUNTIF(CONTROL!$B$52:$B$101,'Funding by District'!D106)&gt;=1,"",ROW()-104)</f>
        <v>106</v>
      </c>
      <c r="F210" s="48"/>
      <c r="G210" s="48"/>
      <c r="N210" s="323"/>
      <c r="O210" s="323"/>
    </row>
    <row r="211" spans="2:15">
      <c r="B211" s="205" t="str">
        <f ca="1"/>
        <v>CHATHAM CSD</v>
      </c>
      <c r="C211" s="207">
        <f>IF(COUNTIF(CONTROL!$B$52:$B$101,'Funding by District'!D107)&gt;=1,"",ROW()-104)</f>
        <v>107</v>
      </c>
      <c r="F211" s="48"/>
      <c r="G211" s="48"/>
      <c r="N211" s="323"/>
      <c r="O211" s="323"/>
    </row>
    <row r="212" spans="2:15">
      <c r="B212" s="205" t="str">
        <f ca="1"/>
        <v>CHAUTAUQUA LAKE CSD</v>
      </c>
      <c r="C212" s="207">
        <f>IF(COUNTIF(CONTROL!$B$52:$B$101,'Funding by District'!D108)&gt;=1,"",ROW()-104)</f>
        <v>108</v>
      </c>
      <c r="F212" s="48"/>
      <c r="G212" s="48"/>
      <c r="N212" s="323"/>
      <c r="O212" s="323"/>
    </row>
    <row r="213" spans="2:15">
      <c r="B213" s="205" t="str">
        <f ca="1"/>
        <v>CHAZY UFSD</v>
      </c>
      <c r="C213" s="207">
        <f>IF(COUNTIF(CONTROL!$B$52:$B$101,'Funding by District'!D109)&gt;=1,"",ROW()-104)</f>
        <v>109</v>
      </c>
      <c r="F213" s="48"/>
      <c r="G213" s="48"/>
      <c r="N213" s="323"/>
      <c r="O213" s="323"/>
    </row>
    <row r="214" spans="2:15">
      <c r="B214" s="205" t="str">
        <f ca="1"/>
        <v>CHEEKTOWAGA CSD</v>
      </c>
      <c r="C214" s="207">
        <f>IF(COUNTIF(CONTROL!$B$52:$B$101,'Funding by District'!D110)&gt;=1,"",ROW()-104)</f>
        <v>110</v>
      </c>
      <c r="F214" s="48"/>
      <c r="G214" s="48"/>
      <c r="N214" s="323"/>
      <c r="O214" s="323"/>
    </row>
    <row r="215" spans="2:15">
      <c r="B215" s="205" t="str">
        <f ca="1"/>
        <v>CHEEKTOWAGA-MARYVALE UFSD</v>
      </c>
      <c r="C215" s="207">
        <f>IF(COUNTIF(CONTROL!$B$52:$B$101,'Funding by District'!D111)&gt;=1,"",ROW()-104)</f>
        <v>111</v>
      </c>
      <c r="F215" s="48"/>
      <c r="G215" s="48"/>
      <c r="N215" s="323"/>
      <c r="O215" s="323"/>
    </row>
    <row r="216" spans="2:15">
      <c r="B216" s="205" t="str">
        <f ca="1"/>
        <v>CHEEKTOWAGA-SLOAN UFSD</v>
      </c>
      <c r="C216" s="207">
        <f>IF(COUNTIF(CONTROL!$B$52:$B$101,'Funding by District'!D112)&gt;=1,"",ROW()-104)</f>
        <v>112</v>
      </c>
      <c r="F216" s="48"/>
      <c r="G216" s="48"/>
      <c r="N216" s="323"/>
      <c r="O216" s="323"/>
    </row>
    <row r="217" spans="2:15">
      <c r="B217" s="205" t="str">
        <f ca="1"/>
        <v>CHENANGO FORKS CSD</v>
      </c>
      <c r="C217" s="207">
        <f>IF(COUNTIF(CONTROL!$B$52:$B$101,'Funding by District'!D113)&gt;=1,"",ROW()-104)</f>
        <v>113</v>
      </c>
      <c r="F217" s="48"/>
      <c r="G217" s="48"/>
      <c r="N217" s="323"/>
      <c r="O217" s="323"/>
    </row>
    <row r="218" spans="2:15">
      <c r="B218" s="205" t="str">
        <f ca="1"/>
        <v>CHENANGO VALLEY CSD</v>
      </c>
      <c r="C218" s="207">
        <f>IF(COUNTIF(CONTROL!$B$52:$B$101,'Funding by District'!D114)&gt;=1,"",ROW()-104)</f>
        <v>114</v>
      </c>
      <c r="F218" s="48"/>
      <c r="G218" s="48"/>
      <c r="N218" s="323"/>
      <c r="O218" s="323"/>
    </row>
    <row r="219" spans="2:15">
      <c r="B219" s="205" t="str">
        <f ca="1"/>
        <v>CHERRY VALLEY-SPRINGFIELD CSD</v>
      </c>
      <c r="C219" s="207">
        <f>IF(COUNTIF(CONTROL!$B$52:$B$101,'Funding by District'!D115)&gt;=1,"",ROW()-104)</f>
        <v>115</v>
      </c>
      <c r="F219" s="48"/>
      <c r="G219" s="48"/>
      <c r="N219" s="323"/>
      <c r="O219" s="323"/>
    </row>
    <row r="220" spans="2:15">
      <c r="B220" s="205" t="str">
        <f ca="1"/>
        <v>CHESTER UFSD</v>
      </c>
      <c r="C220" s="207">
        <f>IF(COUNTIF(CONTROL!$B$52:$B$101,'Funding by District'!D116)&gt;=1,"",ROW()-104)</f>
        <v>116</v>
      </c>
      <c r="F220" s="48"/>
      <c r="G220" s="48"/>
      <c r="N220" s="323"/>
      <c r="O220" s="323"/>
    </row>
    <row r="221" spans="2:15">
      <c r="B221" s="205" t="str">
        <f ca="1"/>
        <v>CHITTENANGO CSD</v>
      </c>
      <c r="C221" s="207">
        <f>IF(COUNTIF(CONTROL!$B$52:$B$101,'Funding by District'!D117)&gt;=1,"",ROW()-104)</f>
        <v>117</v>
      </c>
      <c r="F221" s="48"/>
      <c r="G221" s="48"/>
      <c r="N221" s="323"/>
      <c r="O221" s="323"/>
    </row>
    <row r="222" spans="2:15">
      <c r="B222" s="205" t="str">
        <f ca="1"/>
        <v>CHURCHVILLE-CHILI CSD</v>
      </c>
      <c r="C222" s="207">
        <f>IF(COUNTIF(CONTROL!$B$52:$B$101,'Funding by District'!D118)&gt;=1,"",ROW()-104)</f>
        <v>118</v>
      </c>
      <c r="F222" s="48"/>
      <c r="G222" s="48"/>
      <c r="N222" s="323"/>
      <c r="O222" s="323"/>
    </row>
    <row r="223" spans="2:15">
      <c r="B223" s="205" t="str">
        <f ca="1"/>
        <v>CINCINNATUS CSD</v>
      </c>
      <c r="C223" s="207">
        <f>IF(COUNTIF(CONTROL!$B$52:$B$101,'Funding by District'!D119)&gt;=1,"",ROW()-104)</f>
        <v>119</v>
      </c>
      <c r="F223" s="48"/>
      <c r="G223" s="48"/>
      <c r="N223" s="323"/>
      <c r="O223" s="323"/>
    </row>
    <row r="224" spans="2:15">
      <c r="B224" s="205" t="str">
        <f ca="1"/>
        <v>CLARENCE CSD</v>
      </c>
      <c r="C224" s="207">
        <f>IF(COUNTIF(CONTROL!$B$52:$B$101,'Funding by District'!D120)&gt;=1,"",ROW()-104)</f>
        <v>120</v>
      </c>
      <c r="F224" s="48"/>
      <c r="G224" s="48"/>
      <c r="N224" s="323"/>
      <c r="O224" s="323"/>
    </row>
    <row r="225" spans="2:15">
      <c r="B225" s="205" t="str">
        <f ca="1"/>
        <v>CLARKSTOWN CSD</v>
      </c>
      <c r="C225" s="207">
        <f>IF(COUNTIF(CONTROL!$B$52:$B$101,'Funding by District'!D121)&gt;=1,"",ROW()-104)</f>
        <v>121</v>
      </c>
      <c r="F225" s="48"/>
      <c r="G225" s="48"/>
      <c r="N225" s="323"/>
      <c r="O225" s="323"/>
    </row>
    <row r="226" spans="2:15">
      <c r="B226" s="205" t="str">
        <f ca="1"/>
        <v>CLEVELAND HILL UFSD</v>
      </c>
      <c r="C226" s="207">
        <f>IF(COUNTIF(CONTROL!$B$52:$B$101,'Funding by District'!D122)&gt;=1,"",ROW()-104)</f>
        <v>122</v>
      </c>
      <c r="F226" s="48"/>
      <c r="G226" s="48"/>
      <c r="N226" s="323"/>
      <c r="O226" s="323"/>
    </row>
    <row r="227" spans="2:15">
      <c r="B227" s="205" t="str">
        <f ca="1"/>
        <v>CLIFTON-FINE CSD</v>
      </c>
      <c r="C227" s="207">
        <f>IF(COUNTIF(CONTROL!$B$52:$B$101,'Funding by District'!D123)&gt;=1,"",ROW()-104)</f>
        <v>123</v>
      </c>
      <c r="F227" s="48"/>
      <c r="G227" s="48"/>
      <c r="N227" s="323"/>
      <c r="O227" s="323"/>
    </row>
    <row r="228" spans="2:15">
      <c r="B228" s="205" t="str">
        <f ca="1"/>
        <v>CLINTON CSD</v>
      </c>
      <c r="C228" s="207">
        <f>IF(COUNTIF(CONTROL!$B$52:$B$101,'Funding by District'!D124)&gt;=1,"",ROW()-104)</f>
        <v>124</v>
      </c>
      <c r="F228" s="48"/>
      <c r="G228" s="48"/>
      <c r="N228" s="323"/>
      <c r="O228" s="323"/>
    </row>
    <row r="229" spans="2:15">
      <c r="B229" s="205" t="str">
        <f ca="1"/>
        <v>CLYDE-SAVANNAH CSD</v>
      </c>
      <c r="C229" s="207">
        <f>IF(COUNTIF(CONTROL!$B$52:$B$101,'Funding by District'!D125)&gt;=1,"",ROW()-104)</f>
        <v>125</v>
      </c>
      <c r="F229" s="48"/>
      <c r="G229" s="48"/>
      <c r="N229" s="323"/>
      <c r="O229" s="323"/>
    </row>
    <row r="230" spans="2:15">
      <c r="B230" s="205" t="str">
        <f ca="1"/>
        <v>CLYMER CSD</v>
      </c>
      <c r="C230" s="207">
        <f>IF(COUNTIF(CONTROL!$B$52:$B$101,'Funding by District'!D126)&gt;=1,"",ROW()-104)</f>
        <v>126</v>
      </c>
      <c r="F230" s="48"/>
      <c r="G230" s="48"/>
      <c r="N230" s="323"/>
      <c r="O230" s="323"/>
    </row>
    <row r="231" spans="2:15">
      <c r="B231" s="205" t="str">
        <f ca="1"/>
        <v>COBLESKILL-RICHMONDVILLE CSD</v>
      </c>
      <c r="C231" s="207">
        <f>IF(COUNTIF(CONTROL!$B$52:$B$101,'Funding by District'!D127)&gt;=1,"",ROW()-104)</f>
        <v>127</v>
      </c>
      <c r="F231" s="48"/>
      <c r="G231" s="48"/>
      <c r="N231" s="323"/>
      <c r="O231" s="323"/>
    </row>
    <row r="232" spans="2:15">
      <c r="B232" s="205" t="str">
        <f ca="1"/>
        <v>COHOES CITY SD</v>
      </c>
      <c r="C232" s="207">
        <f>IF(COUNTIF(CONTROL!$B$52:$B$101,'Funding by District'!D128)&gt;=1,"",ROW()-104)</f>
        <v>128</v>
      </c>
      <c r="F232" s="48"/>
      <c r="G232" s="48"/>
      <c r="N232" s="323"/>
      <c r="O232" s="323"/>
    </row>
    <row r="233" spans="2:15">
      <c r="B233" s="205" t="str">
        <f ca="1"/>
        <v>COLD SPRING HARBOR CSD</v>
      </c>
      <c r="C233" s="207">
        <f>IF(COUNTIF(CONTROL!$B$52:$B$101,'Funding by District'!D129)&gt;=1,"",ROW()-104)</f>
        <v>129</v>
      </c>
      <c r="F233" s="48"/>
      <c r="G233" s="48"/>
      <c r="N233" s="323"/>
      <c r="O233" s="323"/>
    </row>
    <row r="234" spans="2:15">
      <c r="B234" s="205" t="str">
        <f ca="1"/>
        <v>COLTON-PIERREPONT CSD</v>
      </c>
      <c r="C234" s="207">
        <f>IF(COUNTIF(CONTROL!$B$52:$B$101,'Funding by District'!D130)&gt;=1,"",ROW()-104)</f>
        <v>130</v>
      </c>
      <c r="F234" s="48"/>
      <c r="G234" s="48"/>
      <c r="N234" s="323"/>
      <c r="O234" s="323"/>
    </row>
    <row r="235" spans="2:15">
      <c r="B235" s="205" t="str">
        <f ca="1"/>
        <v>COMMACK UFSD</v>
      </c>
      <c r="C235" s="207">
        <f>IF(COUNTIF(CONTROL!$B$52:$B$101,'Funding by District'!D131)&gt;=1,"",ROW()-104)</f>
        <v>131</v>
      </c>
      <c r="F235" s="48"/>
      <c r="G235" s="48"/>
      <c r="N235" s="323"/>
      <c r="O235" s="323"/>
    </row>
    <row r="236" spans="2:15">
      <c r="B236" s="205" t="str">
        <f ca="1"/>
        <v>CONNETQUOT CSD</v>
      </c>
      <c r="C236" s="207">
        <f>IF(COUNTIF(CONTROL!$B$52:$B$101,'Funding by District'!D132)&gt;=1,"",ROW()-104)</f>
        <v>132</v>
      </c>
      <c r="F236" s="48"/>
      <c r="G236" s="48"/>
      <c r="N236" s="323"/>
      <c r="O236" s="323"/>
    </row>
    <row r="237" spans="2:15">
      <c r="B237" s="205" t="str">
        <f ca="1"/>
        <v>COOPERSTOWN CSD</v>
      </c>
      <c r="C237" s="207">
        <f>IF(COUNTIF(CONTROL!$B$52:$B$101,'Funding by District'!D133)&gt;=1,"",ROW()-104)</f>
        <v>133</v>
      </c>
      <c r="F237" s="48"/>
      <c r="G237" s="48"/>
      <c r="N237" s="323"/>
      <c r="O237" s="323"/>
    </row>
    <row r="238" spans="2:15">
      <c r="B238" s="205" t="str">
        <f ca="1"/>
        <v>COPENHAGEN CSD</v>
      </c>
      <c r="C238" s="207">
        <f>IF(COUNTIF(CONTROL!$B$52:$B$101,'Funding by District'!D134)&gt;=1,"",ROW()-104)</f>
        <v>134</v>
      </c>
      <c r="F238" s="48"/>
      <c r="G238" s="48"/>
      <c r="N238" s="323"/>
      <c r="O238" s="323"/>
    </row>
    <row r="239" spans="2:15">
      <c r="B239" s="205" t="str">
        <f ca="1"/>
        <v>COPIAGUE UFSD</v>
      </c>
      <c r="C239" s="207">
        <f>IF(COUNTIF(CONTROL!$B$52:$B$101,'Funding by District'!D135)&gt;=1,"",ROW()-104)</f>
        <v>135</v>
      </c>
      <c r="F239" s="48"/>
      <c r="G239" s="48"/>
      <c r="N239" s="323"/>
      <c r="O239" s="323"/>
    </row>
    <row r="240" spans="2:15">
      <c r="B240" s="205" t="str">
        <f ca="1"/>
        <v>CORINTH CSD</v>
      </c>
      <c r="C240" s="207">
        <f>IF(COUNTIF(CONTROL!$B$52:$B$101,'Funding by District'!D136)&gt;=1,"",ROW()-104)</f>
        <v>136</v>
      </c>
      <c r="F240" s="48"/>
      <c r="G240" s="48"/>
      <c r="N240" s="323"/>
      <c r="O240" s="323"/>
    </row>
    <row r="241" spans="2:15">
      <c r="B241" s="205" t="str">
        <f ca="1"/>
        <v>CORNING CITY SD</v>
      </c>
      <c r="C241" s="207">
        <f>IF(COUNTIF(CONTROL!$B$52:$B$101,'Funding by District'!D137)&gt;=1,"",ROW()-104)</f>
        <v>137</v>
      </c>
      <c r="F241" s="48"/>
      <c r="G241" s="48"/>
      <c r="N241" s="323"/>
      <c r="O241" s="323"/>
    </row>
    <row r="242" spans="2:15">
      <c r="B242" s="205" t="str">
        <f ca="1"/>
        <v>CORNWALL CSD</v>
      </c>
      <c r="C242" s="207">
        <f>IF(COUNTIF(CONTROL!$B$52:$B$101,'Funding by District'!D138)&gt;=1,"",ROW()-104)</f>
        <v>138</v>
      </c>
      <c r="F242" s="48"/>
      <c r="G242" s="48"/>
      <c r="N242" s="323"/>
      <c r="O242" s="323"/>
    </row>
    <row r="243" spans="2:15">
      <c r="B243" s="205" t="str">
        <f ca="1"/>
        <v>CORTLAND CITY SD</v>
      </c>
      <c r="C243" s="207">
        <f>IF(COUNTIF(CONTROL!$B$52:$B$101,'Funding by District'!D139)&gt;=1,"",ROW()-104)</f>
        <v>139</v>
      </c>
      <c r="F243" s="48"/>
      <c r="G243" s="48"/>
      <c r="N243" s="323"/>
      <c r="O243" s="323"/>
    </row>
    <row r="244" spans="2:15">
      <c r="B244" s="205" t="str">
        <f ca="1"/>
        <v>COXSACKIE-ATHENS CSD</v>
      </c>
      <c r="C244" s="207">
        <f>IF(COUNTIF(CONTROL!$B$52:$B$101,'Funding by District'!D140)&gt;=1,"",ROW()-104)</f>
        <v>140</v>
      </c>
      <c r="F244" s="48"/>
      <c r="G244" s="48"/>
      <c r="N244" s="323"/>
      <c r="O244" s="323"/>
    </row>
    <row r="245" spans="2:15">
      <c r="B245" s="205" t="str">
        <f ca="1"/>
        <v>CROTON-HARMON UFSD</v>
      </c>
      <c r="C245" s="207">
        <f>IF(COUNTIF(CONTROL!$B$52:$B$101,'Funding by District'!D141)&gt;=1,"",ROW()-104)</f>
        <v>141</v>
      </c>
      <c r="F245" s="48"/>
      <c r="G245" s="48"/>
      <c r="N245" s="323"/>
      <c r="O245" s="323"/>
    </row>
    <row r="246" spans="2:15">
      <c r="B246" s="205" t="str">
        <f ca="1"/>
        <v>CROWN POINT CSD</v>
      </c>
      <c r="C246" s="207">
        <f>IF(COUNTIF(CONTROL!$B$52:$B$101,'Funding by District'!D142)&gt;=1,"",ROW()-104)</f>
        <v>142</v>
      </c>
      <c r="F246" s="48"/>
      <c r="G246" s="48"/>
      <c r="N246" s="323"/>
      <c r="O246" s="323"/>
    </row>
    <row r="247" spans="2:15">
      <c r="B247" s="205" t="str">
        <f ca="1"/>
        <v>CUBA-RUSHFORD CSD</v>
      </c>
      <c r="C247" s="207">
        <f>IF(COUNTIF(CONTROL!$B$52:$B$101,'Funding by District'!D143)&gt;=1,"",ROW()-104)</f>
        <v>143</v>
      </c>
      <c r="F247" s="48"/>
      <c r="G247" s="48"/>
      <c r="N247" s="323"/>
      <c r="O247" s="323"/>
    </row>
    <row r="248" spans="2:15">
      <c r="B248" s="205" t="str">
        <f ca="1"/>
        <v>DALTON-NUNDA CSD (KESHEQUA)</v>
      </c>
      <c r="C248" s="207">
        <f>IF(COUNTIF(CONTROL!$B$52:$B$101,'Funding by District'!D144)&gt;=1,"",ROW()-104)</f>
        <v>144</v>
      </c>
      <c r="F248" s="48"/>
      <c r="G248" s="48"/>
      <c r="N248" s="323"/>
      <c r="O248" s="323"/>
    </row>
    <row r="249" spans="2:15">
      <c r="B249" s="205" t="str">
        <f ca="1"/>
        <v>DANSVILLE CSD</v>
      </c>
      <c r="C249" s="207">
        <f>IF(COUNTIF(CONTROL!$B$52:$B$101,'Funding by District'!D145)&gt;=1,"",ROW()-104)</f>
        <v>145</v>
      </c>
      <c r="F249" s="48"/>
      <c r="G249" s="48"/>
      <c r="N249" s="323"/>
      <c r="O249" s="323"/>
    </row>
    <row r="250" spans="2:15">
      <c r="B250" s="205" t="str">
        <f ca="1"/>
        <v>DEER PARK UFSD</v>
      </c>
      <c r="C250" s="207">
        <f>IF(COUNTIF(CONTROL!$B$52:$B$101,'Funding by District'!D146)&gt;=1,"",ROW()-104)</f>
        <v>146</v>
      </c>
      <c r="F250" s="48"/>
      <c r="G250" s="48"/>
      <c r="N250" s="323"/>
      <c r="O250" s="323"/>
    </row>
    <row r="251" spans="2:15">
      <c r="B251" s="205" t="str">
        <f ca="1"/>
        <v>DELAWARE ACADEMY CSD AT DELHI</v>
      </c>
      <c r="C251" s="207">
        <f>IF(COUNTIF(CONTROL!$B$52:$B$101,'Funding by District'!D147)&gt;=1,"",ROW()-104)</f>
        <v>147</v>
      </c>
      <c r="F251" s="48"/>
      <c r="G251" s="48"/>
      <c r="N251" s="323"/>
      <c r="O251" s="323"/>
    </row>
    <row r="252" spans="2:15">
      <c r="B252" s="205" t="str">
        <f ca="1"/>
        <v>DEPEW UFSD</v>
      </c>
      <c r="C252" s="207">
        <f>IF(COUNTIF(CONTROL!$B$52:$B$101,'Funding by District'!D148)&gt;=1,"",ROW()-104)</f>
        <v>148</v>
      </c>
      <c r="F252" s="48"/>
      <c r="G252" s="48"/>
      <c r="N252" s="323"/>
      <c r="O252" s="323"/>
    </row>
    <row r="253" spans="2:15">
      <c r="B253" s="205" t="str">
        <f ca="1"/>
        <v>DEPOSIT CSD</v>
      </c>
      <c r="C253" s="207">
        <f>IF(COUNTIF(CONTROL!$B$52:$B$101,'Funding by District'!D149)&gt;=1,"",ROW()-104)</f>
        <v>149</v>
      </c>
      <c r="F253" s="48"/>
      <c r="G253" s="48"/>
      <c r="N253" s="323"/>
      <c r="O253" s="323"/>
    </row>
    <row r="254" spans="2:15">
      <c r="B254" s="205" t="str">
        <f ca="1"/>
        <v>DERUYTER CSD</v>
      </c>
      <c r="C254" s="207">
        <f>IF(COUNTIF(CONTROL!$B$52:$B$101,'Funding by District'!D150)&gt;=1,"",ROW()-104)</f>
        <v>150</v>
      </c>
      <c r="F254" s="48"/>
      <c r="G254" s="48"/>
      <c r="N254" s="323"/>
      <c r="O254" s="323"/>
    </row>
    <row r="255" spans="2:15">
      <c r="B255" s="205" t="str">
        <f ca="1"/>
        <v>DOBBS FERRY UFSD</v>
      </c>
      <c r="C255" s="207">
        <f>IF(COUNTIF(CONTROL!$B$52:$B$101,'Funding by District'!D151)&gt;=1,"",ROW()-104)</f>
        <v>151</v>
      </c>
      <c r="F255" s="48"/>
      <c r="G255" s="48"/>
      <c r="N255" s="323"/>
      <c r="O255" s="323"/>
    </row>
    <row r="256" spans="2:15">
      <c r="B256" s="205" t="str">
        <f ca="1"/>
        <v>DOLGEVILLE CSD</v>
      </c>
      <c r="C256" s="207">
        <f>IF(COUNTIF(CONTROL!$B$52:$B$101,'Funding by District'!D152)&gt;=1,"",ROW()-104)</f>
        <v>152</v>
      </c>
      <c r="F256" s="48"/>
      <c r="G256" s="48"/>
      <c r="N256" s="323"/>
      <c r="O256" s="323"/>
    </row>
    <row r="257" spans="2:15">
      <c r="B257" s="205" t="str">
        <f ca="1"/>
        <v>DOVER UFSD</v>
      </c>
      <c r="C257" s="207">
        <f>IF(COUNTIF(CONTROL!$B$52:$B$101,'Funding by District'!D153)&gt;=1,"",ROW()-104)</f>
        <v>153</v>
      </c>
      <c r="F257" s="48"/>
      <c r="G257" s="48"/>
      <c r="N257" s="323"/>
      <c r="O257" s="323"/>
    </row>
    <row r="258" spans="2:15">
      <c r="B258" s="205" t="str">
        <f ca="1"/>
        <v>DOWNSVILLE CSD</v>
      </c>
      <c r="C258" s="207">
        <f>IF(COUNTIF(CONTROL!$B$52:$B$101,'Funding by District'!D154)&gt;=1,"",ROW()-104)</f>
        <v>154</v>
      </c>
      <c r="F258" s="48"/>
      <c r="G258" s="48"/>
      <c r="N258" s="323"/>
      <c r="O258" s="323"/>
    </row>
    <row r="259" spans="2:15">
      <c r="B259" s="205" t="str">
        <f ca="1"/>
        <v>DRYDEN CSD</v>
      </c>
      <c r="C259" s="207">
        <f>IF(COUNTIF(CONTROL!$B$52:$B$101,'Funding by District'!D155)&gt;=1,"",ROW()-104)</f>
        <v>155</v>
      </c>
      <c r="F259" s="48"/>
      <c r="G259" s="48"/>
      <c r="N259" s="323"/>
      <c r="O259" s="323"/>
    </row>
    <row r="260" spans="2:15">
      <c r="B260" s="205" t="str">
        <f ca="1"/>
        <v>DUANESBURG CSD</v>
      </c>
      <c r="C260" s="207">
        <f>IF(COUNTIF(CONTROL!$B$52:$B$101,'Funding by District'!D156)&gt;=1,"",ROW()-104)</f>
        <v>156</v>
      </c>
      <c r="F260" s="48"/>
      <c r="G260" s="48"/>
      <c r="N260" s="323"/>
      <c r="O260" s="323"/>
    </row>
    <row r="261" spans="2:15">
      <c r="B261" s="205" t="str">
        <f ca="1"/>
        <v>DUNDEE CSD</v>
      </c>
      <c r="C261" s="207">
        <f>IF(COUNTIF(CONTROL!$B$52:$B$101,'Funding by District'!D157)&gt;=1,"",ROW()-104)</f>
        <v>157</v>
      </c>
      <c r="F261" s="48"/>
      <c r="G261" s="48"/>
      <c r="N261" s="323"/>
      <c r="O261" s="323"/>
    </row>
    <row r="262" spans="2:15">
      <c r="B262" s="205" t="str">
        <f ca="1"/>
        <v>DUNKIRK CITY SD</v>
      </c>
      <c r="C262" s="207">
        <f>IF(COUNTIF(CONTROL!$B$52:$B$101,'Funding by District'!D158)&gt;=1,"",ROW()-104)</f>
        <v>158</v>
      </c>
      <c r="F262" s="48"/>
      <c r="G262" s="48"/>
      <c r="N262" s="323"/>
      <c r="O262" s="323"/>
    </row>
    <row r="263" spans="2:15">
      <c r="B263" s="205" t="str">
        <f ca="1"/>
        <v>EAST AURORA UFSD</v>
      </c>
      <c r="C263" s="207">
        <f>IF(COUNTIF(CONTROL!$B$52:$B$101,'Funding by District'!D159)&gt;=1,"",ROW()-104)</f>
        <v>159</v>
      </c>
      <c r="F263" s="48"/>
      <c r="G263" s="48"/>
      <c r="N263" s="323"/>
      <c r="O263" s="323"/>
    </row>
    <row r="264" spans="2:15">
      <c r="B264" s="205" t="str">
        <f ca="1"/>
        <v>EAST BLOOMFIELD CSD</v>
      </c>
      <c r="C264" s="207">
        <f>IF(COUNTIF(CONTROL!$B$52:$B$101,'Funding by District'!D160)&gt;=1,"",ROW()-104)</f>
        <v>160</v>
      </c>
      <c r="F264" s="48"/>
      <c r="G264" s="48"/>
      <c r="N264" s="323"/>
      <c r="O264" s="323"/>
    </row>
    <row r="265" spans="2:15">
      <c r="B265" s="205" t="str">
        <f ca="1"/>
        <v>EAST GREENBUSH CSD</v>
      </c>
      <c r="C265" s="207">
        <f>IF(COUNTIF(CONTROL!$B$52:$B$101,'Funding by District'!D161)&gt;=1,"",ROW()-104)</f>
        <v>161</v>
      </c>
      <c r="F265" s="48"/>
      <c r="G265" s="48"/>
      <c r="N265" s="323"/>
      <c r="O265" s="323"/>
    </row>
    <row r="266" spans="2:15">
      <c r="B266" s="205" t="str">
        <f ca="1"/>
        <v>EAST HAMPTON UFSD</v>
      </c>
      <c r="C266" s="207">
        <f>IF(COUNTIF(CONTROL!$B$52:$B$101,'Funding by District'!D162)&gt;=1,"",ROW()-104)</f>
        <v>162</v>
      </c>
      <c r="F266" s="48"/>
      <c r="G266" s="48"/>
      <c r="N266" s="323"/>
      <c r="O266" s="323"/>
    </row>
    <row r="267" spans="2:15">
      <c r="B267" s="205" t="str">
        <f ca="1"/>
        <v>EAST IRONDEQUOIT CSD</v>
      </c>
      <c r="C267" s="207">
        <f>IF(COUNTIF(CONTROL!$B$52:$B$101,'Funding by District'!D163)&gt;=1,"",ROW()-104)</f>
        <v>163</v>
      </c>
      <c r="F267" s="48"/>
      <c r="G267" s="48"/>
      <c r="N267" s="323"/>
      <c r="O267" s="323"/>
    </row>
    <row r="268" spans="2:15">
      <c r="B268" s="205" t="str">
        <f ca="1"/>
        <v>EAST ISLIP UFSD</v>
      </c>
      <c r="C268" s="207">
        <f>IF(COUNTIF(CONTROL!$B$52:$B$101,'Funding by District'!D164)&gt;=1,"",ROW()-104)</f>
        <v>164</v>
      </c>
      <c r="F268" s="48"/>
      <c r="G268" s="48"/>
      <c r="N268" s="323"/>
      <c r="O268" s="323"/>
    </row>
    <row r="269" spans="2:15">
      <c r="B269" s="205" t="str">
        <f ca="1"/>
        <v>EAST MEADOW UFSD</v>
      </c>
      <c r="C269" s="207">
        <f>IF(COUNTIF(CONTROL!$B$52:$B$101,'Funding by District'!D165)&gt;=1,"",ROW()-104)</f>
        <v>165</v>
      </c>
      <c r="F269" s="48"/>
      <c r="G269" s="48"/>
      <c r="N269" s="323"/>
      <c r="O269" s="323"/>
    </row>
    <row r="270" spans="2:15">
      <c r="B270" s="205" t="str">
        <f ca="1"/>
        <v>EAST MORICHES UFSD</v>
      </c>
      <c r="C270" s="207">
        <f>IF(COUNTIF(CONTROL!$B$52:$B$101,'Funding by District'!D166)&gt;=1,"",ROW()-104)</f>
        <v>166</v>
      </c>
      <c r="F270" s="48"/>
      <c r="G270" s="48"/>
      <c r="N270" s="323"/>
      <c r="O270" s="323"/>
    </row>
    <row r="271" spans="2:15">
      <c r="B271" s="205" t="str">
        <f ca="1"/>
        <v>EAST QUOGUE UFSD</v>
      </c>
      <c r="C271" s="207">
        <f>IF(COUNTIF(CONTROL!$B$52:$B$101,'Funding by District'!D167)&gt;=1,"",ROW()-104)</f>
        <v>167</v>
      </c>
      <c r="F271" s="48"/>
      <c r="G271" s="48"/>
      <c r="N271" s="323"/>
      <c r="O271" s="323"/>
    </row>
    <row r="272" spans="2:15">
      <c r="B272" s="205" t="str">
        <f ca="1"/>
        <v>EAST RAMAPO CSD (SPRING VALLEY)</v>
      </c>
      <c r="C272" s="207">
        <f>IF(COUNTIF(CONTROL!$B$52:$B$101,'Funding by District'!D168)&gt;=1,"",ROW()-104)</f>
        <v>168</v>
      </c>
      <c r="F272" s="48"/>
      <c r="G272" s="48"/>
      <c r="N272" s="323"/>
      <c r="O272" s="323"/>
    </row>
    <row r="273" spans="2:15">
      <c r="B273" s="205" t="str">
        <f ca="1"/>
        <v>EAST ROCHESTER UFSD</v>
      </c>
      <c r="C273" s="207">
        <f>IF(COUNTIF(CONTROL!$B$52:$B$101,'Funding by District'!D169)&gt;=1,"",ROW()-104)</f>
        <v>169</v>
      </c>
      <c r="F273" s="48"/>
      <c r="G273" s="48"/>
      <c r="N273" s="323"/>
      <c r="O273" s="323"/>
    </row>
    <row r="274" spans="2:15">
      <c r="B274" s="205" t="str">
        <f ca="1"/>
        <v>EAST ROCKAWAY UFSD</v>
      </c>
      <c r="C274" s="207">
        <f>IF(COUNTIF(CONTROL!$B$52:$B$101,'Funding by District'!D170)&gt;=1,"",ROW()-104)</f>
        <v>170</v>
      </c>
      <c r="F274" s="48"/>
      <c r="G274" s="48"/>
      <c r="N274" s="323"/>
      <c r="O274" s="323"/>
    </row>
    <row r="275" spans="2:15">
      <c r="B275" s="205" t="str">
        <f ca="1"/>
        <v>EAST SYRACUSE-MINOA CSD</v>
      </c>
      <c r="C275" s="207">
        <f>IF(COUNTIF(CONTROL!$B$52:$B$101,'Funding by District'!D171)&gt;=1,"",ROW()-104)</f>
        <v>171</v>
      </c>
      <c r="F275" s="48"/>
      <c r="G275" s="48"/>
      <c r="N275" s="323"/>
      <c r="O275" s="323"/>
    </row>
    <row r="276" spans="2:15">
      <c r="B276" s="205" t="str">
        <f ca="1"/>
        <v>EAST WILLISTON UFSD</v>
      </c>
      <c r="C276" s="207">
        <f>IF(COUNTIF(CONTROL!$B$52:$B$101,'Funding by District'!D172)&gt;=1,"",ROW()-104)</f>
        <v>172</v>
      </c>
      <c r="F276" s="48"/>
      <c r="G276" s="48"/>
      <c r="N276" s="323"/>
      <c r="O276" s="323"/>
    </row>
    <row r="277" spans="2:15">
      <c r="B277" s="205" t="str">
        <f ca="1"/>
        <v>EASTCHESTER UFSD</v>
      </c>
      <c r="C277" s="207">
        <f>IF(COUNTIF(CONTROL!$B$52:$B$101,'Funding by District'!D173)&gt;=1,"",ROW()-104)</f>
        <v>173</v>
      </c>
      <c r="F277" s="48"/>
      <c r="G277" s="48"/>
      <c r="N277" s="323"/>
      <c r="O277" s="323"/>
    </row>
    <row r="278" spans="2:15">
      <c r="B278" s="205" t="str">
        <f ca="1"/>
        <v>EASTPORT-SOUTH MANOR CSD</v>
      </c>
      <c r="C278" s="207">
        <f>IF(COUNTIF(CONTROL!$B$52:$B$101,'Funding by District'!D174)&gt;=1,"",ROW()-104)</f>
        <v>174</v>
      </c>
      <c r="F278" s="48"/>
      <c r="G278" s="48"/>
      <c r="N278" s="323"/>
      <c r="O278" s="323"/>
    </row>
    <row r="279" spans="2:15">
      <c r="B279" s="205" t="str">
        <f ca="1"/>
        <v>EDEN CSD</v>
      </c>
      <c r="C279" s="207">
        <f>IF(COUNTIF(CONTROL!$B$52:$B$101,'Funding by District'!D175)&gt;=1,"",ROW()-104)</f>
        <v>175</v>
      </c>
      <c r="F279" s="48"/>
      <c r="G279" s="48"/>
      <c r="N279" s="323"/>
      <c r="O279" s="323"/>
    </row>
    <row r="280" spans="2:15">
      <c r="B280" s="205" t="str">
        <f ca="1"/>
        <v>EDGEMONT UFSD</v>
      </c>
      <c r="C280" s="207">
        <f>IF(COUNTIF(CONTROL!$B$52:$B$101,'Funding by District'!D176)&gt;=1,"",ROW()-104)</f>
        <v>176</v>
      </c>
      <c r="F280" s="48"/>
      <c r="G280" s="48"/>
      <c r="N280" s="323"/>
      <c r="O280" s="323"/>
    </row>
    <row r="281" spans="2:15">
      <c r="B281" s="205" t="str">
        <f ca="1"/>
        <v>EDINBURG COMMON SD</v>
      </c>
      <c r="C281" s="207">
        <f>IF(COUNTIF(CONTROL!$B$52:$B$101,'Funding by District'!D177)&gt;=1,"",ROW()-104)</f>
        <v>177</v>
      </c>
      <c r="F281" s="48"/>
      <c r="G281" s="48"/>
      <c r="N281" s="323"/>
      <c r="O281" s="323"/>
    </row>
    <row r="282" spans="2:15">
      <c r="B282" s="205" t="str">
        <f ca="1"/>
        <v>EDMESTON CSD</v>
      </c>
      <c r="C282" s="207">
        <f>IF(COUNTIF(CONTROL!$B$52:$B$101,'Funding by District'!D178)&gt;=1,"",ROW()-104)</f>
        <v>178</v>
      </c>
      <c r="F282" s="48"/>
      <c r="G282" s="48"/>
      <c r="N282" s="323"/>
      <c r="O282" s="323"/>
    </row>
    <row r="283" spans="2:15">
      <c r="B283" s="205" t="str">
        <f ca="1"/>
        <v>EDWARDS-KNOX CSD</v>
      </c>
      <c r="C283" s="207">
        <f>IF(COUNTIF(CONTROL!$B$52:$B$101,'Funding by District'!D179)&gt;=1,"",ROW()-104)</f>
        <v>179</v>
      </c>
      <c r="F283" s="48"/>
      <c r="G283" s="48"/>
      <c r="N283" s="323"/>
      <c r="O283" s="323"/>
    </row>
    <row r="284" spans="2:15">
      <c r="B284" s="205" t="str">
        <f ca="1"/>
        <v>ELBA CSD</v>
      </c>
      <c r="C284" s="207">
        <f>IF(COUNTIF(CONTROL!$B$52:$B$101,'Funding by District'!D180)&gt;=1,"",ROW()-104)</f>
        <v>180</v>
      </c>
      <c r="F284" s="48"/>
      <c r="G284" s="48"/>
      <c r="N284" s="323"/>
      <c r="O284" s="323"/>
    </row>
    <row r="285" spans="2:15">
      <c r="B285" s="205" t="str">
        <f ca="1"/>
        <v>ELDRED CSD</v>
      </c>
      <c r="C285" s="207">
        <f>IF(COUNTIF(CONTROL!$B$52:$B$101,'Funding by District'!D181)&gt;=1,"",ROW()-104)</f>
        <v>181</v>
      </c>
      <c r="F285" s="48"/>
      <c r="G285" s="48"/>
      <c r="N285" s="323"/>
      <c r="O285" s="323"/>
    </row>
    <row r="286" spans="2:15">
      <c r="B286" s="205" t="str">
        <f ca="1"/>
        <v>ELIZABETHTOWN-LEWIS CSD</v>
      </c>
      <c r="C286" s="207">
        <f>IF(COUNTIF(CONTROL!$B$52:$B$101,'Funding by District'!D182)&gt;=1,"",ROW()-104)</f>
        <v>182</v>
      </c>
      <c r="F286" s="48"/>
      <c r="G286" s="48"/>
      <c r="N286" s="323"/>
      <c r="O286" s="323"/>
    </row>
    <row r="287" spans="2:15">
      <c r="B287" s="205" t="str">
        <f ca="1"/>
        <v>ELLENVILLE CSD</v>
      </c>
      <c r="C287" s="207">
        <f>IF(COUNTIF(CONTROL!$B$52:$B$101,'Funding by District'!D183)&gt;=1,"",ROW()-104)</f>
        <v>183</v>
      </c>
      <c r="F287" s="48"/>
      <c r="G287" s="48"/>
      <c r="N287" s="323"/>
      <c r="O287" s="323"/>
    </row>
    <row r="288" spans="2:15">
      <c r="B288" s="205" t="str">
        <f ca="1"/>
        <v>ELLICOTTVILLE CSD</v>
      </c>
      <c r="C288" s="207">
        <f>IF(COUNTIF(CONTROL!$B$52:$B$101,'Funding by District'!D184)&gt;=1,"",ROW()-104)</f>
        <v>184</v>
      </c>
      <c r="F288" s="48"/>
      <c r="G288" s="48"/>
      <c r="N288" s="323"/>
      <c r="O288" s="323"/>
    </row>
    <row r="289" spans="2:15">
      <c r="B289" s="205" t="str">
        <f ca="1"/>
        <v>ELMIRA CITY SD</v>
      </c>
      <c r="C289" s="207">
        <f>IF(COUNTIF(CONTROL!$B$52:$B$101,'Funding by District'!D185)&gt;=1,"",ROW()-104)</f>
        <v>185</v>
      </c>
      <c r="F289" s="48"/>
      <c r="G289" s="48"/>
      <c r="N289" s="323"/>
      <c r="O289" s="323"/>
    </row>
    <row r="290" spans="2:15">
      <c r="B290" s="205" t="str">
        <f ca="1"/>
        <v>ELMIRA HEIGHTS CSD</v>
      </c>
      <c r="C290" s="207">
        <f>IF(COUNTIF(CONTROL!$B$52:$B$101,'Funding by District'!D186)&gt;=1,"",ROW()-104)</f>
        <v>186</v>
      </c>
      <c r="F290" s="48"/>
      <c r="G290" s="48"/>
      <c r="N290" s="323"/>
      <c r="O290" s="323"/>
    </row>
    <row r="291" spans="2:15">
      <c r="B291" s="205" t="str">
        <f ca="1"/>
        <v>ELMONT UFSD</v>
      </c>
      <c r="C291" s="207">
        <f>IF(COUNTIF(CONTROL!$B$52:$B$101,'Funding by District'!D187)&gt;=1,"",ROW()-104)</f>
        <v>187</v>
      </c>
      <c r="F291" s="48"/>
      <c r="G291" s="48"/>
      <c r="N291" s="323"/>
      <c r="O291" s="323"/>
    </row>
    <row r="292" spans="2:15">
      <c r="B292" s="205" t="str">
        <f ca="1"/>
        <v>ELMSFORD UFSD</v>
      </c>
      <c r="C292" s="207">
        <f>IF(COUNTIF(CONTROL!$B$52:$B$101,'Funding by District'!D188)&gt;=1,"",ROW()-104)</f>
        <v>188</v>
      </c>
      <c r="F292" s="48"/>
      <c r="G292" s="48"/>
      <c r="N292" s="323"/>
      <c r="O292" s="323"/>
    </row>
    <row r="293" spans="2:15">
      <c r="B293" s="205" t="str">
        <f ca="1"/>
        <v>ELWOOD UFSD</v>
      </c>
      <c r="C293" s="207">
        <f>IF(COUNTIF(CONTROL!$B$52:$B$101,'Funding by District'!D189)&gt;=1,"",ROW()-104)</f>
        <v>189</v>
      </c>
      <c r="F293" s="48"/>
      <c r="G293" s="48"/>
      <c r="N293" s="323"/>
      <c r="O293" s="323"/>
    </row>
    <row r="294" spans="2:15">
      <c r="B294" s="205" t="str">
        <f ca="1"/>
        <v>EVANS-BRANT CSD (LAKE SHORE)</v>
      </c>
      <c r="C294" s="207">
        <f>IF(COUNTIF(CONTROL!$B$52:$B$101,'Funding by District'!D190)&gt;=1,"",ROW()-104)</f>
        <v>190</v>
      </c>
      <c r="F294" s="48"/>
      <c r="G294" s="48"/>
      <c r="N294" s="323"/>
      <c r="O294" s="323"/>
    </row>
    <row r="295" spans="2:15">
      <c r="B295" s="205" t="str">
        <f ca="1"/>
        <v>FABIUS-POMPEY CSD</v>
      </c>
      <c r="C295" s="207">
        <f>IF(COUNTIF(CONTROL!$B$52:$B$101,'Funding by District'!D191)&gt;=1,"",ROW()-104)</f>
        <v>191</v>
      </c>
      <c r="F295" s="48"/>
      <c r="G295" s="48"/>
      <c r="N295" s="323"/>
      <c r="O295" s="323"/>
    </row>
    <row r="296" spans="2:15">
      <c r="B296" s="205" t="str">
        <f ca="1"/>
        <v>FAIRPORT CSD</v>
      </c>
      <c r="C296" s="207">
        <f>IF(COUNTIF(CONTROL!$B$52:$B$101,'Funding by District'!D192)&gt;=1,"",ROW()-104)</f>
        <v>192</v>
      </c>
      <c r="F296" s="48"/>
      <c r="G296" s="48"/>
      <c r="N296" s="323"/>
      <c r="O296" s="323"/>
    </row>
    <row r="297" spans="2:15">
      <c r="B297" s="205" t="str">
        <f ca="1"/>
        <v>FALCONER CSD</v>
      </c>
      <c r="C297" s="207">
        <f>IF(COUNTIF(CONTROL!$B$52:$B$101,'Funding by District'!D193)&gt;=1,"",ROW()-104)</f>
        <v>193</v>
      </c>
      <c r="F297" s="48"/>
      <c r="G297" s="48"/>
      <c r="N297" s="323"/>
      <c r="O297" s="323"/>
    </row>
    <row r="298" spans="2:15">
      <c r="B298" s="205" t="str">
        <f ca="1"/>
        <v>FALLSBURG CSD</v>
      </c>
      <c r="C298" s="207">
        <f>IF(COUNTIF(CONTROL!$B$52:$B$101,'Funding by District'!D194)&gt;=1,"",ROW()-104)</f>
        <v>194</v>
      </c>
      <c r="F298" s="48"/>
      <c r="G298" s="48"/>
      <c r="N298" s="323"/>
      <c r="O298" s="323"/>
    </row>
    <row r="299" spans="2:15">
      <c r="B299" s="205" t="str">
        <f ca="1"/>
        <v>FARMINGDALE UFSD</v>
      </c>
      <c r="C299" s="207">
        <f>IF(COUNTIF(CONTROL!$B$52:$B$101,'Funding by District'!D195)&gt;=1,"",ROW()-104)</f>
        <v>195</v>
      </c>
      <c r="F299" s="48"/>
      <c r="G299" s="48"/>
      <c r="N299" s="323"/>
      <c r="O299" s="323"/>
    </row>
    <row r="300" spans="2:15">
      <c r="B300" s="205" t="str">
        <f ca="1"/>
        <v>FAYETTEVILLE-MANLIUS CSD</v>
      </c>
      <c r="C300" s="207">
        <f>IF(COUNTIF(CONTROL!$B$52:$B$101,'Funding by District'!D196)&gt;=1,"",ROW()-104)</f>
        <v>196</v>
      </c>
      <c r="F300" s="48"/>
      <c r="G300" s="48"/>
      <c r="N300" s="323"/>
      <c r="O300" s="323"/>
    </row>
    <row r="301" spans="2:15">
      <c r="B301" s="205" t="str">
        <f ca="1"/>
        <v>FILLMORE CSD</v>
      </c>
      <c r="C301" s="207">
        <f>IF(COUNTIF(CONTROL!$B$52:$B$101,'Funding by District'!D197)&gt;=1,"",ROW()-104)</f>
        <v>197</v>
      </c>
      <c r="F301" s="48"/>
      <c r="G301" s="48"/>
      <c r="N301" s="323"/>
      <c r="O301" s="323"/>
    </row>
    <row r="302" spans="2:15">
      <c r="B302" s="205" t="str">
        <f ca="1"/>
        <v>FIRE ISLAND UFSD</v>
      </c>
      <c r="C302" s="207">
        <f>IF(COUNTIF(CONTROL!$B$52:$B$101,'Funding by District'!D198)&gt;=1,"",ROW()-104)</f>
        <v>198</v>
      </c>
      <c r="F302" s="48"/>
      <c r="G302" s="48"/>
      <c r="N302" s="323"/>
      <c r="O302" s="323"/>
    </row>
    <row r="303" spans="2:15">
      <c r="B303" s="205" t="str">
        <f ca="1"/>
        <v>FISHERS ISLAND UFSD</v>
      </c>
      <c r="C303" s="207">
        <f>IF(COUNTIF(CONTROL!$B$52:$B$101,'Funding by District'!D199)&gt;=1,"",ROW()-104)</f>
        <v>199</v>
      </c>
      <c r="G303" s="48"/>
      <c r="N303" s="323"/>
      <c r="O303" s="323"/>
    </row>
    <row r="304" spans="2:15">
      <c r="B304" s="205" t="str">
        <f ca="1"/>
        <v>FLORAL PARK-BELLEROSE UFSD</v>
      </c>
      <c r="C304" s="207">
        <f>IF(COUNTIF(CONTROL!$B$52:$B$101,'Funding by District'!D200)&gt;=1,"",ROW()-104)</f>
        <v>200</v>
      </c>
      <c r="G304" s="48"/>
      <c r="N304" s="323"/>
      <c r="O304" s="323"/>
    </row>
    <row r="305" spans="2:15">
      <c r="B305" s="205" t="str">
        <f ca="1"/>
        <v>FLORIDA UFSD</v>
      </c>
      <c r="C305" s="207">
        <f>IF(COUNTIF(CONTROL!$B$52:$B$101,'Funding by District'!D201)&gt;=1,"",ROW()-104)</f>
        <v>201</v>
      </c>
      <c r="G305" s="48"/>
      <c r="N305" s="323"/>
      <c r="O305" s="323"/>
    </row>
    <row r="306" spans="2:15">
      <c r="B306" s="205" t="str">
        <f ca="1"/>
        <v>FONDA-FULTONVILLE CSD</v>
      </c>
      <c r="C306" s="207">
        <f>IF(COUNTIF(CONTROL!$B$52:$B$101,'Funding by District'!D202)&gt;=1,"",ROW()-104)</f>
        <v>202</v>
      </c>
      <c r="G306" s="48"/>
      <c r="N306" s="323"/>
      <c r="O306" s="323"/>
    </row>
    <row r="307" spans="2:15">
      <c r="B307" s="205" t="str">
        <f ca="1"/>
        <v>FORESTVILLE CSD</v>
      </c>
      <c r="C307" s="207">
        <f>IF(COUNTIF(CONTROL!$B$52:$B$101,'Funding by District'!D203)&gt;=1,"",ROW()-104)</f>
        <v>203</v>
      </c>
      <c r="G307" s="48"/>
      <c r="N307" s="323"/>
      <c r="O307" s="323"/>
    </row>
    <row r="308" spans="2:15">
      <c r="B308" s="205" t="str">
        <f ca="1"/>
        <v>FORT ANN CSD</v>
      </c>
      <c r="C308" s="207">
        <f>IF(COUNTIF(CONTROL!$B$52:$B$101,'Funding by District'!D204)&gt;=1,"",ROW()-104)</f>
        <v>204</v>
      </c>
      <c r="G308" s="48"/>
      <c r="N308" s="323"/>
      <c r="O308" s="323"/>
    </row>
    <row r="309" spans="2:15">
      <c r="B309" s="205" t="str">
        <f ca="1"/>
        <v>FORT EDWARD UFSD</v>
      </c>
      <c r="C309" s="207">
        <f>IF(COUNTIF(CONTROL!$B$52:$B$101,'Funding by District'!D205)&gt;=1,"",ROW()-104)</f>
        <v>205</v>
      </c>
      <c r="G309" s="48"/>
      <c r="N309" s="323"/>
      <c r="O309" s="323"/>
    </row>
    <row r="310" spans="2:15">
      <c r="B310" s="205" t="str">
        <f ca="1"/>
        <v>FORT PLAIN CSD</v>
      </c>
      <c r="C310" s="207">
        <f>IF(COUNTIF(CONTROL!$B$52:$B$101,'Funding by District'!D206)&gt;=1,"",ROW()-104)</f>
        <v>206</v>
      </c>
      <c r="G310" s="48"/>
      <c r="N310" s="323"/>
      <c r="O310" s="323"/>
    </row>
    <row r="311" spans="2:15">
      <c r="B311" s="205" t="str">
        <f ca="1"/>
        <v>FRANKFORT-SCHUYLER CSD</v>
      </c>
      <c r="C311" s="207">
        <f>IF(COUNTIF(CONTROL!$B$52:$B$101,'Funding by District'!D207)&gt;=1,"",ROW()-104)</f>
        <v>207</v>
      </c>
      <c r="G311" s="48"/>
      <c r="N311" s="323"/>
      <c r="O311" s="323"/>
    </row>
    <row r="312" spans="2:15">
      <c r="B312" s="205" t="str">
        <f ca="1"/>
        <v>FRANKLIN CSD</v>
      </c>
      <c r="C312" s="207">
        <f>IF(COUNTIF(CONTROL!$B$52:$B$101,'Funding by District'!D208)&gt;=1,"",ROW()-104)</f>
        <v>208</v>
      </c>
      <c r="G312" s="48"/>
      <c r="N312" s="323"/>
      <c r="O312" s="323"/>
    </row>
    <row r="313" spans="2:15">
      <c r="B313" s="205" t="str">
        <f ca="1"/>
        <v>FRANKLIN SQUARE UFSD</v>
      </c>
      <c r="C313" s="207">
        <f>IF(COUNTIF(CONTROL!$B$52:$B$101,'Funding by District'!D209)&gt;=1,"",ROW()-104)</f>
        <v>209</v>
      </c>
      <c r="G313" s="48"/>
      <c r="N313" s="323"/>
      <c r="O313" s="323"/>
    </row>
    <row r="314" spans="2:15">
      <c r="B314" s="205" t="str">
        <f ca="1"/>
        <v>FRANKLINVILLE CSD</v>
      </c>
      <c r="C314" s="207">
        <f>IF(COUNTIF(CONTROL!$B$52:$B$101,'Funding by District'!D210)&gt;=1,"",ROW()-104)</f>
        <v>210</v>
      </c>
      <c r="G314" s="48"/>
      <c r="N314" s="323"/>
      <c r="O314" s="323"/>
    </row>
    <row r="315" spans="2:15">
      <c r="B315" s="205" t="str">
        <f ca="1"/>
        <v>FREDONIA CSD</v>
      </c>
      <c r="C315" s="207">
        <f>IF(COUNTIF(CONTROL!$B$52:$B$101,'Funding by District'!D211)&gt;=1,"",ROW()-104)</f>
        <v>211</v>
      </c>
      <c r="G315" s="48"/>
      <c r="N315" s="323"/>
      <c r="O315" s="323"/>
    </row>
    <row r="316" spans="2:15">
      <c r="B316" s="205" t="str">
        <f ca="1"/>
        <v>FREEPORT UFSD</v>
      </c>
      <c r="C316" s="207">
        <f>IF(COUNTIF(CONTROL!$B$52:$B$101,'Funding by District'!D212)&gt;=1,"",ROW()-104)</f>
        <v>212</v>
      </c>
      <c r="G316" s="48"/>
      <c r="N316" s="323"/>
      <c r="O316" s="323"/>
    </row>
    <row r="317" spans="2:15">
      <c r="B317" s="205" t="str">
        <f ca="1"/>
        <v>FREWSBURG CSD</v>
      </c>
      <c r="C317" s="207">
        <f>IF(COUNTIF(CONTROL!$B$52:$B$101,'Funding by District'!D213)&gt;=1,"",ROW()-104)</f>
        <v>213</v>
      </c>
      <c r="G317" s="48"/>
      <c r="N317" s="323"/>
      <c r="O317" s="323"/>
    </row>
    <row r="318" spans="2:15">
      <c r="B318" s="205" t="str">
        <f ca="1"/>
        <v>FRIENDSHIP CSD</v>
      </c>
      <c r="C318" s="207">
        <f>IF(COUNTIF(CONTROL!$B$52:$B$101,'Funding by District'!D214)&gt;=1,"",ROW()-104)</f>
        <v>214</v>
      </c>
      <c r="G318" s="48"/>
      <c r="N318" s="323"/>
      <c r="O318" s="323"/>
    </row>
    <row r="319" spans="2:15">
      <c r="B319" s="205" t="str">
        <f ca="1"/>
        <v>FRONTIER CSD</v>
      </c>
      <c r="C319" s="207">
        <f>IF(COUNTIF(CONTROL!$B$52:$B$101,'Funding by District'!D215)&gt;=1,"",ROW()-104)</f>
        <v>215</v>
      </c>
      <c r="G319" s="48"/>
      <c r="N319" s="323"/>
      <c r="O319" s="323"/>
    </row>
    <row r="320" spans="2:15">
      <c r="B320" s="205" t="str">
        <f ca="1"/>
        <v>FULTON CITY SD</v>
      </c>
      <c r="C320" s="207">
        <f>IF(COUNTIF(CONTROL!$B$52:$B$101,'Funding by District'!D216)&gt;=1,"",ROW()-104)</f>
        <v>216</v>
      </c>
      <c r="G320" s="48"/>
      <c r="N320" s="323"/>
      <c r="O320" s="323"/>
    </row>
    <row r="321" spans="2:15">
      <c r="B321" s="205" t="str">
        <f ca="1"/>
        <v>GALWAY CSD</v>
      </c>
      <c r="C321" s="207">
        <f>IF(COUNTIF(CONTROL!$B$52:$B$101,'Funding by District'!D217)&gt;=1,"",ROW()-104)</f>
        <v>217</v>
      </c>
      <c r="G321" s="48"/>
      <c r="N321" s="323"/>
      <c r="O321" s="323"/>
    </row>
    <row r="322" spans="2:15">
      <c r="B322" s="205" t="str">
        <f ca="1"/>
        <v>GANANDA CSD</v>
      </c>
      <c r="C322" s="207">
        <f>IF(COUNTIF(CONTROL!$B$52:$B$101,'Funding by District'!D218)&gt;=1,"",ROW()-104)</f>
        <v>218</v>
      </c>
      <c r="G322" s="48"/>
      <c r="N322" s="323"/>
      <c r="O322" s="323"/>
    </row>
    <row r="323" spans="2:15">
      <c r="B323" s="205" t="str">
        <f ca="1"/>
        <v>GARDEN CITY UFSD</v>
      </c>
      <c r="C323" s="207">
        <f>IF(COUNTIF(CONTROL!$B$52:$B$101,'Funding by District'!D219)&gt;=1,"",ROW()-104)</f>
        <v>219</v>
      </c>
      <c r="G323" s="48"/>
      <c r="N323" s="323"/>
      <c r="O323" s="323"/>
    </row>
    <row r="324" spans="2:15">
      <c r="B324" s="205" t="str">
        <f ca="1"/>
        <v>GARRISON UFSD</v>
      </c>
      <c r="C324" s="207">
        <f>IF(COUNTIF(CONTROL!$B$52:$B$101,'Funding by District'!D220)&gt;=1,"",ROW()-104)</f>
        <v>220</v>
      </c>
      <c r="G324" s="48"/>
      <c r="N324" s="323"/>
      <c r="O324" s="323"/>
    </row>
    <row r="325" spans="2:15">
      <c r="B325" s="205" t="str">
        <f ca="1"/>
        <v>GATES-CHILI CSD</v>
      </c>
      <c r="C325" s="207">
        <f>IF(COUNTIF(CONTROL!$B$52:$B$101,'Funding by District'!D221)&gt;=1,"",ROW()-104)</f>
        <v>221</v>
      </c>
      <c r="G325" s="48"/>
      <c r="N325" s="323"/>
      <c r="O325" s="323"/>
    </row>
    <row r="326" spans="2:15">
      <c r="B326" s="205" t="str">
        <f ca="1"/>
        <v>GENERAL BROWN CSD</v>
      </c>
      <c r="C326" s="207">
        <f>IF(COUNTIF(CONTROL!$B$52:$B$101,'Funding by District'!D222)&gt;=1,"",ROW()-104)</f>
        <v>222</v>
      </c>
      <c r="G326" s="48"/>
      <c r="N326" s="323"/>
      <c r="O326" s="323"/>
    </row>
    <row r="327" spans="2:15">
      <c r="B327" s="205" t="str">
        <f ca="1"/>
        <v>GENESEE VALLEY CSD</v>
      </c>
      <c r="C327" s="207">
        <f>IF(COUNTIF(CONTROL!$B$52:$B$101,'Funding by District'!D223)&gt;=1,"",ROW()-104)</f>
        <v>223</v>
      </c>
      <c r="G327" s="48"/>
      <c r="N327" s="323"/>
      <c r="O327" s="323"/>
    </row>
    <row r="328" spans="2:15">
      <c r="B328" s="205" t="str">
        <f ca="1"/>
        <v>GENESEO CSD</v>
      </c>
      <c r="C328" s="207">
        <f>IF(COUNTIF(CONTROL!$B$52:$B$101,'Funding by District'!D224)&gt;=1,"",ROW()-104)</f>
        <v>224</v>
      </c>
      <c r="G328" s="48"/>
      <c r="N328" s="323"/>
      <c r="O328" s="323"/>
    </row>
    <row r="329" spans="2:15">
      <c r="B329" s="205" t="str">
        <f ca="1"/>
        <v>GENEVA CITY SD</v>
      </c>
      <c r="C329" s="207">
        <f>IF(COUNTIF(CONTROL!$B$52:$B$101,'Funding by District'!D225)&gt;=1,"",ROW()-104)</f>
        <v>225</v>
      </c>
      <c r="G329" s="48"/>
      <c r="N329" s="323"/>
      <c r="O329" s="323"/>
    </row>
    <row r="330" spans="2:15">
      <c r="B330" s="205" t="str">
        <f ca="1"/>
        <v>GEORGETOWN-SOUTH OTSELIC CSD</v>
      </c>
      <c r="C330" s="207">
        <f>IF(COUNTIF(CONTROL!$B$52:$B$101,'Funding by District'!D226)&gt;=1,"",ROW()-104)</f>
        <v>226</v>
      </c>
      <c r="G330" s="48"/>
      <c r="N330" s="323"/>
      <c r="O330" s="323"/>
    </row>
    <row r="331" spans="2:15">
      <c r="B331" s="205" t="str">
        <f ca="1"/>
        <v>GERMANTOWN CSD</v>
      </c>
      <c r="C331" s="207">
        <f>IF(COUNTIF(CONTROL!$B$52:$B$101,'Funding by District'!D227)&gt;=1,"",ROW()-104)</f>
        <v>227</v>
      </c>
      <c r="G331" s="48"/>
      <c r="N331" s="323"/>
      <c r="O331" s="323"/>
    </row>
    <row r="332" spans="2:15">
      <c r="B332" s="205" t="str">
        <f ca="1"/>
        <v>GILBERTSVILLE-MOUNT UPTON CSD</v>
      </c>
      <c r="C332" s="207">
        <f>IF(COUNTIF(CONTROL!$B$52:$B$101,'Funding by District'!D228)&gt;=1,"",ROW()-104)</f>
        <v>228</v>
      </c>
      <c r="G332" s="48"/>
      <c r="N332" s="323"/>
      <c r="O332" s="323"/>
    </row>
    <row r="333" spans="2:15">
      <c r="B333" s="205" t="str">
        <f ca="1"/>
        <v>GILBOA-CONESVILLE CSD</v>
      </c>
      <c r="C333" s="207">
        <f>IF(COUNTIF(CONTROL!$B$52:$B$101,'Funding by District'!D229)&gt;=1,"",ROW()-104)</f>
        <v>229</v>
      </c>
      <c r="G333" s="48"/>
      <c r="N333" s="323"/>
      <c r="O333" s="323"/>
    </row>
    <row r="334" spans="2:15">
      <c r="B334" s="205" t="str">
        <f ca="1"/>
        <v>GLEN COVE CITY SD</v>
      </c>
      <c r="C334" s="207">
        <f>IF(COUNTIF(CONTROL!$B$52:$B$101,'Funding by District'!D230)&gt;=1,"",ROW()-104)</f>
        <v>230</v>
      </c>
      <c r="G334" s="48"/>
      <c r="N334" s="323"/>
      <c r="O334" s="323"/>
    </row>
    <row r="335" spans="2:15">
      <c r="B335" s="205" t="str">
        <f ca="1"/>
        <v>GLENS FALLS CITY SD</v>
      </c>
      <c r="C335" s="207">
        <f>IF(COUNTIF(CONTROL!$B$52:$B$101,'Funding by District'!D231)&gt;=1,"",ROW()-104)</f>
        <v>231</v>
      </c>
      <c r="G335" s="48"/>
      <c r="N335" s="323"/>
      <c r="O335" s="323"/>
    </row>
    <row r="336" spans="2:15">
      <c r="B336" s="205" t="str">
        <f ca="1"/>
        <v>GLENS FALLS COMN SD</v>
      </c>
      <c r="C336" s="207">
        <f>IF(COUNTIF(CONTROL!$B$52:$B$101,'Funding by District'!D232)&gt;=1,"",ROW()-104)</f>
        <v>232</v>
      </c>
      <c r="G336" s="48"/>
      <c r="N336" s="323"/>
      <c r="O336" s="323"/>
    </row>
    <row r="337" spans="2:15">
      <c r="B337" s="205" t="str">
        <f ca="1"/>
        <v>GLOVERSVILLE CITY SD</v>
      </c>
      <c r="C337" s="207">
        <f>IF(COUNTIF(CONTROL!$B$52:$B$101,'Funding by District'!D233)&gt;=1,"",ROW()-104)</f>
        <v>233</v>
      </c>
      <c r="G337" s="48"/>
      <c r="N337" s="323"/>
      <c r="O337" s="323"/>
    </row>
    <row r="338" spans="2:15">
      <c r="B338" s="205" t="str">
        <f ca="1"/>
        <v>GORHAM-MIDDLESEX CSD (MARCUS WHITMAN</v>
      </c>
      <c r="C338" s="207">
        <f>IF(COUNTIF(CONTROL!$B$52:$B$101,'Funding by District'!D234)&gt;=1,"",ROW()-104)</f>
        <v>234</v>
      </c>
      <c r="G338" s="48"/>
      <c r="N338" s="323"/>
      <c r="O338" s="323"/>
    </row>
    <row r="339" spans="2:15">
      <c r="B339" s="205" t="str">
        <f ca="1"/>
        <v>GOSHEN CSD</v>
      </c>
      <c r="C339" s="207">
        <f>IF(COUNTIF(CONTROL!$B$52:$B$101,'Funding by District'!D235)&gt;=1,"",ROW()-104)</f>
        <v>235</v>
      </c>
      <c r="G339" s="48"/>
      <c r="N339" s="323"/>
      <c r="O339" s="323"/>
    </row>
    <row r="340" spans="2:15">
      <c r="B340" s="205" t="str">
        <f ca="1"/>
        <v>GOUVERNEUR CSD</v>
      </c>
      <c r="C340" s="207">
        <f>IF(COUNTIF(CONTROL!$B$52:$B$101,'Funding by District'!D236)&gt;=1,"",ROW()-104)</f>
        <v>236</v>
      </c>
      <c r="G340" s="48"/>
      <c r="N340" s="323"/>
      <c r="O340" s="323"/>
    </row>
    <row r="341" spans="2:15">
      <c r="B341" s="205" t="str">
        <f ca="1"/>
        <v>GOWANDA CSD</v>
      </c>
      <c r="C341" s="207">
        <f>IF(COUNTIF(CONTROL!$B$52:$B$101,'Funding by District'!D237)&gt;=1,"",ROW()-104)</f>
        <v>237</v>
      </c>
      <c r="G341" s="48"/>
      <c r="N341" s="323"/>
      <c r="O341" s="323"/>
    </row>
    <row r="342" spans="2:15">
      <c r="B342" s="205" t="str">
        <f ca="1"/>
        <v>GRAND ISLAND CSD</v>
      </c>
      <c r="C342" s="207">
        <f>IF(COUNTIF(CONTROL!$B$52:$B$101,'Funding by District'!D238)&gt;=1,"",ROW()-104)</f>
        <v>238</v>
      </c>
      <c r="G342" s="48"/>
      <c r="N342" s="323"/>
      <c r="O342" s="323"/>
    </row>
    <row r="343" spans="2:15">
      <c r="B343" s="205" t="str">
        <f ca="1"/>
        <v>GRANVILLE CSD</v>
      </c>
      <c r="C343" s="207">
        <f>IF(COUNTIF(CONTROL!$B$52:$B$101,'Funding by District'!D239)&gt;=1,"",ROW()-104)</f>
        <v>239</v>
      </c>
      <c r="G343" s="48"/>
      <c r="N343" s="323"/>
      <c r="O343" s="323"/>
    </row>
    <row r="344" spans="2:15">
      <c r="B344" s="205" t="str">
        <f ca="1"/>
        <v>GREAT NECK UFSD</v>
      </c>
      <c r="C344" s="207">
        <f>IF(COUNTIF(CONTROL!$B$52:$B$101,'Funding by District'!D240)&gt;=1,"",ROW()-104)</f>
        <v>240</v>
      </c>
      <c r="G344" s="48"/>
      <c r="N344" s="323"/>
      <c r="O344" s="323"/>
    </row>
    <row r="345" spans="2:15">
      <c r="B345" s="205" t="str">
        <f ca="1"/>
        <v>GREECE CSD</v>
      </c>
      <c r="C345" s="207">
        <f>IF(COUNTIF(CONTROL!$B$52:$B$101,'Funding by District'!D241)&gt;=1,"",ROW()-104)</f>
        <v>241</v>
      </c>
      <c r="G345" s="48"/>
      <c r="N345" s="323"/>
      <c r="O345" s="323"/>
    </row>
    <row r="346" spans="2:15">
      <c r="B346" s="205" t="str">
        <f ca="1"/>
        <v>GREEN ISLAND UFSD</v>
      </c>
      <c r="C346" s="207">
        <f>IF(COUNTIF(CONTROL!$B$52:$B$101,'Funding by District'!D242)&gt;=1,"",ROW()-104)</f>
        <v>242</v>
      </c>
      <c r="G346" s="48"/>
      <c r="N346" s="323"/>
      <c r="O346" s="323"/>
    </row>
    <row r="347" spans="2:15">
      <c r="B347" s="205" t="str">
        <f ca="1"/>
        <v>GREENBURGH CSD</v>
      </c>
      <c r="C347" s="207">
        <f>IF(COUNTIF(CONTROL!$B$52:$B$101,'Funding by District'!D243)&gt;=1,"",ROW()-104)</f>
        <v>243</v>
      </c>
      <c r="G347" s="48"/>
      <c r="N347" s="323"/>
      <c r="O347" s="323"/>
    </row>
    <row r="348" spans="2:15">
      <c r="B348" s="205" t="str">
        <f ca="1"/>
        <v>GREENE CSD</v>
      </c>
      <c r="C348" s="207">
        <f>IF(COUNTIF(CONTROL!$B$52:$B$101,'Funding by District'!D244)&gt;=1,"",ROW()-104)</f>
        <v>244</v>
      </c>
      <c r="G348" s="48"/>
      <c r="N348" s="323"/>
      <c r="O348" s="323"/>
    </row>
    <row r="349" spans="2:15">
      <c r="B349" s="205" t="str">
        <f ca="1"/>
        <v>GREENPORT UFSD</v>
      </c>
      <c r="C349" s="207">
        <f>IF(COUNTIF(CONTROL!$B$52:$B$101,'Funding by District'!D245)&gt;=1,"",ROW()-104)</f>
        <v>245</v>
      </c>
      <c r="G349" s="48"/>
      <c r="N349" s="323"/>
      <c r="O349" s="323"/>
    </row>
    <row r="350" spans="2:15">
      <c r="B350" s="205" t="str">
        <f ca="1"/>
        <v>GREENVILLE CSD</v>
      </c>
      <c r="C350" s="207">
        <f>IF(COUNTIF(CONTROL!$B$52:$B$101,'Funding by District'!D246)&gt;=1,"",ROW()-104)</f>
        <v>246</v>
      </c>
      <c r="G350" s="48"/>
      <c r="N350" s="323"/>
      <c r="O350" s="323"/>
    </row>
    <row r="351" spans="2:15">
      <c r="B351" s="205" t="str">
        <f ca="1"/>
        <v>GREENWICH CSD</v>
      </c>
      <c r="C351" s="207">
        <f>IF(COUNTIF(CONTROL!$B$52:$B$101,'Funding by District'!D247)&gt;=1,"",ROW()-104)</f>
        <v>247</v>
      </c>
      <c r="G351" s="48"/>
      <c r="N351" s="323"/>
      <c r="O351" s="323"/>
    </row>
    <row r="352" spans="2:15">
      <c r="B352" s="205" t="str">
        <f ca="1"/>
        <v>GREENWOOD LAKE UFSD</v>
      </c>
      <c r="C352" s="207">
        <f>IF(COUNTIF(CONTROL!$B$52:$B$101,'Funding by District'!D248)&gt;=1,"",ROW()-104)</f>
        <v>248</v>
      </c>
      <c r="G352" s="48"/>
      <c r="N352" s="323"/>
      <c r="O352" s="323"/>
    </row>
    <row r="353" spans="2:15">
      <c r="B353" s="205" t="str">
        <f ca="1"/>
        <v>GROTON CSD</v>
      </c>
      <c r="C353" s="207">
        <f>IF(COUNTIF(CONTROL!$B$52:$B$101,'Funding by District'!D249)&gt;=1,"",ROW()-104)</f>
        <v>249</v>
      </c>
      <c r="G353" s="48"/>
      <c r="N353" s="323"/>
      <c r="O353" s="323"/>
    </row>
    <row r="354" spans="2:15">
      <c r="B354" s="205" t="str">
        <f ca="1"/>
        <v>GUILDERLAND CSD</v>
      </c>
      <c r="C354" s="207">
        <f>IF(COUNTIF(CONTROL!$B$52:$B$101,'Funding by District'!D250)&gt;=1,"",ROW()-104)</f>
        <v>250</v>
      </c>
      <c r="G354" s="48"/>
      <c r="N354" s="323"/>
      <c r="O354" s="323"/>
    </row>
    <row r="355" spans="2:15">
      <c r="B355" s="205" t="str">
        <f ca="1"/>
        <v>HADLEY-LUZERNE CSD</v>
      </c>
      <c r="C355" s="207">
        <f>IF(COUNTIF(CONTROL!$B$52:$B$101,'Funding by District'!D251)&gt;=1,"",ROW()-104)</f>
        <v>251</v>
      </c>
      <c r="G355" s="48"/>
      <c r="N355" s="323"/>
      <c r="O355" s="323"/>
    </row>
    <row r="356" spans="2:15">
      <c r="B356" s="205" t="str">
        <f ca="1"/>
        <v>HALDANE CSD</v>
      </c>
      <c r="C356" s="207">
        <f>IF(COUNTIF(CONTROL!$B$52:$B$101,'Funding by District'!D252)&gt;=1,"",ROW()-104)</f>
        <v>252</v>
      </c>
      <c r="G356" s="48"/>
      <c r="N356" s="323"/>
      <c r="O356" s="323"/>
    </row>
    <row r="357" spans="2:15">
      <c r="B357" s="205" t="str">
        <f ca="1"/>
        <v>HALF HOLLOW HILLS CSD</v>
      </c>
      <c r="C357" s="207">
        <f>IF(COUNTIF(CONTROL!$B$52:$B$101,'Funding by District'!D253)&gt;=1,"",ROW()-104)</f>
        <v>253</v>
      </c>
      <c r="G357" s="48"/>
      <c r="N357" s="323"/>
      <c r="O357" s="323"/>
    </row>
    <row r="358" spans="2:15">
      <c r="B358" s="205" t="str">
        <f ca="1"/>
        <v>HAMBURG CSD</v>
      </c>
      <c r="C358" s="207">
        <f>IF(COUNTIF(CONTROL!$B$52:$B$101,'Funding by District'!D254)&gt;=1,"",ROW()-104)</f>
        <v>254</v>
      </c>
      <c r="G358" s="48"/>
      <c r="N358" s="323"/>
      <c r="O358" s="323"/>
    </row>
    <row r="359" spans="2:15">
      <c r="B359" s="205" t="str">
        <f ca="1"/>
        <v>HAMILTON CSD</v>
      </c>
      <c r="C359" s="207">
        <f>IF(COUNTIF(CONTROL!$B$52:$B$101,'Funding by District'!D255)&gt;=1,"",ROW()-104)</f>
        <v>255</v>
      </c>
      <c r="G359" s="48"/>
      <c r="N359" s="323"/>
      <c r="O359" s="323"/>
    </row>
    <row r="360" spans="2:15">
      <c r="B360" s="205" t="str">
        <f ca="1"/>
        <v>HAMMOND CSD</v>
      </c>
      <c r="C360" s="207">
        <f>IF(COUNTIF(CONTROL!$B$52:$B$101,'Funding by District'!D256)&gt;=1,"",ROW()-104)</f>
        <v>256</v>
      </c>
      <c r="G360" s="48"/>
      <c r="N360" s="323"/>
      <c r="O360" s="323"/>
    </row>
    <row r="361" spans="2:15">
      <c r="B361" s="205" t="str">
        <f ca="1"/>
        <v>HAMMONDSPORT CSD</v>
      </c>
      <c r="C361" s="207">
        <f>IF(COUNTIF(CONTROL!$B$52:$B$101,'Funding by District'!D257)&gt;=1,"",ROW()-104)</f>
        <v>257</v>
      </c>
      <c r="G361" s="48"/>
      <c r="N361" s="323"/>
      <c r="O361" s="323"/>
    </row>
    <row r="362" spans="2:15">
      <c r="B362" s="205" t="str">
        <f ca="1"/>
        <v>HAMPTON BAYS UFSD</v>
      </c>
      <c r="C362" s="207">
        <f>IF(COUNTIF(CONTROL!$B$52:$B$101,'Funding by District'!D258)&gt;=1,"",ROW()-104)</f>
        <v>258</v>
      </c>
      <c r="G362" s="48"/>
      <c r="N362" s="323"/>
      <c r="O362" s="323"/>
    </row>
    <row r="363" spans="2:15">
      <c r="B363" s="205" t="str">
        <f ca="1"/>
        <v>HANCOCK CSD</v>
      </c>
      <c r="C363" s="207">
        <f>IF(COUNTIF(CONTROL!$B$52:$B$101,'Funding by District'!D259)&gt;=1,"",ROW()-104)</f>
        <v>259</v>
      </c>
      <c r="G363" s="48"/>
      <c r="N363" s="323"/>
      <c r="O363" s="323"/>
    </row>
    <row r="364" spans="2:15">
      <c r="B364" s="205" t="str">
        <f ca="1"/>
        <v>HANNIBAL CSD</v>
      </c>
      <c r="C364" s="207">
        <f>IF(COUNTIF(CONTROL!$B$52:$B$101,'Funding by District'!D260)&gt;=1,"",ROW()-104)</f>
        <v>260</v>
      </c>
      <c r="G364" s="48"/>
      <c r="N364" s="323"/>
      <c r="O364" s="323"/>
    </row>
    <row r="365" spans="2:15">
      <c r="B365" s="205" t="str">
        <f ca="1"/>
        <v>HARBORFIELDS CSD</v>
      </c>
      <c r="C365" s="207">
        <f>IF(COUNTIF(CONTROL!$B$52:$B$101,'Funding by District'!D261)&gt;=1,"",ROW()-104)</f>
        <v>261</v>
      </c>
      <c r="G365" s="48"/>
      <c r="N365" s="323"/>
      <c r="O365" s="323"/>
    </row>
    <row r="366" spans="2:15">
      <c r="B366" s="205" t="str">
        <f ca="1"/>
        <v>HARPURSVILLE CSD</v>
      </c>
      <c r="C366" s="207">
        <f>IF(COUNTIF(CONTROL!$B$52:$B$101,'Funding by District'!D262)&gt;=1,"",ROW()-104)</f>
        <v>262</v>
      </c>
      <c r="G366" s="48"/>
      <c r="N366" s="323"/>
      <c r="O366" s="323"/>
    </row>
    <row r="367" spans="2:15">
      <c r="B367" s="205" t="str">
        <f ca="1"/>
        <v>HARRISON CSD</v>
      </c>
      <c r="C367" s="207">
        <f>IF(COUNTIF(CONTROL!$B$52:$B$101,'Funding by District'!D263)&gt;=1,"",ROW()-104)</f>
        <v>263</v>
      </c>
      <c r="G367" s="48"/>
      <c r="N367" s="323"/>
      <c r="O367" s="323"/>
    </row>
    <row r="368" spans="2:15">
      <c r="B368" s="205" t="str">
        <f ca="1"/>
        <v>HARRISVILLE CSD</v>
      </c>
      <c r="C368" s="207">
        <f>IF(COUNTIF(CONTROL!$B$52:$B$101,'Funding by District'!D264)&gt;=1,"",ROW()-104)</f>
        <v>264</v>
      </c>
      <c r="G368" s="48"/>
      <c r="N368" s="323"/>
      <c r="O368" s="323"/>
    </row>
    <row r="369" spans="2:15">
      <c r="B369" s="205" t="str">
        <f ca="1"/>
        <v>HARTFORD CSD</v>
      </c>
      <c r="C369" s="207">
        <f>IF(COUNTIF(CONTROL!$B$52:$B$101,'Funding by District'!D265)&gt;=1,"",ROW()-104)</f>
        <v>265</v>
      </c>
      <c r="G369" s="48"/>
      <c r="N369" s="323"/>
      <c r="O369" s="323"/>
    </row>
    <row r="370" spans="2:15">
      <c r="B370" s="205" t="str">
        <f ca="1"/>
        <v>HASTINGS-ON-HUDSON UFSD</v>
      </c>
      <c r="C370" s="207">
        <f>IF(COUNTIF(CONTROL!$B$52:$B$101,'Funding by District'!D266)&gt;=1,"",ROW()-104)</f>
        <v>266</v>
      </c>
      <c r="G370" s="48"/>
      <c r="N370" s="323"/>
      <c r="O370" s="323"/>
    </row>
    <row r="371" spans="2:15">
      <c r="B371" s="205" t="str">
        <f ca="1"/>
        <v>HAUPPAUGE UFSD</v>
      </c>
      <c r="C371" s="207">
        <f>IF(COUNTIF(CONTROL!$B$52:$B$101,'Funding by District'!D267)&gt;=1,"",ROW()-104)</f>
        <v>267</v>
      </c>
      <c r="G371" s="48"/>
      <c r="N371" s="323"/>
      <c r="O371" s="323"/>
    </row>
    <row r="372" spans="2:15">
      <c r="B372" s="205" t="str">
        <f ca="1"/>
        <v>HAVERSTRAW-STONY POINT CSD (NORTH RO</v>
      </c>
      <c r="C372" s="207">
        <f>IF(COUNTIF(CONTROL!$B$52:$B$101,'Funding by District'!D268)&gt;=1,"",ROW()-104)</f>
        <v>268</v>
      </c>
      <c r="G372" s="48"/>
      <c r="N372" s="323"/>
      <c r="O372" s="323"/>
    </row>
    <row r="373" spans="2:15">
      <c r="B373" s="205" t="str">
        <f ca="1"/>
        <v>HEMPSTEAD UFSD</v>
      </c>
      <c r="C373" s="207">
        <f>IF(COUNTIF(CONTROL!$B$52:$B$101,'Funding by District'!D269)&gt;=1,"",ROW()-104)</f>
        <v>269</v>
      </c>
      <c r="G373" s="48"/>
      <c r="N373" s="323"/>
      <c r="O373" s="323"/>
    </row>
    <row r="374" spans="2:15">
      <c r="B374" s="205" t="str">
        <f ca="1"/>
        <v>HENDRICK HUDSON CSD</v>
      </c>
      <c r="C374" s="207">
        <f>IF(COUNTIF(CONTROL!$B$52:$B$101,'Funding by District'!D270)&gt;=1,"",ROW()-104)</f>
        <v>270</v>
      </c>
      <c r="G374" s="48"/>
      <c r="N374" s="323"/>
      <c r="O374" s="323"/>
    </row>
    <row r="375" spans="2:15">
      <c r="B375" s="205" t="str">
        <f ca="1"/>
        <v>HERKIMER CSD</v>
      </c>
      <c r="C375" s="207">
        <f>IF(COUNTIF(CONTROL!$B$52:$B$101,'Funding by District'!D271)&gt;=1,"",ROW()-104)</f>
        <v>271</v>
      </c>
      <c r="G375" s="48"/>
      <c r="N375" s="323"/>
      <c r="O375" s="323"/>
    </row>
    <row r="376" spans="2:15">
      <c r="B376" s="205" t="str">
        <f ca="1"/>
        <v>HERMON-DEKALB CSD</v>
      </c>
      <c r="C376" s="207">
        <f>IF(COUNTIF(CONTROL!$B$52:$B$101,'Funding by District'!D272)&gt;=1,"",ROW()-104)</f>
        <v>272</v>
      </c>
      <c r="G376" s="48"/>
      <c r="N376" s="323"/>
      <c r="O376" s="323"/>
    </row>
    <row r="377" spans="2:15">
      <c r="B377" s="205" t="str">
        <f ca="1"/>
        <v>HERRICKS UFSD</v>
      </c>
      <c r="C377" s="207">
        <f>IF(COUNTIF(CONTROL!$B$52:$B$101,'Funding by District'!D273)&gt;=1,"",ROW()-104)</f>
        <v>273</v>
      </c>
      <c r="G377" s="48"/>
      <c r="N377" s="323"/>
      <c r="O377" s="323"/>
    </row>
    <row r="378" spans="2:15">
      <c r="B378" s="205" t="str">
        <f ca="1"/>
        <v>HEUVELTON CSD</v>
      </c>
      <c r="C378" s="207">
        <f>IF(COUNTIF(CONTROL!$B$52:$B$101,'Funding by District'!D274)&gt;=1,"",ROW()-104)</f>
        <v>274</v>
      </c>
      <c r="G378" s="48"/>
      <c r="N378" s="323"/>
      <c r="O378" s="323"/>
    </row>
    <row r="379" spans="2:15">
      <c r="B379" s="205" t="str">
        <f ca="1"/>
        <v>HEWLETT-WOODMERE UFSD</v>
      </c>
      <c r="C379" s="207">
        <f>IF(COUNTIF(CONTROL!$B$52:$B$101,'Funding by District'!D275)&gt;=1,"",ROW()-104)</f>
        <v>275</v>
      </c>
      <c r="G379" s="48"/>
      <c r="N379" s="323"/>
      <c r="O379" s="323"/>
    </row>
    <row r="380" spans="2:15">
      <c r="B380" s="205" t="str">
        <f ca="1"/>
        <v>HICKSVILLE UFSD</v>
      </c>
      <c r="C380" s="207">
        <f>IF(COUNTIF(CONTROL!$B$52:$B$101,'Funding by District'!D276)&gt;=1,"",ROW()-104)</f>
        <v>276</v>
      </c>
      <c r="N380" s="323"/>
      <c r="O380" s="323"/>
    </row>
    <row r="381" spans="2:15">
      <c r="B381" s="205" t="str">
        <f ca="1"/>
        <v>HIGHLAND CSD</v>
      </c>
      <c r="C381" s="207">
        <f>IF(COUNTIF(CONTROL!$B$52:$B$101,'Funding by District'!D277)&gt;=1,"",ROW()-104)</f>
        <v>277</v>
      </c>
      <c r="N381" s="323"/>
      <c r="O381" s="323"/>
    </row>
    <row r="382" spans="2:15">
      <c r="B382" s="205" t="str">
        <f ca="1"/>
        <v>HIGHLAND FALLS CSD</v>
      </c>
      <c r="C382" s="207">
        <f>IF(COUNTIF(CONTROL!$B$52:$B$101,'Funding by District'!D278)&gt;=1,"",ROW()-104)</f>
        <v>278</v>
      </c>
      <c r="N382" s="323"/>
      <c r="O382" s="323"/>
    </row>
    <row r="383" spans="2:15">
      <c r="B383" s="205" t="str">
        <f ca="1"/>
        <v>HILTON CSD</v>
      </c>
      <c r="C383" s="207">
        <f>IF(COUNTIF(CONTROL!$B$52:$B$101,'Funding by District'!D279)&gt;=1,"",ROW()-104)</f>
        <v>279</v>
      </c>
      <c r="N383" s="323"/>
      <c r="O383" s="323"/>
    </row>
    <row r="384" spans="2:15">
      <c r="B384" s="205" t="str">
        <f ca="1"/>
        <v>HINSDALE CSD</v>
      </c>
      <c r="C384" s="207">
        <f>IF(COUNTIF(CONTROL!$B$52:$B$101,'Funding by District'!D280)&gt;=1,"",ROW()-104)</f>
        <v>280</v>
      </c>
      <c r="N384" s="323"/>
      <c r="O384" s="323"/>
    </row>
    <row r="385" spans="2:15">
      <c r="B385" s="205" t="str">
        <f ca="1"/>
        <v>HOLLAND CSD</v>
      </c>
      <c r="C385" s="207">
        <f>IF(COUNTIF(CONTROL!$B$52:$B$101,'Funding by District'!D281)&gt;=1,"",ROW()-104)</f>
        <v>281</v>
      </c>
      <c r="N385" s="323"/>
      <c r="O385" s="323"/>
    </row>
    <row r="386" spans="2:15">
      <c r="B386" s="205" t="str">
        <f ca="1"/>
        <v>HOLLAND PATENT CSD</v>
      </c>
      <c r="C386" s="207">
        <f>IF(COUNTIF(CONTROL!$B$52:$B$101,'Funding by District'!D282)&gt;=1,"",ROW()-104)</f>
        <v>282</v>
      </c>
      <c r="N386" s="323"/>
      <c r="O386" s="323"/>
    </row>
    <row r="387" spans="2:15">
      <c r="B387" s="205" t="str">
        <f ca="1"/>
        <v>HOLLEY CSD</v>
      </c>
      <c r="C387" s="207">
        <f>IF(COUNTIF(CONTROL!$B$52:$B$101,'Funding by District'!D283)&gt;=1,"",ROW()-104)</f>
        <v>283</v>
      </c>
      <c r="N387" s="323"/>
      <c r="O387" s="323"/>
    </row>
    <row r="388" spans="2:15">
      <c r="B388" s="205" t="str">
        <f ca="1"/>
        <v>HOMER CSD</v>
      </c>
      <c r="C388" s="207">
        <f>IF(COUNTIF(CONTROL!$B$52:$B$101,'Funding by District'!D284)&gt;=1,"",ROW()-104)</f>
        <v>284</v>
      </c>
      <c r="N388" s="323"/>
      <c r="O388" s="323"/>
    </row>
    <row r="389" spans="2:15">
      <c r="B389" s="205" t="str">
        <f ca="1"/>
        <v>HONEOYE CSD</v>
      </c>
      <c r="C389" s="207">
        <f>IF(COUNTIF(CONTROL!$B$52:$B$101,'Funding by District'!D285)&gt;=1,"",ROW()-104)</f>
        <v>285</v>
      </c>
      <c r="N389" s="323"/>
      <c r="O389" s="323"/>
    </row>
    <row r="390" spans="2:15">
      <c r="B390" s="205" t="str">
        <f ca="1"/>
        <v>HONEOYE FALLS-LIMA CSD</v>
      </c>
      <c r="C390" s="207">
        <f>IF(COUNTIF(CONTROL!$B$52:$B$101,'Funding by District'!D286)&gt;=1,"",ROW()-104)</f>
        <v>286</v>
      </c>
      <c r="N390" s="323"/>
      <c r="O390" s="323"/>
    </row>
    <row r="391" spans="2:15">
      <c r="B391" s="205" t="str">
        <f ca="1"/>
        <v>HOOSIC VALLEY CSD</v>
      </c>
      <c r="C391" s="207">
        <f>IF(COUNTIF(CONTROL!$B$52:$B$101,'Funding by District'!D287)&gt;=1,"",ROW()-104)</f>
        <v>287</v>
      </c>
      <c r="N391" s="323"/>
      <c r="O391" s="323"/>
    </row>
    <row r="392" spans="2:15">
      <c r="B392" s="205" t="str">
        <f ca="1"/>
        <v>HOOSICK FALLS CSD</v>
      </c>
      <c r="C392" s="207">
        <f>IF(COUNTIF(CONTROL!$B$52:$B$101,'Funding by District'!D288)&gt;=1,"",ROW()-104)</f>
        <v>288</v>
      </c>
      <c r="N392" s="323"/>
      <c r="O392" s="323"/>
    </row>
    <row r="393" spans="2:15">
      <c r="B393" s="205" t="str">
        <f ca="1"/>
        <v>HORNELL CITY SD</v>
      </c>
      <c r="C393" s="207">
        <f>IF(COUNTIF(CONTROL!$B$52:$B$101,'Funding by District'!D289)&gt;=1,"",ROW()-104)</f>
        <v>289</v>
      </c>
      <c r="N393" s="323"/>
      <c r="O393" s="323"/>
    </row>
    <row r="394" spans="2:15">
      <c r="B394" s="205" t="str">
        <f ca="1"/>
        <v>HORSEHEADS CSD</v>
      </c>
      <c r="C394" s="207">
        <f>IF(COUNTIF(CONTROL!$B$52:$B$101,'Funding by District'!D290)&gt;=1,"",ROW()-104)</f>
        <v>290</v>
      </c>
      <c r="N394" s="323"/>
      <c r="O394" s="323"/>
    </row>
    <row r="395" spans="2:15">
      <c r="B395" s="205" t="str">
        <f ca="1"/>
        <v>HUDSON CITY SD</v>
      </c>
      <c r="C395" s="207">
        <f>IF(COUNTIF(CONTROL!$B$52:$B$101,'Funding by District'!D291)&gt;=1,"",ROW()-104)</f>
        <v>291</v>
      </c>
      <c r="N395" s="323"/>
      <c r="O395" s="323"/>
    </row>
    <row r="396" spans="2:15">
      <c r="B396" s="205" t="str">
        <f ca="1"/>
        <v>HUDSON FALLS CSD</v>
      </c>
      <c r="C396" s="207">
        <f>IF(COUNTIF(CONTROL!$B$52:$B$101,'Funding by District'!D292)&gt;=1,"",ROW()-104)</f>
        <v>292</v>
      </c>
      <c r="N396" s="323"/>
      <c r="O396" s="323"/>
    </row>
    <row r="397" spans="2:15">
      <c r="B397" s="205" t="str">
        <f ca="1"/>
        <v>HUNTER-TANNERSVILLE CSD</v>
      </c>
      <c r="C397" s="207">
        <f>IF(COUNTIF(CONTROL!$B$52:$B$101,'Funding by District'!D293)&gt;=1,"",ROW()-104)</f>
        <v>293</v>
      </c>
      <c r="N397" s="323"/>
      <c r="O397" s="323"/>
    </row>
    <row r="398" spans="2:15">
      <c r="B398" s="205" t="str">
        <f ca="1"/>
        <v>HUNTINGTON UFSD</v>
      </c>
      <c r="C398" s="207">
        <f>IF(COUNTIF(CONTROL!$B$52:$B$101,'Funding by District'!D294)&gt;=1,"",ROW()-104)</f>
        <v>294</v>
      </c>
      <c r="N398" s="323"/>
      <c r="O398" s="323"/>
    </row>
    <row r="399" spans="2:15">
      <c r="B399" s="205" t="str">
        <f ca="1"/>
        <v>HYDE PARK CSD</v>
      </c>
      <c r="C399" s="207">
        <f>IF(COUNTIF(CONTROL!$B$52:$B$101,'Funding by District'!D295)&gt;=1,"",ROW()-104)</f>
        <v>295</v>
      </c>
      <c r="N399" s="323"/>
      <c r="O399" s="323"/>
    </row>
    <row r="400" spans="2:15">
      <c r="B400" s="205" t="str">
        <f ca="1"/>
        <v>INDIAN LAKE CSD</v>
      </c>
      <c r="C400" s="207">
        <f>IF(COUNTIF(CONTROL!$B$52:$B$101,'Funding by District'!D296)&gt;=1,"",ROW()-104)</f>
        <v>296</v>
      </c>
      <c r="N400" s="323"/>
      <c r="O400" s="323"/>
    </row>
    <row r="401" spans="2:15">
      <c r="B401" s="205" t="str">
        <f ca="1"/>
        <v>INDIAN RIVER CSD</v>
      </c>
      <c r="C401" s="207">
        <f>IF(COUNTIF(CONTROL!$B$52:$B$101,'Funding by District'!D297)&gt;=1,"",ROW()-104)</f>
        <v>297</v>
      </c>
      <c r="N401" s="323"/>
      <c r="O401" s="323"/>
    </row>
    <row r="402" spans="2:15">
      <c r="B402" s="205" t="str">
        <f ca="1"/>
        <v>INLET COMN SD</v>
      </c>
      <c r="C402" s="207">
        <f>IF(COUNTIF(CONTROL!$B$52:$B$101,'Funding by District'!D298)&gt;=1,"",ROW()-104)</f>
        <v>298</v>
      </c>
      <c r="N402" s="323"/>
      <c r="O402" s="323"/>
    </row>
    <row r="403" spans="2:15">
      <c r="B403" s="205" t="str">
        <f ca="1"/>
        <v>IROQUOIS CSD</v>
      </c>
      <c r="C403" s="207">
        <f>IF(COUNTIF(CONTROL!$B$52:$B$101,'Funding by District'!D299)&gt;=1,"",ROW()-104)</f>
        <v>299</v>
      </c>
      <c r="N403" s="323"/>
      <c r="O403" s="323"/>
    </row>
    <row r="404" spans="2:15">
      <c r="B404" s="205" t="str">
        <f ca="1"/>
        <v>IRVINGTON UFSD</v>
      </c>
      <c r="C404" s="207">
        <f>IF(COUNTIF(CONTROL!$B$52:$B$101,'Funding by District'!D300)&gt;=1,"",ROW()-104)</f>
        <v>300</v>
      </c>
      <c r="N404" s="323"/>
      <c r="O404" s="323"/>
    </row>
    <row r="405" spans="2:15">
      <c r="B405" s="205" t="str">
        <f ca="1"/>
        <v>ISLAND PARK UFSD</v>
      </c>
      <c r="C405" s="207">
        <f>IF(COUNTIF(CONTROL!$B$52:$B$101,'Funding by District'!D301)&gt;=1,"",ROW()-104)</f>
        <v>301</v>
      </c>
      <c r="N405" s="323"/>
      <c r="O405" s="323"/>
    </row>
    <row r="406" spans="2:15">
      <c r="B406" s="205" t="str">
        <f ca="1"/>
        <v>ISLAND TREES UFSD</v>
      </c>
      <c r="C406" s="207">
        <f>IF(COUNTIF(CONTROL!$B$52:$B$101,'Funding by District'!D302)&gt;=1,"",ROW()-104)</f>
        <v>302</v>
      </c>
      <c r="N406" s="323"/>
      <c r="O406" s="323"/>
    </row>
    <row r="407" spans="2:15">
      <c r="B407" s="205" t="str">
        <f ca="1"/>
        <v>ISLIP UFSD</v>
      </c>
      <c r="C407" s="207">
        <f>IF(COUNTIF(CONTROL!$B$52:$B$101,'Funding by District'!D303)&gt;=1,"",ROW()-104)</f>
        <v>303</v>
      </c>
      <c r="N407" s="323"/>
      <c r="O407" s="323"/>
    </row>
    <row r="408" spans="2:15">
      <c r="B408" s="205" t="str">
        <f ca="1"/>
        <v>ITHACA CITY SD</v>
      </c>
      <c r="C408" s="207">
        <f>IF(COUNTIF(CONTROL!$B$52:$B$101,'Funding by District'!D304)&gt;=1,"",ROW()-104)</f>
        <v>304</v>
      </c>
      <c r="N408" s="323"/>
      <c r="O408" s="323"/>
    </row>
    <row r="409" spans="2:15">
      <c r="B409" s="205" t="str">
        <f ca="1"/>
        <v>JAMESTOWN CITY SD</v>
      </c>
      <c r="C409" s="207">
        <f>IF(COUNTIF(CONTROL!$B$52:$B$101,'Funding by District'!D305)&gt;=1,"",ROW()-104)</f>
        <v>305</v>
      </c>
      <c r="N409" s="323"/>
      <c r="O409" s="323"/>
    </row>
    <row r="410" spans="2:15">
      <c r="B410" s="205" t="str">
        <f ca="1"/>
        <v>JAMESVILLE-DEWITT CSD</v>
      </c>
      <c r="C410" s="207">
        <f>IF(COUNTIF(CONTROL!$B$52:$B$101,'Funding by District'!D306)&gt;=1,"",ROW()-104)</f>
        <v>306</v>
      </c>
      <c r="N410" s="323"/>
      <c r="O410" s="323"/>
    </row>
    <row r="411" spans="2:15">
      <c r="B411" s="205" t="str">
        <f ca="1"/>
        <v>JASPER-TROUPSBURG CSD</v>
      </c>
      <c r="C411" s="207">
        <f>IF(COUNTIF(CONTROL!$B$52:$B$101,'Funding by District'!D307)&gt;=1,"",ROW()-104)</f>
        <v>307</v>
      </c>
      <c r="N411" s="323"/>
      <c r="O411" s="323"/>
    </row>
    <row r="412" spans="2:15">
      <c r="B412" s="205" t="str">
        <f ca="1"/>
        <v>JEFFERSON CSD</v>
      </c>
      <c r="C412" s="207">
        <f>IF(COUNTIF(CONTROL!$B$52:$B$101,'Funding by District'!D308)&gt;=1,"",ROW()-104)</f>
        <v>308</v>
      </c>
      <c r="N412" s="323"/>
      <c r="O412" s="323"/>
    </row>
    <row r="413" spans="2:15">
      <c r="B413" s="205" t="str">
        <f ca="1"/>
        <v>JERICHO UFSD</v>
      </c>
      <c r="C413" s="207">
        <f>IF(COUNTIF(CONTROL!$B$52:$B$101,'Funding by District'!D309)&gt;=1,"",ROW()-104)</f>
        <v>309</v>
      </c>
      <c r="N413" s="323"/>
      <c r="O413" s="323"/>
    </row>
    <row r="414" spans="2:15">
      <c r="B414" s="205" t="str">
        <f ca="1"/>
        <v>JOHNSBURG CSD</v>
      </c>
      <c r="C414" s="207">
        <f>IF(COUNTIF(CONTROL!$B$52:$B$101,'Funding by District'!D310)&gt;=1,"",ROW()-104)</f>
        <v>310</v>
      </c>
      <c r="N414" s="323"/>
      <c r="O414" s="323"/>
    </row>
    <row r="415" spans="2:15">
      <c r="B415" s="205" t="str">
        <f ca="1"/>
        <v>JOHNSON CITY CSD</v>
      </c>
      <c r="C415" s="207">
        <f>IF(COUNTIF(CONTROL!$B$52:$B$101,'Funding by District'!D311)&gt;=1,"",ROW()-104)</f>
        <v>311</v>
      </c>
      <c r="N415" s="323"/>
      <c r="O415" s="323"/>
    </row>
    <row r="416" spans="2:15">
      <c r="B416" s="205" t="str">
        <f ca="1"/>
        <v>JOHNSTOWN CITY SD</v>
      </c>
      <c r="C416" s="207">
        <f>IF(COUNTIF(CONTROL!$B$52:$B$101,'Funding by District'!D312)&gt;=1,"",ROW()-104)</f>
        <v>312</v>
      </c>
      <c r="N416" s="323"/>
      <c r="O416" s="323"/>
    </row>
    <row r="417" spans="2:15">
      <c r="B417" s="205" t="str">
        <f ca="1"/>
        <v>JORDAN-ELBRIDGE CSD</v>
      </c>
      <c r="C417" s="207">
        <f>IF(COUNTIF(CONTROL!$B$52:$B$101,'Funding by District'!D313)&gt;=1,"",ROW()-104)</f>
        <v>313</v>
      </c>
      <c r="N417" s="323"/>
      <c r="O417" s="323"/>
    </row>
    <row r="418" spans="2:15">
      <c r="B418" s="205" t="str">
        <f ca="1"/>
        <v>KATONAH-LEWISBORO UFSD</v>
      </c>
      <c r="C418" s="207">
        <f>IF(COUNTIF(CONTROL!$B$52:$B$101,'Funding by District'!D314)&gt;=1,"",ROW()-104)</f>
        <v>314</v>
      </c>
      <c r="N418" s="323"/>
      <c r="O418" s="323"/>
    </row>
    <row r="419" spans="2:15">
      <c r="B419" s="205" t="str">
        <f ca="1"/>
        <v>KEENE CSD</v>
      </c>
      <c r="C419" s="207">
        <f>IF(COUNTIF(CONTROL!$B$52:$B$101,'Funding by District'!D315)&gt;=1,"",ROW()-104)</f>
        <v>315</v>
      </c>
      <c r="N419" s="323"/>
      <c r="O419" s="323"/>
    </row>
    <row r="420" spans="2:15">
      <c r="B420" s="205" t="str">
        <f ca="1"/>
        <v>KENDALL CSD</v>
      </c>
      <c r="C420" s="207">
        <f>IF(COUNTIF(CONTROL!$B$52:$B$101,'Funding by District'!D316)&gt;=1,"",ROW()-104)</f>
        <v>316</v>
      </c>
      <c r="N420" s="323"/>
      <c r="O420" s="323"/>
    </row>
    <row r="421" spans="2:15">
      <c r="B421" s="205" t="str">
        <f ca="1"/>
        <v>KENMORE-TONAWANDA UFSD</v>
      </c>
      <c r="C421" s="207">
        <f>IF(COUNTIF(CONTROL!$B$52:$B$101,'Funding by District'!D317)&gt;=1,"",ROW()-104)</f>
        <v>317</v>
      </c>
      <c r="N421" s="323"/>
      <c r="O421" s="323"/>
    </row>
    <row r="422" spans="2:15">
      <c r="B422" s="205" t="str">
        <f ca="1"/>
        <v>KINDERHOOK CSD</v>
      </c>
      <c r="C422" s="207">
        <f>IF(COUNTIF(CONTROL!$B$52:$B$101,'Funding by District'!D318)&gt;=1,"",ROW()-104)</f>
        <v>318</v>
      </c>
      <c r="N422" s="323"/>
      <c r="O422" s="323"/>
    </row>
    <row r="423" spans="2:15">
      <c r="B423" s="205" t="str">
        <f ca="1"/>
        <v>KINGS PARK CSD</v>
      </c>
      <c r="C423" s="207">
        <f>IF(COUNTIF(CONTROL!$B$52:$B$101,'Funding by District'!D319)&gt;=1,"",ROW()-104)</f>
        <v>319</v>
      </c>
      <c r="N423" s="323"/>
      <c r="O423" s="323"/>
    </row>
    <row r="424" spans="2:15">
      <c r="B424" s="205" t="str">
        <f ca="1"/>
        <v>KINGSTON CITY SD</v>
      </c>
      <c r="C424" s="207">
        <f>IF(COUNTIF(CONTROL!$B$52:$B$101,'Funding by District'!D320)&gt;=1,"",ROW()-104)</f>
        <v>320</v>
      </c>
      <c r="N424" s="323"/>
      <c r="O424" s="323"/>
    </row>
    <row r="425" spans="2:15">
      <c r="B425" s="205" t="str">
        <f ca="1"/>
        <v>KIRYAS JOEL VILLAGE UFSD</v>
      </c>
      <c r="C425" s="207">
        <f>IF(COUNTIF(CONTROL!$B$52:$B$101,'Funding by District'!D321)&gt;=1,"",ROW()-104)</f>
        <v>321</v>
      </c>
      <c r="N425" s="323"/>
      <c r="O425" s="323"/>
    </row>
    <row r="426" spans="2:15">
      <c r="B426" s="205" t="str">
        <f ca="1"/>
        <v>LA FARGEVILLE CSD</v>
      </c>
      <c r="C426" s="207">
        <f>IF(COUNTIF(CONTROL!$B$52:$B$101,'Funding by District'!D322)&gt;=1,"",ROW()-104)</f>
        <v>322</v>
      </c>
      <c r="N426" s="323"/>
      <c r="O426" s="323"/>
    </row>
    <row r="427" spans="2:15">
      <c r="B427" s="205" t="str">
        <f ca="1"/>
        <v>LACKAWANNA CITY SD</v>
      </c>
      <c r="C427" s="207">
        <f>IF(COUNTIF(CONTROL!$B$52:$B$101,'Funding by District'!D323)&gt;=1,"",ROW()-104)</f>
        <v>323</v>
      </c>
      <c r="N427" s="323"/>
      <c r="O427" s="323"/>
    </row>
    <row r="428" spans="2:15">
      <c r="B428" s="205" t="str">
        <f ca="1"/>
        <v>LAFAYETTE CSD</v>
      </c>
      <c r="C428" s="207">
        <f>IF(COUNTIF(CONTROL!$B$52:$B$101,'Funding by District'!D324)&gt;=1,"",ROW()-104)</f>
        <v>324</v>
      </c>
      <c r="N428" s="323"/>
      <c r="O428" s="323"/>
    </row>
    <row r="429" spans="2:15">
      <c r="B429" s="205" t="str">
        <f ca="1"/>
        <v>LAKE GEORGE CSD</v>
      </c>
      <c r="C429" s="207">
        <f>IF(COUNTIF(CONTROL!$B$52:$B$101,'Funding by District'!D325)&gt;=1,"",ROW()-104)</f>
        <v>325</v>
      </c>
      <c r="N429" s="323"/>
      <c r="O429" s="323"/>
    </row>
    <row r="430" spans="2:15">
      <c r="B430" s="205" t="str">
        <f ca="1"/>
        <v>LAKE PLACID CSD</v>
      </c>
      <c r="C430" s="207">
        <f>IF(COUNTIF(CONTROL!$B$52:$B$101,'Funding by District'!D326)&gt;=1,"",ROW()-104)</f>
        <v>326</v>
      </c>
      <c r="N430" s="323"/>
      <c r="O430" s="323"/>
    </row>
    <row r="431" spans="2:15">
      <c r="B431" s="205" t="str">
        <f ca="1"/>
        <v>LAKE PLEASANT CSD</v>
      </c>
      <c r="C431" s="207">
        <f>IF(COUNTIF(CONTROL!$B$52:$B$101,'Funding by District'!D327)&gt;=1,"",ROW()-104)</f>
        <v>327</v>
      </c>
      <c r="N431" s="323"/>
      <c r="O431" s="323"/>
    </row>
    <row r="432" spans="2:15">
      <c r="B432" s="205" t="str">
        <f ca="1"/>
        <v>LAKELAND CSD</v>
      </c>
      <c r="C432" s="207">
        <f>IF(COUNTIF(CONTROL!$B$52:$B$101,'Funding by District'!D328)&gt;=1,"",ROW()-104)</f>
        <v>328</v>
      </c>
      <c r="N432" s="323"/>
      <c r="O432" s="323"/>
    </row>
    <row r="433" spans="2:15">
      <c r="B433" s="205" t="str">
        <f ca="1"/>
        <v>LANCASTER CSD</v>
      </c>
      <c r="C433" s="207">
        <f>IF(COUNTIF(CONTROL!$B$52:$B$101,'Funding by District'!D329)&gt;=1,"",ROW()-104)</f>
        <v>329</v>
      </c>
      <c r="N433" s="323"/>
      <c r="O433" s="323"/>
    </row>
    <row r="434" spans="2:15">
      <c r="B434" s="205" t="str">
        <f ca="1"/>
        <v>LANSING CSD</v>
      </c>
      <c r="C434" s="207">
        <f>IF(COUNTIF(CONTROL!$B$52:$B$101,'Funding by District'!D330)&gt;=1,"",ROW()-104)</f>
        <v>330</v>
      </c>
      <c r="N434" s="323"/>
      <c r="O434" s="323"/>
    </row>
    <row r="435" spans="2:15">
      <c r="B435" s="205" t="str">
        <f ca="1"/>
        <v>LANSINGBURGH CSD</v>
      </c>
      <c r="C435" s="207">
        <f>IF(COUNTIF(CONTROL!$B$52:$B$101,'Funding by District'!D331)&gt;=1,"",ROW()-104)</f>
        <v>331</v>
      </c>
      <c r="N435" s="323"/>
      <c r="O435" s="323"/>
    </row>
    <row r="436" spans="2:15">
      <c r="B436" s="205" t="str">
        <f ca="1"/>
        <v>LAURENS CSD</v>
      </c>
      <c r="C436" s="207">
        <f>IF(COUNTIF(CONTROL!$B$52:$B$101,'Funding by District'!D332)&gt;=1,"",ROW()-104)</f>
        <v>332</v>
      </c>
      <c r="N436" s="323"/>
      <c r="O436" s="323"/>
    </row>
    <row r="437" spans="2:15">
      <c r="B437" s="205" t="str">
        <f ca="1"/>
        <v>LAWRENCE UFSD</v>
      </c>
      <c r="C437" s="207">
        <f>IF(COUNTIF(CONTROL!$B$52:$B$101,'Funding by District'!D333)&gt;=1,"",ROW()-104)</f>
        <v>333</v>
      </c>
      <c r="N437" s="323"/>
      <c r="O437" s="323"/>
    </row>
    <row r="438" spans="2:15">
      <c r="B438" s="205" t="str">
        <f ca="1"/>
        <v>LE ROY CSD</v>
      </c>
      <c r="C438" s="207">
        <f>IF(COUNTIF(CONTROL!$B$52:$B$101,'Funding by District'!D334)&gt;=1,"",ROW()-104)</f>
        <v>334</v>
      </c>
      <c r="N438" s="323"/>
      <c r="O438" s="323"/>
    </row>
    <row r="439" spans="2:15">
      <c r="B439" s="205" t="str">
        <f ca="1"/>
        <v>LETCHWORTH CSD</v>
      </c>
      <c r="C439" s="207">
        <f>IF(COUNTIF(CONTROL!$B$52:$B$101,'Funding by District'!D335)&gt;=1,"",ROW()-104)</f>
        <v>335</v>
      </c>
      <c r="N439" s="323"/>
      <c r="O439" s="323"/>
    </row>
    <row r="440" spans="2:15">
      <c r="B440" s="205" t="str">
        <f ca="1"/>
        <v>LEVITTOWN UFSD</v>
      </c>
      <c r="C440" s="207">
        <f>IF(COUNTIF(CONTROL!$B$52:$B$101,'Funding by District'!D336)&gt;=1,"",ROW()-104)</f>
        <v>336</v>
      </c>
      <c r="N440" s="323"/>
      <c r="O440" s="323"/>
    </row>
    <row r="441" spans="2:15">
      <c r="B441" s="205" t="str">
        <f ca="1"/>
        <v>LEWISTON-PORTER CSD</v>
      </c>
      <c r="C441" s="207">
        <f>IF(COUNTIF(CONTROL!$B$52:$B$101,'Funding by District'!D337)&gt;=1,"",ROW()-104)</f>
        <v>337</v>
      </c>
      <c r="N441" s="323"/>
      <c r="O441" s="323"/>
    </row>
    <row r="442" spans="2:15">
      <c r="B442" s="205" t="str">
        <f ca="1"/>
        <v>LIBERTY CSD</v>
      </c>
      <c r="C442" s="207">
        <f>IF(COUNTIF(CONTROL!$B$52:$B$101,'Funding by District'!D338)&gt;=1,"",ROW()-104)</f>
        <v>338</v>
      </c>
      <c r="N442" s="323"/>
      <c r="O442" s="323"/>
    </row>
    <row r="443" spans="2:15">
      <c r="B443" s="205" t="str">
        <f ca="1"/>
        <v>LINDENHURST UFSD</v>
      </c>
      <c r="C443" s="207">
        <f>IF(COUNTIF(CONTROL!$B$52:$B$101,'Funding by District'!D339)&gt;=1,"",ROW()-104)</f>
        <v>339</v>
      </c>
      <c r="N443" s="323"/>
      <c r="O443" s="323"/>
    </row>
    <row r="444" spans="2:15">
      <c r="B444" s="205" t="str">
        <f ca="1"/>
        <v>LISBON CSD</v>
      </c>
      <c r="C444" s="207">
        <f>IF(COUNTIF(CONTROL!$B$52:$B$101,'Funding by District'!D340)&gt;=1,"",ROW()-104)</f>
        <v>340</v>
      </c>
      <c r="N444" s="323"/>
      <c r="O444" s="323"/>
    </row>
    <row r="445" spans="2:15">
      <c r="B445" s="205" t="str">
        <f ca="1"/>
        <v>LITTLE FALLS CITY SD</v>
      </c>
      <c r="C445" s="207">
        <f>IF(COUNTIF(CONTROL!$B$52:$B$101,'Funding by District'!D341)&gt;=1,"",ROW()-104)</f>
        <v>341</v>
      </c>
      <c r="N445" s="323"/>
      <c r="O445" s="323"/>
    </row>
    <row r="446" spans="2:15">
      <c r="B446" s="205" t="str">
        <f ca="1"/>
        <v>LIVERPOOL CSD</v>
      </c>
      <c r="C446" s="207">
        <f>IF(COUNTIF(CONTROL!$B$52:$B$101,'Funding by District'!D342)&gt;=1,"",ROW()-104)</f>
        <v>342</v>
      </c>
      <c r="N446" s="323"/>
      <c r="O446" s="323"/>
    </row>
    <row r="447" spans="2:15">
      <c r="B447" s="205" t="str">
        <f ca="1"/>
        <v>LIVINGSTON MANOR CSD</v>
      </c>
      <c r="C447" s="207">
        <f>IF(COUNTIF(CONTROL!$B$52:$B$101,'Funding by District'!D343)&gt;=1,"",ROW()-104)</f>
        <v>343</v>
      </c>
      <c r="N447" s="323"/>
      <c r="O447" s="323"/>
    </row>
    <row r="448" spans="2:15">
      <c r="B448" s="205" t="str">
        <f ca="1"/>
        <v>LIVONIA CSD</v>
      </c>
      <c r="C448" s="207">
        <f>IF(COUNTIF(CONTROL!$B$52:$B$101,'Funding by District'!D344)&gt;=1,"",ROW()-104)</f>
        <v>344</v>
      </c>
      <c r="N448" s="323"/>
      <c r="O448" s="323"/>
    </row>
    <row r="449" spans="2:15">
      <c r="B449" s="205" t="str">
        <f ca="1"/>
        <v>LOCKPORT CITY SD</v>
      </c>
      <c r="C449" s="207">
        <f>IF(COUNTIF(CONTROL!$B$52:$B$101,'Funding by District'!D345)&gt;=1,"",ROW()-104)</f>
        <v>345</v>
      </c>
      <c r="N449" s="323"/>
      <c r="O449" s="323"/>
    </row>
    <row r="450" spans="2:15">
      <c r="B450" s="205" t="str">
        <f ca="1"/>
        <v>LOCUST VALLEY CSD</v>
      </c>
      <c r="C450" s="207">
        <f>IF(COUNTIF(CONTROL!$B$52:$B$101,'Funding by District'!D346)&gt;=1,"",ROW()-104)</f>
        <v>346</v>
      </c>
      <c r="N450" s="323"/>
      <c r="O450" s="323"/>
    </row>
    <row r="451" spans="2:15">
      <c r="B451" s="205" t="str">
        <f ca="1"/>
        <v>LONG BEACH CITY SD</v>
      </c>
      <c r="C451" s="207">
        <f>IF(COUNTIF(CONTROL!$B$52:$B$101,'Funding by District'!D347)&gt;=1,"",ROW()-104)</f>
        <v>347</v>
      </c>
      <c r="N451" s="323"/>
      <c r="O451" s="323"/>
    </row>
    <row r="452" spans="2:15">
      <c r="B452" s="205" t="str">
        <f ca="1"/>
        <v>LONG LAKE CSD</v>
      </c>
      <c r="C452" s="207">
        <f>IF(COUNTIF(CONTROL!$B$52:$B$101,'Funding by District'!D348)&gt;=1,"",ROW()-104)</f>
        <v>348</v>
      </c>
      <c r="N452" s="323"/>
      <c r="O452" s="323"/>
    </row>
    <row r="453" spans="2:15">
      <c r="B453" s="205" t="str">
        <f ca="1"/>
        <v>LONGWOOD CSD</v>
      </c>
      <c r="C453" s="207">
        <f>IF(COUNTIF(CONTROL!$B$52:$B$101,'Funding by District'!D349)&gt;=1,"",ROW()-104)</f>
        <v>349</v>
      </c>
      <c r="N453" s="323"/>
      <c r="O453" s="323"/>
    </row>
    <row r="454" spans="2:15">
      <c r="B454" s="205" t="str">
        <f ca="1"/>
        <v>LOWVILLE ACADEMY &amp; CSD</v>
      </c>
      <c r="C454" s="207">
        <f>IF(COUNTIF(CONTROL!$B$52:$B$101,'Funding by District'!D350)&gt;=1,"",ROW()-104)</f>
        <v>350</v>
      </c>
      <c r="N454" s="323"/>
      <c r="O454" s="323"/>
    </row>
    <row r="455" spans="2:15">
      <c r="B455" s="205" t="str">
        <f ca="1"/>
        <v>LYME CSD</v>
      </c>
      <c r="C455" s="207">
        <f>IF(COUNTIF(CONTROL!$B$52:$B$101,'Funding by District'!D351)&gt;=1,"",ROW()-104)</f>
        <v>351</v>
      </c>
      <c r="N455" s="323"/>
      <c r="O455" s="323"/>
    </row>
    <row r="456" spans="2:15">
      <c r="B456" s="205" t="str">
        <f ca="1"/>
        <v>LYNBROOK UFSD</v>
      </c>
      <c r="C456" s="207">
        <f>IF(COUNTIF(CONTROL!$B$52:$B$101,'Funding by District'!D352)&gt;=1,"",ROW()-104)</f>
        <v>352</v>
      </c>
      <c r="N456" s="323"/>
      <c r="O456" s="323"/>
    </row>
    <row r="457" spans="2:15">
      <c r="B457" s="205" t="str">
        <f ca="1"/>
        <v>LYNCOURT UFSD</v>
      </c>
      <c r="C457" s="207">
        <f>IF(COUNTIF(CONTROL!$B$52:$B$101,'Funding by District'!D353)&gt;=1,"",ROW()-104)</f>
        <v>353</v>
      </c>
      <c r="N457" s="323"/>
      <c r="O457" s="323"/>
    </row>
    <row r="458" spans="2:15">
      <c r="B458" s="205" t="str">
        <f ca="1"/>
        <v>LYNDONVILLE CSD</v>
      </c>
      <c r="C458" s="207">
        <f>IF(COUNTIF(CONTROL!$B$52:$B$101,'Funding by District'!D354)&gt;=1,"",ROW()-104)</f>
        <v>354</v>
      </c>
      <c r="N458" s="323"/>
      <c r="O458" s="323"/>
    </row>
    <row r="459" spans="2:15">
      <c r="B459" s="205" t="str">
        <f ca="1"/>
        <v>LYONS CSD</v>
      </c>
      <c r="C459" s="207">
        <f>IF(COUNTIF(CONTROL!$B$52:$B$101,'Funding by District'!D355)&gt;=1,"",ROW()-104)</f>
        <v>355</v>
      </c>
      <c r="N459" s="323"/>
      <c r="O459" s="323"/>
    </row>
    <row r="460" spans="2:15">
      <c r="B460" s="205" t="str">
        <f ca="1"/>
        <v>MADISON CSD</v>
      </c>
      <c r="C460" s="207">
        <f>IF(COUNTIF(CONTROL!$B$52:$B$101,'Funding by District'!D356)&gt;=1,"",ROW()-104)</f>
        <v>356</v>
      </c>
      <c r="N460" s="323"/>
      <c r="O460" s="323"/>
    </row>
    <row r="461" spans="2:15">
      <c r="B461" s="205" t="str">
        <f ca="1"/>
        <v>MADRID-WADDINGTON CSD</v>
      </c>
      <c r="C461" s="207">
        <f>IF(COUNTIF(CONTROL!$B$52:$B$101,'Funding by District'!D357)&gt;=1,"",ROW()-104)</f>
        <v>357</v>
      </c>
      <c r="N461" s="323"/>
      <c r="O461" s="323"/>
    </row>
    <row r="462" spans="2:15">
      <c r="B462" s="205" t="str">
        <f ca="1"/>
        <v>MAHOPAC CSD</v>
      </c>
      <c r="C462" s="207">
        <f>IF(COUNTIF(CONTROL!$B$52:$B$101,'Funding by District'!D358)&gt;=1,"",ROW()-104)</f>
        <v>358</v>
      </c>
      <c r="N462" s="323"/>
      <c r="O462" s="323"/>
    </row>
    <row r="463" spans="2:15">
      <c r="B463" s="205" t="str">
        <f ca="1"/>
        <v>MAINE-ENDWELL CSD</v>
      </c>
      <c r="C463" s="207">
        <f>IF(COUNTIF(CONTROL!$B$52:$B$101,'Funding by District'!D359)&gt;=1,"",ROW()-104)</f>
        <v>359</v>
      </c>
      <c r="N463" s="323"/>
      <c r="O463" s="323"/>
    </row>
    <row r="464" spans="2:15">
      <c r="B464" s="205" t="str">
        <f ca="1"/>
        <v>MALONE CSD</v>
      </c>
      <c r="C464" s="207">
        <f>IF(COUNTIF(CONTROL!$B$52:$B$101,'Funding by District'!D360)&gt;=1,"",ROW()-104)</f>
        <v>360</v>
      </c>
      <c r="N464" s="323"/>
      <c r="O464" s="323"/>
    </row>
    <row r="465" spans="2:15">
      <c r="B465" s="205" t="str">
        <f ca="1"/>
        <v>MALVERNE UFSD</v>
      </c>
      <c r="C465" s="207">
        <f>IF(COUNTIF(CONTROL!$B$52:$B$101,'Funding by District'!D361)&gt;=1,"",ROW()-104)</f>
        <v>361</v>
      </c>
      <c r="N465" s="323"/>
      <c r="O465" s="323"/>
    </row>
    <row r="466" spans="2:15">
      <c r="B466" s="205" t="str">
        <f ca="1"/>
        <v>MAMARONECK UFSD</v>
      </c>
      <c r="C466" s="207">
        <f>IF(COUNTIF(CONTROL!$B$52:$B$101,'Funding by District'!D362)&gt;=1,"",ROW()-104)</f>
        <v>362</v>
      </c>
      <c r="N466" s="323"/>
      <c r="O466" s="323"/>
    </row>
    <row r="467" spans="2:15">
      <c r="B467" s="205" t="str">
        <f ca="1"/>
        <v>MANCHESTER-SHORTSVILLE CSD (RED JACK</v>
      </c>
      <c r="C467" s="207">
        <f>IF(COUNTIF(CONTROL!$B$52:$B$101,'Funding by District'!D363)&gt;=1,"",ROW()-104)</f>
        <v>363</v>
      </c>
      <c r="N467" s="323"/>
      <c r="O467" s="323"/>
    </row>
    <row r="468" spans="2:15">
      <c r="B468" s="205" t="str">
        <f ca="1"/>
        <v>MANHASSET UFSD</v>
      </c>
      <c r="C468" s="207">
        <f>IF(COUNTIF(CONTROL!$B$52:$B$101,'Funding by District'!D364)&gt;=1,"",ROW()-104)</f>
        <v>364</v>
      </c>
      <c r="N468" s="323"/>
      <c r="O468" s="323"/>
    </row>
    <row r="469" spans="2:15">
      <c r="B469" s="205" t="str">
        <f ca="1"/>
        <v>MARATHON CSD</v>
      </c>
      <c r="C469" s="207">
        <f>IF(COUNTIF(CONTROL!$B$52:$B$101,'Funding by District'!D365)&gt;=1,"",ROW()-104)</f>
        <v>365</v>
      </c>
      <c r="N469" s="323"/>
      <c r="O469" s="323"/>
    </row>
    <row r="470" spans="2:15">
      <c r="B470" s="205" t="str">
        <f ca="1"/>
        <v>MARCELLUS CSD</v>
      </c>
      <c r="C470" s="207">
        <f>IF(COUNTIF(CONTROL!$B$52:$B$101,'Funding by District'!D366)&gt;=1,"",ROW()-104)</f>
        <v>366</v>
      </c>
      <c r="N470" s="323"/>
      <c r="O470" s="323"/>
    </row>
    <row r="471" spans="2:15">
      <c r="B471" s="205" t="str">
        <f ca="1"/>
        <v>MARGARETVILLE CSD</v>
      </c>
      <c r="C471" s="207">
        <f>IF(COUNTIF(CONTROL!$B$52:$B$101,'Funding by District'!D367)&gt;=1,"",ROW()-104)</f>
        <v>367</v>
      </c>
      <c r="N471" s="323"/>
      <c r="O471" s="323"/>
    </row>
    <row r="472" spans="2:15">
      <c r="B472" s="205" t="str">
        <f ca="1"/>
        <v>MARION CSD</v>
      </c>
      <c r="C472" s="207">
        <f>IF(COUNTIF(CONTROL!$B$52:$B$101,'Funding by District'!D368)&gt;=1,"",ROW()-104)</f>
        <v>368</v>
      </c>
      <c r="N472" s="323"/>
      <c r="O472" s="323"/>
    </row>
    <row r="473" spans="2:15">
      <c r="B473" s="205" t="str">
        <f ca="1"/>
        <v>MARLBORO CSD</v>
      </c>
      <c r="C473" s="207">
        <f>IF(COUNTIF(CONTROL!$B$52:$B$101,'Funding by District'!D369)&gt;=1,"",ROW()-104)</f>
        <v>369</v>
      </c>
      <c r="N473" s="323"/>
      <c r="O473" s="323"/>
    </row>
    <row r="474" spans="2:15">
      <c r="B474" s="205" t="str">
        <f ca="1"/>
        <v>MASSAPEQUA UFSD</v>
      </c>
      <c r="C474" s="207">
        <f>IF(COUNTIF(CONTROL!$B$52:$B$101,'Funding by District'!D370)&gt;=1,"",ROW()-104)</f>
        <v>370</v>
      </c>
      <c r="N474" s="323"/>
      <c r="O474" s="323"/>
    </row>
    <row r="475" spans="2:15">
      <c r="B475" s="205" t="str">
        <f ca="1"/>
        <v>MASSENA CSD</v>
      </c>
      <c r="C475" s="207">
        <f>IF(COUNTIF(CONTROL!$B$52:$B$101,'Funding by District'!D371)&gt;=1,"",ROW()-104)</f>
        <v>371</v>
      </c>
      <c r="N475" s="323"/>
      <c r="O475" s="323"/>
    </row>
    <row r="476" spans="2:15">
      <c r="B476" s="205" t="str">
        <f ca="1"/>
        <v>MATTITUCK-CUTCHOGUE UFSD</v>
      </c>
      <c r="C476" s="207">
        <f>IF(COUNTIF(CONTROL!$B$52:$B$101,'Funding by District'!D372)&gt;=1,"",ROW()-104)</f>
        <v>372</v>
      </c>
      <c r="N476" s="323"/>
      <c r="O476" s="323"/>
    </row>
    <row r="477" spans="2:15">
      <c r="B477" s="205" t="str">
        <f ca="1"/>
        <v>MAYFIELD CSD</v>
      </c>
      <c r="C477" s="207">
        <f>IF(COUNTIF(CONTROL!$B$52:$B$101,'Funding by District'!D373)&gt;=1,"",ROW()-104)</f>
        <v>373</v>
      </c>
      <c r="N477" s="323"/>
      <c r="O477" s="323"/>
    </row>
    <row r="478" spans="2:15">
      <c r="B478" s="205" t="str">
        <f ca="1"/>
        <v>MCGRAW CSD</v>
      </c>
      <c r="C478" s="207">
        <f>IF(COUNTIF(CONTROL!$B$52:$B$101,'Funding by District'!D374)&gt;=1,"",ROW()-104)</f>
        <v>374</v>
      </c>
      <c r="N478" s="323"/>
      <c r="O478" s="323"/>
    </row>
    <row r="479" spans="2:15">
      <c r="B479" s="205" t="str">
        <f ca="1"/>
        <v>MECHANICVILLE CITY SD</v>
      </c>
      <c r="C479" s="207">
        <f>IF(COUNTIF(CONTROL!$B$52:$B$101,'Funding by District'!D375)&gt;=1,"",ROW()-104)</f>
        <v>375</v>
      </c>
      <c r="N479" s="323"/>
      <c r="O479" s="323"/>
    </row>
    <row r="480" spans="2:15">
      <c r="B480" s="205" t="str">
        <f ca="1"/>
        <v>MEDINA CSD</v>
      </c>
      <c r="C480" s="207">
        <f>IF(COUNTIF(CONTROL!$B$52:$B$101,'Funding by District'!D376)&gt;=1,"",ROW()-104)</f>
        <v>376</v>
      </c>
      <c r="N480" s="323"/>
      <c r="O480" s="323"/>
    </row>
    <row r="481" spans="2:15">
      <c r="B481" s="205" t="str">
        <f ca="1"/>
        <v>MENANDS UFSD</v>
      </c>
      <c r="C481" s="207">
        <f>IF(COUNTIF(CONTROL!$B$52:$B$101,'Funding by District'!D377)&gt;=1,"",ROW()-104)</f>
        <v>377</v>
      </c>
      <c r="N481" s="323"/>
      <c r="O481" s="323"/>
    </row>
    <row r="482" spans="2:15">
      <c r="B482" s="205" t="str">
        <f ca="1"/>
        <v>MERRICK UFSD</v>
      </c>
      <c r="C482" s="207">
        <f>IF(COUNTIF(CONTROL!$B$52:$B$101,'Funding by District'!D378)&gt;=1,"",ROW()-104)</f>
        <v>378</v>
      </c>
      <c r="N482" s="323"/>
      <c r="O482" s="323"/>
    </row>
    <row r="483" spans="2:15">
      <c r="B483" s="205" t="str">
        <f ca="1"/>
        <v>MEXICO CSD</v>
      </c>
      <c r="C483" s="207">
        <f>IF(COUNTIF(CONTROL!$B$52:$B$101,'Funding by District'!D379)&gt;=1,"",ROW()-104)</f>
        <v>379</v>
      </c>
      <c r="N483" s="323"/>
      <c r="O483" s="323"/>
    </row>
    <row r="484" spans="2:15">
      <c r="B484" s="205" t="str">
        <f ca="1"/>
        <v>MIDDLE COUNTRY CSD</v>
      </c>
      <c r="C484" s="207">
        <f>IF(COUNTIF(CONTROL!$B$52:$B$101,'Funding by District'!D380)&gt;=1,"",ROW()-104)</f>
        <v>380</v>
      </c>
      <c r="N484" s="323"/>
      <c r="O484" s="323"/>
    </row>
    <row r="485" spans="2:15">
      <c r="B485" s="205" t="str">
        <f ca="1"/>
        <v>MIDDLEBURGH CSD</v>
      </c>
      <c r="C485" s="207">
        <f>IF(COUNTIF(CONTROL!$B$52:$B$101,'Funding by District'!D381)&gt;=1,"",ROW()-104)</f>
        <v>381</v>
      </c>
      <c r="N485" s="323"/>
      <c r="O485" s="323"/>
    </row>
    <row r="486" spans="2:15">
      <c r="B486" s="205" t="str">
        <f ca="1"/>
        <v>MIDDLETOWN CITY SD</v>
      </c>
      <c r="C486" s="207">
        <f>IF(COUNTIF(CONTROL!$B$52:$B$101,'Funding by District'!D382)&gt;=1,"",ROW()-104)</f>
        <v>382</v>
      </c>
      <c r="N486" s="323"/>
      <c r="O486" s="323"/>
    </row>
    <row r="487" spans="2:15">
      <c r="B487" s="205" t="str">
        <f ca="1"/>
        <v>MILFORD CSD</v>
      </c>
      <c r="C487" s="207">
        <f>IF(COUNTIF(CONTROL!$B$52:$B$101,'Funding by District'!D383)&gt;=1,"",ROW()-104)</f>
        <v>383</v>
      </c>
      <c r="N487" s="323"/>
      <c r="O487" s="323"/>
    </row>
    <row r="488" spans="2:15">
      <c r="B488" s="205" t="str">
        <f ca="1"/>
        <v>MILLBROOK CSD</v>
      </c>
      <c r="C488" s="207">
        <f>IF(COUNTIF(CONTROL!$B$52:$B$101,'Funding by District'!D384)&gt;=1,"",ROW()-104)</f>
        <v>384</v>
      </c>
      <c r="N488" s="323"/>
      <c r="O488" s="323"/>
    </row>
    <row r="489" spans="2:15">
      <c r="B489" s="205" t="str">
        <f ca="1"/>
        <v>MILLER PLACE UFSD</v>
      </c>
      <c r="C489" s="207">
        <f>IF(COUNTIF(CONTROL!$B$52:$B$101,'Funding by District'!D385)&gt;=1,"",ROW()-104)</f>
        <v>385</v>
      </c>
      <c r="N489" s="323"/>
      <c r="O489" s="323"/>
    </row>
    <row r="490" spans="2:15">
      <c r="B490" s="205" t="str">
        <f ca="1"/>
        <v>MINEOLA UFSD</v>
      </c>
      <c r="C490" s="207">
        <f>IF(COUNTIF(CONTROL!$B$52:$B$101,'Funding by District'!D386)&gt;=1,"",ROW()-104)</f>
        <v>386</v>
      </c>
      <c r="N490" s="323"/>
      <c r="O490" s="323"/>
    </row>
    <row r="491" spans="2:15">
      <c r="B491" s="205" t="str">
        <f ca="1"/>
        <v>MINERVA CSD</v>
      </c>
      <c r="C491" s="207">
        <f>IF(COUNTIF(CONTROL!$B$52:$B$101,'Funding by District'!D387)&gt;=1,"",ROW()-104)</f>
        <v>387</v>
      </c>
      <c r="N491" s="323"/>
      <c r="O491" s="323"/>
    </row>
    <row r="492" spans="2:15">
      <c r="B492" s="205" t="str">
        <f ca="1"/>
        <v>MINISINK VALLEY CSD</v>
      </c>
      <c r="C492" s="207">
        <f>IF(COUNTIF(CONTROL!$B$52:$B$101,'Funding by District'!D388)&gt;=1,"",ROW()-104)</f>
        <v>388</v>
      </c>
      <c r="N492" s="323"/>
      <c r="O492" s="323"/>
    </row>
    <row r="493" spans="2:15">
      <c r="B493" s="205" t="str">
        <f ca="1"/>
        <v>MONROE-WOODBURY CSD</v>
      </c>
      <c r="C493" s="207">
        <f>IF(COUNTIF(CONTROL!$B$52:$B$101,'Funding by District'!D389)&gt;=1,"",ROW()-104)</f>
        <v>389</v>
      </c>
      <c r="N493" s="323"/>
      <c r="O493" s="323"/>
    </row>
    <row r="494" spans="2:15">
      <c r="B494" s="205" t="str">
        <f ca="1"/>
        <v>MONTAUK UFSD</v>
      </c>
      <c r="C494" s="207">
        <f>IF(COUNTIF(CONTROL!$B$52:$B$101,'Funding by District'!D390)&gt;=1,"",ROW()-104)</f>
        <v>390</v>
      </c>
      <c r="N494" s="323"/>
      <c r="O494" s="323"/>
    </row>
    <row r="495" spans="2:15">
      <c r="B495" s="205" t="str">
        <f ca="1"/>
        <v>MONTICELLO CSD</v>
      </c>
      <c r="C495" s="207">
        <f>IF(COUNTIF(CONTROL!$B$52:$B$101,'Funding by District'!D391)&gt;=1,"",ROW()-104)</f>
        <v>391</v>
      </c>
      <c r="N495" s="323"/>
      <c r="O495" s="323"/>
    </row>
    <row r="496" spans="2:15">
      <c r="B496" s="205" t="str">
        <f ca="1"/>
        <v>MORAVIA CSD</v>
      </c>
      <c r="C496" s="207">
        <f>IF(COUNTIF(CONTROL!$B$52:$B$101,'Funding by District'!D392)&gt;=1,"",ROW()-104)</f>
        <v>392</v>
      </c>
      <c r="N496" s="323"/>
      <c r="O496" s="323"/>
    </row>
    <row r="497" spans="2:15">
      <c r="B497" s="205" t="str">
        <f ca="1"/>
        <v>MORIAH CSD</v>
      </c>
      <c r="C497" s="207">
        <f>IF(COUNTIF(CONTROL!$B$52:$B$101,'Funding by District'!D393)&gt;=1,"",ROW()-104)</f>
        <v>393</v>
      </c>
      <c r="N497" s="323"/>
      <c r="O497" s="323"/>
    </row>
    <row r="498" spans="2:15">
      <c r="B498" s="205" t="str">
        <f ca="1"/>
        <v>MORRIS CSD</v>
      </c>
      <c r="C498" s="207">
        <f>IF(COUNTIF(CONTROL!$B$52:$B$101,'Funding by District'!D394)&gt;=1,"",ROW()-104)</f>
        <v>394</v>
      </c>
      <c r="N498" s="323"/>
      <c r="O498" s="323"/>
    </row>
    <row r="499" spans="2:15">
      <c r="B499" s="205" t="str">
        <f ca="1"/>
        <v>MORRISTOWN CSD</v>
      </c>
      <c r="C499" s="207">
        <f>IF(COUNTIF(CONTROL!$B$52:$B$101,'Funding by District'!D395)&gt;=1,"",ROW()-104)</f>
        <v>395</v>
      </c>
      <c r="N499" s="323"/>
      <c r="O499" s="323"/>
    </row>
    <row r="500" spans="2:15">
      <c r="B500" s="205" t="str">
        <f ca="1"/>
        <v>MORRISVILLE-EATON CSD</v>
      </c>
      <c r="C500" s="207">
        <f>IF(COUNTIF(CONTROL!$B$52:$B$101,'Funding by District'!D396)&gt;=1,"",ROW()-104)</f>
        <v>396</v>
      </c>
      <c r="N500" s="323"/>
      <c r="O500" s="323"/>
    </row>
    <row r="501" spans="2:15">
      <c r="B501" s="205" t="str">
        <f ca="1"/>
        <v>MOUNT MARKHAM CSD</v>
      </c>
      <c r="C501" s="207">
        <f>IF(COUNTIF(CONTROL!$B$52:$B$101,'Funding by District'!D397)&gt;=1,"",ROW()-104)</f>
        <v>397</v>
      </c>
      <c r="N501" s="323"/>
      <c r="O501" s="323"/>
    </row>
    <row r="502" spans="2:15">
      <c r="B502" s="205" t="str">
        <f ca="1"/>
        <v>MT MORRIS CSD</v>
      </c>
      <c r="C502" s="207">
        <f>IF(COUNTIF(CONTROL!$B$52:$B$101,'Funding by District'!D398)&gt;=1,"",ROW()-104)</f>
        <v>398</v>
      </c>
      <c r="N502" s="323"/>
      <c r="O502" s="323"/>
    </row>
    <row r="503" spans="2:15">
      <c r="B503" s="205" t="str">
        <f ca="1"/>
        <v>MT PLEASANT CSD</v>
      </c>
      <c r="C503" s="207">
        <f>IF(COUNTIF(CONTROL!$B$52:$B$101,'Funding by District'!D399)&gt;=1,"",ROW()-104)</f>
        <v>399</v>
      </c>
      <c r="N503" s="323"/>
      <c r="O503" s="323"/>
    </row>
    <row r="504" spans="2:15">
      <c r="B504" s="205" t="str">
        <f ca="1"/>
        <v>MT SINAI UFSD</v>
      </c>
      <c r="C504" s="207">
        <f>IF(COUNTIF(CONTROL!$B$52:$B$101,'Funding by District'!D400)&gt;=1,"",ROW()-104)</f>
        <v>400</v>
      </c>
      <c r="N504" s="323"/>
      <c r="O504" s="323"/>
    </row>
    <row r="505" spans="2:15">
      <c r="B505" s="205" t="str">
        <f ca="1"/>
        <v>MT VERNON SCHOOL DISTRICT</v>
      </c>
      <c r="C505" s="207">
        <f>IF(COUNTIF(CONTROL!$B$52:$B$101,'Funding by District'!D401)&gt;=1,"",ROW()-104)</f>
        <v>401</v>
      </c>
      <c r="N505" s="323"/>
      <c r="O505" s="323"/>
    </row>
    <row r="506" spans="2:15">
      <c r="B506" s="205" t="str">
        <f ca="1"/>
        <v>NANUET UFSD</v>
      </c>
      <c r="C506" s="207">
        <f>IF(COUNTIF(CONTROL!$B$52:$B$101,'Funding by District'!D402)&gt;=1,"",ROW()-104)</f>
        <v>402</v>
      </c>
      <c r="N506" s="323"/>
      <c r="O506" s="323"/>
    </row>
    <row r="507" spans="2:15">
      <c r="B507" s="205" t="str">
        <f ca="1"/>
        <v>NAPLES CSD</v>
      </c>
      <c r="C507" s="207">
        <f>IF(COUNTIF(CONTROL!$B$52:$B$101,'Funding by District'!D403)&gt;=1,"",ROW()-104)</f>
        <v>403</v>
      </c>
      <c r="N507" s="323"/>
      <c r="O507" s="323"/>
    </row>
    <row r="508" spans="2:15">
      <c r="B508" s="205" t="str">
        <f ca="1"/>
        <v>NEW HARTFORD CSD</v>
      </c>
      <c r="C508" s="207">
        <f>IF(COUNTIF(CONTROL!$B$52:$B$101,'Funding by District'!D404)&gt;=1,"",ROW()-104)</f>
        <v>404</v>
      </c>
      <c r="N508" s="323"/>
      <c r="O508" s="323"/>
    </row>
    <row r="509" spans="2:15">
      <c r="B509" s="205" t="str">
        <f ca="1"/>
        <v>NEW HYDE PARK-GARDEN CITY PARK UFSD</v>
      </c>
      <c r="C509" s="207">
        <f>IF(COUNTIF(CONTROL!$B$52:$B$101,'Funding by District'!D405)&gt;=1,"",ROW()-104)</f>
        <v>405</v>
      </c>
      <c r="N509" s="323"/>
      <c r="O509" s="323"/>
    </row>
    <row r="510" spans="2:15">
      <c r="B510" s="205" t="str">
        <f ca="1"/>
        <v>NEW LEBANON CSD</v>
      </c>
      <c r="C510" s="207">
        <f>IF(COUNTIF(CONTROL!$B$52:$B$101,'Funding by District'!D406)&gt;=1,"",ROW()-104)</f>
        <v>406</v>
      </c>
      <c r="N510" s="323"/>
      <c r="O510" s="323"/>
    </row>
    <row r="511" spans="2:15">
      <c r="B511" s="205" t="str">
        <f ca="1"/>
        <v>NEW PALTZ CSD</v>
      </c>
      <c r="C511" s="207">
        <f>IF(COUNTIF(CONTROL!$B$52:$B$101,'Funding by District'!D407)&gt;=1,"",ROW()-104)</f>
        <v>407</v>
      </c>
      <c r="N511" s="323"/>
      <c r="O511" s="323"/>
    </row>
    <row r="512" spans="2:15">
      <c r="B512" s="205" t="str">
        <f ca="1"/>
        <v>NEW ROCHELLE CITY SD</v>
      </c>
      <c r="C512" s="207">
        <f>IF(COUNTIF(CONTROL!$B$52:$B$101,'Funding by District'!D408)&gt;=1,"",ROW()-104)</f>
        <v>408</v>
      </c>
      <c r="N512" s="323"/>
      <c r="O512" s="323"/>
    </row>
    <row r="513" spans="2:15">
      <c r="B513" s="205" t="str">
        <f ca="1"/>
        <v>NEW SUFFOLK COMN SD</v>
      </c>
      <c r="C513" s="207">
        <f>IF(COUNTIF(CONTROL!$B$52:$B$101,'Funding by District'!D409)&gt;=1,"",ROW()-104)</f>
        <v>409</v>
      </c>
      <c r="N513" s="323"/>
      <c r="O513" s="323"/>
    </row>
    <row r="514" spans="2:15">
      <c r="B514" s="205" t="str">
        <f ca="1"/>
        <v>NEWARK CSD</v>
      </c>
      <c r="C514" s="207">
        <f>IF(COUNTIF(CONTROL!$B$52:$B$101,'Funding by District'!D410)&gt;=1,"",ROW()-104)</f>
        <v>410</v>
      </c>
      <c r="N514" s="323"/>
      <c r="O514" s="323"/>
    </row>
    <row r="515" spans="2:15">
      <c r="B515" s="205" t="str">
        <f ca="1"/>
        <v>NEWARK VALLEY CSD</v>
      </c>
      <c r="C515" s="207">
        <f>IF(COUNTIF(CONTROL!$B$52:$B$101,'Funding by District'!D411)&gt;=1,"",ROW()-104)</f>
        <v>411</v>
      </c>
      <c r="N515" s="323"/>
      <c r="O515" s="323"/>
    </row>
    <row r="516" spans="2:15">
      <c r="B516" s="205" t="str">
        <f ca="1"/>
        <v>NEWBURGH CITY SD</v>
      </c>
      <c r="C516" s="207">
        <f>IF(COUNTIF(CONTROL!$B$52:$B$101,'Funding by District'!D412)&gt;=1,"",ROW()-104)</f>
        <v>412</v>
      </c>
      <c r="N516" s="323"/>
      <c r="O516" s="323"/>
    </row>
    <row r="517" spans="2:15">
      <c r="B517" s="205" t="str">
        <f ca="1"/>
        <v>NEWCOMB CSD</v>
      </c>
      <c r="C517" s="207">
        <f>IF(COUNTIF(CONTROL!$B$52:$B$101,'Funding by District'!D413)&gt;=1,"",ROW()-104)</f>
        <v>413</v>
      </c>
      <c r="N517" s="323"/>
      <c r="O517" s="323"/>
    </row>
    <row r="518" spans="2:15">
      <c r="B518" s="205" t="str">
        <f ca="1"/>
        <v>NEWFANE CSD</v>
      </c>
      <c r="C518" s="207">
        <f>IF(COUNTIF(CONTROL!$B$52:$B$101,'Funding by District'!D414)&gt;=1,"",ROW()-104)</f>
        <v>414</v>
      </c>
      <c r="N518" s="323"/>
      <c r="O518" s="323"/>
    </row>
    <row r="519" spans="2:15">
      <c r="B519" s="205" t="str">
        <f ca="1"/>
        <v>NEWFIELD CSD</v>
      </c>
      <c r="C519" s="207">
        <f>IF(COUNTIF(CONTROL!$B$52:$B$101,'Funding by District'!D415)&gt;=1,"",ROW()-104)</f>
        <v>415</v>
      </c>
      <c r="N519" s="323"/>
      <c r="O519" s="323"/>
    </row>
    <row r="520" spans="2:15">
      <c r="B520" s="205" t="str">
        <f ca="1"/>
        <v>NIAGARA FALLS CITY SD</v>
      </c>
      <c r="C520" s="207">
        <f>IF(COUNTIF(CONTROL!$B$52:$B$101,'Funding by District'!D416)&gt;=1,"",ROW()-104)</f>
        <v>416</v>
      </c>
      <c r="N520" s="323"/>
      <c r="O520" s="323"/>
    </row>
    <row r="521" spans="2:15">
      <c r="B521" s="205" t="str">
        <f ca="1"/>
        <v>NIAGARA-WHEATFIELD CSD</v>
      </c>
      <c r="C521" s="207">
        <f>IF(COUNTIF(CONTROL!$B$52:$B$101,'Funding by District'!D417)&gt;=1,"",ROW()-104)</f>
        <v>417</v>
      </c>
      <c r="N521" s="323"/>
      <c r="O521" s="323"/>
    </row>
    <row r="522" spans="2:15">
      <c r="B522" s="205" t="str">
        <f ca="1"/>
        <v>NISKAYUNA CSD</v>
      </c>
      <c r="C522" s="207">
        <f>IF(COUNTIF(CONTROL!$B$52:$B$101,'Funding by District'!D418)&gt;=1,"",ROW()-104)</f>
        <v>418</v>
      </c>
      <c r="N522" s="323"/>
      <c r="O522" s="323"/>
    </row>
    <row r="523" spans="2:15">
      <c r="B523" s="205" t="str">
        <f ca="1"/>
        <v>NORTH BABYLON UFSD</v>
      </c>
      <c r="C523" s="207">
        <f>IF(COUNTIF(CONTROL!$B$52:$B$101,'Funding by District'!D419)&gt;=1,"",ROW()-104)</f>
        <v>419</v>
      </c>
      <c r="N523" s="323"/>
      <c r="O523" s="323"/>
    </row>
    <row r="524" spans="2:15">
      <c r="B524" s="205" t="str">
        <f ca="1"/>
        <v>NORTH BELLMORE UFSD</v>
      </c>
      <c r="C524" s="207">
        <f>IF(COUNTIF(CONTROL!$B$52:$B$101,'Funding by District'!D420)&gt;=1,"",ROW()-104)</f>
        <v>420</v>
      </c>
      <c r="N524" s="323"/>
      <c r="O524" s="323"/>
    </row>
    <row r="525" spans="2:15">
      <c r="B525" s="205" t="str">
        <f ca="1"/>
        <v>NORTH COLLINS CSD</v>
      </c>
      <c r="C525" s="207">
        <f>IF(COUNTIF(CONTROL!$B$52:$B$101,'Funding by District'!D421)&gt;=1,"",ROW()-104)</f>
        <v>421</v>
      </c>
      <c r="N525" s="323"/>
      <c r="O525" s="323"/>
    </row>
    <row r="526" spans="2:15">
      <c r="B526" s="205" t="str">
        <f ca="1"/>
        <v>NORTH COLONIE CSD</v>
      </c>
      <c r="C526" s="207">
        <f>IF(COUNTIF(CONTROL!$B$52:$B$101,'Funding by District'!D422)&gt;=1,"",ROW()-104)</f>
        <v>422</v>
      </c>
      <c r="N526" s="323"/>
      <c r="O526" s="323"/>
    </row>
    <row r="527" spans="2:15">
      <c r="B527" s="205" t="str">
        <f ca="1"/>
        <v>NORTH GREENBUSH COMN SD (WILLIAMS)</v>
      </c>
      <c r="C527" s="207">
        <f>IF(COUNTIF(CONTROL!$B$52:$B$101,'Funding by District'!D423)&gt;=1,"",ROW()-104)</f>
        <v>423</v>
      </c>
      <c r="N527" s="323"/>
      <c r="O527" s="323"/>
    </row>
    <row r="528" spans="2:15">
      <c r="B528" s="205" t="str">
        <f ca="1"/>
        <v>NORTH MERRICK UFSD</v>
      </c>
      <c r="C528" s="207">
        <f>IF(COUNTIF(CONTROL!$B$52:$B$101,'Funding by District'!D424)&gt;=1,"",ROW()-104)</f>
        <v>424</v>
      </c>
      <c r="N528" s="323"/>
      <c r="O528" s="323"/>
    </row>
    <row r="529" spans="2:15">
      <c r="B529" s="205" t="str">
        <f ca="1"/>
        <v>NORTH ROSE-WOLCOTT CSD</v>
      </c>
      <c r="C529" s="207">
        <f>IF(COUNTIF(CONTROL!$B$52:$B$101,'Funding by District'!D425)&gt;=1,"",ROW()-104)</f>
        <v>425</v>
      </c>
      <c r="N529" s="323"/>
      <c r="O529" s="323"/>
    </row>
    <row r="530" spans="2:15">
      <c r="B530" s="205" t="str">
        <f ca="1"/>
        <v>NORTH SALEM CSD</v>
      </c>
      <c r="C530" s="207">
        <f>IF(COUNTIF(CONTROL!$B$52:$B$101,'Funding by District'!D426)&gt;=1,"",ROW()-104)</f>
        <v>426</v>
      </c>
      <c r="N530" s="323"/>
      <c r="O530" s="323"/>
    </row>
    <row r="531" spans="2:15">
      <c r="B531" s="205" t="str">
        <f ca="1"/>
        <v>NORTH SHORE CSD</v>
      </c>
      <c r="C531" s="207">
        <f>IF(COUNTIF(CONTROL!$B$52:$B$101,'Funding by District'!D427)&gt;=1,"",ROW()-104)</f>
        <v>427</v>
      </c>
      <c r="N531" s="323"/>
      <c r="O531" s="323"/>
    </row>
    <row r="532" spans="2:15">
      <c r="B532" s="205" t="str">
        <f ca="1"/>
        <v>NORTH SYRACUSE CSD</v>
      </c>
      <c r="C532" s="207">
        <f>IF(COUNTIF(CONTROL!$B$52:$B$101,'Funding by District'!D428)&gt;=1,"",ROW()-104)</f>
        <v>428</v>
      </c>
      <c r="N532" s="323"/>
      <c r="O532" s="323"/>
    </row>
    <row r="533" spans="2:15">
      <c r="B533" s="205" t="str">
        <f ca="1"/>
        <v>NORTH TONAWANDA CITY SD</v>
      </c>
      <c r="C533" s="207">
        <f>IF(COUNTIF(CONTROL!$B$52:$B$101,'Funding by District'!D429)&gt;=1,"",ROW()-104)</f>
        <v>429</v>
      </c>
      <c r="N533" s="323"/>
      <c r="O533" s="323"/>
    </row>
    <row r="534" spans="2:15">
      <c r="B534" s="205" t="str">
        <f ca="1"/>
        <v>NORTH WARREN CSD</v>
      </c>
      <c r="C534" s="207">
        <f>IF(COUNTIF(CONTROL!$B$52:$B$101,'Funding by District'!D430)&gt;=1,"",ROW()-104)</f>
        <v>430</v>
      </c>
      <c r="N534" s="323"/>
      <c r="O534" s="323"/>
    </row>
    <row r="535" spans="2:15">
      <c r="B535" s="205" t="str">
        <f ca="1"/>
        <v>NORTHEAST CSD</v>
      </c>
      <c r="C535" s="207">
        <f>IF(COUNTIF(CONTROL!$B$52:$B$101,'Funding by District'!D431)&gt;=1,"",ROW()-104)</f>
        <v>431</v>
      </c>
      <c r="N535" s="323"/>
      <c r="O535" s="323"/>
    </row>
    <row r="536" spans="2:15">
      <c r="B536" s="205" t="str">
        <f ca="1"/>
        <v>NORTHEASTERN CLINTON CSD</v>
      </c>
      <c r="C536" s="207">
        <f>IF(COUNTIF(CONTROL!$B$52:$B$101,'Funding by District'!D432)&gt;=1,"",ROW()-104)</f>
        <v>432</v>
      </c>
      <c r="N536" s="323"/>
      <c r="O536" s="323"/>
    </row>
    <row r="537" spans="2:15">
      <c r="B537" s="205" t="str">
        <f ca="1"/>
        <v>NORTHERN ADIRONDACK CSD</v>
      </c>
      <c r="C537" s="207">
        <f>IF(COUNTIF(CONTROL!$B$52:$B$101,'Funding by District'!D433)&gt;=1,"",ROW()-104)</f>
        <v>433</v>
      </c>
      <c r="N537" s="323"/>
      <c r="O537" s="323"/>
    </row>
    <row r="538" spans="2:15">
      <c r="B538" s="205" t="str">
        <f ca="1"/>
        <v>NORTHPORT-EAST NORTHPORT UFSD</v>
      </c>
      <c r="C538" s="207">
        <f>IF(COUNTIF(CONTROL!$B$52:$B$101,'Funding by District'!D434)&gt;=1,"",ROW()-104)</f>
        <v>434</v>
      </c>
      <c r="N538" s="323"/>
      <c r="O538" s="323"/>
    </row>
    <row r="539" spans="2:15">
      <c r="B539" s="205" t="str">
        <f ca="1"/>
        <v>NORTHVILLE CSD</v>
      </c>
      <c r="C539" s="207">
        <f>IF(COUNTIF(CONTROL!$B$52:$B$101,'Funding by District'!D435)&gt;=1,"",ROW()-104)</f>
        <v>435</v>
      </c>
      <c r="N539" s="323"/>
      <c r="O539" s="323"/>
    </row>
    <row r="540" spans="2:15">
      <c r="B540" s="205" t="str">
        <f ca="1"/>
        <v>NORWICH CITY SD</v>
      </c>
      <c r="C540" s="207">
        <f>IF(COUNTIF(CONTROL!$B$52:$B$101,'Funding by District'!D436)&gt;=1,"",ROW()-104)</f>
        <v>436</v>
      </c>
      <c r="N540" s="323"/>
      <c r="O540" s="323"/>
    </row>
    <row r="541" spans="2:15">
      <c r="B541" s="205" t="str">
        <f ca="1"/>
        <v>NORWOOD-NORFOLK CSD</v>
      </c>
      <c r="C541" s="207">
        <f>IF(COUNTIF(CONTROL!$B$52:$B$101,'Funding by District'!D437)&gt;=1,"",ROW()-104)</f>
        <v>437</v>
      </c>
      <c r="N541" s="323"/>
      <c r="O541" s="323"/>
    </row>
    <row r="542" spans="2:15">
      <c r="B542" s="205" t="str">
        <f ca="1"/>
        <v>NY MILLS UFSD</v>
      </c>
      <c r="C542" s="207">
        <f>IF(COUNTIF(CONTROL!$B$52:$B$101,'Funding by District'!D438)&gt;=1,"",ROW()-104)</f>
        <v>438</v>
      </c>
      <c r="N542" s="323"/>
      <c r="O542" s="323"/>
    </row>
    <row r="543" spans="2:15">
      <c r="B543" s="205" t="str">
        <f ca="1"/>
        <v>NYACK UFSD</v>
      </c>
      <c r="C543" s="207">
        <f>IF(COUNTIF(CONTROL!$B$52:$B$101,'Funding by District'!D439)&gt;=1,"",ROW()-104)</f>
        <v>439</v>
      </c>
      <c r="N543" s="323"/>
      <c r="O543" s="323"/>
    </row>
    <row r="544" spans="2:15">
      <c r="B544" s="205" t="str">
        <f ca="1"/>
        <v>NYC CHANCELLOR'S OFFICE</v>
      </c>
      <c r="C544" s="207">
        <f>IF(COUNTIF(CONTROL!$B$52:$B$101,'Funding by District'!D440)&gt;=1,"",ROW()-104)</f>
        <v>440</v>
      </c>
      <c r="N544" s="323"/>
      <c r="O544" s="323"/>
    </row>
    <row r="545" spans="2:15">
      <c r="B545" s="205" t="str">
        <f ca="1"/>
        <v>OAKFIELD-ALABAMA CSD</v>
      </c>
      <c r="C545" s="207">
        <f>IF(COUNTIF(CONTROL!$B$52:$B$101,'Funding by District'!D441)&gt;=1,"",ROW()-104)</f>
        <v>441</v>
      </c>
      <c r="N545" s="323"/>
      <c r="O545" s="323"/>
    </row>
    <row r="546" spans="2:15">
      <c r="B546" s="205" t="str">
        <f ca="1"/>
        <v>OCEANSIDE UFSD</v>
      </c>
      <c r="C546" s="207">
        <f>IF(COUNTIF(CONTROL!$B$52:$B$101,'Funding by District'!D442)&gt;=1,"",ROW()-104)</f>
        <v>442</v>
      </c>
      <c r="N546" s="323"/>
      <c r="O546" s="323"/>
    </row>
    <row r="547" spans="2:15">
      <c r="B547" s="205" t="str">
        <f ca="1"/>
        <v>ODESSA-MONTOUR CSD</v>
      </c>
      <c r="C547" s="207">
        <f>IF(COUNTIF(CONTROL!$B$52:$B$101,'Funding by District'!D443)&gt;=1,"",ROW()-104)</f>
        <v>443</v>
      </c>
      <c r="N547" s="323"/>
      <c r="O547" s="323"/>
    </row>
    <row r="548" spans="2:15">
      <c r="B548" s="205" t="str">
        <f ca="1"/>
        <v>OGDENSBURG CITY SD</v>
      </c>
      <c r="C548" s="207">
        <f>IF(COUNTIF(CONTROL!$B$52:$B$101,'Funding by District'!D444)&gt;=1,"",ROW()-104)</f>
        <v>444</v>
      </c>
      <c r="N548" s="323"/>
      <c r="O548" s="323"/>
    </row>
    <row r="549" spans="2:15">
      <c r="B549" s="205" t="str">
        <f ca="1"/>
        <v>OLEAN CITY SD</v>
      </c>
      <c r="C549" s="207">
        <f>IF(COUNTIF(CONTROL!$B$52:$B$101,'Funding by District'!D445)&gt;=1,"",ROW()-104)</f>
        <v>445</v>
      </c>
      <c r="N549" s="323"/>
      <c r="O549" s="323"/>
    </row>
    <row r="550" spans="2:15">
      <c r="B550" s="205" t="str">
        <f ca="1"/>
        <v>ONEIDA CITY SD</v>
      </c>
      <c r="C550" s="207">
        <f>IF(COUNTIF(CONTROL!$B$52:$B$101,'Funding by District'!D446)&gt;=1,"",ROW()-104)</f>
        <v>446</v>
      </c>
      <c r="N550" s="323"/>
      <c r="O550" s="323"/>
    </row>
    <row r="551" spans="2:15">
      <c r="B551" s="205" t="str">
        <f ca="1"/>
        <v>ONEONTA CITY SD</v>
      </c>
      <c r="C551" s="207">
        <f>IF(COUNTIF(CONTROL!$B$52:$B$101,'Funding by District'!D447)&gt;=1,"",ROW()-104)</f>
        <v>447</v>
      </c>
      <c r="N551" s="323"/>
      <c r="O551" s="323"/>
    </row>
    <row r="552" spans="2:15">
      <c r="B552" s="205" t="str">
        <f ca="1"/>
        <v>ONONDAGA CSD</v>
      </c>
      <c r="C552" s="207">
        <f>IF(COUNTIF(CONTROL!$B$52:$B$101,'Funding by District'!D448)&gt;=1,"",ROW()-104)</f>
        <v>448</v>
      </c>
      <c r="N552" s="323"/>
      <c r="O552" s="323"/>
    </row>
    <row r="553" spans="2:15">
      <c r="B553" s="205" t="str">
        <f ca="1"/>
        <v>ONTEORA CSD</v>
      </c>
      <c r="C553" s="207">
        <f>IF(COUNTIF(CONTROL!$B$52:$B$101,'Funding by District'!D449)&gt;=1,"",ROW()-104)</f>
        <v>449</v>
      </c>
      <c r="N553" s="323"/>
      <c r="O553" s="323"/>
    </row>
    <row r="554" spans="2:15">
      <c r="B554" s="205" t="str">
        <f ca="1"/>
        <v>OPPENHEIM-EPHRATAH-ST. JOHNSVILLE CSD</v>
      </c>
      <c r="C554" s="207">
        <f>IF(COUNTIF(CONTROL!$B$52:$B$101,'Funding by District'!D450)&gt;=1,"",ROW()-104)</f>
        <v>450</v>
      </c>
      <c r="N554" s="323"/>
      <c r="O554" s="323"/>
    </row>
    <row r="555" spans="2:15">
      <c r="B555" s="205" t="str">
        <f ca="1"/>
        <v>ORCHARD PARK CSD</v>
      </c>
      <c r="C555" s="207">
        <f>IF(COUNTIF(CONTROL!$B$52:$B$101,'Funding by District'!D451)&gt;=1,"",ROW()-104)</f>
        <v>451</v>
      </c>
      <c r="N555" s="323"/>
      <c r="O555" s="323"/>
    </row>
    <row r="556" spans="2:15">
      <c r="B556" s="205" t="str">
        <f ca="1"/>
        <v>ORISKANY CSD</v>
      </c>
      <c r="C556" s="207">
        <f>IF(COUNTIF(CONTROL!$B$52:$B$101,'Funding by District'!D452)&gt;=1,"",ROW()-104)</f>
        <v>452</v>
      </c>
      <c r="N556" s="323"/>
      <c r="O556" s="323"/>
    </row>
    <row r="557" spans="2:15">
      <c r="B557" s="205" t="str">
        <f ca="1"/>
        <v>OSSINING UFSD</v>
      </c>
      <c r="C557" s="207">
        <f>IF(COUNTIF(CONTROL!$B$52:$B$101,'Funding by District'!D453)&gt;=1,"",ROW()-104)</f>
        <v>453</v>
      </c>
      <c r="N557" s="323"/>
      <c r="O557" s="323"/>
    </row>
    <row r="558" spans="2:15">
      <c r="B558" s="205" t="str">
        <f ca="1"/>
        <v>OSWEGO CITY SD</v>
      </c>
      <c r="C558" s="207">
        <f>IF(COUNTIF(CONTROL!$B$52:$B$101,'Funding by District'!D454)&gt;=1,"",ROW()-104)</f>
        <v>454</v>
      </c>
      <c r="N558" s="323"/>
      <c r="O558" s="323"/>
    </row>
    <row r="559" spans="2:15">
      <c r="B559" s="205" t="str">
        <f ca="1"/>
        <v>OTEGO-UNADILLA CSD</v>
      </c>
      <c r="C559" s="207">
        <f>IF(COUNTIF(CONTROL!$B$52:$B$101,'Funding by District'!D455)&gt;=1,"",ROW()-104)</f>
        <v>455</v>
      </c>
      <c r="N559" s="323"/>
      <c r="O559" s="323"/>
    </row>
    <row r="560" spans="2:15">
      <c r="B560" s="205" t="str">
        <f ca="1"/>
        <v>OWEGO-APALACHIN CSD</v>
      </c>
      <c r="C560" s="207">
        <f>IF(COUNTIF(CONTROL!$B$52:$B$101,'Funding by District'!D456)&gt;=1,"",ROW()-104)</f>
        <v>456</v>
      </c>
      <c r="N560" s="323"/>
      <c r="O560" s="323"/>
    </row>
    <row r="561" spans="2:15">
      <c r="B561" s="205" t="str">
        <f ca="1"/>
        <v>OXFORD ACADEMY &amp; CSD</v>
      </c>
      <c r="C561" s="207">
        <f>IF(COUNTIF(CONTROL!$B$52:$B$101,'Funding by District'!D457)&gt;=1,"",ROW()-104)</f>
        <v>457</v>
      </c>
      <c r="N561" s="323"/>
      <c r="O561" s="323"/>
    </row>
    <row r="562" spans="2:15">
      <c r="B562" s="205" t="str">
        <f ca="1"/>
        <v>OYSTER BAY-EAST NORWICH CSD</v>
      </c>
      <c r="C562" s="207">
        <f>IF(COUNTIF(CONTROL!$B$52:$B$101,'Funding by District'!D458)&gt;=1,"",ROW()-104)</f>
        <v>458</v>
      </c>
      <c r="N562" s="323"/>
      <c r="O562" s="323"/>
    </row>
    <row r="563" spans="2:15">
      <c r="B563" s="205" t="str">
        <f ca="1"/>
        <v>OYSTERPONDS UFSD</v>
      </c>
      <c r="C563" s="207">
        <f>IF(COUNTIF(CONTROL!$B$52:$B$101,'Funding by District'!D459)&gt;=1,"",ROW()-104)</f>
        <v>459</v>
      </c>
      <c r="N563" s="323"/>
      <c r="O563" s="323"/>
    </row>
    <row r="564" spans="2:15">
      <c r="B564" s="205" t="str">
        <f ca="1"/>
        <v>PALMYRA-MACEDON CSD</v>
      </c>
      <c r="C564" s="207">
        <f>IF(COUNTIF(CONTROL!$B$52:$B$101,'Funding by District'!D460)&gt;=1,"",ROW()-104)</f>
        <v>460</v>
      </c>
      <c r="N564" s="323"/>
      <c r="O564" s="323"/>
    </row>
    <row r="565" spans="2:15">
      <c r="B565" s="205" t="str">
        <f ca="1"/>
        <v>PANAMA CSD</v>
      </c>
      <c r="C565" s="207">
        <f>IF(COUNTIF(CONTROL!$B$52:$B$101,'Funding by District'!D461)&gt;=1,"",ROW()-104)</f>
        <v>461</v>
      </c>
      <c r="N565" s="323"/>
      <c r="O565" s="323"/>
    </row>
    <row r="566" spans="2:15">
      <c r="B566" s="205" t="str">
        <f ca="1"/>
        <v>PARISHVILLE-HOPKINTON CSD</v>
      </c>
      <c r="C566" s="207">
        <f>IF(COUNTIF(CONTROL!$B$52:$B$101,'Funding by District'!D462)&gt;=1,"",ROW()-104)</f>
        <v>462</v>
      </c>
      <c r="N566" s="323"/>
      <c r="O566" s="323"/>
    </row>
    <row r="567" spans="2:15">
      <c r="B567" s="205" t="str">
        <f ca="1"/>
        <v>PATCHOGUE-MEDFORD UFSD</v>
      </c>
      <c r="C567" s="207">
        <f>IF(COUNTIF(CONTROL!$B$52:$B$101,'Funding by District'!D463)&gt;=1,"",ROW()-104)</f>
        <v>463</v>
      </c>
      <c r="N567" s="323"/>
      <c r="O567" s="323"/>
    </row>
    <row r="568" spans="2:15">
      <c r="B568" s="205" t="str">
        <f ca="1"/>
        <v>PAVILION CSD</v>
      </c>
      <c r="C568" s="207">
        <f>IF(COUNTIF(CONTROL!$B$52:$B$101,'Funding by District'!D464)&gt;=1,"",ROW()-104)</f>
        <v>464</v>
      </c>
      <c r="N568" s="323"/>
      <c r="O568" s="323"/>
    </row>
    <row r="569" spans="2:15">
      <c r="B569" s="205" t="str">
        <f ca="1"/>
        <v>PAWLING CSD</v>
      </c>
      <c r="C569" s="207">
        <f>IF(COUNTIF(CONTROL!$B$52:$B$101,'Funding by District'!D465)&gt;=1,"",ROW()-104)</f>
        <v>465</v>
      </c>
      <c r="N569" s="323"/>
      <c r="O569" s="323"/>
    </row>
    <row r="570" spans="2:15">
      <c r="B570" s="205" t="str">
        <f ca="1"/>
        <v>PEARL RIVER UFSD</v>
      </c>
      <c r="C570" s="207">
        <f>IF(COUNTIF(CONTROL!$B$52:$B$101,'Funding by District'!D466)&gt;=1,"",ROW()-104)</f>
        <v>466</v>
      </c>
      <c r="N570" s="323"/>
      <c r="O570" s="323"/>
    </row>
    <row r="571" spans="2:15">
      <c r="B571" s="205" t="str">
        <f ca="1"/>
        <v>PEEKSKILL CITY SD</v>
      </c>
      <c r="C571" s="207">
        <f>IF(COUNTIF(CONTROL!$B$52:$B$101,'Funding by District'!D467)&gt;=1,"",ROW()-104)</f>
        <v>467</v>
      </c>
      <c r="N571" s="323"/>
      <c r="O571" s="323"/>
    </row>
    <row r="572" spans="2:15">
      <c r="B572" s="205" t="str">
        <f ca="1"/>
        <v>PELHAM UFSD</v>
      </c>
      <c r="C572" s="207">
        <f>IF(COUNTIF(CONTROL!$B$52:$B$101,'Funding by District'!D468)&gt;=1,"",ROW()-104)</f>
        <v>468</v>
      </c>
      <c r="N572" s="323"/>
      <c r="O572" s="323"/>
    </row>
    <row r="573" spans="2:15">
      <c r="B573" s="205" t="str">
        <f ca="1"/>
        <v>PEMBROKE CSD</v>
      </c>
      <c r="C573" s="207">
        <f>IF(COUNTIF(CONTROL!$B$52:$B$101,'Funding by District'!D469)&gt;=1,"",ROW()-104)</f>
        <v>469</v>
      </c>
      <c r="N573" s="323"/>
      <c r="O573" s="323"/>
    </row>
    <row r="574" spans="2:15">
      <c r="B574" s="205" t="str">
        <f ca="1"/>
        <v>PENFIELD CSD</v>
      </c>
      <c r="C574" s="207">
        <f>IF(COUNTIF(CONTROL!$B$52:$B$101,'Funding by District'!D470)&gt;=1,"",ROW()-104)</f>
        <v>470</v>
      </c>
      <c r="N574" s="323"/>
      <c r="O574" s="323"/>
    </row>
    <row r="575" spans="2:15">
      <c r="B575" s="205" t="str">
        <f ca="1"/>
        <v>PENN YAN CSD</v>
      </c>
      <c r="C575" s="207">
        <f>IF(COUNTIF(CONTROL!$B$52:$B$101,'Funding by District'!D471)&gt;=1,"",ROW()-104)</f>
        <v>471</v>
      </c>
      <c r="N575" s="323"/>
      <c r="O575" s="323"/>
    </row>
    <row r="576" spans="2:15">
      <c r="B576" s="205" t="str">
        <f ca="1"/>
        <v>PERRY CSD</v>
      </c>
      <c r="C576" s="207">
        <f>IF(COUNTIF(CONTROL!$B$52:$B$101,'Funding by District'!D472)&gt;=1,"",ROW()-104)</f>
        <v>472</v>
      </c>
      <c r="N576" s="323"/>
      <c r="O576" s="323"/>
    </row>
    <row r="577" spans="2:15">
      <c r="B577" s="205" t="str">
        <f ca="1"/>
        <v>PERU CSD</v>
      </c>
      <c r="C577" s="207">
        <f>IF(COUNTIF(CONTROL!$B$52:$B$101,'Funding by District'!D473)&gt;=1,"",ROW()-104)</f>
        <v>473</v>
      </c>
      <c r="N577" s="323"/>
      <c r="O577" s="323"/>
    </row>
    <row r="578" spans="2:15">
      <c r="B578" s="205" t="str">
        <f ca="1"/>
        <v>PHELPS-CLIFTON SPRINGS CSD</v>
      </c>
      <c r="C578" s="207">
        <f>IF(COUNTIF(CONTROL!$B$52:$B$101,'Funding by District'!D474)&gt;=1,"",ROW()-104)</f>
        <v>474</v>
      </c>
      <c r="N578" s="323"/>
      <c r="O578" s="323"/>
    </row>
    <row r="579" spans="2:15">
      <c r="B579" s="205" t="str">
        <f ca="1"/>
        <v>PHOENIX CSD</v>
      </c>
      <c r="C579" s="207">
        <f>IF(COUNTIF(CONTROL!$B$52:$B$101,'Funding by District'!D475)&gt;=1,"",ROW()-104)</f>
        <v>475</v>
      </c>
      <c r="N579" s="323"/>
      <c r="O579" s="323"/>
    </row>
    <row r="580" spans="2:15">
      <c r="B580" s="205" t="str">
        <f ca="1"/>
        <v>PINE BUSH CSD</v>
      </c>
      <c r="C580" s="207">
        <f>IF(COUNTIF(CONTROL!$B$52:$B$101,'Funding by District'!D476)&gt;=1,"",ROW()-104)</f>
        <v>476</v>
      </c>
      <c r="N580" s="323"/>
      <c r="O580" s="323"/>
    </row>
    <row r="581" spans="2:15">
      <c r="B581" s="205" t="str">
        <f ca="1"/>
        <v>PINE PLAINS CSD</v>
      </c>
      <c r="C581" s="207">
        <f>IF(COUNTIF(CONTROL!$B$52:$B$101,'Funding by District'!D477)&gt;=1,"",ROW()-104)</f>
        <v>477</v>
      </c>
      <c r="N581" s="323"/>
      <c r="O581" s="323"/>
    </row>
    <row r="582" spans="2:15">
      <c r="B582" s="205" t="str">
        <f ca="1"/>
        <v>PINE VALLEY CSD (SOUTH DAYTON)</v>
      </c>
      <c r="C582" s="207">
        <f>IF(COUNTIF(CONTROL!$B$52:$B$101,'Funding by District'!D478)&gt;=1,"",ROW()-104)</f>
        <v>478</v>
      </c>
      <c r="N582" s="323"/>
      <c r="O582" s="323"/>
    </row>
    <row r="583" spans="2:15">
      <c r="B583" s="205" t="str">
        <f ca="1"/>
        <v>PITTSFORD CSD</v>
      </c>
      <c r="C583" s="207">
        <f>IF(COUNTIF(CONTROL!$B$52:$B$101,'Funding by District'!D479)&gt;=1,"",ROW()-104)</f>
        <v>479</v>
      </c>
      <c r="N583" s="323"/>
      <c r="O583" s="323"/>
    </row>
    <row r="584" spans="2:15">
      <c r="B584" s="205" t="str">
        <f ca="1"/>
        <v>PLAINEDGE UFSD</v>
      </c>
      <c r="C584" s="207">
        <f>IF(COUNTIF(CONTROL!$B$52:$B$101,'Funding by District'!D480)&gt;=1,"",ROW()-104)</f>
        <v>480</v>
      </c>
      <c r="N584" s="323"/>
      <c r="O584" s="323"/>
    </row>
    <row r="585" spans="2:15">
      <c r="B585" s="205" t="str">
        <f ca="1"/>
        <v>PLAINVIEW-OLD BETHPAGE CSD</v>
      </c>
      <c r="C585" s="207">
        <f>IF(COUNTIF(CONTROL!$B$52:$B$101,'Funding by District'!D481)&gt;=1,"",ROW()-104)</f>
        <v>481</v>
      </c>
      <c r="N585" s="323"/>
      <c r="O585" s="323"/>
    </row>
    <row r="586" spans="2:15">
      <c r="B586" s="205" t="str">
        <f ca="1"/>
        <v>PLATTSBURGH CITY SD</v>
      </c>
      <c r="C586" s="207">
        <f>IF(COUNTIF(CONTROL!$B$52:$B$101,'Funding by District'!D482)&gt;=1,"",ROW()-104)</f>
        <v>482</v>
      </c>
      <c r="N586" s="323"/>
      <c r="O586" s="323"/>
    </row>
    <row r="587" spans="2:15">
      <c r="B587" s="205" t="str">
        <f ca="1"/>
        <v>PLEASANTVILLE UFSD</v>
      </c>
      <c r="C587" s="207">
        <f>IF(COUNTIF(CONTROL!$B$52:$B$101,'Funding by District'!D483)&gt;=1,"",ROW()-104)</f>
        <v>483</v>
      </c>
      <c r="N587" s="323"/>
      <c r="O587" s="323"/>
    </row>
    <row r="588" spans="2:15">
      <c r="B588" s="205" t="str">
        <f ca="1"/>
        <v>POCANTICO HILLS CSD</v>
      </c>
      <c r="C588" s="207">
        <f>IF(COUNTIF(CONTROL!$B$52:$B$101,'Funding by District'!D484)&gt;=1,"",ROW()-104)</f>
        <v>484</v>
      </c>
      <c r="N588" s="323"/>
      <c r="O588" s="323"/>
    </row>
    <row r="589" spans="2:15">
      <c r="B589" s="205" t="str">
        <f ca="1"/>
        <v>POLAND CSD</v>
      </c>
      <c r="C589" s="207">
        <f>IF(COUNTIF(CONTROL!$B$52:$B$101,'Funding by District'!D485)&gt;=1,"",ROW()-104)</f>
        <v>485</v>
      </c>
      <c r="N589" s="323"/>
      <c r="O589" s="323"/>
    </row>
    <row r="590" spans="2:15">
      <c r="B590" s="205" t="str">
        <f ca="1"/>
        <v>PORT BYRON CSD</v>
      </c>
      <c r="C590" s="207">
        <f>IF(COUNTIF(CONTROL!$B$52:$B$101,'Funding by District'!D486)&gt;=1,"",ROW()-104)</f>
        <v>486</v>
      </c>
      <c r="N590" s="323"/>
      <c r="O590" s="323"/>
    </row>
    <row r="591" spans="2:15">
      <c r="B591" s="205" t="str">
        <f ca="1"/>
        <v>PORT CHESTER-RYE UFSD</v>
      </c>
      <c r="C591" s="207">
        <f>IF(COUNTIF(CONTROL!$B$52:$B$101,'Funding by District'!D487)&gt;=1,"",ROW()-104)</f>
        <v>487</v>
      </c>
      <c r="N591" s="323"/>
      <c r="O591" s="323"/>
    </row>
    <row r="592" spans="2:15">
      <c r="B592" s="205" t="str">
        <f ca="1"/>
        <v>PORT JEFFERSON UFSD</v>
      </c>
      <c r="C592" s="207">
        <f>IF(COUNTIF(CONTROL!$B$52:$B$101,'Funding by District'!D488)&gt;=1,"",ROW()-104)</f>
        <v>488</v>
      </c>
      <c r="N592" s="323"/>
      <c r="O592" s="323"/>
    </row>
    <row r="593" spans="2:15">
      <c r="B593" s="205" t="str">
        <f ca="1"/>
        <v>PORT JERVIS CITY SD</v>
      </c>
      <c r="C593" s="207">
        <f>IF(COUNTIF(CONTROL!$B$52:$B$101,'Funding by District'!D489)&gt;=1,"",ROW()-104)</f>
        <v>489</v>
      </c>
      <c r="N593" s="323"/>
      <c r="O593" s="323"/>
    </row>
    <row r="594" spans="2:15">
      <c r="B594" s="205" t="str">
        <f ca="1"/>
        <v>PORT WASHINGTON UFSD</v>
      </c>
      <c r="C594" s="207">
        <f>IF(COUNTIF(CONTROL!$B$52:$B$101,'Funding by District'!D490)&gt;=1,"",ROW()-104)</f>
        <v>490</v>
      </c>
      <c r="N594" s="323"/>
      <c r="O594" s="323"/>
    </row>
    <row r="595" spans="2:15">
      <c r="B595" s="205" t="str">
        <f ca="1"/>
        <v>PORTVILLE CSD</v>
      </c>
      <c r="C595" s="207">
        <f>IF(COUNTIF(CONTROL!$B$52:$B$101,'Funding by District'!D491)&gt;=1,"",ROW()-104)</f>
        <v>491</v>
      </c>
      <c r="N595" s="323"/>
      <c r="O595" s="323"/>
    </row>
    <row r="596" spans="2:15">
      <c r="B596" s="205" t="str">
        <f ca="1"/>
        <v>POTSDAM CSD</v>
      </c>
      <c r="C596" s="207">
        <f>IF(COUNTIF(CONTROL!$B$52:$B$101,'Funding by District'!D492)&gt;=1,"",ROW()-104)</f>
        <v>492</v>
      </c>
      <c r="N596" s="323"/>
      <c r="O596" s="323"/>
    </row>
    <row r="597" spans="2:15">
      <c r="B597" s="205" t="str">
        <f ca="1"/>
        <v>POUGHKEEPSIE CITY SD</v>
      </c>
      <c r="C597" s="207">
        <f>IF(COUNTIF(CONTROL!$B$52:$B$101,'Funding by District'!D493)&gt;=1,"",ROW()-104)</f>
        <v>493</v>
      </c>
      <c r="N597" s="323"/>
      <c r="O597" s="323"/>
    </row>
    <row r="598" spans="2:15">
      <c r="B598" s="205" t="str">
        <f ca="1"/>
        <v>PRATTSBURGH CSD</v>
      </c>
      <c r="C598" s="207">
        <f>IF(COUNTIF(CONTROL!$B$52:$B$101,'Funding by District'!D494)&gt;=1,"",ROW()-104)</f>
        <v>494</v>
      </c>
      <c r="N598" s="323"/>
      <c r="O598" s="323"/>
    </row>
    <row r="599" spans="2:15">
      <c r="B599" s="205" t="str">
        <f ca="1"/>
        <v>PULASKI CSD</v>
      </c>
      <c r="C599" s="207">
        <f>IF(COUNTIF(CONTROL!$B$52:$B$101,'Funding by District'!D495)&gt;=1,"",ROW()-104)</f>
        <v>495</v>
      </c>
      <c r="N599" s="323"/>
      <c r="O599" s="323"/>
    </row>
    <row r="600" spans="2:15">
      <c r="B600" s="205" t="str">
        <f ca="1"/>
        <v>PUTNAM CSD</v>
      </c>
      <c r="C600" s="207">
        <f>IF(COUNTIF(CONTROL!$B$52:$B$101,'Funding by District'!D496)&gt;=1,"",ROW()-104)</f>
        <v>496</v>
      </c>
      <c r="N600" s="323"/>
      <c r="O600" s="323"/>
    </row>
    <row r="601" spans="2:15">
      <c r="B601" s="205" t="str">
        <f ca="1"/>
        <v>PUTNAM VALLEY CSD</v>
      </c>
      <c r="C601" s="207">
        <f>IF(COUNTIF(CONTROL!$B$52:$B$101,'Funding by District'!D497)&gt;=1,"",ROW()-104)</f>
        <v>497</v>
      </c>
      <c r="N601" s="323"/>
      <c r="O601" s="323"/>
    </row>
    <row r="602" spans="2:15">
      <c r="B602" s="205" t="str">
        <f ca="1"/>
        <v>QUEENSBURY UFSD</v>
      </c>
      <c r="C602" s="207">
        <f>IF(COUNTIF(CONTROL!$B$52:$B$101,'Funding by District'!D498)&gt;=1,"",ROW()-104)</f>
        <v>498</v>
      </c>
      <c r="N602" s="323"/>
      <c r="O602" s="323"/>
    </row>
    <row r="603" spans="2:15">
      <c r="B603" s="205" t="str">
        <f ca="1"/>
        <v>QUOGUE UFSD</v>
      </c>
      <c r="C603" s="207">
        <f>IF(COUNTIF(CONTROL!$B$52:$B$101,'Funding by District'!D499)&gt;=1,"",ROW()-104)</f>
        <v>499</v>
      </c>
      <c r="N603" s="323"/>
      <c r="O603" s="323"/>
    </row>
    <row r="604" spans="2:15">
      <c r="B604" s="205" t="str">
        <f ca="1"/>
        <v>RAMAPO CSD (SUFFERN)</v>
      </c>
      <c r="C604" s="207">
        <f>IF(COUNTIF(CONTROL!$B$52:$B$101,'Funding by District'!D500)&gt;=1,"",ROW()-104)</f>
        <v>500</v>
      </c>
      <c r="N604" s="323"/>
      <c r="O604" s="323"/>
    </row>
    <row r="605" spans="2:15">
      <c r="B605" s="205" t="str">
        <f ca="1"/>
        <v>RANDOLPH CSD</v>
      </c>
      <c r="C605" s="207">
        <f>IF(COUNTIF(CONTROL!$B$52:$B$101,'Funding by District'!D501)&gt;=1,"",ROW()-104)</f>
        <v>501</v>
      </c>
      <c r="N605" s="323"/>
      <c r="O605" s="323"/>
    </row>
    <row r="606" spans="2:15">
      <c r="B606" s="205" t="str">
        <f ca="1"/>
        <v>RAVENA-COEYMANS-SELKIRK CSD</v>
      </c>
      <c r="C606" s="207">
        <f>IF(COUNTIF(CONTROL!$B$52:$B$101,'Funding by District'!D502)&gt;=1,"",ROW()-104)</f>
        <v>502</v>
      </c>
      <c r="N606" s="323"/>
      <c r="O606" s="323"/>
    </row>
    <row r="607" spans="2:15">
      <c r="B607" s="205" t="str">
        <f ca="1"/>
        <v>RED CREEK CSD</v>
      </c>
      <c r="C607" s="207">
        <f>IF(COUNTIF(CONTROL!$B$52:$B$101,'Funding by District'!D503)&gt;=1,"",ROW()-104)</f>
        <v>503</v>
      </c>
      <c r="N607" s="323"/>
      <c r="O607" s="323"/>
    </row>
    <row r="608" spans="2:15">
      <c r="B608" s="205" t="str">
        <f ca="1"/>
        <v>RED HOOK CSD</v>
      </c>
      <c r="C608" s="207">
        <f>IF(COUNTIF(CONTROL!$B$52:$B$101,'Funding by District'!D504)&gt;=1,"",ROW()-104)</f>
        <v>504</v>
      </c>
      <c r="N608" s="323"/>
      <c r="O608" s="323"/>
    </row>
    <row r="609" spans="2:15">
      <c r="B609" s="205" t="str">
        <f ca="1"/>
        <v>REMSEN CSD</v>
      </c>
      <c r="C609" s="207">
        <f>IF(COUNTIF(CONTROL!$B$52:$B$101,'Funding by District'!D505)&gt;=1,"",ROW()-104)</f>
        <v>505</v>
      </c>
      <c r="N609" s="323"/>
      <c r="O609" s="323"/>
    </row>
    <row r="610" spans="2:15">
      <c r="B610" s="205" t="str">
        <f ca="1"/>
        <v>REMSENBURG-SPEONK UFSD</v>
      </c>
      <c r="C610" s="207">
        <f>IF(COUNTIF(CONTROL!$B$52:$B$101,'Funding by District'!D506)&gt;=1,"",ROW()-104)</f>
        <v>506</v>
      </c>
      <c r="N610" s="323"/>
      <c r="O610" s="323"/>
    </row>
    <row r="611" spans="2:15">
      <c r="B611" s="205" t="str">
        <f ca="1"/>
        <v>RENSSELAER CITY SD</v>
      </c>
      <c r="C611" s="207">
        <f>IF(COUNTIF(CONTROL!$B$52:$B$101,'Funding by District'!D507)&gt;=1,"",ROW()-104)</f>
        <v>507</v>
      </c>
      <c r="N611" s="323"/>
      <c r="O611" s="323"/>
    </row>
    <row r="612" spans="2:15">
      <c r="B612" s="205" t="str">
        <f ca="1"/>
        <v>RHINEBECK CSD</v>
      </c>
      <c r="C612" s="207">
        <f>IF(COUNTIF(CONTROL!$B$52:$B$101,'Funding by District'!D508)&gt;=1,"",ROW()-104)</f>
        <v>508</v>
      </c>
      <c r="N612" s="323"/>
      <c r="O612" s="323"/>
    </row>
    <row r="613" spans="2:15">
      <c r="B613" s="205" t="str">
        <f ca="1"/>
        <v>RICHFIELD SPRINGS CSD</v>
      </c>
      <c r="C613" s="207">
        <f>IF(COUNTIF(CONTROL!$B$52:$B$101,'Funding by District'!D509)&gt;=1,"",ROW()-104)</f>
        <v>509</v>
      </c>
      <c r="N613" s="323"/>
      <c r="O613" s="323"/>
    </row>
    <row r="614" spans="2:15">
      <c r="B614" s="205" t="str">
        <f ca="1"/>
        <v>RIPLEY CSD</v>
      </c>
      <c r="C614" s="207">
        <f>IF(COUNTIF(CONTROL!$B$52:$B$101,'Funding by District'!D510)&gt;=1,"",ROW()-104)</f>
        <v>510</v>
      </c>
      <c r="N614" s="323"/>
      <c r="O614" s="323"/>
    </row>
    <row r="615" spans="2:15">
      <c r="B615" s="205" t="str">
        <f ca="1"/>
        <v>RIVERHEAD CSD</v>
      </c>
      <c r="C615" s="207">
        <f>IF(COUNTIF(CONTROL!$B$52:$B$101,'Funding by District'!D511)&gt;=1,"",ROW()-104)</f>
        <v>511</v>
      </c>
      <c r="N615" s="323"/>
      <c r="O615" s="323"/>
    </row>
    <row r="616" spans="2:15">
      <c r="B616" s="205" t="str">
        <f ca="1"/>
        <v>ROCHESTER CITY SD</v>
      </c>
      <c r="C616" s="207">
        <f>IF(COUNTIF(CONTROL!$B$52:$B$101,'Funding by District'!D512)&gt;=1,"",ROW()-104)</f>
        <v>512</v>
      </c>
      <c r="N616" s="323"/>
      <c r="O616" s="323"/>
    </row>
    <row r="617" spans="2:15">
      <c r="B617" s="205" t="str">
        <f ca="1"/>
        <v>ROCKVILLE CENTRE UFSD</v>
      </c>
      <c r="C617" s="207">
        <f>IF(COUNTIF(CONTROL!$B$52:$B$101,'Funding by District'!D513)&gt;=1,"",ROW()-104)</f>
        <v>513</v>
      </c>
      <c r="N617" s="323"/>
      <c r="O617" s="323"/>
    </row>
    <row r="618" spans="2:15">
      <c r="B618" s="205" t="str">
        <f ca="1"/>
        <v>ROCKY POINT UFSD</v>
      </c>
      <c r="C618" s="207">
        <f>IF(COUNTIF(CONTROL!$B$52:$B$101,'Funding by District'!D514)&gt;=1,"",ROW()-104)</f>
        <v>514</v>
      </c>
      <c r="N618" s="323"/>
      <c r="O618" s="323"/>
    </row>
    <row r="619" spans="2:15">
      <c r="B619" s="205" t="str">
        <f ca="1"/>
        <v>ROME CITY SD</v>
      </c>
      <c r="C619" s="207">
        <f>IF(COUNTIF(CONTROL!$B$52:$B$101,'Funding by District'!D515)&gt;=1,"",ROW()-104)</f>
        <v>515</v>
      </c>
      <c r="N619" s="323"/>
      <c r="O619" s="323"/>
    </row>
    <row r="620" spans="2:15">
      <c r="B620" s="205" t="str">
        <f ca="1"/>
        <v>ROMULUS CSD</v>
      </c>
      <c r="C620" s="207">
        <f>IF(COUNTIF(CONTROL!$B$52:$B$101,'Funding by District'!D516)&gt;=1,"",ROW()-104)</f>
        <v>516</v>
      </c>
      <c r="N620" s="323"/>
      <c r="O620" s="323"/>
    </row>
    <row r="621" spans="2:15">
      <c r="B621" s="205" t="str">
        <f ca="1"/>
        <v>RONDOUT VALLEY CSD</v>
      </c>
      <c r="C621" s="207">
        <f>IF(COUNTIF(CONTROL!$B$52:$B$101,'Funding by District'!D517)&gt;=1,"",ROW()-104)</f>
        <v>517</v>
      </c>
      <c r="N621" s="323"/>
      <c r="O621" s="323"/>
    </row>
    <row r="622" spans="2:15">
      <c r="B622" s="205" t="str">
        <f ca="1"/>
        <v>ROOSEVELT UFSD</v>
      </c>
      <c r="C622" s="207">
        <f>IF(COUNTIF(CONTROL!$B$52:$B$101,'Funding by District'!D518)&gt;=1,"",ROW()-104)</f>
        <v>518</v>
      </c>
      <c r="N622" s="323"/>
      <c r="O622" s="323"/>
    </row>
    <row r="623" spans="2:15">
      <c r="B623" s="205" t="str">
        <f ca="1"/>
        <v>ROSCOE CSD</v>
      </c>
      <c r="C623" s="207">
        <f>IF(COUNTIF(CONTROL!$B$52:$B$101,'Funding by District'!D519)&gt;=1,"",ROW()-104)</f>
        <v>519</v>
      </c>
      <c r="N623" s="323"/>
      <c r="O623" s="323"/>
    </row>
    <row r="624" spans="2:15">
      <c r="B624" s="205" t="str">
        <f ca="1"/>
        <v>ROSLYN UFSD</v>
      </c>
      <c r="C624" s="207">
        <f>IF(COUNTIF(CONTROL!$B$52:$B$101,'Funding by District'!D520)&gt;=1,"",ROW()-104)</f>
        <v>520</v>
      </c>
      <c r="N624" s="323"/>
      <c r="O624" s="323"/>
    </row>
    <row r="625" spans="2:15">
      <c r="B625" s="205" t="str">
        <f ca="1"/>
        <v>ROTTERDAM-MOHONASEN CSD</v>
      </c>
      <c r="C625" s="207">
        <f>IF(COUNTIF(CONTROL!$B$52:$B$101,'Funding by District'!D521)&gt;=1,"",ROW()-104)</f>
        <v>521</v>
      </c>
      <c r="N625" s="323"/>
      <c r="O625" s="323"/>
    </row>
    <row r="626" spans="2:15">
      <c r="B626" s="205" t="str">
        <f ca="1"/>
        <v>ROXBURY CSD</v>
      </c>
      <c r="C626" s="207">
        <f>IF(COUNTIF(CONTROL!$B$52:$B$101,'Funding by District'!D522)&gt;=1,"",ROW()-104)</f>
        <v>522</v>
      </c>
      <c r="N626" s="323"/>
      <c r="O626" s="323"/>
    </row>
    <row r="627" spans="2:15">
      <c r="B627" s="205" t="str">
        <f ca="1"/>
        <v>ROYALTON-HARTLAND CSD</v>
      </c>
      <c r="C627" s="207">
        <f>IF(COUNTIF(CONTROL!$B$52:$B$101,'Funding by District'!D523)&gt;=1,"",ROW()-104)</f>
        <v>523</v>
      </c>
      <c r="N627" s="323"/>
      <c r="O627" s="323"/>
    </row>
    <row r="628" spans="2:15">
      <c r="B628" s="205" t="str">
        <f ca="1"/>
        <v>RUSH-HENRIETTA CSD</v>
      </c>
      <c r="C628" s="207">
        <f>IF(COUNTIF(CONTROL!$B$52:$B$101,'Funding by District'!D524)&gt;=1,"",ROW()-104)</f>
        <v>524</v>
      </c>
      <c r="N628" s="323"/>
      <c r="O628" s="323"/>
    </row>
    <row r="629" spans="2:15">
      <c r="B629" s="205" t="str">
        <f ca="1"/>
        <v>RYE CITY SD</v>
      </c>
      <c r="C629" s="207">
        <f>IF(COUNTIF(CONTROL!$B$52:$B$101,'Funding by District'!D525)&gt;=1,"",ROW()-104)</f>
        <v>525</v>
      </c>
      <c r="N629" s="323"/>
      <c r="O629" s="323"/>
    </row>
    <row r="630" spans="2:15">
      <c r="B630" s="205" t="str">
        <f ca="1"/>
        <v>RYE NECK UFSD</v>
      </c>
      <c r="C630" s="207">
        <f>IF(COUNTIF(CONTROL!$B$52:$B$101,'Funding by District'!D526)&gt;=1,"",ROW()-104)</f>
        <v>526</v>
      </c>
      <c r="N630" s="323"/>
      <c r="O630" s="323"/>
    </row>
    <row r="631" spans="2:15">
      <c r="B631" s="205" t="str">
        <f ca="1"/>
        <v>SACHEM CSD</v>
      </c>
      <c r="C631" s="207">
        <f>IF(COUNTIF(CONTROL!$B$52:$B$101,'Funding by District'!D527)&gt;=1,"",ROW()-104)</f>
        <v>527</v>
      </c>
      <c r="N631" s="323"/>
      <c r="O631" s="323"/>
    </row>
    <row r="632" spans="2:15">
      <c r="B632" s="205" t="str">
        <f ca="1"/>
        <v>SACKETS HARBOR CSD</v>
      </c>
      <c r="C632" s="207">
        <f>IF(COUNTIF(CONTROL!$B$52:$B$101,'Funding by District'!D528)&gt;=1,"",ROW()-104)</f>
        <v>528</v>
      </c>
      <c r="N632" s="323"/>
      <c r="O632" s="323"/>
    </row>
    <row r="633" spans="2:15">
      <c r="B633" s="205" t="str">
        <f ca="1"/>
        <v>SAG HARBOR UFSD</v>
      </c>
      <c r="C633" s="207">
        <f>IF(COUNTIF(CONTROL!$B$52:$B$101,'Funding by District'!D529)&gt;=1,"",ROW()-104)</f>
        <v>529</v>
      </c>
      <c r="N633" s="323"/>
      <c r="O633" s="323"/>
    </row>
    <row r="634" spans="2:15">
      <c r="B634" s="205" t="str">
        <f ca="1"/>
        <v>SAGAPONACK COMN SD</v>
      </c>
      <c r="C634" s="207">
        <f>IF(COUNTIF(CONTROL!$B$52:$B$101,'Funding by District'!D530)&gt;=1,"",ROW()-104)</f>
        <v>530</v>
      </c>
      <c r="N634" s="323"/>
      <c r="O634" s="323"/>
    </row>
    <row r="635" spans="2:15">
      <c r="B635" s="205" t="str">
        <f ca="1"/>
        <v>SALAMANCA CITY SD</v>
      </c>
      <c r="C635" s="207">
        <f>IF(COUNTIF(CONTROL!$B$52:$B$101,'Funding by District'!D531)&gt;=1,"",ROW()-104)</f>
        <v>531</v>
      </c>
      <c r="N635" s="323"/>
      <c r="O635" s="323"/>
    </row>
    <row r="636" spans="2:15">
      <c r="B636" s="205" t="str">
        <f ca="1"/>
        <v>SALEM CSD</v>
      </c>
      <c r="C636" s="207">
        <f>IF(COUNTIF(CONTROL!$B$52:$B$101,'Funding by District'!D532)&gt;=1,"",ROW()-104)</f>
        <v>532</v>
      </c>
      <c r="N636" s="323"/>
      <c r="O636" s="323"/>
    </row>
    <row r="637" spans="2:15">
      <c r="B637" s="205" t="str">
        <f ca="1"/>
        <v>SALMON RIVER CSD</v>
      </c>
      <c r="C637" s="207">
        <f>IF(COUNTIF(CONTROL!$B$52:$B$101,'Funding by District'!D533)&gt;=1,"",ROW()-104)</f>
        <v>533</v>
      </c>
      <c r="N637" s="323"/>
      <c r="O637" s="323"/>
    </row>
    <row r="638" spans="2:15">
      <c r="B638" s="205" t="str">
        <f ca="1"/>
        <v>SANDY CREEK CSD</v>
      </c>
      <c r="C638" s="207">
        <f>IF(COUNTIF(CONTROL!$B$52:$B$101,'Funding by District'!D534)&gt;=1,"",ROW()-104)</f>
        <v>534</v>
      </c>
      <c r="N638" s="323"/>
      <c r="O638" s="323"/>
    </row>
    <row r="639" spans="2:15">
      <c r="B639" s="205" t="str">
        <f ca="1"/>
        <v>SARANAC CSD</v>
      </c>
      <c r="C639" s="207">
        <f>IF(COUNTIF(CONTROL!$B$52:$B$101,'Funding by District'!D535)&gt;=1,"",ROW()-104)</f>
        <v>535</v>
      </c>
      <c r="N639" s="323"/>
      <c r="O639" s="323"/>
    </row>
    <row r="640" spans="2:15">
      <c r="B640" s="205" t="str">
        <f ca="1"/>
        <v>SARANAC LAKE CSD</v>
      </c>
      <c r="C640" s="207">
        <f>IF(COUNTIF(CONTROL!$B$52:$B$101,'Funding by District'!D536)&gt;=1,"",ROW()-104)</f>
        <v>536</v>
      </c>
      <c r="N640" s="323"/>
      <c r="O640" s="323"/>
    </row>
    <row r="641" spans="2:15">
      <c r="B641" s="205" t="str">
        <f ca="1"/>
        <v>SARATOGA SPRINGS CITY SD</v>
      </c>
      <c r="C641" s="207">
        <f>IF(COUNTIF(CONTROL!$B$52:$B$101,'Funding by District'!D537)&gt;=1,"",ROW()-104)</f>
        <v>537</v>
      </c>
      <c r="N641" s="323"/>
      <c r="O641" s="323"/>
    </row>
    <row r="642" spans="2:15">
      <c r="B642" s="205" t="str">
        <f ca="1"/>
        <v>SAUGERTIES CSD</v>
      </c>
      <c r="C642" s="207">
        <f>IF(COUNTIF(CONTROL!$B$52:$B$101,'Funding by District'!D538)&gt;=1,"",ROW()-104)</f>
        <v>538</v>
      </c>
      <c r="N642" s="323"/>
      <c r="O642" s="323"/>
    </row>
    <row r="643" spans="2:15">
      <c r="B643" s="205" t="str">
        <f ca="1"/>
        <v>SAUQUOIT VALLEY CSD</v>
      </c>
      <c r="C643" s="207">
        <f>IF(COUNTIF(CONTROL!$B$52:$B$101,'Funding by District'!D539)&gt;=1,"",ROW()-104)</f>
        <v>539</v>
      </c>
      <c r="N643" s="323"/>
      <c r="O643" s="323"/>
    </row>
    <row r="644" spans="2:15">
      <c r="B644" s="205" t="str">
        <f ca="1"/>
        <v>SAYVILLE UFSD</v>
      </c>
      <c r="C644" s="207">
        <f>IF(COUNTIF(CONTROL!$B$52:$B$101,'Funding by District'!D540)&gt;=1,"",ROW()-104)</f>
        <v>540</v>
      </c>
      <c r="N644" s="323"/>
      <c r="O644" s="323"/>
    </row>
    <row r="645" spans="2:15">
      <c r="B645" s="205" t="str">
        <f ca="1"/>
        <v>SCARSDALE UFSD</v>
      </c>
      <c r="C645" s="207">
        <f>IF(COUNTIF(CONTROL!$B$52:$B$101,'Funding by District'!D541)&gt;=1,"",ROW()-104)</f>
        <v>541</v>
      </c>
      <c r="N645" s="323"/>
      <c r="O645" s="323"/>
    </row>
    <row r="646" spans="2:15">
      <c r="B646" s="205" t="str">
        <f ca="1"/>
        <v>SCHALMONT CSD</v>
      </c>
      <c r="C646" s="207">
        <f>IF(COUNTIF(CONTROL!$B$52:$B$101,'Funding by District'!D542)&gt;=1,"",ROW()-104)</f>
        <v>542</v>
      </c>
      <c r="N646" s="323"/>
      <c r="O646" s="323"/>
    </row>
    <row r="647" spans="2:15">
      <c r="B647" s="205" t="str">
        <f ca="1"/>
        <v>SCHENECTADY CITY SD</v>
      </c>
      <c r="C647" s="207">
        <f>IF(COUNTIF(CONTROL!$B$52:$B$101,'Funding by District'!D543)&gt;=1,"",ROW()-104)</f>
        <v>543</v>
      </c>
      <c r="N647" s="323"/>
      <c r="O647" s="323"/>
    </row>
    <row r="648" spans="2:15">
      <c r="B648" s="205" t="str">
        <f ca="1"/>
        <v>SCHENEVUS CSD</v>
      </c>
      <c r="C648" s="207">
        <f>IF(COUNTIF(CONTROL!$B$52:$B$101,'Funding by District'!D544)&gt;=1,"",ROW()-104)</f>
        <v>544</v>
      </c>
      <c r="N648" s="323"/>
      <c r="O648" s="323"/>
    </row>
    <row r="649" spans="2:15">
      <c r="B649" s="205" t="str">
        <f ca="1"/>
        <v>SCHODACK CSD</v>
      </c>
      <c r="C649" s="207">
        <f>IF(COUNTIF(CONTROL!$B$52:$B$101,'Funding by District'!D545)&gt;=1,"",ROW()-104)</f>
        <v>545</v>
      </c>
      <c r="N649" s="323"/>
      <c r="O649" s="323"/>
    </row>
    <row r="650" spans="2:15">
      <c r="B650" s="205" t="str">
        <f ca="1"/>
        <v>SCHOHARIE CSD</v>
      </c>
      <c r="C650" s="207">
        <f>IF(COUNTIF(CONTROL!$B$52:$B$101,'Funding by District'!D546)&gt;=1,"",ROW()-104)</f>
        <v>546</v>
      </c>
      <c r="N650" s="323"/>
      <c r="O650" s="323"/>
    </row>
    <row r="651" spans="2:15">
      <c r="B651" s="205" t="str">
        <f ca="1"/>
        <v>SCHROON LAKE CSD</v>
      </c>
      <c r="C651" s="207">
        <f>IF(COUNTIF(CONTROL!$B$52:$B$101,'Funding by District'!D547)&gt;=1,"",ROW()-104)</f>
        <v>547</v>
      </c>
      <c r="N651" s="323"/>
      <c r="O651" s="323"/>
    </row>
    <row r="652" spans="2:15">
      <c r="B652" s="205" t="str">
        <f ca="1"/>
        <v>SCHUYLERVILLE CSD</v>
      </c>
      <c r="C652" s="207">
        <f>IF(COUNTIF(CONTROL!$B$52:$B$101,'Funding by District'!D548)&gt;=1,"",ROW()-104)</f>
        <v>548</v>
      </c>
      <c r="N652" s="323"/>
      <c r="O652" s="323"/>
    </row>
    <row r="653" spans="2:15">
      <c r="B653" s="205" t="str">
        <f ca="1"/>
        <v>SCIO CSD</v>
      </c>
      <c r="C653" s="207">
        <f>IF(COUNTIF(CONTROL!$B$52:$B$101,'Funding by District'!D549)&gt;=1,"",ROW()-104)</f>
        <v>549</v>
      </c>
      <c r="N653" s="323"/>
      <c r="O653" s="323"/>
    </row>
    <row r="654" spans="2:15">
      <c r="B654" s="205" t="str">
        <f ca="1"/>
        <v>SCOTIA-GLENVILLE CSD</v>
      </c>
      <c r="C654" s="207">
        <f>IF(COUNTIF(CONTROL!$B$52:$B$101,'Funding by District'!D550)&gt;=1,"",ROW()-104)</f>
        <v>550</v>
      </c>
      <c r="N654" s="323"/>
      <c r="O654" s="323"/>
    </row>
    <row r="655" spans="2:15">
      <c r="B655" s="205" t="str">
        <f ca="1"/>
        <v>SEAFORD UFSD</v>
      </c>
      <c r="C655" s="207">
        <f>IF(COUNTIF(CONTROL!$B$52:$B$101,'Funding by District'!D551)&gt;=1,"",ROW()-104)</f>
        <v>551</v>
      </c>
      <c r="N655" s="323"/>
      <c r="O655" s="323"/>
    </row>
    <row r="656" spans="2:15">
      <c r="B656" s="205" t="str">
        <f ca="1"/>
        <v>SENECA FALLS CSD</v>
      </c>
      <c r="C656" s="207">
        <f>IF(COUNTIF(CONTROL!$B$52:$B$101,'Funding by District'!D552)&gt;=1,"",ROW()-104)</f>
        <v>552</v>
      </c>
      <c r="N656" s="323"/>
      <c r="O656" s="323"/>
    </row>
    <row r="657" spans="2:15">
      <c r="B657" s="205" t="str">
        <f ca="1"/>
        <v>SEWANHAKA CENTRAL HS DISTRICT</v>
      </c>
      <c r="C657" s="207">
        <f>IF(COUNTIF(CONTROL!$B$52:$B$101,'Funding by District'!D553)&gt;=1,"",ROW()-104)</f>
        <v>553</v>
      </c>
      <c r="N657" s="323"/>
      <c r="O657" s="323"/>
    </row>
    <row r="658" spans="2:15">
      <c r="B658" s="205" t="str">
        <f ca="1"/>
        <v>SHARON SPRINGS CSD</v>
      </c>
      <c r="C658" s="207">
        <f>IF(COUNTIF(CONTROL!$B$52:$B$101,'Funding by District'!D554)&gt;=1,"",ROW()-104)</f>
        <v>554</v>
      </c>
      <c r="N658" s="323"/>
      <c r="O658" s="323"/>
    </row>
    <row r="659" spans="2:15">
      <c r="B659" s="205" t="str">
        <f ca="1"/>
        <v>SHELTER ISLAND UFSD</v>
      </c>
      <c r="C659" s="207">
        <f>IF(COUNTIF(CONTROL!$B$52:$B$101,'Funding by District'!D555)&gt;=1,"",ROW()-104)</f>
        <v>555</v>
      </c>
      <c r="N659" s="323"/>
      <c r="O659" s="323"/>
    </row>
    <row r="660" spans="2:15">
      <c r="B660" s="205" t="str">
        <f ca="1"/>
        <v>SHENENDEHOWA CSD</v>
      </c>
      <c r="C660" s="207">
        <f>IF(COUNTIF(CONTROL!$B$52:$B$101,'Funding by District'!D556)&gt;=1,"",ROW()-104)</f>
        <v>556</v>
      </c>
      <c r="N660" s="323"/>
      <c r="O660" s="323"/>
    </row>
    <row r="661" spans="2:15">
      <c r="B661" s="205" t="str">
        <f ca="1"/>
        <v>SHERBURNE-EARLVILLE CSD</v>
      </c>
      <c r="C661" s="207">
        <f>IF(COUNTIF(CONTROL!$B$52:$B$101,'Funding by District'!D557)&gt;=1,"",ROW()-104)</f>
        <v>557</v>
      </c>
      <c r="N661" s="323"/>
      <c r="O661" s="323"/>
    </row>
    <row r="662" spans="2:15">
      <c r="B662" s="205" t="str">
        <f ca="1"/>
        <v>SHERMAN CSD</v>
      </c>
      <c r="C662" s="207">
        <f>IF(COUNTIF(CONTROL!$B$52:$B$101,'Funding by District'!D558)&gt;=1,"",ROW()-104)</f>
        <v>558</v>
      </c>
      <c r="N662" s="323"/>
      <c r="O662" s="323"/>
    </row>
    <row r="663" spans="2:15">
      <c r="B663" s="205" t="str">
        <f ca="1"/>
        <v>SHERRILL CITY SD</v>
      </c>
      <c r="C663" s="207">
        <f>IF(COUNTIF(CONTROL!$B$52:$B$101,'Funding by District'!D559)&gt;=1,"",ROW()-104)</f>
        <v>559</v>
      </c>
      <c r="N663" s="323"/>
      <c r="O663" s="323"/>
    </row>
    <row r="664" spans="2:15">
      <c r="B664" s="205" t="str">
        <f ca="1"/>
        <v>SHOREHAM-WADING RIVER CSD</v>
      </c>
      <c r="C664" s="207">
        <f>IF(COUNTIF(CONTROL!$B$52:$B$101,'Funding by District'!D560)&gt;=1,"",ROW()-104)</f>
        <v>560</v>
      </c>
      <c r="N664" s="323"/>
      <c r="O664" s="323"/>
    </row>
    <row r="665" spans="2:15">
      <c r="B665" s="205" t="str">
        <f ca="1"/>
        <v>SIDNEY CSD</v>
      </c>
      <c r="C665" s="207">
        <f>IF(COUNTIF(CONTROL!$B$52:$B$101,'Funding by District'!D561)&gt;=1,"",ROW()-104)</f>
        <v>561</v>
      </c>
      <c r="N665" s="323"/>
      <c r="O665" s="323"/>
    </row>
    <row r="666" spans="2:15">
      <c r="B666" s="205" t="str">
        <f ca="1"/>
        <v>SILVER CREEK CSD</v>
      </c>
      <c r="C666" s="207">
        <f>IF(COUNTIF(CONTROL!$B$52:$B$101,'Funding by District'!D562)&gt;=1,"",ROW()-104)</f>
        <v>562</v>
      </c>
      <c r="N666" s="323"/>
      <c r="O666" s="323"/>
    </row>
    <row r="667" spans="2:15">
      <c r="B667" s="205" t="str">
        <f ca="1"/>
        <v>SKANEATELES CSD</v>
      </c>
      <c r="C667" s="207">
        <f>IF(COUNTIF(CONTROL!$B$52:$B$101,'Funding by District'!D563)&gt;=1,"",ROW()-104)</f>
        <v>563</v>
      </c>
      <c r="N667" s="323"/>
      <c r="O667" s="323"/>
    </row>
    <row r="668" spans="2:15">
      <c r="B668" s="205" t="str">
        <f ca="1"/>
        <v>SMITHTOWN CSD</v>
      </c>
      <c r="C668" s="207">
        <f>IF(COUNTIF(CONTROL!$B$52:$B$101,'Funding by District'!D564)&gt;=1,"",ROW()-104)</f>
        <v>564</v>
      </c>
      <c r="N668" s="323"/>
      <c r="O668" s="323"/>
    </row>
    <row r="669" spans="2:15">
      <c r="B669" s="205" t="str">
        <f ca="1"/>
        <v>SODUS CSD</v>
      </c>
      <c r="C669" s="207">
        <f>IF(COUNTIF(CONTROL!$B$52:$B$101,'Funding by District'!D565)&gt;=1,"",ROW()-104)</f>
        <v>565</v>
      </c>
      <c r="N669" s="323"/>
      <c r="O669" s="323"/>
    </row>
    <row r="670" spans="2:15">
      <c r="B670" s="205" t="str">
        <f ca="1"/>
        <v>SOLVAY UFSD</v>
      </c>
      <c r="C670" s="207">
        <f>IF(COUNTIF(CONTROL!$B$52:$B$101,'Funding by District'!D566)&gt;=1,"",ROW()-104)</f>
        <v>566</v>
      </c>
      <c r="N670" s="323"/>
      <c r="O670" s="323"/>
    </row>
    <row r="671" spans="2:15">
      <c r="B671" s="205" t="str">
        <f ca="1"/>
        <v>SOMERS CSD</v>
      </c>
      <c r="C671" s="207">
        <f>IF(COUNTIF(CONTROL!$B$52:$B$101,'Funding by District'!D567)&gt;=1,"",ROW()-104)</f>
        <v>567</v>
      </c>
      <c r="N671" s="323"/>
      <c r="O671" s="323"/>
    </row>
    <row r="672" spans="2:15">
      <c r="B672" s="205" t="str">
        <f ca="1"/>
        <v>SOUTH COLONIE CSD</v>
      </c>
      <c r="C672" s="207">
        <f>IF(COUNTIF(CONTROL!$B$52:$B$101,'Funding by District'!D568)&gt;=1,"",ROW()-104)</f>
        <v>568</v>
      </c>
      <c r="N672" s="323"/>
      <c r="O672" s="323"/>
    </row>
    <row r="673" spans="2:15">
      <c r="B673" s="205" t="str">
        <f ca="1"/>
        <v>SOUTH COUNTRY CSD</v>
      </c>
      <c r="C673" s="207">
        <f>IF(COUNTIF(CONTROL!$B$52:$B$101,'Funding by District'!D569)&gt;=1,"",ROW()-104)</f>
        <v>569</v>
      </c>
      <c r="N673" s="323"/>
      <c r="O673" s="323"/>
    </row>
    <row r="674" spans="2:15">
      <c r="B674" s="205" t="str">
        <f ca="1"/>
        <v>SOUTH GLENS FALLS CSD</v>
      </c>
      <c r="C674" s="207">
        <f>IF(COUNTIF(CONTROL!$B$52:$B$101,'Funding by District'!D570)&gt;=1,"",ROW()-104)</f>
        <v>570</v>
      </c>
      <c r="N674" s="323"/>
      <c r="O674" s="323"/>
    </row>
    <row r="675" spans="2:15">
      <c r="B675" s="205" t="str">
        <f ca="1"/>
        <v>SOUTH HUNTINGTON UFSD</v>
      </c>
      <c r="C675" s="207">
        <f>IF(COUNTIF(CONTROL!$B$52:$B$101,'Funding by District'!D571)&gt;=1,"",ROW()-104)</f>
        <v>571</v>
      </c>
      <c r="N675" s="323"/>
      <c r="O675" s="323"/>
    </row>
    <row r="676" spans="2:15">
      <c r="B676" s="205" t="str">
        <f ca="1"/>
        <v>SOUTH JEFFERSON CSD</v>
      </c>
      <c r="C676" s="207">
        <f>IF(COUNTIF(CONTROL!$B$52:$B$101,'Funding by District'!D572)&gt;=1,"",ROW()-104)</f>
        <v>572</v>
      </c>
      <c r="N676" s="323"/>
      <c r="O676" s="323"/>
    </row>
    <row r="677" spans="2:15">
      <c r="B677" s="205" t="str">
        <f ca="1"/>
        <v>SOUTH KORTRIGHT CSD</v>
      </c>
      <c r="C677" s="207">
        <f>IF(COUNTIF(CONTROL!$B$52:$B$101,'Funding by District'!D573)&gt;=1,"",ROW()-104)</f>
        <v>573</v>
      </c>
      <c r="N677" s="323"/>
      <c r="O677" s="323"/>
    </row>
    <row r="678" spans="2:15">
      <c r="B678" s="205" t="str">
        <f ca="1"/>
        <v>SOUTH LEWIS CSD</v>
      </c>
      <c r="C678" s="207">
        <f>IF(COUNTIF(CONTROL!$B$52:$B$101,'Funding by District'!D574)&gt;=1,"",ROW()-104)</f>
        <v>574</v>
      </c>
      <c r="N678" s="323"/>
      <c r="O678" s="323"/>
    </row>
    <row r="679" spans="2:15">
      <c r="B679" s="205" t="str">
        <f ca="1"/>
        <v>SOUTH ORANGETOWN CSD</v>
      </c>
      <c r="C679" s="207">
        <f>IF(COUNTIF(CONTROL!$B$52:$B$101,'Funding by District'!D575)&gt;=1,"",ROW()-104)</f>
        <v>575</v>
      </c>
      <c r="N679" s="323"/>
      <c r="O679" s="323"/>
    </row>
    <row r="680" spans="2:15">
      <c r="B680" s="205" t="str">
        <f ca="1"/>
        <v>SOUTH SENECA CSD</v>
      </c>
      <c r="C680" s="207">
        <f>IF(COUNTIF(CONTROL!$B$52:$B$101,'Funding by District'!D576)&gt;=1,"",ROW()-104)</f>
        <v>576</v>
      </c>
      <c r="N680" s="323"/>
      <c r="O680" s="323"/>
    </row>
    <row r="681" spans="2:15">
      <c r="B681" s="205" t="str">
        <f ca="1"/>
        <v>SOUTHAMPTON UFSD</v>
      </c>
      <c r="C681" s="207">
        <f>IF(COUNTIF(CONTROL!$B$52:$B$101,'Funding by District'!D577)&gt;=1,"",ROW()-104)</f>
        <v>577</v>
      </c>
      <c r="N681" s="323"/>
      <c r="O681" s="323"/>
    </row>
    <row r="682" spans="2:15">
      <c r="B682" s="205" t="str">
        <f ca="1"/>
        <v>SOUTHERN CAYUGA CSD</v>
      </c>
      <c r="C682" s="207">
        <f>IF(COUNTIF(CONTROL!$B$52:$B$101,'Funding by District'!D578)&gt;=1,"",ROW()-104)</f>
        <v>578</v>
      </c>
      <c r="N682" s="323"/>
      <c r="O682" s="323"/>
    </row>
    <row r="683" spans="2:15">
      <c r="B683" s="205" t="str">
        <f ca="1"/>
        <v>SOUTHOLD UFSD</v>
      </c>
      <c r="C683" s="207">
        <f>IF(COUNTIF(CONTROL!$B$52:$B$101,'Funding by District'!D579)&gt;=1,"",ROW()-104)</f>
        <v>579</v>
      </c>
      <c r="N683" s="323"/>
      <c r="O683" s="323"/>
    </row>
    <row r="684" spans="2:15">
      <c r="B684" s="205" t="str">
        <f ca="1"/>
        <v>SOUTHWESTERN CSD AT JAMESTOWN</v>
      </c>
      <c r="C684" s="207">
        <f>IF(COUNTIF(CONTROL!$B$52:$B$101,'Funding by District'!D580)&gt;=1,"",ROW()-104)</f>
        <v>580</v>
      </c>
      <c r="N684" s="323"/>
      <c r="O684" s="323"/>
    </row>
    <row r="685" spans="2:15">
      <c r="B685" s="205" t="str">
        <f ca="1"/>
        <v>SPACKENKILL UFSD</v>
      </c>
      <c r="C685" s="207">
        <f>IF(COUNTIF(CONTROL!$B$52:$B$101,'Funding by District'!D581)&gt;=1,"",ROW()-104)</f>
        <v>581</v>
      </c>
      <c r="N685" s="323"/>
      <c r="O685" s="323"/>
    </row>
    <row r="686" spans="2:15">
      <c r="B686" s="205" t="str">
        <f ca="1"/>
        <v>SPENCERPORT CSD</v>
      </c>
      <c r="C686" s="207">
        <f>IF(COUNTIF(CONTROL!$B$52:$B$101,'Funding by District'!D582)&gt;=1,"",ROW()-104)</f>
        <v>582</v>
      </c>
      <c r="N686" s="323"/>
      <c r="O686" s="323"/>
    </row>
    <row r="687" spans="2:15">
      <c r="B687" s="205" t="str">
        <f ca="1"/>
        <v>SPENCER-VAN ETTEN CSD</v>
      </c>
      <c r="C687" s="207">
        <f>IF(COUNTIF(CONTROL!$B$52:$B$101,'Funding by District'!D583)&gt;=1,"",ROW()-104)</f>
        <v>583</v>
      </c>
      <c r="N687" s="323"/>
      <c r="O687" s="323"/>
    </row>
    <row r="688" spans="2:15">
      <c r="B688" s="205" t="str">
        <f ca="1"/>
        <v>SPRINGS UFSD</v>
      </c>
      <c r="C688" s="207">
        <f>IF(COUNTIF(CONTROL!$B$52:$B$101,'Funding by District'!D584)&gt;=1,"",ROW()-104)</f>
        <v>584</v>
      </c>
      <c r="N688" s="323"/>
      <c r="O688" s="323"/>
    </row>
    <row r="689" spans="2:15">
      <c r="B689" s="205" t="str">
        <f ca="1"/>
        <v>SPRINGVILLE-GRIFFITH INST CSD</v>
      </c>
      <c r="C689" s="207">
        <f>IF(COUNTIF(CONTROL!$B$52:$B$101,'Funding by District'!D585)&gt;=1,"",ROW()-104)</f>
        <v>585</v>
      </c>
      <c r="N689" s="323"/>
      <c r="O689" s="323"/>
    </row>
    <row r="690" spans="2:15">
      <c r="B690" s="205" t="str">
        <f ca="1"/>
        <v>ST REGIS FALLS CSD</v>
      </c>
      <c r="C690" s="207">
        <f>IF(COUNTIF(CONTROL!$B$52:$B$101,'Funding by District'!D586)&gt;=1,"",ROW()-104)</f>
        <v>586</v>
      </c>
      <c r="N690" s="323"/>
      <c r="O690" s="323"/>
    </row>
    <row r="691" spans="2:15">
      <c r="B691" s="205" t="str">
        <f ca="1"/>
        <v>STAMFORD CSD</v>
      </c>
      <c r="C691" s="207">
        <f>IF(COUNTIF(CONTROL!$B$52:$B$101,'Funding by District'!D587)&gt;=1,"",ROW()-104)</f>
        <v>587</v>
      </c>
      <c r="N691" s="323"/>
      <c r="O691" s="323"/>
    </row>
    <row r="692" spans="2:15">
      <c r="B692" s="205" t="str">
        <f ca="1"/>
        <v>STARPOINT CSD</v>
      </c>
      <c r="C692" s="207">
        <f>IF(COUNTIF(CONTROL!$B$52:$B$101,'Funding by District'!D588)&gt;=1,"",ROW()-104)</f>
        <v>588</v>
      </c>
      <c r="N692" s="323"/>
      <c r="O692" s="323"/>
    </row>
    <row r="693" spans="2:15">
      <c r="B693" s="205" t="str">
        <f ca="1"/>
        <v>STILLWATER CSD</v>
      </c>
      <c r="C693" s="207">
        <f>IF(COUNTIF(CONTROL!$B$52:$B$101,'Funding by District'!D589)&gt;=1,"",ROW()-104)</f>
        <v>589</v>
      </c>
      <c r="N693" s="323"/>
      <c r="O693" s="323"/>
    </row>
    <row r="694" spans="2:15">
      <c r="B694" s="205" t="str">
        <f ca="1"/>
        <v>STOCKBRIDGE VALLEY CSD</v>
      </c>
      <c r="C694" s="207">
        <f>IF(COUNTIF(CONTROL!$B$52:$B$101,'Funding by District'!D590)&gt;=1,"",ROW()-104)</f>
        <v>590</v>
      </c>
      <c r="N694" s="323"/>
      <c r="O694" s="323"/>
    </row>
    <row r="695" spans="2:15">
      <c r="B695" s="205" t="str">
        <f ca="1"/>
        <v>SULLIVAN WEST CSD</v>
      </c>
      <c r="C695" s="207">
        <f>IF(COUNTIF(CONTROL!$B$52:$B$101,'Funding by District'!D591)&gt;=1,"",ROW()-104)</f>
        <v>591</v>
      </c>
      <c r="N695" s="323"/>
      <c r="O695" s="323"/>
    </row>
    <row r="696" spans="2:15">
      <c r="B696" s="205" t="str">
        <f ca="1"/>
        <v>SUSQUEHANNA VALLEY CSD</v>
      </c>
      <c r="C696" s="207">
        <f>IF(COUNTIF(CONTROL!$B$52:$B$101,'Funding by District'!D592)&gt;=1,"",ROW()-104)</f>
        <v>592</v>
      </c>
      <c r="N696" s="323"/>
      <c r="O696" s="323"/>
    </row>
    <row r="697" spans="2:15">
      <c r="B697" s="205" t="str">
        <f ca="1"/>
        <v>SWEET HOME CSD</v>
      </c>
      <c r="C697" s="207">
        <f>IF(COUNTIF(CONTROL!$B$52:$B$101,'Funding by District'!D593)&gt;=1,"",ROW()-104)</f>
        <v>593</v>
      </c>
      <c r="N697" s="323"/>
      <c r="O697" s="323"/>
    </row>
    <row r="698" spans="2:15">
      <c r="B698" s="205" t="str">
        <f ca="1"/>
        <v>SYOSSET CSD</v>
      </c>
      <c r="C698" s="207">
        <f>IF(COUNTIF(CONTROL!$B$52:$B$101,'Funding by District'!D594)&gt;=1,"",ROW()-104)</f>
        <v>594</v>
      </c>
      <c r="N698" s="323"/>
      <c r="O698" s="323"/>
    </row>
    <row r="699" spans="2:15">
      <c r="B699" s="205" t="str">
        <f ca="1"/>
        <v>SYRACUSE CITY SD</v>
      </c>
      <c r="C699" s="207">
        <f>IF(COUNTIF(CONTROL!$B$52:$B$101,'Funding by District'!D595)&gt;=1,"",ROW()-104)</f>
        <v>595</v>
      </c>
      <c r="N699" s="323"/>
      <c r="O699" s="323"/>
    </row>
    <row r="700" spans="2:15">
      <c r="B700" s="205" t="str">
        <f ca="1"/>
        <v>TACONIC HILLS CSD</v>
      </c>
      <c r="C700" s="207">
        <f>IF(COUNTIF(CONTROL!$B$52:$B$101,'Funding by District'!D596)&gt;=1,"",ROW()-104)</f>
        <v>596</v>
      </c>
      <c r="N700" s="323"/>
      <c r="O700" s="323"/>
    </row>
    <row r="701" spans="2:15">
      <c r="B701" s="205" t="str">
        <f ca="1"/>
        <v>THOUSAND ISLANDS CSD</v>
      </c>
      <c r="C701" s="207">
        <f>IF(COUNTIF(CONTROL!$B$52:$B$101,'Funding by District'!D597)&gt;=1,"",ROW()-104)</f>
        <v>597</v>
      </c>
      <c r="N701" s="323"/>
      <c r="O701" s="323"/>
    </row>
    <row r="702" spans="2:15">
      <c r="B702" s="205" t="str">
        <f ca="1"/>
        <v>THREE VILLAGE CSD</v>
      </c>
      <c r="C702" s="207">
        <f>IF(COUNTIF(CONTROL!$B$52:$B$101,'Funding by District'!D598)&gt;=1,"",ROW()-104)</f>
        <v>598</v>
      </c>
      <c r="N702" s="323"/>
      <c r="O702" s="323"/>
    </row>
    <row r="703" spans="2:15">
      <c r="B703" s="205" t="str">
        <f ca="1"/>
        <v>TICONDEROGA CSD</v>
      </c>
      <c r="C703" s="207">
        <f>IF(COUNTIF(CONTROL!$B$52:$B$101,'Funding by District'!D599)&gt;=1,"",ROW()-104)</f>
        <v>599</v>
      </c>
      <c r="N703" s="323"/>
      <c r="O703" s="323"/>
    </row>
    <row r="704" spans="2:15">
      <c r="B704" s="205" t="str">
        <f ca="1"/>
        <v>TIOGA CSD</v>
      </c>
      <c r="C704" s="207">
        <f>IF(COUNTIF(CONTROL!$B$52:$B$101,'Funding by District'!D600)&gt;=1,"",ROW()-104)</f>
        <v>600</v>
      </c>
      <c r="N704" s="323"/>
      <c r="O704" s="323"/>
    </row>
    <row r="705" spans="2:15">
      <c r="B705" s="205" t="str">
        <f ca="1"/>
        <v>TONAWANDA CITY SD</v>
      </c>
      <c r="C705" s="207">
        <f>IF(COUNTIF(CONTROL!$B$52:$B$101,'Funding by District'!D601)&gt;=1,"",ROW()-104)</f>
        <v>601</v>
      </c>
      <c r="N705" s="323"/>
      <c r="O705" s="323"/>
    </row>
    <row r="706" spans="2:15">
      <c r="B706" s="205" t="str">
        <f ca="1"/>
        <v>TOWN OF WEBB UFSD</v>
      </c>
      <c r="C706" s="207">
        <f>IF(COUNTIF(CONTROL!$B$52:$B$101,'Funding by District'!D602)&gt;=1,"",ROW()-104)</f>
        <v>602</v>
      </c>
      <c r="N706" s="323"/>
      <c r="O706" s="323"/>
    </row>
    <row r="707" spans="2:15">
      <c r="B707" s="205" t="str">
        <f ca="1"/>
        <v>TRI-VALLEY CSD</v>
      </c>
      <c r="C707" s="207">
        <f>IF(COUNTIF(CONTROL!$B$52:$B$101,'Funding by District'!D603)&gt;=1,"",ROW()-104)</f>
        <v>603</v>
      </c>
      <c r="N707" s="323"/>
      <c r="O707" s="323"/>
    </row>
    <row r="708" spans="2:15">
      <c r="B708" s="205" t="str">
        <f ca="1"/>
        <v>TROY CITY SD</v>
      </c>
      <c r="C708" s="207">
        <f>IF(COUNTIF(CONTROL!$B$52:$B$101,'Funding by District'!D604)&gt;=1,"",ROW()-104)</f>
        <v>604</v>
      </c>
      <c r="N708" s="323"/>
      <c r="O708" s="323"/>
    </row>
    <row r="709" spans="2:15">
      <c r="B709" s="205" t="str">
        <f ca="1"/>
        <v>TRUMANSBURG CSD</v>
      </c>
      <c r="C709" s="207">
        <f>IF(COUNTIF(CONTROL!$B$52:$B$101,'Funding by District'!D605)&gt;=1,"",ROW()-104)</f>
        <v>605</v>
      </c>
      <c r="N709" s="323"/>
      <c r="O709" s="323"/>
    </row>
    <row r="710" spans="2:15">
      <c r="B710" s="205" t="str">
        <f ca="1"/>
        <v>TUCKAHOE COMN SD</v>
      </c>
      <c r="C710" s="207">
        <f>IF(COUNTIF(CONTROL!$B$52:$B$101,'Funding by District'!D606)&gt;=1,"",ROW()-104)</f>
        <v>606</v>
      </c>
      <c r="N710" s="323"/>
      <c r="O710" s="323"/>
    </row>
    <row r="711" spans="2:15">
      <c r="B711" s="205" t="str">
        <f ca="1"/>
        <v>TUCKAHOE UFSD</v>
      </c>
      <c r="C711" s="207">
        <f>IF(COUNTIF(CONTROL!$B$52:$B$101,'Funding by District'!D607)&gt;=1,"",ROW()-104)</f>
        <v>607</v>
      </c>
      <c r="N711" s="323"/>
      <c r="O711" s="323"/>
    </row>
    <row r="712" spans="2:15">
      <c r="B712" s="205" t="str">
        <f ca="1"/>
        <v>TULLY CSD</v>
      </c>
      <c r="C712" s="207">
        <f>IF(COUNTIF(CONTROL!$B$52:$B$101,'Funding by District'!D608)&gt;=1,"",ROW()-104)</f>
        <v>608</v>
      </c>
      <c r="N712" s="323"/>
      <c r="O712" s="323"/>
    </row>
    <row r="713" spans="2:15">
      <c r="B713" s="205" t="str">
        <f ca="1"/>
        <v>TUPPER LAKE CSD</v>
      </c>
      <c r="C713" s="207">
        <f>IF(COUNTIF(CONTROL!$B$52:$B$101,'Funding by District'!D609)&gt;=1,"",ROW()-104)</f>
        <v>609</v>
      </c>
      <c r="N713" s="323"/>
      <c r="O713" s="323"/>
    </row>
    <row r="714" spans="2:15">
      <c r="B714" s="205" t="str">
        <f ca="1"/>
        <v>TUXEDO UFSD</v>
      </c>
      <c r="C714" s="207">
        <f>IF(COUNTIF(CONTROL!$B$52:$B$101,'Funding by District'!D610)&gt;=1,"",ROW()-104)</f>
        <v>610</v>
      </c>
      <c r="N714" s="323"/>
      <c r="O714" s="323"/>
    </row>
    <row r="715" spans="2:15">
      <c r="B715" s="205" t="str">
        <f ca="1"/>
        <v>UFSD-TARRYTOWNS</v>
      </c>
      <c r="C715" s="207">
        <f>IF(COUNTIF(CONTROL!$B$52:$B$101,'Funding by District'!D611)&gt;=1,"",ROW()-104)</f>
        <v>611</v>
      </c>
      <c r="N715" s="323"/>
      <c r="O715" s="323"/>
    </row>
    <row r="716" spans="2:15">
      <c r="B716" s="205" t="str">
        <f ca="1"/>
        <v>UNADILLA VALLEY CSD</v>
      </c>
      <c r="C716" s="207">
        <f>IF(COUNTIF(CONTROL!$B$52:$B$101,'Funding by District'!D612)&gt;=1,"",ROW()-104)</f>
        <v>612</v>
      </c>
      <c r="N716" s="323"/>
      <c r="O716" s="323"/>
    </row>
    <row r="717" spans="2:15">
      <c r="B717" s="205" t="str">
        <f ca="1"/>
        <v>UNION SPRINGS CSD</v>
      </c>
      <c r="C717" s="207">
        <f>IF(COUNTIF(CONTROL!$B$52:$B$101,'Funding by District'!D613)&gt;=1,"",ROW()-104)</f>
        <v>613</v>
      </c>
      <c r="N717" s="323"/>
      <c r="O717" s="323"/>
    </row>
    <row r="718" spans="2:15">
      <c r="B718" s="205" t="str">
        <f ca="1"/>
        <v>UNIONDALE UFSD</v>
      </c>
      <c r="C718" s="207">
        <f>IF(COUNTIF(CONTROL!$B$52:$B$101,'Funding by District'!D614)&gt;=1,"",ROW()-104)</f>
        <v>614</v>
      </c>
      <c r="N718" s="323"/>
      <c r="O718" s="323"/>
    </row>
    <row r="719" spans="2:15">
      <c r="B719" s="205" t="str">
        <f ca="1"/>
        <v>UNION-ENDICOTT CSD</v>
      </c>
      <c r="C719" s="207">
        <f>IF(COUNTIF(CONTROL!$B$52:$B$101,'Funding by District'!D615)&gt;=1,"",ROW()-104)</f>
        <v>615</v>
      </c>
      <c r="N719" s="323"/>
      <c r="O719" s="323"/>
    </row>
    <row r="720" spans="2:15">
      <c r="B720" s="205" t="str">
        <f ca="1"/>
        <v>UTICA CITY SD</v>
      </c>
      <c r="C720" s="207">
        <f>IF(COUNTIF(CONTROL!$B$52:$B$101,'Funding by District'!D616)&gt;=1,"",ROW()-104)</f>
        <v>616</v>
      </c>
      <c r="N720" s="323"/>
      <c r="O720" s="323"/>
    </row>
    <row r="721" spans="2:15">
      <c r="B721" s="205" t="str">
        <f ca="1"/>
        <v>VALHALLA UFSD</v>
      </c>
      <c r="C721" s="207">
        <f>IF(COUNTIF(CONTROL!$B$52:$B$101,'Funding by District'!D617)&gt;=1,"",ROW()-104)</f>
        <v>617</v>
      </c>
      <c r="N721" s="323"/>
      <c r="O721" s="323"/>
    </row>
    <row r="722" spans="2:15">
      <c r="B722" s="205" t="str">
        <f ca="1"/>
        <v>VALLEY CSD (MONTGOMERY)</v>
      </c>
      <c r="C722" s="207">
        <f>IF(COUNTIF(CONTROL!$B$52:$B$101,'Funding by District'!D618)&gt;=1,"",ROW()-104)</f>
        <v>618</v>
      </c>
      <c r="N722" s="323"/>
      <c r="O722" s="323"/>
    </row>
    <row r="723" spans="2:15">
      <c r="B723" s="205" t="str">
        <f ca="1"/>
        <v>VALLEY STREAM 13 UFSD</v>
      </c>
      <c r="C723" s="207">
        <f>IF(COUNTIF(CONTROL!$B$52:$B$101,'Funding by District'!D619)&gt;=1,"",ROW()-104)</f>
        <v>619</v>
      </c>
      <c r="N723" s="323"/>
      <c r="O723" s="323"/>
    </row>
    <row r="724" spans="2:15">
      <c r="B724" s="205" t="str">
        <f ca="1"/>
        <v>VALLEY STREAM 24 UFSD</v>
      </c>
      <c r="C724" s="207">
        <f>IF(COUNTIF(CONTROL!$B$52:$B$101,'Funding by District'!D620)&gt;=1,"",ROW()-104)</f>
        <v>620</v>
      </c>
      <c r="N724" s="323"/>
      <c r="O724" s="323"/>
    </row>
    <row r="725" spans="2:15">
      <c r="B725" s="205" t="str">
        <f ca="1"/>
        <v>VALLEY STREAM 30 UFSD</v>
      </c>
      <c r="C725" s="207">
        <f>IF(COUNTIF(CONTROL!$B$52:$B$101,'Funding by District'!D621)&gt;=1,"",ROW()-104)</f>
        <v>621</v>
      </c>
      <c r="N725" s="323"/>
      <c r="O725" s="323"/>
    </row>
    <row r="726" spans="2:15">
      <c r="B726" s="205" t="str">
        <f ca="1"/>
        <v>VALLEY STREAM CENTRAL HS DISTRICT</v>
      </c>
      <c r="C726" s="207">
        <f>IF(COUNTIF(CONTROL!$B$52:$B$101,'Funding by District'!D622)&gt;=1,"",ROW()-104)</f>
        <v>622</v>
      </c>
      <c r="N726" s="323"/>
      <c r="O726" s="323"/>
    </row>
    <row r="727" spans="2:15">
      <c r="B727" s="205" t="str">
        <f ca="1"/>
        <v>VAN HORNESVILLE-OWEN D YOUNG CSD</v>
      </c>
      <c r="C727" s="207">
        <f>IF(COUNTIF(CONTROL!$B$52:$B$101,'Funding by District'!D623)&gt;=1,"",ROW()-104)</f>
        <v>623</v>
      </c>
      <c r="N727" s="323"/>
      <c r="O727" s="323"/>
    </row>
    <row r="728" spans="2:15">
      <c r="B728" s="205" t="str">
        <f ca="1"/>
        <v>VESTAL CSD</v>
      </c>
      <c r="C728" s="207">
        <f>IF(COUNTIF(CONTROL!$B$52:$B$101,'Funding by District'!D624)&gt;=1,"",ROW()-104)</f>
        <v>624</v>
      </c>
      <c r="N728" s="323"/>
      <c r="O728" s="323"/>
    </row>
    <row r="729" spans="2:15">
      <c r="B729" s="205" t="str">
        <f ca="1"/>
        <v>VICTOR CSD</v>
      </c>
      <c r="C729" s="207">
        <f>IF(COUNTIF(CONTROL!$B$52:$B$101,'Funding by District'!D625)&gt;=1,"",ROW()-104)</f>
        <v>625</v>
      </c>
      <c r="N729" s="323"/>
      <c r="O729" s="323"/>
    </row>
    <row r="730" spans="2:15">
      <c r="B730" s="205" t="str">
        <f ca="1"/>
        <v>VOORHEESVILLE CSD</v>
      </c>
      <c r="C730" s="207">
        <f>IF(COUNTIF(CONTROL!$B$52:$B$101,'Funding by District'!D626)&gt;=1,"",ROW()-104)</f>
        <v>626</v>
      </c>
      <c r="N730" s="323"/>
      <c r="O730" s="323"/>
    </row>
    <row r="731" spans="2:15">
      <c r="B731" s="205" t="str">
        <f ca="1"/>
        <v>WAINSCOTT COMN SD</v>
      </c>
      <c r="C731" s="207">
        <f>IF(COUNTIF(CONTROL!$B$52:$B$101,'Funding by District'!D627)&gt;=1,"",ROW()-104)</f>
        <v>627</v>
      </c>
      <c r="N731" s="323"/>
      <c r="O731" s="323"/>
    </row>
    <row r="732" spans="2:15">
      <c r="B732" s="205" t="str">
        <f ca="1"/>
        <v>WALLKILL CSD</v>
      </c>
      <c r="C732" s="207">
        <f>IF(COUNTIF(CONTROL!$B$52:$B$101,'Funding by District'!D628)&gt;=1,"",ROW()-104)</f>
        <v>628</v>
      </c>
      <c r="N732" s="323"/>
      <c r="O732" s="323"/>
    </row>
    <row r="733" spans="2:15">
      <c r="B733" s="205" t="str">
        <f ca="1"/>
        <v>WALTON CSD</v>
      </c>
      <c r="C733" s="207">
        <f>IF(COUNTIF(CONTROL!$B$52:$B$101,'Funding by District'!D629)&gt;=1,"",ROW()-104)</f>
        <v>629</v>
      </c>
      <c r="N733" s="323"/>
      <c r="O733" s="323"/>
    </row>
    <row r="734" spans="2:15">
      <c r="B734" s="205" t="str">
        <f ca="1"/>
        <v>WANTAGH UFSD</v>
      </c>
      <c r="C734" s="207">
        <f>IF(COUNTIF(CONTROL!$B$52:$B$101,'Funding by District'!D630)&gt;=1,"",ROW()-104)</f>
        <v>630</v>
      </c>
      <c r="N734" s="323"/>
      <c r="O734" s="323"/>
    </row>
    <row r="735" spans="2:15">
      <c r="B735" s="205" t="str">
        <f ca="1"/>
        <v>WAPPINGERS CSD</v>
      </c>
      <c r="C735" s="207">
        <f>IF(COUNTIF(CONTROL!$B$52:$B$101,'Funding by District'!D631)&gt;=1,"",ROW()-104)</f>
        <v>631</v>
      </c>
      <c r="N735" s="323"/>
      <c r="O735" s="323"/>
    </row>
    <row r="736" spans="2:15">
      <c r="B736" s="205" t="str">
        <f ca="1"/>
        <v>WARRENSBURG CSD</v>
      </c>
      <c r="C736" s="207">
        <f>IF(COUNTIF(CONTROL!$B$52:$B$101,'Funding by District'!D632)&gt;=1,"",ROW()-104)</f>
        <v>632</v>
      </c>
      <c r="N736" s="323"/>
      <c r="O736" s="323"/>
    </row>
    <row r="737" spans="2:15">
      <c r="B737" s="205" t="str">
        <f ca="1"/>
        <v>WARSAW CSD</v>
      </c>
      <c r="C737" s="207">
        <f>IF(COUNTIF(CONTROL!$B$52:$B$101,'Funding by District'!D633)&gt;=1,"",ROW()-104)</f>
        <v>633</v>
      </c>
      <c r="N737" s="323"/>
      <c r="O737" s="323"/>
    </row>
    <row r="738" spans="2:15">
      <c r="B738" s="205" t="str">
        <f ca="1"/>
        <v>WARWICK VALLEY CSD</v>
      </c>
      <c r="C738" s="207">
        <f>IF(COUNTIF(CONTROL!$B$52:$B$101,'Funding by District'!D634)&gt;=1,"",ROW()-104)</f>
        <v>634</v>
      </c>
      <c r="N738" s="323"/>
      <c r="O738" s="323"/>
    </row>
    <row r="739" spans="2:15">
      <c r="B739" s="205" t="str">
        <f ca="1"/>
        <v>WASHINGTONVILLE CSD</v>
      </c>
      <c r="C739" s="207">
        <f>IF(COUNTIF(CONTROL!$B$52:$B$101,'Funding by District'!D635)&gt;=1,"",ROW()-104)</f>
        <v>635</v>
      </c>
      <c r="N739" s="323"/>
      <c r="O739" s="323"/>
    </row>
    <row r="740" spans="2:15">
      <c r="B740" s="205" t="str">
        <f ca="1"/>
        <v>WATERFORD-HALFMOON UFSD</v>
      </c>
      <c r="C740" s="207">
        <f>IF(COUNTIF(CONTROL!$B$52:$B$101,'Funding by District'!D636)&gt;=1,"",ROW()-104)</f>
        <v>636</v>
      </c>
      <c r="N740" s="323"/>
      <c r="O740" s="323"/>
    </row>
    <row r="741" spans="2:15">
      <c r="B741" s="205" t="str">
        <f ca="1"/>
        <v>WATERLOO CSD</v>
      </c>
      <c r="C741" s="207">
        <f>IF(COUNTIF(CONTROL!$B$52:$B$101,'Funding by District'!D637)&gt;=1,"",ROW()-104)</f>
        <v>637</v>
      </c>
      <c r="N741" s="323"/>
      <c r="O741" s="323"/>
    </row>
    <row r="742" spans="2:15">
      <c r="B742" s="205" t="str">
        <f ca="1"/>
        <v>WATERTOWN CITY SD</v>
      </c>
      <c r="C742" s="207">
        <f>IF(COUNTIF(CONTROL!$B$52:$B$101,'Funding by District'!D638)&gt;=1,"",ROW()-104)</f>
        <v>638</v>
      </c>
      <c r="N742" s="323"/>
      <c r="O742" s="323"/>
    </row>
    <row r="743" spans="2:15">
      <c r="B743" s="205" t="str">
        <f ca="1"/>
        <v>WATERVILLE CSD</v>
      </c>
      <c r="C743" s="207">
        <f>IF(COUNTIF(CONTROL!$B$52:$B$101,'Funding by District'!D639)&gt;=1,"",ROW()-104)</f>
        <v>639</v>
      </c>
      <c r="N743" s="323"/>
      <c r="O743" s="323"/>
    </row>
    <row r="744" spans="2:15">
      <c r="B744" s="205" t="str">
        <f ca="1"/>
        <v>WATERVLIET CITY SD</v>
      </c>
      <c r="C744" s="207">
        <f>IF(COUNTIF(CONTROL!$B$52:$B$101,'Funding by District'!D640)&gt;=1,"",ROW()-104)</f>
        <v>640</v>
      </c>
      <c r="N744" s="323"/>
      <c r="O744" s="323"/>
    </row>
    <row r="745" spans="2:15">
      <c r="B745" s="205" t="str">
        <f ca="1"/>
        <v>WATKINS GLEN CSD</v>
      </c>
      <c r="C745" s="207">
        <f>IF(COUNTIF(CONTROL!$B$52:$B$101,'Funding by District'!D641)&gt;=1,"",ROW()-104)</f>
        <v>641</v>
      </c>
      <c r="N745" s="323"/>
      <c r="O745" s="323"/>
    </row>
    <row r="746" spans="2:15">
      <c r="B746" s="205" t="str">
        <f ca="1"/>
        <v>WAVERLY CSD</v>
      </c>
      <c r="C746" s="207">
        <f>IF(COUNTIF(CONTROL!$B$52:$B$101,'Funding by District'!D642)&gt;=1,"",ROW()-104)</f>
        <v>642</v>
      </c>
      <c r="N746" s="323"/>
      <c r="O746" s="323"/>
    </row>
    <row r="747" spans="2:15">
      <c r="B747" s="205" t="str">
        <f ca="1"/>
        <v>WAYLAND-COHOCTON CSD</v>
      </c>
      <c r="C747" s="207">
        <f>IF(COUNTIF(CONTROL!$B$52:$B$101,'Funding by District'!D643)&gt;=1,"",ROW()-104)</f>
        <v>643</v>
      </c>
      <c r="N747" s="323"/>
      <c r="O747" s="323"/>
    </row>
    <row r="748" spans="2:15">
      <c r="B748" s="205" t="str">
        <f ca="1"/>
        <v>WAYNE CSD</v>
      </c>
      <c r="C748" s="207">
        <f>IF(COUNTIF(CONTROL!$B$52:$B$101,'Funding by District'!D644)&gt;=1,"",ROW()-104)</f>
        <v>644</v>
      </c>
      <c r="N748" s="323"/>
      <c r="O748" s="323"/>
    </row>
    <row r="749" spans="2:15">
      <c r="B749" s="205" t="str">
        <f ca="1"/>
        <v>WEBSTER CSD</v>
      </c>
      <c r="C749" s="207">
        <f>IF(COUNTIF(CONTROL!$B$52:$B$101,'Funding by District'!D645)&gt;=1,"",ROW()-104)</f>
        <v>645</v>
      </c>
      <c r="N749" s="323"/>
      <c r="O749" s="323"/>
    </row>
    <row r="750" spans="2:15">
      <c r="B750" s="205" t="str">
        <f ca="1"/>
        <v>WEEDSPORT CSD</v>
      </c>
      <c r="C750" s="207">
        <f>IF(COUNTIF(CONTROL!$B$52:$B$101,'Funding by District'!D646)&gt;=1,"",ROW()-104)</f>
        <v>646</v>
      </c>
      <c r="N750" s="323"/>
      <c r="O750" s="323"/>
    </row>
    <row r="751" spans="2:15">
      <c r="B751" s="205" t="str">
        <f ca="1"/>
        <v>WELLS CSD</v>
      </c>
      <c r="C751" s="207">
        <f>IF(COUNTIF(CONTROL!$B$52:$B$101,'Funding by District'!D647)&gt;=1,"",ROW()-104)</f>
        <v>647</v>
      </c>
      <c r="N751" s="323"/>
      <c r="O751" s="323"/>
    </row>
    <row r="752" spans="2:15">
      <c r="B752" s="205" t="str">
        <f ca="1"/>
        <v>WELLSVILLE CSD</v>
      </c>
      <c r="C752" s="207">
        <f>IF(COUNTIF(CONTROL!$B$52:$B$101,'Funding by District'!D648)&gt;=1,"",ROW()-104)</f>
        <v>648</v>
      </c>
      <c r="N752" s="323"/>
      <c r="O752" s="323"/>
    </row>
    <row r="753" spans="2:15">
      <c r="B753" s="205" t="str">
        <f ca="1"/>
        <v>WEST BABYLON UFSD</v>
      </c>
      <c r="C753" s="207">
        <f>IF(COUNTIF(CONTROL!$B$52:$B$101,'Funding by District'!D649)&gt;=1,"",ROW()-104)</f>
        <v>649</v>
      </c>
      <c r="N753" s="323"/>
      <c r="O753" s="323"/>
    </row>
    <row r="754" spans="2:15">
      <c r="B754" s="205" t="str">
        <f ca="1"/>
        <v>WEST CANADA VALLEY CSD</v>
      </c>
      <c r="C754" s="207">
        <f>IF(COUNTIF(CONTROL!$B$52:$B$101,'Funding by District'!D650)&gt;=1,"",ROW()-104)</f>
        <v>650</v>
      </c>
      <c r="N754" s="323"/>
      <c r="O754" s="323"/>
    </row>
    <row r="755" spans="2:15">
      <c r="B755" s="205" t="str">
        <f ca="1"/>
        <v>WEST GENESEE CSD</v>
      </c>
      <c r="C755" s="207">
        <f>IF(COUNTIF(CONTROL!$B$52:$B$101,'Funding by District'!D651)&gt;=1,"",ROW()-104)</f>
        <v>651</v>
      </c>
      <c r="N755" s="323"/>
      <c r="O755" s="323"/>
    </row>
    <row r="756" spans="2:15">
      <c r="B756" s="205" t="str">
        <f ca="1"/>
        <v>WEST HEMPSTEAD UFSD</v>
      </c>
      <c r="C756" s="207">
        <f>IF(COUNTIF(CONTROL!$B$52:$B$101,'Funding by District'!D652)&gt;=1,"",ROW()-104)</f>
        <v>652</v>
      </c>
      <c r="N756" s="323"/>
      <c r="O756" s="323"/>
    </row>
    <row r="757" spans="2:15">
      <c r="B757" s="205" t="str">
        <f ca="1"/>
        <v>WEST IRONDEQUOIT CSD</v>
      </c>
      <c r="C757" s="207">
        <f>IF(COUNTIF(CONTROL!$B$52:$B$101,'Funding by District'!D653)&gt;=1,"",ROW()-104)</f>
        <v>653</v>
      </c>
      <c r="N757" s="323"/>
      <c r="O757" s="323"/>
    </row>
    <row r="758" spans="2:15">
      <c r="B758" s="205" t="str">
        <f ca="1"/>
        <v>WEST ISLIP UFSD</v>
      </c>
      <c r="C758" s="207">
        <f>IF(COUNTIF(CONTROL!$B$52:$B$101,'Funding by District'!D654)&gt;=1,"",ROW()-104)</f>
        <v>654</v>
      </c>
      <c r="N758" s="323"/>
      <c r="O758" s="323"/>
    </row>
    <row r="759" spans="2:15">
      <c r="B759" s="205" t="str">
        <f ca="1"/>
        <v>WEST SENECA CSD</v>
      </c>
      <c r="C759" s="207">
        <f>IF(COUNTIF(CONTROL!$B$52:$B$101,'Funding by District'!D655)&gt;=1,"",ROW()-104)</f>
        <v>655</v>
      </c>
      <c r="N759" s="323"/>
      <c r="O759" s="323"/>
    </row>
    <row r="760" spans="2:15">
      <c r="B760" s="205" t="str">
        <f ca="1"/>
        <v>WEST VALLEY CSD</v>
      </c>
      <c r="C760" s="207">
        <f>IF(COUNTIF(CONTROL!$B$52:$B$101,'Funding by District'!D656)&gt;=1,"",ROW()-104)</f>
        <v>656</v>
      </c>
      <c r="N760" s="323"/>
      <c r="O760" s="323"/>
    </row>
    <row r="761" spans="2:15">
      <c r="B761" s="205" t="str">
        <f ca="1"/>
        <v>WESTBURY UFSD</v>
      </c>
      <c r="C761" s="207">
        <f>IF(COUNTIF(CONTROL!$B$52:$B$101,'Funding by District'!D657)&gt;=1,"",ROW()-104)</f>
        <v>657</v>
      </c>
      <c r="N761" s="323"/>
      <c r="O761" s="323"/>
    </row>
    <row r="762" spans="2:15">
      <c r="B762" s="205" t="str">
        <f ca="1"/>
        <v>WESTFIELD CSD</v>
      </c>
      <c r="C762" s="207">
        <f>IF(COUNTIF(CONTROL!$B$52:$B$101,'Funding by District'!D658)&gt;=1,"",ROW()-104)</f>
        <v>658</v>
      </c>
      <c r="N762" s="323"/>
      <c r="O762" s="323"/>
    </row>
    <row r="763" spans="2:15">
      <c r="B763" s="205" t="str">
        <f ca="1"/>
        <v>WESTHAMPTON BEACH UFSD</v>
      </c>
      <c r="C763" s="207">
        <f>IF(COUNTIF(CONTROL!$B$52:$B$101,'Funding by District'!D659)&gt;=1,"",ROW()-104)</f>
        <v>659</v>
      </c>
      <c r="N763" s="323"/>
      <c r="O763" s="323"/>
    </row>
    <row r="764" spans="2:15">
      <c r="B764" s="205" t="str">
        <f ca="1"/>
        <v>WESTHILL CSD</v>
      </c>
      <c r="C764" s="207">
        <f>IF(COUNTIF(CONTROL!$B$52:$B$101,'Funding by District'!D660)&gt;=1,"",ROW()-104)</f>
        <v>660</v>
      </c>
      <c r="N764" s="323"/>
      <c r="O764" s="323"/>
    </row>
    <row r="765" spans="2:15">
      <c r="B765" s="205" t="str">
        <f ca="1"/>
        <v>WESTMORELAND CSD</v>
      </c>
      <c r="C765" s="207">
        <f>IF(COUNTIF(CONTROL!$B$52:$B$101,'Funding by District'!D661)&gt;=1,"",ROW()-104)</f>
        <v>661</v>
      </c>
      <c r="N765" s="323"/>
      <c r="O765" s="323"/>
    </row>
    <row r="766" spans="2:15">
      <c r="B766" s="205" t="str">
        <f ca="1"/>
        <v>WESTPORT CSD</v>
      </c>
      <c r="C766" s="207">
        <f>IF(COUNTIF(CONTROL!$B$52:$B$101,'Funding by District'!D662)&gt;=1,"",ROW()-104)</f>
        <v>662</v>
      </c>
      <c r="N766" s="323"/>
      <c r="O766" s="323"/>
    </row>
    <row r="767" spans="2:15">
      <c r="B767" s="205" t="str">
        <f ca="1"/>
        <v>WHEATLAND-CHILI CSD</v>
      </c>
      <c r="C767" s="207">
        <f>IF(COUNTIF(CONTROL!$B$52:$B$101,'Funding by District'!D663)&gt;=1,"",ROW()-104)</f>
        <v>663</v>
      </c>
      <c r="N767" s="323"/>
      <c r="O767" s="323"/>
    </row>
    <row r="768" spans="2:15">
      <c r="B768" s="205" t="str">
        <f ca="1"/>
        <v>WHEELERVILLE UFSD</v>
      </c>
      <c r="C768" s="207">
        <f>IF(COUNTIF(CONTROL!$B$52:$B$101,'Funding by District'!D664)&gt;=1,"",ROW()-104)</f>
        <v>664</v>
      </c>
      <c r="N768" s="323"/>
      <c r="O768" s="323"/>
    </row>
    <row r="769" spans="2:15">
      <c r="B769" s="205" t="str">
        <f ca="1"/>
        <v>WHITE PLAINS CITY SD</v>
      </c>
      <c r="C769" s="207">
        <f>IF(COUNTIF(CONTROL!$B$52:$B$101,'Funding by District'!D665)&gt;=1,"",ROW()-104)</f>
        <v>665</v>
      </c>
      <c r="N769" s="323"/>
      <c r="O769" s="323"/>
    </row>
    <row r="770" spans="2:15">
      <c r="B770" s="205" t="str">
        <f ca="1"/>
        <v>WHITEHALL CSD</v>
      </c>
      <c r="C770" s="207">
        <f>IF(COUNTIF(CONTROL!$B$52:$B$101,'Funding by District'!D666)&gt;=1,"",ROW()-104)</f>
        <v>666</v>
      </c>
      <c r="N770" s="323"/>
      <c r="O770" s="323"/>
    </row>
    <row r="771" spans="2:15">
      <c r="B771" s="205" t="str">
        <f ca="1"/>
        <v>WHITESBORO CSD</v>
      </c>
      <c r="C771" s="207">
        <f>IF(COUNTIF(CONTROL!$B$52:$B$101,'Funding by District'!D667)&gt;=1,"",ROW()-104)</f>
        <v>667</v>
      </c>
      <c r="N771" s="323"/>
      <c r="O771" s="323"/>
    </row>
    <row r="772" spans="2:15">
      <c r="B772" s="205" t="str">
        <f ca="1"/>
        <v>WHITESVILLE CSD</v>
      </c>
      <c r="C772" s="207">
        <f>IF(COUNTIF(CONTROL!$B$52:$B$101,'Funding by District'!D668)&gt;=1,"",ROW()-104)</f>
        <v>668</v>
      </c>
      <c r="N772" s="323"/>
      <c r="O772" s="323"/>
    </row>
    <row r="773" spans="2:15">
      <c r="B773" s="205" t="str">
        <f ca="1"/>
        <v>WHITNEY POINT CSD</v>
      </c>
      <c r="C773" s="207">
        <f>IF(COUNTIF(CONTROL!$B$52:$B$101,'Funding by District'!D669)&gt;=1,"",ROW()-104)</f>
        <v>669</v>
      </c>
      <c r="N773" s="323"/>
      <c r="O773" s="323"/>
    </row>
    <row r="774" spans="2:15">
      <c r="B774" s="205" t="str">
        <f ca="1"/>
        <v>WILLIAM FLOYD UFSD</v>
      </c>
      <c r="C774" s="207">
        <f>IF(COUNTIF(CONTROL!$B$52:$B$101,'Funding by District'!D670)&gt;=1,"",ROW()-104)</f>
        <v>670</v>
      </c>
      <c r="N774" s="323"/>
      <c r="O774" s="323"/>
    </row>
    <row r="775" spans="2:15">
      <c r="B775" s="205" t="str">
        <f ca="1"/>
        <v>WILLIAMSON CSD</v>
      </c>
      <c r="C775" s="207">
        <f>IF(COUNTIF(CONTROL!$B$52:$B$101,'Funding by District'!D671)&gt;=1,"",ROW()-104)</f>
        <v>671</v>
      </c>
      <c r="N775" s="323"/>
      <c r="O775" s="323"/>
    </row>
    <row r="776" spans="2:15">
      <c r="B776" s="205" t="str">
        <f ca="1"/>
        <v>WILLIAMSVILLE CSD</v>
      </c>
      <c r="C776" s="207">
        <f>IF(COUNTIF(CONTROL!$B$52:$B$101,'Funding by District'!D672)&gt;=1,"",ROW()-104)</f>
        <v>672</v>
      </c>
      <c r="N776" s="323"/>
      <c r="O776" s="323"/>
    </row>
    <row r="777" spans="2:15">
      <c r="B777" s="205" t="str">
        <f ca="1"/>
        <v>WILLSBORO CSD</v>
      </c>
      <c r="C777" s="207">
        <f>IF(COUNTIF(CONTROL!$B$52:$B$101,'Funding by District'!D673)&gt;=1,"",ROW()-104)</f>
        <v>673</v>
      </c>
      <c r="N777" s="323"/>
      <c r="O777" s="323"/>
    </row>
    <row r="778" spans="2:15">
      <c r="B778" s="205" t="str">
        <f ca="1"/>
        <v>WILSON CSD</v>
      </c>
      <c r="C778" s="207">
        <f>IF(COUNTIF(CONTROL!$B$52:$B$101,'Funding by District'!D674)&gt;=1,"",ROW()-104)</f>
        <v>674</v>
      </c>
      <c r="N778" s="323"/>
      <c r="O778" s="323"/>
    </row>
    <row r="779" spans="2:15">
      <c r="B779" s="205" t="str">
        <f ca="1"/>
        <v>WINDHAM-ASHLAND-JEWETT CSD</v>
      </c>
      <c r="C779" s="207">
        <f>IF(COUNTIF(CONTROL!$B$52:$B$101,'Funding by District'!D675)&gt;=1,"",ROW()-104)</f>
        <v>675</v>
      </c>
      <c r="N779" s="323"/>
      <c r="O779" s="323"/>
    </row>
    <row r="780" spans="2:15">
      <c r="B780" s="205" t="str">
        <f ca="1"/>
        <v>WINDSOR CSD</v>
      </c>
      <c r="C780" s="207">
        <f>IF(COUNTIF(CONTROL!$B$52:$B$101,'Funding by District'!D676)&gt;=1,"",ROW()-104)</f>
        <v>676</v>
      </c>
      <c r="N780" s="323"/>
      <c r="O780" s="323"/>
    </row>
    <row r="781" spans="2:15">
      <c r="B781" s="205" t="str">
        <f ca="1"/>
        <v>WORCESTER CSD</v>
      </c>
      <c r="C781" s="207">
        <f>IF(COUNTIF(CONTROL!$B$52:$B$101,'Funding by District'!D677)&gt;=1,"",ROW()-104)</f>
        <v>677</v>
      </c>
      <c r="N781" s="323"/>
      <c r="O781" s="323"/>
    </row>
    <row r="782" spans="2:15">
      <c r="B782" s="205" t="str">
        <f ca="1"/>
        <v>WYANDANCH UFSD</v>
      </c>
      <c r="C782" s="207">
        <f>IF(COUNTIF(CONTROL!$B$52:$B$101,'Funding by District'!D678)&gt;=1,"",ROW()-104)</f>
        <v>678</v>
      </c>
      <c r="N782" s="323"/>
      <c r="O782" s="323"/>
    </row>
    <row r="783" spans="2:15">
      <c r="B783" s="205" t="str">
        <f ca="1"/>
        <v>WYNANTSKILL UFSD</v>
      </c>
      <c r="C783" s="207">
        <f>IF(COUNTIF(CONTROL!$B$52:$B$101,'Funding by District'!D679)&gt;=1,"",ROW()-104)</f>
        <v>679</v>
      </c>
      <c r="N783" s="323"/>
      <c r="O783" s="323"/>
    </row>
    <row r="784" spans="2:15">
      <c r="B784" s="205" t="str">
        <f ca="1"/>
        <v>WYOMING CSD</v>
      </c>
      <c r="C784" s="207">
        <f>IF(COUNTIF(CONTROL!$B$52:$B$101,'Funding by District'!D680)&gt;=1,"",ROW()-104)</f>
        <v>680</v>
      </c>
      <c r="N784" s="323"/>
      <c r="O784" s="323"/>
    </row>
    <row r="785" spans="2:34">
      <c r="B785" s="205" t="str">
        <f ca="1"/>
        <v>YONKERS CITY SD</v>
      </c>
      <c r="C785" s="207">
        <f>IF(COUNTIF(CONTROL!$B$52:$B$101,'Funding by District'!D681)&gt;=1,"",ROW()-104)</f>
        <v>681</v>
      </c>
      <c r="N785" s="323"/>
      <c r="O785" s="323"/>
    </row>
    <row r="786" spans="2:34">
      <c r="B786" s="205" t="str">
        <f ca="1"/>
        <v>YORK CSD</v>
      </c>
      <c r="C786" s="207">
        <f>IF(COUNTIF(CONTROL!$B$52:$B$101,'Funding by District'!D682)&gt;=1,"",ROW()-104)</f>
        <v>682</v>
      </c>
      <c r="N786" s="323"/>
      <c r="O786" s="323"/>
    </row>
    <row r="787" spans="2:34">
      <c r="B787" s="205" t="str">
        <f ca="1"/>
        <v>YORKSHIRE-PIONEER CSD</v>
      </c>
      <c r="C787" s="207">
        <f>IF(COUNTIF(CONTROL!$B$52:$B$101,'Funding by District'!D683)&gt;=1,"",ROW()-104)</f>
        <v>683</v>
      </c>
      <c r="N787" s="323"/>
      <c r="O787" s="323"/>
    </row>
    <row r="788" spans="2:34">
      <c r="B788" s="205" t="str">
        <f ca="1"/>
        <v>YORKTOWN CSD</v>
      </c>
      <c r="C788" s="207">
        <f>IF(COUNTIF(CONTROL!$B$52:$B$101,'Funding by District'!D684)&gt;=1,"",ROW()-104)</f>
        <v>684</v>
      </c>
      <c r="N788" s="323"/>
      <c r="O788" s="323"/>
    </row>
    <row r="797" spans="2:34">
      <c r="H797" s="4" t="s">
        <v>1241</v>
      </c>
    </row>
    <row r="798" spans="2:34">
      <c r="C798" s="486"/>
      <c r="H798" s="4" t="s">
        <v>1242</v>
      </c>
    </row>
    <row r="799" spans="2:34">
      <c r="H799" s="4" t="s">
        <v>1243</v>
      </c>
    </row>
    <row r="800" spans="2:34" ht="29.25" customHeight="1" thickBot="1">
      <c r="B800" s="845" t="s">
        <v>1061</v>
      </c>
      <c r="C800" s="846" t="s">
        <v>1222</v>
      </c>
      <c r="D800" s="847" t="s">
        <v>1223</v>
      </c>
      <c r="E800" s="847" t="s">
        <v>1212</v>
      </c>
      <c r="F800" s="848" t="s">
        <v>1213</v>
      </c>
      <c r="G800" s="849" t="s">
        <v>1210</v>
      </c>
      <c r="H800" s="4" t="s">
        <v>1240</v>
      </c>
      <c r="I800" s="36"/>
      <c r="J800" s="22"/>
      <c r="K800" s="4"/>
      <c r="Q800"/>
      <c r="AH800" s="4"/>
    </row>
    <row r="801" spans="2:34" ht="15.6" thickTop="1">
      <c r="B801" s="856" t="s">
        <v>1225</v>
      </c>
      <c r="C801" s="857" t="s">
        <v>1211</v>
      </c>
      <c r="D801" s="857" t="s">
        <v>1211</v>
      </c>
      <c r="E801" s="857" t="s">
        <v>1211</v>
      </c>
      <c r="F801" s="858" t="s">
        <v>1211</v>
      </c>
      <c r="G801" s="859"/>
      <c r="H801" s="930">
        <f>IF(ISBLANK(Table2[[#This Row],[MergedEdCorp]])=TRUE,0,IF(Table2[[#This Row],[MergedEdCorp]]=TRUE,1,2))</f>
        <v>0</v>
      </c>
      <c r="I801" s="961" t="s">
        <v>1245</v>
      </c>
      <c r="J801" s="932"/>
      <c r="K801" s="932"/>
      <c r="L801" s="932"/>
      <c r="M801" s="932"/>
      <c r="N801" s="932"/>
      <c r="O801" s="932"/>
      <c r="P801" s="932"/>
      <c r="Q801" s="933"/>
      <c r="AH801" s="4"/>
    </row>
    <row r="802" spans="2:34">
      <c r="B802" s="853" t="s">
        <v>1062</v>
      </c>
      <c r="C802" s="854">
        <v>2009</v>
      </c>
      <c r="D802" s="854"/>
      <c r="E802" s="854"/>
      <c r="F802" s="854"/>
      <c r="G802" s="844"/>
      <c r="H802" s="930">
        <f>IF(ISBLANK(Table2[[#This Row],[MergedEdCorp]])=TRUE,0,IF(Table2[[#This Row],[MergedEdCorp]]=TRUE,1,2))</f>
        <v>0</v>
      </c>
      <c r="I802" s="875">
        <v>0</v>
      </c>
      <c r="J802" s="937" t="s">
        <v>1264</v>
      </c>
      <c r="K802" s="938"/>
      <c r="L802" s="937"/>
      <c r="M802" s="937"/>
      <c r="N802" s="937"/>
      <c r="O802" s="937"/>
      <c r="P802" s="937"/>
      <c r="Q802" s="939"/>
      <c r="AH802" s="4"/>
    </row>
    <row r="803" spans="2:34">
      <c r="B803" s="850" t="s">
        <v>1128</v>
      </c>
      <c r="C803" s="851">
        <v>2011</v>
      </c>
      <c r="D803" s="851"/>
      <c r="E803" s="851"/>
      <c r="F803" s="851"/>
      <c r="G803" s="852"/>
      <c r="H803" s="930">
        <f>IF(ISBLANK(Table2[[#This Row],[MergedEdCorp]])=TRUE,0,IF(Table2[[#This Row],[MergedEdCorp]]=TRUE,1,2))</f>
        <v>0</v>
      </c>
      <c r="I803" s="875">
        <v>1</v>
      </c>
      <c r="J803" s="937" t="s">
        <v>1263</v>
      </c>
      <c r="K803" s="938"/>
      <c r="L803" s="937"/>
      <c r="M803" s="937"/>
      <c r="N803" s="937"/>
      <c r="O803" s="937"/>
      <c r="P803" s="937"/>
      <c r="Q803" s="939"/>
      <c r="AH803" s="4"/>
    </row>
    <row r="804" spans="2:34">
      <c r="B804" s="853" t="s">
        <v>1065</v>
      </c>
      <c r="C804" s="854">
        <v>2010</v>
      </c>
      <c r="D804" s="854">
        <v>2016</v>
      </c>
      <c r="E804" s="854">
        <v>511</v>
      </c>
      <c r="F804" s="854"/>
      <c r="G804" s="844" t="b">
        <v>0</v>
      </c>
      <c r="H804" s="930">
        <f>IF(ISBLANK(Table2[[#This Row],[MergedEdCorp]])=TRUE,0,IF(Table2[[#This Row],[MergedEdCorp]]=TRUE,1,2))</f>
        <v>2</v>
      </c>
      <c r="I804" s="940">
        <v>2</v>
      </c>
      <c r="J804" s="934" t="s">
        <v>1262</v>
      </c>
      <c r="K804" s="935"/>
      <c r="L804" s="934"/>
      <c r="M804" s="934"/>
      <c r="N804" s="934"/>
      <c r="O804" s="934"/>
      <c r="P804" s="934"/>
      <c r="Q804" s="936"/>
      <c r="AH804" s="4"/>
    </row>
    <row r="805" spans="2:34">
      <c r="B805" s="850" t="s">
        <v>1138</v>
      </c>
      <c r="C805" s="851">
        <v>2013</v>
      </c>
      <c r="D805" s="851">
        <v>2016</v>
      </c>
      <c r="E805" s="851">
        <v>511</v>
      </c>
      <c r="F805" s="851"/>
      <c r="G805" s="852" t="b">
        <v>0</v>
      </c>
      <c r="H805" s="930">
        <f>IF(ISBLANK(Table2[[#This Row],[MergedEdCorp]])=TRUE,0,IF(Table2[[#This Row],[MergedEdCorp]]=TRUE,1,2))</f>
        <v>2</v>
      </c>
      <c r="I805" s="36"/>
      <c r="J805" s="842"/>
      <c r="K805" s="842"/>
      <c r="Q805"/>
      <c r="AH805" s="4"/>
    </row>
    <row r="806" spans="2:34">
      <c r="B806" s="853" t="s">
        <v>1063</v>
      </c>
      <c r="C806" s="854">
        <v>2008</v>
      </c>
      <c r="D806" s="854">
        <v>2016</v>
      </c>
      <c r="E806" s="854">
        <v>511</v>
      </c>
      <c r="F806" s="854"/>
      <c r="G806" s="844" t="b">
        <v>0</v>
      </c>
      <c r="H806" s="930">
        <f>IF(ISBLANK(Table2[[#This Row],[MergedEdCorp]])=TRUE,0,IF(Table2[[#This Row],[MergedEdCorp]]=TRUE,1,2))</f>
        <v>2</v>
      </c>
      <c r="I806" s="931" t="s">
        <v>1244</v>
      </c>
      <c r="J806" s="960" t="e">
        <f>INDEX(Table2[BS-NeedCode],MATCH(School,Table2[SCHOOLS],0))</f>
        <v>#N/A</v>
      </c>
      <c r="K806"/>
      <c r="L806"/>
      <c r="M806"/>
      <c r="N806"/>
      <c r="O806"/>
      <c r="P806"/>
      <c r="Q806"/>
      <c r="AH806" s="4"/>
    </row>
    <row r="807" spans="2:34">
      <c r="B807" s="850" t="s">
        <v>1064</v>
      </c>
      <c r="C807" s="851">
        <v>2006</v>
      </c>
      <c r="D807" s="851">
        <v>2016</v>
      </c>
      <c r="E807" s="851">
        <v>511</v>
      </c>
      <c r="F807" s="851" t="s">
        <v>1214</v>
      </c>
      <c r="G807" s="852" t="b">
        <v>1</v>
      </c>
      <c r="H807" s="930">
        <f>IF(ISBLANK(Table2[[#This Row],[MergedEdCorp]])=TRUE,0,IF(Table2[[#This Row],[MergedEdCorp]]=TRUE,1,2))</f>
        <v>1</v>
      </c>
      <c r="I807" s="931" t="s">
        <v>1246</v>
      </c>
      <c r="J807" s="941" t="e">
        <f>INDEX(J802:J804,MATCH(BSNoteCode,I802:I804,0))</f>
        <v>#N/A</v>
      </c>
      <c r="K807" s="938"/>
      <c r="L807" s="937"/>
      <c r="M807" s="937"/>
      <c r="N807" s="937"/>
      <c r="O807" s="937"/>
      <c r="P807" s="937"/>
      <c r="Q807" s="939"/>
      <c r="AH807" s="4"/>
    </row>
    <row r="808" spans="2:34">
      <c r="B808" s="853" t="s">
        <v>1193</v>
      </c>
      <c r="C808" s="854">
        <v>2016</v>
      </c>
      <c r="D808" s="854">
        <v>2017</v>
      </c>
      <c r="E808" s="854">
        <v>511</v>
      </c>
      <c r="F808" s="854"/>
      <c r="G808" s="844" t="b">
        <v>0</v>
      </c>
      <c r="H808" s="930">
        <f>IF(ISBLANK(Table2[[#This Row],[MergedEdCorp]])=TRUE,0,IF(Table2[[#This Row],[MergedEdCorp]]=TRUE,1,2))</f>
        <v>2</v>
      </c>
      <c r="I808"/>
      <c r="J808"/>
      <c r="K808"/>
      <c r="L808"/>
      <c r="M808"/>
      <c r="N808"/>
      <c r="O808"/>
      <c r="P808"/>
      <c r="Q808"/>
      <c r="AH808" s="4"/>
    </row>
    <row r="809" spans="2:34">
      <c r="B809" s="850" t="s">
        <v>1194</v>
      </c>
      <c r="C809" s="851">
        <v>2016</v>
      </c>
      <c r="D809" s="851">
        <v>2017</v>
      </c>
      <c r="E809" s="851">
        <v>511</v>
      </c>
      <c r="F809" s="851"/>
      <c r="G809" s="852" t="b">
        <v>0</v>
      </c>
      <c r="H809" s="930">
        <f>IF(ISBLANK(Table2[[#This Row],[MergedEdCorp]])=TRUE,0,IF(Table2[[#This Row],[MergedEdCorp]]=TRUE,1,2))</f>
        <v>2</v>
      </c>
      <c r="I809" s="36"/>
      <c r="J809" s="842"/>
      <c r="K809" s="842"/>
      <c r="Q809"/>
      <c r="AH809" s="4"/>
    </row>
    <row r="810" spans="2:34">
      <c r="B810" s="853" t="s">
        <v>1195</v>
      </c>
      <c r="C810" s="854">
        <v>2016</v>
      </c>
      <c r="D810" s="854">
        <v>2017</v>
      </c>
      <c r="E810" s="854">
        <v>511</v>
      </c>
      <c r="F810" s="854"/>
      <c r="G810" s="844" t="b">
        <v>0</v>
      </c>
      <c r="H810" s="930">
        <f>IF(ISBLANK(Table2[[#This Row],[MergedEdCorp]])=TRUE,0,IF(Table2[[#This Row],[MergedEdCorp]]=TRUE,1,2))</f>
        <v>2</v>
      </c>
      <c r="I810" s="36"/>
      <c r="J810" s="842"/>
      <c r="K810" s="842"/>
      <c r="Q810"/>
      <c r="AH810" s="4"/>
    </row>
    <row r="811" spans="2:34">
      <c r="B811" s="850" t="s">
        <v>1173</v>
      </c>
      <c r="C811" s="851">
        <v>2014</v>
      </c>
      <c r="D811" s="851">
        <v>2016</v>
      </c>
      <c r="E811" s="851">
        <v>511</v>
      </c>
      <c r="F811" s="851"/>
      <c r="G811" s="852" t="b">
        <v>0</v>
      </c>
      <c r="H811" s="930">
        <f>IF(ISBLANK(Table2[[#This Row],[MergedEdCorp]])=TRUE,0,IF(Table2[[#This Row],[MergedEdCorp]]=TRUE,1,2))</f>
        <v>2</v>
      </c>
      <c r="I811" s="36"/>
      <c r="J811" s="842"/>
      <c r="K811" s="842"/>
      <c r="Q811"/>
      <c r="AH811" s="4"/>
    </row>
    <row r="812" spans="2:34">
      <c r="B812" s="853" t="s">
        <v>1167</v>
      </c>
      <c r="C812" s="854">
        <v>2014</v>
      </c>
      <c r="D812" s="854">
        <v>2016</v>
      </c>
      <c r="E812" s="854">
        <v>511</v>
      </c>
      <c r="F812" s="854"/>
      <c r="G812" s="844" t="b">
        <v>0</v>
      </c>
      <c r="H812" s="930">
        <f>IF(ISBLANK(Table2[[#This Row],[MergedEdCorp]])=TRUE,0,IF(Table2[[#This Row],[MergedEdCorp]]=TRUE,1,2))</f>
        <v>2</v>
      </c>
      <c r="I812" s="36"/>
      <c r="J812" s="842"/>
      <c r="K812" s="842"/>
      <c r="Q812"/>
      <c r="AH812" s="4"/>
    </row>
    <row r="813" spans="2:34">
      <c r="B813" s="850" t="s">
        <v>1224</v>
      </c>
      <c r="C813" s="851">
        <v>2016</v>
      </c>
      <c r="D813" s="851">
        <v>2017</v>
      </c>
      <c r="E813" s="851">
        <v>511</v>
      </c>
      <c r="F813" s="851"/>
      <c r="G813" s="852" t="b">
        <v>0</v>
      </c>
      <c r="H813" s="930">
        <f>IF(ISBLANK(Table2[[#This Row],[MergedEdCorp]])=TRUE,0,IF(Table2[[#This Row],[MergedEdCorp]]=TRUE,1,2))</f>
        <v>2</v>
      </c>
      <c r="I813" s="36"/>
      <c r="J813" s="842"/>
      <c r="K813" s="842"/>
      <c r="Q813"/>
      <c r="AH813" s="4"/>
    </row>
    <row r="814" spans="2:34">
      <c r="B814" s="853" t="s">
        <v>1066</v>
      </c>
      <c r="C814" s="854">
        <v>2006</v>
      </c>
      <c r="D814" s="854"/>
      <c r="E814" s="854"/>
      <c r="F814" s="854"/>
      <c r="G814" s="844"/>
      <c r="H814" s="930">
        <f>IF(ISBLANK(Table2[[#This Row],[MergedEdCorp]])=TRUE,0,IF(Table2[[#This Row],[MergedEdCorp]]=TRUE,1,2))</f>
        <v>0</v>
      </c>
      <c r="I814" s="36"/>
      <c r="J814" s="842"/>
      <c r="K814" s="842"/>
      <c r="Q814"/>
      <c r="AH814" s="4"/>
    </row>
    <row r="815" spans="2:34">
      <c r="B815" s="850" t="s">
        <v>1067</v>
      </c>
      <c r="C815" s="851">
        <v>2010</v>
      </c>
      <c r="D815" s="851"/>
      <c r="E815" s="851"/>
      <c r="F815" s="851"/>
      <c r="G815" s="852"/>
      <c r="H815" s="930">
        <f>IF(ISBLANK(Table2[[#This Row],[MergedEdCorp]])=TRUE,0,IF(Table2[[#This Row],[MergedEdCorp]]=TRUE,1,2))</f>
        <v>0</v>
      </c>
      <c r="I815" s="36"/>
      <c r="J815" s="842"/>
      <c r="K815" s="842"/>
      <c r="Q815"/>
      <c r="AH815" s="4"/>
    </row>
    <row r="816" spans="2:34">
      <c r="B816" s="853" t="s">
        <v>1068</v>
      </c>
      <c r="C816" s="854">
        <v>2000</v>
      </c>
      <c r="D816" s="854"/>
      <c r="E816" s="854"/>
      <c r="F816" s="854"/>
      <c r="G816" s="844"/>
      <c r="H816" s="930">
        <f>IF(ISBLANK(Table2[[#This Row],[MergedEdCorp]])=TRUE,0,IF(Table2[[#This Row],[MergedEdCorp]]=TRUE,1,2))</f>
        <v>0</v>
      </c>
      <c r="I816" s="36"/>
      <c r="J816" s="842"/>
      <c r="K816" s="842"/>
      <c r="Q816"/>
      <c r="AH816" s="4"/>
    </row>
    <row r="817" spans="2:34">
      <c r="B817" s="850" t="s">
        <v>1181</v>
      </c>
      <c r="C817" s="851">
        <v>2016</v>
      </c>
      <c r="D817" s="851"/>
      <c r="E817" s="851"/>
      <c r="F817" s="851"/>
      <c r="G817" s="852"/>
      <c r="H817" s="930">
        <f>IF(ISBLANK(Table2[[#This Row],[MergedEdCorp]])=TRUE,0,IF(Table2[[#This Row],[MergedEdCorp]]=TRUE,1,2))</f>
        <v>0</v>
      </c>
      <c r="I817" s="36"/>
      <c r="J817" s="842"/>
      <c r="K817" s="842"/>
      <c r="Q817"/>
      <c r="AH817" s="4"/>
    </row>
    <row r="818" spans="2:34">
      <c r="B818" s="853" t="s">
        <v>1182</v>
      </c>
      <c r="C818" s="854">
        <v>2015</v>
      </c>
      <c r="D818" s="854"/>
      <c r="E818" s="854"/>
      <c r="F818" s="854"/>
      <c r="G818" s="844"/>
      <c r="H818" s="930">
        <f>IF(ISBLANK(Table2[[#This Row],[MergedEdCorp]])=TRUE,0,IF(Table2[[#This Row],[MergedEdCorp]]=TRUE,1,2))</f>
        <v>0</v>
      </c>
      <c r="I818" s="36"/>
      <c r="J818" s="842"/>
      <c r="K818" s="842"/>
      <c r="Q818"/>
      <c r="AH818" s="4"/>
    </row>
    <row r="819" spans="2:34">
      <c r="B819" s="850" t="s">
        <v>1069</v>
      </c>
      <c r="C819" s="851">
        <v>2008</v>
      </c>
      <c r="D819" s="851">
        <v>2016</v>
      </c>
      <c r="E819" s="851">
        <v>509</v>
      </c>
      <c r="F819" s="851"/>
      <c r="G819" s="852" t="b">
        <v>0</v>
      </c>
      <c r="H819" s="930">
        <f>IF(ISBLANK(Table2[[#This Row],[MergedEdCorp]])=TRUE,0,IF(Table2[[#This Row],[MergedEdCorp]]=TRUE,1,2))</f>
        <v>2</v>
      </c>
      <c r="I819" s="36"/>
      <c r="J819" s="842"/>
      <c r="K819" s="842"/>
      <c r="Q819"/>
      <c r="AH819" s="4"/>
    </row>
    <row r="820" spans="2:34">
      <c r="B820" s="853" t="s">
        <v>1139</v>
      </c>
      <c r="C820" s="854">
        <v>2012</v>
      </c>
      <c r="D820" s="854">
        <v>2015</v>
      </c>
      <c r="E820" s="854">
        <v>504</v>
      </c>
      <c r="F820" s="854"/>
      <c r="G820" s="844" t="b">
        <v>0</v>
      </c>
      <c r="H820" s="930">
        <f>IF(ISBLANK(Table2[[#This Row],[MergedEdCorp]])=TRUE,0,IF(Table2[[#This Row],[MergedEdCorp]]=TRUE,1,2))</f>
        <v>2</v>
      </c>
      <c r="I820" s="36"/>
      <c r="J820" s="842"/>
      <c r="K820" s="842"/>
      <c r="Q820"/>
      <c r="AH820" s="4"/>
    </row>
    <row r="821" spans="2:34">
      <c r="B821" s="850" t="s">
        <v>1155</v>
      </c>
      <c r="C821" s="851">
        <v>2014</v>
      </c>
      <c r="D821" s="851">
        <v>2015</v>
      </c>
      <c r="E821" s="851">
        <v>506</v>
      </c>
      <c r="F821" s="851"/>
      <c r="G821" s="852" t="b">
        <v>0</v>
      </c>
      <c r="H821" s="930">
        <f>IF(ISBLANK(Table2[[#This Row],[MergedEdCorp]])=TRUE,0,IF(Table2[[#This Row],[MergedEdCorp]]=TRUE,1,2))</f>
        <v>2</v>
      </c>
      <c r="I821" s="36"/>
      <c r="J821" s="842"/>
      <c r="K821" s="842"/>
      <c r="Q821"/>
      <c r="AH821" s="4"/>
    </row>
    <row r="822" spans="2:34">
      <c r="B822" s="850" t="s">
        <v>1070</v>
      </c>
      <c r="C822" s="851">
        <v>2003</v>
      </c>
      <c r="D822" s="851"/>
      <c r="E822" s="851"/>
      <c r="F822" s="851"/>
      <c r="G822" s="852"/>
      <c r="H822" s="930">
        <f>IF(ISBLANK(Table2[[#This Row],[MergedEdCorp]])=TRUE,0,IF(Table2[[#This Row],[MergedEdCorp]]=TRUE,1,2))</f>
        <v>0</v>
      </c>
      <c r="I822" s="36"/>
      <c r="J822" s="842"/>
      <c r="K822" s="842"/>
      <c r="Q822"/>
      <c r="AH822" s="4"/>
    </row>
    <row r="823" spans="2:34">
      <c r="B823" s="853" t="s">
        <v>1183</v>
      </c>
      <c r="C823" s="854">
        <v>2015</v>
      </c>
      <c r="D823" s="854"/>
      <c r="E823" s="854"/>
      <c r="F823" s="854"/>
      <c r="G823" s="844"/>
      <c r="H823" s="930">
        <f>IF(ISBLANK(Table2[[#This Row],[MergedEdCorp]])=TRUE,0,IF(Table2[[#This Row],[MergedEdCorp]]=TRUE,1,2))</f>
        <v>0</v>
      </c>
      <c r="I823" s="36"/>
      <c r="J823" s="842"/>
      <c r="K823" s="842"/>
      <c r="Q823"/>
      <c r="AH823" s="4"/>
    </row>
    <row r="824" spans="2:34">
      <c r="B824" s="850" t="s">
        <v>1071</v>
      </c>
      <c r="C824" s="851">
        <v>2004</v>
      </c>
      <c r="D824" s="851">
        <v>2017</v>
      </c>
      <c r="E824" s="851">
        <v>510</v>
      </c>
      <c r="F824" s="851" t="s">
        <v>1261</v>
      </c>
      <c r="G824" s="852" t="b">
        <v>1</v>
      </c>
      <c r="H824" s="930">
        <f>IF(ISBLANK(Table2[[#This Row],[MergedEdCorp]])=TRUE,0,IF(Table2[[#This Row],[MergedEdCorp]]=TRUE,1,2))</f>
        <v>1</v>
      </c>
      <c r="I824" s="36"/>
      <c r="J824" s="842"/>
      <c r="K824" s="842"/>
      <c r="Q824"/>
      <c r="AH824" s="4"/>
    </row>
    <row r="825" spans="2:34">
      <c r="B825" s="853" t="s">
        <v>1192</v>
      </c>
      <c r="C825" s="854">
        <v>2016</v>
      </c>
      <c r="D825" s="854">
        <v>2017</v>
      </c>
      <c r="E825" s="854">
        <v>510</v>
      </c>
      <c r="F825" s="854"/>
      <c r="G825" s="844" t="b">
        <v>0</v>
      </c>
      <c r="H825" s="930">
        <f>IF(ISBLANK(Table2[[#This Row],[MergedEdCorp]])=TRUE,0,IF(Table2[[#This Row],[MergedEdCorp]]=TRUE,1,2))</f>
        <v>2</v>
      </c>
      <c r="I825" s="36"/>
      <c r="J825" s="842"/>
      <c r="K825" s="842"/>
      <c r="Q825"/>
      <c r="AH825" s="4"/>
    </row>
    <row r="826" spans="2:34">
      <c r="B826" s="850" t="s">
        <v>1072</v>
      </c>
      <c r="C826" s="851">
        <v>2001</v>
      </c>
      <c r="D826" s="851"/>
      <c r="E826" s="851"/>
      <c r="F826" s="851"/>
      <c r="G826" s="852"/>
      <c r="H826" s="930">
        <f>IF(ISBLANK(Table2[[#This Row],[MergedEdCorp]])=TRUE,0,IF(Table2[[#This Row],[MergedEdCorp]]=TRUE,1,2))</f>
        <v>0</v>
      </c>
      <c r="I826" s="36"/>
      <c r="J826" s="842"/>
      <c r="K826" s="842"/>
      <c r="Q826"/>
      <c r="AH826" s="4"/>
    </row>
    <row r="827" spans="2:34">
      <c r="B827" s="853" t="s">
        <v>1196</v>
      </c>
      <c r="C827" s="854">
        <v>2008</v>
      </c>
      <c r="D827" s="854">
        <v>2017</v>
      </c>
      <c r="E827" s="854">
        <v>512</v>
      </c>
      <c r="F827" s="854"/>
      <c r="G827" s="844" t="b">
        <v>0</v>
      </c>
      <c r="H827" s="930">
        <f>IF(ISBLANK(Table2[[#This Row],[MergedEdCorp]])=TRUE,0,IF(Table2[[#This Row],[MergedEdCorp]]=TRUE,1,2))</f>
        <v>2</v>
      </c>
      <c r="I827" s="36"/>
      <c r="J827" s="842"/>
      <c r="K827" s="842"/>
      <c r="Q827"/>
      <c r="AH827" s="4"/>
    </row>
    <row r="828" spans="2:34">
      <c r="B828" s="850" t="s">
        <v>1073</v>
      </c>
      <c r="C828" s="851">
        <v>2010</v>
      </c>
      <c r="D828" s="851"/>
      <c r="E828" s="851"/>
      <c r="F828" s="851"/>
      <c r="G828" s="852"/>
      <c r="H828" s="930">
        <f>IF(ISBLANK(Table2[[#This Row],[MergedEdCorp]])=TRUE,0,IF(Table2[[#This Row],[MergedEdCorp]]=TRUE,1,2))</f>
        <v>0</v>
      </c>
      <c r="I828" s="36"/>
      <c r="J828" s="842"/>
      <c r="K828" s="842"/>
      <c r="Q828"/>
      <c r="AH828" s="4"/>
    </row>
    <row r="829" spans="2:34">
      <c r="B829" s="853" t="s">
        <v>1080</v>
      </c>
      <c r="C829" s="854">
        <v>2010</v>
      </c>
      <c r="D829" s="854">
        <v>2016</v>
      </c>
      <c r="E829" s="854">
        <v>509</v>
      </c>
      <c r="F829" s="854"/>
      <c r="G829" s="844" t="b">
        <v>0</v>
      </c>
      <c r="H829" s="930">
        <f>IF(ISBLANK(Table2[[#This Row],[MergedEdCorp]])=TRUE,0,IF(Table2[[#This Row],[MergedEdCorp]]=TRUE,1,2))</f>
        <v>2</v>
      </c>
      <c r="I829" s="36"/>
      <c r="J829" s="842"/>
      <c r="K829" s="842"/>
      <c r="Q829"/>
      <c r="AH829" s="4"/>
    </row>
    <row r="830" spans="2:34">
      <c r="B830" s="850" t="s">
        <v>1074</v>
      </c>
      <c r="C830" s="851">
        <v>2003</v>
      </c>
      <c r="D830" s="851"/>
      <c r="E830" s="851"/>
      <c r="F830" s="851"/>
      <c r="G830" s="852"/>
      <c r="H830" s="930">
        <f>IF(ISBLANK(Table2[[#This Row],[MergedEdCorp]])=TRUE,0,IF(Table2[[#This Row],[MergedEdCorp]]=TRUE,1,2))</f>
        <v>0</v>
      </c>
      <c r="I830" s="36"/>
      <c r="J830" s="842"/>
      <c r="K830" s="842"/>
      <c r="Q830"/>
      <c r="AH830" s="4"/>
    </row>
    <row r="831" spans="2:34">
      <c r="B831" s="853" t="s">
        <v>1075</v>
      </c>
      <c r="C831" s="854">
        <v>2009</v>
      </c>
      <c r="D831" s="854"/>
      <c r="E831" s="854"/>
      <c r="F831" s="854"/>
      <c r="G831" s="844"/>
      <c r="H831" s="930">
        <f>IF(ISBLANK(Table2[[#This Row],[MergedEdCorp]])=TRUE,0,IF(Table2[[#This Row],[MergedEdCorp]]=TRUE,1,2))</f>
        <v>0</v>
      </c>
      <c r="I831" s="36"/>
      <c r="J831" s="842"/>
      <c r="K831" s="842"/>
      <c r="Q831"/>
      <c r="AH831" s="4"/>
    </row>
    <row r="832" spans="2:34">
      <c r="B832" s="850" t="s">
        <v>1184</v>
      </c>
      <c r="C832" s="851">
        <v>2016</v>
      </c>
      <c r="D832" s="851"/>
      <c r="E832" s="851"/>
      <c r="F832" s="851"/>
      <c r="G832" s="852"/>
      <c r="H832" s="930">
        <f>IF(ISBLANK(Table2[[#This Row],[MergedEdCorp]])=TRUE,0,IF(Table2[[#This Row],[MergedEdCorp]]=TRUE,1,2))</f>
        <v>0</v>
      </c>
      <c r="I832" s="36"/>
      <c r="J832" s="842"/>
      <c r="K832" s="842"/>
      <c r="Q832"/>
      <c r="AH832" s="4"/>
    </row>
    <row r="833" spans="2:34">
      <c r="B833" s="853" t="s">
        <v>1130</v>
      </c>
      <c r="C833" s="854">
        <v>2011</v>
      </c>
      <c r="D833" s="854"/>
      <c r="E833" s="854"/>
      <c r="F833" s="854"/>
      <c r="G833" s="844"/>
      <c r="H833" s="930">
        <f>IF(ISBLANK(Table2[[#This Row],[MergedEdCorp]])=TRUE,0,IF(Table2[[#This Row],[MergedEdCorp]]=TRUE,1,2))</f>
        <v>0</v>
      </c>
      <c r="I833" s="36"/>
      <c r="J833" s="842"/>
      <c r="K833" s="842"/>
      <c r="Q833"/>
      <c r="AH833" s="4"/>
    </row>
    <row r="834" spans="2:34">
      <c r="B834" s="850" t="s">
        <v>1197</v>
      </c>
      <c r="C834" s="851">
        <v>2009</v>
      </c>
      <c r="D834" s="851">
        <v>2017</v>
      </c>
      <c r="E834" s="851">
        <v>512</v>
      </c>
      <c r="F834" s="851"/>
      <c r="G834" s="852" t="b">
        <v>0</v>
      </c>
      <c r="H834" s="930">
        <f>IF(ISBLANK(Table2[[#This Row],[MergedEdCorp]])=TRUE,0,IF(Table2[[#This Row],[MergedEdCorp]]=TRUE,1,2))</f>
        <v>2</v>
      </c>
      <c r="I834" s="36"/>
      <c r="J834" s="842"/>
      <c r="K834" s="842"/>
      <c r="Q834"/>
      <c r="AH834" s="4"/>
    </row>
    <row r="835" spans="2:34">
      <c r="B835" s="853" t="s">
        <v>1076</v>
      </c>
      <c r="C835" s="854">
        <v>2009</v>
      </c>
      <c r="D835" s="854">
        <v>2016</v>
      </c>
      <c r="E835" s="854">
        <v>509</v>
      </c>
      <c r="F835" s="854"/>
      <c r="G835" s="844" t="b">
        <v>0</v>
      </c>
      <c r="H835" s="930">
        <f>IF(ISBLANK(Table2[[#This Row],[MergedEdCorp]])=TRUE,0,IF(Table2[[#This Row],[MergedEdCorp]]=TRUE,1,2))</f>
        <v>2</v>
      </c>
      <c r="I835" s="36"/>
      <c r="J835" s="842"/>
      <c r="K835" s="842"/>
      <c r="Q835"/>
      <c r="AH835" s="4"/>
    </row>
    <row r="836" spans="2:34">
      <c r="B836" s="850" t="s">
        <v>1077</v>
      </c>
      <c r="C836" s="851">
        <v>2003</v>
      </c>
      <c r="D836" s="851"/>
      <c r="E836" s="851"/>
      <c r="F836" s="851"/>
      <c r="G836" s="852"/>
      <c r="H836" s="930">
        <f>IF(ISBLANK(Table2[[#This Row],[MergedEdCorp]])=TRUE,0,IF(Table2[[#This Row],[MergedEdCorp]]=TRUE,1,2))</f>
        <v>0</v>
      </c>
      <c r="I836" s="36"/>
      <c r="J836" s="842"/>
      <c r="K836" s="842"/>
      <c r="Q836"/>
      <c r="AH836" s="4"/>
    </row>
    <row r="837" spans="2:34">
      <c r="B837" s="853" t="s">
        <v>1198</v>
      </c>
      <c r="C837" s="854">
        <v>2010</v>
      </c>
      <c r="D837" s="854">
        <v>2017</v>
      </c>
      <c r="E837" s="854">
        <v>512</v>
      </c>
      <c r="F837" s="854"/>
      <c r="G837" s="844" t="b">
        <v>0</v>
      </c>
      <c r="H837" s="930">
        <f>IF(ISBLANK(Table2[[#This Row],[MergedEdCorp]])=TRUE,0,IF(Table2[[#This Row],[MergedEdCorp]]=TRUE,1,2))</f>
        <v>2</v>
      </c>
      <c r="I837" s="36"/>
      <c r="J837" s="842"/>
      <c r="K837" s="842"/>
      <c r="Q837"/>
      <c r="AH837" s="4"/>
    </row>
    <row r="838" spans="2:34">
      <c r="B838" s="850" t="s">
        <v>1143</v>
      </c>
      <c r="C838" s="851">
        <v>2013</v>
      </c>
      <c r="D838" s="851">
        <v>2017</v>
      </c>
      <c r="E838" s="851">
        <v>512</v>
      </c>
      <c r="F838" s="851" t="s">
        <v>1215</v>
      </c>
      <c r="G838" s="852" t="b">
        <v>1</v>
      </c>
      <c r="H838" s="930">
        <f>IF(ISBLANK(Table2[[#This Row],[MergedEdCorp]])=TRUE,0,IF(Table2[[#This Row],[MergedEdCorp]]=TRUE,1,2))</f>
        <v>1</v>
      </c>
      <c r="I838" s="36"/>
      <c r="J838" s="842"/>
      <c r="K838" s="842"/>
      <c r="Q838"/>
      <c r="AH838" s="4"/>
    </row>
    <row r="839" spans="2:34">
      <c r="B839" s="853" t="s">
        <v>1169</v>
      </c>
      <c r="C839" s="854">
        <v>2014</v>
      </c>
      <c r="D839" s="854">
        <v>2017</v>
      </c>
      <c r="E839" s="854">
        <v>512</v>
      </c>
      <c r="F839" s="854"/>
      <c r="G839" s="844" t="b">
        <v>0</v>
      </c>
      <c r="H839" s="930">
        <f>IF(ISBLANK(Table2[[#This Row],[MergedEdCorp]])=TRUE,0,IF(Table2[[#This Row],[MergedEdCorp]]=TRUE,1,2))</f>
        <v>2</v>
      </c>
      <c r="I839" s="36"/>
      <c r="J839" s="842"/>
      <c r="K839" s="842"/>
      <c r="Q839"/>
      <c r="AH839" s="4"/>
    </row>
    <row r="840" spans="2:34">
      <c r="B840" s="850" t="s">
        <v>1144</v>
      </c>
      <c r="C840" s="851">
        <v>2012</v>
      </c>
      <c r="D840" s="851"/>
      <c r="E840" s="851"/>
      <c r="F840" s="851"/>
      <c r="G840" s="852"/>
      <c r="H840" s="930">
        <f>IF(ISBLANK(Table2[[#This Row],[MergedEdCorp]])=TRUE,0,IF(Table2[[#This Row],[MergedEdCorp]]=TRUE,1,2))</f>
        <v>0</v>
      </c>
      <c r="I840" s="36"/>
      <c r="J840" s="842"/>
      <c r="K840" s="842"/>
      <c r="Q840"/>
      <c r="AH840" s="4"/>
    </row>
    <row r="841" spans="2:34">
      <c r="B841" s="850" t="s">
        <v>1145</v>
      </c>
      <c r="C841" s="851">
        <v>2012</v>
      </c>
      <c r="D841" s="851"/>
      <c r="E841" s="851"/>
      <c r="F841" s="851"/>
      <c r="G841" s="852"/>
      <c r="H841" s="930">
        <f>IF(ISBLANK(Table2[[#This Row],[MergedEdCorp]])=TRUE,0,IF(Table2[[#This Row],[MergedEdCorp]]=TRUE,1,2))</f>
        <v>0</v>
      </c>
      <c r="I841" s="36"/>
      <c r="J841" s="842"/>
      <c r="K841" s="842"/>
      <c r="Q841"/>
      <c r="AH841" s="4"/>
    </row>
    <row r="842" spans="2:34">
      <c r="B842" s="853" t="s">
        <v>1165</v>
      </c>
      <c r="C842" s="854">
        <v>2013</v>
      </c>
      <c r="D842" s="854">
        <v>2014</v>
      </c>
      <c r="E842" s="854">
        <v>501</v>
      </c>
      <c r="F842" s="854"/>
      <c r="G842" s="844" t="b">
        <v>0</v>
      </c>
      <c r="H842" s="930">
        <f>IF(ISBLANK(Table2[[#This Row],[MergedEdCorp]])=TRUE,0,IF(Table2[[#This Row],[MergedEdCorp]]=TRUE,1,2))</f>
        <v>2</v>
      </c>
      <c r="I842" s="36"/>
      <c r="J842" s="842"/>
      <c r="K842" s="842"/>
      <c r="Q842"/>
      <c r="AH842" s="4"/>
    </row>
    <row r="843" spans="2:34">
      <c r="B843" s="850" t="s">
        <v>1164</v>
      </c>
      <c r="C843" s="851">
        <v>2013</v>
      </c>
      <c r="D843" s="851">
        <v>2014</v>
      </c>
      <c r="E843" s="851">
        <v>501</v>
      </c>
      <c r="F843" s="851" t="s">
        <v>1217</v>
      </c>
      <c r="G843" s="852" t="b">
        <v>1</v>
      </c>
      <c r="H843" s="930">
        <f>IF(ISBLANK(Table2[[#This Row],[MergedEdCorp]])=TRUE,0,IF(Table2[[#This Row],[MergedEdCorp]]=TRUE,1,2))</f>
        <v>1</v>
      </c>
      <c r="I843" s="36"/>
      <c r="J843" s="842"/>
      <c r="K843" s="842"/>
      <c r="Q843"/>
      <c r="AH843" s="4"/>
    </row>
    <row r="844" spans="2:34">
      <c r="B844" s="853" t="s">
        <v>1078</v>
      </c>
      <c r="C844" s="854">
        <v>2000</v>
      </c>
      <c r="D844" s="854">
        <v>2015</v>
      </c>
      <c r="E844" s="854">
        <v>504</v>
      </c>
      <c r="F844" s="854" t="s">
        <v>1216</v>
      </c>
      <c r="G844" s="844" t="b">
        <v>1</v>
      </c>
      <c r="H844" s="930">
        <f>IF(ISBLANK(Table2[[#This Row],[MergedEdCorp]])=TRUE,0,IF(Table2[[#This Row],[MergedEdCorp]]=TRUE,1,2))</f>
        <v>1</v>
      </c>
      <c r="I844" s="36"/>
      <c r="J844" s="842"/>
      <c r="K844" s="842"/>
      <c r="Q844"/>
      <c r="AH844" s="4"/>
    </row>
    <row r="845" spans="2:34">
      <c r="B845" s="850" t="s">
        <v>1131</v>
      </c>
      <c r="C845" s="851">
        <v>2011</v>
      </c>
      <c r="D845" s="851">
        <v>2014</v>
      </c>
      <c r="E845" s="851">
        <v>508</v>
      </c>
      <c r="F845" s="851" t="s">
        <v>1131</v>
      </c>
      <c r="G845" s="852" t="b">
        <v>1</v>
      </c>
      <c r="H845" s="930">
        <f>IF(ISBLANK(Table2[[#This Row],[MergedEdCorp]])=TRUE,0,IF(Table2[[#This Row],[MergedEdCorp]]=TRUE,1,2))</f>
        <v>1</v>
      </c>
      <c r="I845" s="36"/>
      <c r="J845" s="842"/>
      <c r="K845" s="842"/>
      <c r="Q845"/>
      <c r="AH845" s="4"/>
    </row>
    <row r="846" spans="2:34">
      <c r="B846" s="853" t="s">
        <v>1166</v>
      </c>
      <c r="C846" s="854">
        <v>2013</v>
      </c>
      <c r="D846" s="854">
        <v>2014</v>
      </c>
      <c r="E846" s="854">
        <v>508</v>
      </c>
      <c r="F846" s="854"/>
      <c r="G846" s="844" t="b">
        <v>0</v>
      </c>
      <c r="H846" s="930">
        <f>IF(ISBLANK(Table2[[#This Row],[MergedEdCorp]])=TRUE,0,IF(Table2[[#This Row],[MergedEdCorp]]=TRUE,1,2))</f>
        <v>2</v>
      </c>
      <c r="I846" s="36"/>
      <c r="J846" s="842"/>
      <c r="K846" s="842"/>
      <c r="Q846"/>
      <c r="AH846" s="4"/>
    </row>
    <row r="847" spans="2:34">
      <c r="B847" s="853" t="s">
        <v>1081</v>
      </c>
      <c r="C847" s="854">
        <v>2000</v>
      </c>
      <c r="D847" s="854"/>
      <c r="E847" s="854"/>
      <c r="F847" s="854"/>
      <c r="G847" s="844"/>
      <c r="H847" s="930">
        <f>IF(ISBLANK(Table2[[#This Row],[MergedEdCorp]])=TRUE,0,IF(Table2[[#This Row],[MergedEdCorp]]=TRUE,1,2))</f>
        <v>0</v>
      </c>
      <c r="I847" s="36"/>
      <c r="J847" s="842"/>
      <c r="K847" s="842"/>
      <c r="Q847"/>
      <c r="AH847" s="4"/>
    </row>
    <row r="848" spans="2:34">
      <c r="B848" s="850" t="s">
        <v>1082</v>
      </c>
      <c r="C848" s="851">
        <v>2004</v>
      </c>
      <c r="D848" s="851">
        <v>2015</v>
      </c>
      <c r="E848" s="851">
        <v>509</v>
      </c>
      <c r="F848" s="851"/>
      <c r="G848" s="852" t="b">
        <v>0</v>
      </c>
      <c r="H848" s="930">
        <f>IF(ISBLANK(Table2[[#This Row],[MergedEdCorp]])=TRUE,0,IF(Table2[[#This Row],[MergedEdCorp]]=TRUE,1,2))</f>
        <v>2</v>
      </c>
      <c r="I848" s="36"/>
      <c r="J848" s="842"/>
      <c r="K848" s="842"/>
      <c r="Q848"/>
      <c r="AH848" s="4"/>
    </row>
    <row r="849" spans="2:34">
      <c r="B849" s="853" t="s">
        <v>1083</v>
      </c>
      <c r="C849" s="854">
        <v>2009</v>
      </c>
      <c r="D849" s="854">
        <v>2015</v>
      </c>
      <c r="E849" s="854">
        <v>509</v>
      </c>
      <c r="F849" s="854"/>
      <c r="G849" s="844" t="b">
        <v>0</v>
      </c>
      <c r="H849" s="930">
        <f>IF(ISBLANK(Table2[[#This Row],[MergedEdCorp]])=TRUE,0,IF(Table2[[#This Row],[MergedEdCorp]]=TRUE,1,2))</f>
        <v>2</v>
      </c>
      <c r="I849" s="36"/>
      <c r="J849" s="842"/>
      <c r="K849" s="842"/>
      <c r="Q849"/>
      <c r="AH849" s="4"/>
    </row>
    <row r="850" spans="2:34">
      <c r="B850" s="850" t="s">
        <v>1188</v>
      </c>
      <c r="C850" s="851">
        <v>2002</v>
      </c>
      <c r="D850" s="851">
        <v>2016</v>
      </c>
      <c r="E850" s="851">
        <v>507</v>
      </c>
      <c r="F850" s="851"/>
      <c r="G850" s="852" t="b">
        <v>0</v>
      </c>
      <c r="H850" s="930">
        <f>IF(ISBLANK(Table2[[#This Row],[MergedEdCorp]])=TRUE,0,IF(Table2[[#This Row],[MergedEdCorp]]=TRUE,1,2))</f>
        <v>2</v>
      </c>
      <c r="I850" s="36"/>
      <c r="J850" s="842"/>
      <c r="K850" s="842"/>
      <c r="Q850"/>
      <c r="AH850" s="4"/>
    </row>
    <row r="851" spans="2:34">
      <c r="B851" s="853" t="s">
        <v>1189</v>
      </c>
      <c r="C851" s="854">
        <v>2009</v>
      </c>
      <c r="D851" s="854">
        <v>2016</v>
      </c>
      <c r="E851" s="854">
        <v>507</v>
      </c>
      <c r="F851" s="854"/>
      <c r="G851" s="844" t="b">
        <v>0</v>
      </c>
      <c r="H851" s="930">
        <f>IF(ISBLANK(Table2[[#This Row],[MergedEdCorp]])=TRUE,0,IF(Table2[[#This Row],[MergedEdCorp]]=TRUE,1,2))</f>
        <v>2</v>
      </c>
      <c r="I851" s="36"/>
      <c r="J851" s="842"/>
      <c r="K851" s="842"/>
      <c r="Q851"/>
      <c r="AH851" s="4"/>
    </row>
    <row r="852" spans="2:34">
      <c r="B852" s="850" t="s">
        <v>1162</v>
      </c>
      <c r="C852" s="851">
        <v>2016</v>
      </c>
      <c r="D852" s="851">
        <v>2016</v>
      </c>
      <c r="E852" s="851">
        <v>507</v>
      </c>
      <c r="F852" s="851"/>
      <c r="G852" s="852" t="b">
        <v>0</v>
      </c>
      <c r="H852" s="930">
        <f>IF(ISBLANK(Table2[[#This Row],[MergedEdCorp]])=TRUE,0,IF(Table2[[#This Row],[MergedEdCorp]]=TRUE,1,2))</f>
        <v>2</v>
      </c>
      <c r="I852" s="36"/>
      <c r="J852" s="842"/>
      <c r="K852" s="842"/>
      <c r="Q852"/>
      <c r="AH852" s="4"/>
    </row>
    <row r="853" spans="2:34">
      <c r="B853" s="853" t="s">
        <v>1163</v>
      </c>
      <c r="C853" s="854">
        <v>2016</v>
      </c>
      <c r="D853" s="854">
        <v>2016</v>
      </c>
      <c r="E853" s="854">
        <v>507</v>
      </c>
      <c r="F853" s="854"/>
      <c r="G853" s="844" t="b">
        <v>0</v>
      </c>
      <c r="H853" s="930">
        <f>IF(ISBLANK(Table2[[#This Row],[MergedEdCorp]])=TRUE,0,IF(Table2[[#This Row],[MergedEdCorp]]=TRUE,1,2))</f>
        <v>2</v>
      </c>
      <c r="I853" s="36"/>
      <c r="J853" s="842"/>
      <c r="K853" s="842"/>
      <c r="Q853"/>
      <c r="AH853" s="4"/>
    </row>
    <row r="854" spans="2:34">
      <c r="B854" s="850" t="s">
        <v>1146</v>
      </c>
      <c r="C854" s="851">
        <v>2012</v>
      </c>
      <c r="D854" s="851">
        <v>2016</v>
      </c>
      <c r="E854" s="851">
        <v>507</v>
      </c>
      <c r="F854" s="851"/>
      <c r="G854" s="852" t="b">
        <v>0</v>
      </c>
      <c r="H854" s="930">
        <f>IF(ISBLANK(Table2[[#This Row],[MergedEdCorp]])=TRUE,0,IF(Table2[[#This Row],[MergedEdCorp]]=TRUE,1,2))</f>
        <v>2</v>
      </c>
      <c r="I854" s="36"/>
      <c r="J854" s="842"/>
      <c r="K854" s="842"/>
      <c r="Q854"/>
      <c r="AH854" s="4"/>
    </row>
    <row r="855" spans="2:34">
      <c r="B855" s="853" t="s">
        <v>1132</v>
      </c>
      <c r="C855" s="854">
        <v>2011</v>
      </c>
      <c r="D855" s="854">
        <v>2016</v>
      </c>
      <c r="E855" s="854">
        <v>507</v>
      </c>
      <c r="F855" s="854" t="s">
        <v>1218</v>
      </c>
      <c r="G855" s="844" t="b">
        <v>1</v>
      </c>
      <c r="H855" s="930">
        <f>IF(ISBLANK(Table2[[#This Row],[MergedEdCorp]])=TRUE,0,IF(Table2[[#This Row],[MergedEdCorp]]=TRUE,1,2))</f>
        <v>1</v>
      </c>
      <c r="I855" s="36"/>
      <c r="J855" s="842"/>
      <c r="K855" s="842"/>
      <c r="Q855"/>
      <c r="AH855" s="4"/>
    </row>
    <row r="856" spans="2:34">
      <c r="B856" s="850" t="s">
        <v>1084</v>
      </c>
      <c r="C856" s="851">
        <v>2001</v>
      </c>
      <c r="D856" s="851">
        <v>2015</v>
      </c>
      <c r="E856" s="851">
        <v>503</v>
      </c>
      <c r="F856" s="851" t="s">
        <v>1084</v>
      </c>
      <c r="G856" s="852" t="b">
        <v>1</v>
      </c>
      <c r="H856" s="930">
        <f>IF(ISBLANK(Table2[[#This Row],[MergedEdCorp]])=TRUE,0,IF(Table2[[#This Row],[MergedEdCorp]]=TRUE,1,2))</f>
        <v>1</v>
      </c>
      <c r="I856" s="36"/>
      <c r="J856" s="842"/>
      <c r="K856" s="842"/>
      <c r="Q856"/>
      <c r="AH856" s="4"/>
    </row>
    <row r="857" spans="2:34">
      <c r="B857" s="853" t="s">
        <v>1147</v>
      </c>
      <c r="C857" s="854">
        <v>2012</v>
      </c>
      <c r="D857" s="854">
        <v>2015</v>
      </c>
      <c r="E857" s="854">
        <v>503</v>
      </c>
      <c r="F857" s="854"/>
      <c r="G857" s="844" t="b">
        <v>0</v>
      </c>
      <c r="H857" s="930">
        <f>IF(ISBLANK(Table2[[#This Row],[MergedEdCorp]])=TRUE,0,IF(Table2[[#This Row],[MergedEdCorp]]=TRUE,1,2))</f>
        <v>2</v>
      </c>
      <c r="I857" s="36"/>
      <c r="J857" s="842"/>
      <c r="K857" s="842"/>
      <c r="Q857"/>
      <c r="AH857" s="4"/>
    </row>
    <row r="858" spans="2:34">
      <c r="B858" s="850" t="s">
        <v>1172</v>
      </c>
      <c r="C858" s="851">
        <v>2014</v>
      </c>
      <c r="D858" s="851">
        <v>2015</v>
      </c>
      <c r="E858" s="851">
        <v>503</v>
      </c>
      <c r="F858" s="851"/>
      <c r="G858" s="852" t="b">
        <v>0</v>
      </c>
      <c r="H858" s="930">
        <f>IF(ISBLANK(Table2[[#This Row],[MergedEdCorp]])=TRUE,0,IF(Table2[[#This Row],[MergedEdCorp]]=TRUE,1,2))</f>
        <v>2</v>
      </c>
      <c r="I858" s="36"/>
      <c r="J858" s="842"/>
      <c r="K858" s="842"/>
      <c r="Q858"/>
      <c r="AH858" s="4"/>
    </row>
    <row r="859" spans="2:34">
      <c r="B859" s="853" t="s">
        <v>1185</v>
      </c>
      <c r="C859" s="854">
        <v>2015</v>
      </c>
      <c r="D859" s="854"/>
      <c r="E859" s="854"/>
      <c r="F859" s="854"/>
      <c r="G859" s="844"/>
      <c r="H859" s="930">
        <f>IF(ISBLANK(Table2[[#This Row],[MergedEdCorp]])=TRUE,0,IF(Table2[[#This Row],[MergedEdCorp]]=TRUE,1,2))</f>
        <v>0</v>
      </c>
      <c r="I859" s="36"/>
      <c r="J859" s="842"/>
      <c r="K859" s="842"/>
      <c r="Q859"/>
      <c r="AH859" s="4"/>
    </row>
    <row r="860" spans="2:34">
      <c r="B860" s="850" t="s">
        <v>1085</v>
      </c>
      <c r="C860" s="851">
        <v>2005</v>
      </c>
      <c r="D860" s="851">
        <v>2015</v>
      </c>
      <c r="E860" s="851">
        <v>506</v>
      </c>
      <c r="F860" s="851" t="s">
        <v>1220</v>
      </c>
      <c r="G860" s="852" t="b">
        <v>1</v>
      </c>
      <c r="H860" s="930">
        <f>IF(ISBLANK(Table2[[#This Row],[MergedEdCorp]])=TRUE,0,IF(Table2[[#This Row],[MergedEdCorp]]=TRUE,1,2))</f>
        <v>1</v>
      </c>
      <c r="I860" s="36"/>
      <c r="J860" s="842"/>
      <c r="K860" s="842"/>
      <c r="Q860"/>
      <c r="AH860" s="4"/>
    </row>
    <row r="861" spans="2:34">
      <c r="B861" s="853" t="s">
        <v>1086</v>
      </c>
      <c r="C861" s="854">
        <v>2009</v>
      </c>
      <c r="D861" s="854">
        <v>2015</v>
      </c>
      <c r="E861" s="854">
        <v>506</v>
      </c>
      <c r="F861" s="854"/>
      <c r="G861" s="844" t="b">
        <v>0</v>
      </c>
      <c r="H861" s="930">
        <f>IF(ISBLANK(Table2[[#This Row],[MergedEdCorp]])=TRUE,0,IF(Table2[[#This Row],[MergedEdCorp]]=TRUE,1,2))</f>
        <v>2</v>
      </c>
      <c r="I861" s="36"/>
      <c r="J861" s="842"/>
      <c r="K861" s="842"/>
      <c r="Q861"/>
      <c r="AH861" s="4"/>
    </row>
    <row r="862" spans="2:34">
      <c r="B862" s="850" t="s">
        <v>1087</v>
      </c>
      <c r="C862" s="851">
        <v>2004</v>
      </c>
      <c r="D862" s="851"/>
      <c r="E862" s="851"/>
      <c r="F862" s="851"/>
      <c r="G862" s="852"/>
      <c r="H862" s="930">
        <f>IF(ISBLANK(Table2[[#This Row],[MergedEdCorp]])=TRUE,0,IF(Table2[[#This Row],[MergedEdCorp]]=TRUE,1,2))</f>
        <v>0</v>
      </c>
      <c r="I862" s="36"/>
      <c r="J862" s="842"/>
      <c r="K862" s="842"/>
      <c r="Q862"/>
      <c r="AH862" s="4"/>
    </row>
    <row r="863" spans="2:34">
      <c r="B863" s="853" t="s">
        <v>1089</v>
      </c>
      <c r="C863" s="854">
        <v>2008</v>
      </c>
      <c r="D863" s="854"/>
      <c r="E863" s="854"/>
      <c r="F863" s="854"/>
      <c r="G863" s="844"/>
      <c r="H863" s="930">
        <f>IF(ISBLANK(Table2[[#This Row],[MergedEdCorp]])=TRUE,0,IF(Table2[[#This Row],[MergedEdCorp]]=TRUE,1,2))</f>
        <v>0</v>
      </c>
      <c r="I863" s="36"/>
      <c r="J863" s="842"/>
      <c r="K863" s="842"/>
      <c r="Q863"/>
      <c r="AH863" s="4"/>
    </row>
    <row r="864" spans="2:34">
      <c r="B864" s="850" t="s">
        <v>1090</v>
      </c>
      <c r="C864" s="851">
        <v>2000</v>
      </c>
      <c r="D864" s="851"/>
      <c r="E864" s="851"/>
      <c r="F864" s="851"/>
      <c r="G864" s="852"/>
      <c r="H864" s="930">
        <f>IF(ISBLANK(Table2[[#This Row],[MergedEdCorp]])=TRUE,0,IF(Table2[[#This Row],[MergedEdCorp]]=TRUE,1,2))</f>
        <v>0</v>
      </c>
      <c r="I864" s="36"/>
      <c r="J864" s="842"/>
      <c r="K864" s="842"/>
      <c r="Q864"/>
      <c r="AH864" s="4"/>
    </row>
    <row r="865" spans="2:34">
      <c r="B865" s="853" t="s">
        <v>1092</v>
      </c>
      <c r="C865" s="854">
        <v>2005</v>
      </c>
      <c r="D865" s="854"/>
      <c r="E865" s="854"/>
      <c r="F865" s="854"/>
      <c r="G865" s="844"/>
      <c r="H865" s="930">
        <f>IF(ISBLANK(Table2[[#This Row],[MergedEdCorp]])=TRUE,0,IF(Table2[[#This Row],[MergedEdCorp]]=TRUE,1,2))</f>
        <v>0</v>
      </c>
      <c r="I865" s="36"/>
      <c r="J865" s="842"/>
      <c r="K865" s="842"/>
      <c r="Q865"/>
      <c r="AH865" s="4"/>
    </row>
    <row r="866" spans="2:34">
      <c r="B866" s="850" t="s">
        <v>1091</v>
      </c>
      <c r="C866" s="851">
        <v>2001</v>
      </c>
      <c r="D866" s="851"/>
      <c r="E866" s="851"/>
      <c r="F866" s="851"/>
      <c r="G866" s="852"/>
      <c r="H866" s="930">
        <f>IF(ISBLANK(Table2[[#This Row],[MergedEdCorp]])=TRUE,0,IF(Table2[[#This Row],[MergedEdCorp]]=TRUE,1,2))</f>
        <v>0</v>
      </c>
      <c r="I866" s="36"/>
      <c r="J866" s="842"/>
      <c r="K866" s="842"/>
      <c r="Q866"/>
      <c r="AH866" s="4"/>
    </row>
    <row r="867" spans="2:34">
      <c r="B867" s="853" t="s">
        <v>1099</v>
      </c>
      <c r="C867" s="854">
        <v>2003</v>
      </c>
      <c r="D867" s="854"/>
      <c r="E867" s="854"/>
      <c r="F867" s="854"/>
      <c r="G867" s="844"/>
      <c r="H867" s="930">
        <f>IF(ISBLANK(Table2[[#This Row],[MergedEdCorp]])=TRUE,0,IF(Table2[[#This Row],[MergedEdCorp]]=TRUE,1,2))</f>
        <v>0</v>
      </c>
      <c r="I867" s="36"/>
      <c r="J867" s="842"/>
      <c r="K867" s="842"/>
      <c r="Q867"/>
      <c r="AH867" s="4"/>
    </row>
    <row r="868" spans="2:34">
      <c r="B868" s="850" t="s">
        <v>1100</v>
      </c>
      <c r="C868" s="851">
        <v>2005</v>
      </c>
      <c r="D868" s="851"/>
      <c r="E868" s="851"/>
      <c r="F868" s="851"/>
      <c r="G868" s="852"/>
      <c r="H868" s="930">
        <f>IF(ISBLANK(Table2[[#This Row],[MergedEdCorp]])=TRUE,0,IF(Table2[[#This Row],[MergedEdCorp]]=TRUE,1,2))</f>
        <v>0</v>
      </c>
      <c r="I868" s="36"/>
      <c r="J868" s="842"/>
      <c r="K868" s="842"/>
      <c r="Q868"/>
      <c r="AH868" s="4"/>
    </row>
    <row r="869" spans="2:34">
      <c r="B869" s="853" t="s">
        <v>1148</v>
      </c>
      <c r="C869" s="854">
        <v>2012</v>
      </c>
      <c r="D869" s="854"/>
      <c r="E869" s="854"/>
      <c r="F869" s="854"/>
      <c r="G869" s="844"/>
      <c r="H869" s="930">
        <f>IF(ISBLANK(Table2[[#This Row],[MergedEdCorp]])=TRUE,0,IF(Table2[[#This Row],[MergedEdCorp]]=TRUE,1,2))</f>
        <v>0</v>
      </c>
      <c r="I869" s="36"/>
      <c r="J869" s="842"/>
      <c r="K869" s="842"/>
      <c r="Q869"/>
      <c r="AH869" s="4"/>
    </row>
    <row r="870" spans="2:34">
      <c r="B870" s="850" t="s">
        <v>1101</v>
      </c>
      <c r="C870" s="851">
        <v>2007</v>
      </c>
      <c r="D870" s="851"/>
      <c r="E870" s="851"/>
      <c r="F870" s="851"/>
      <c r="G870" s="852"/>
      <c r="H870" s="930">
        <f>IF(ISBLANK(Table2[[#This Row],[MergedEdCorp]])=TRUE,0,IF(Table2[[#This Row],[MergedEdCorp]]=TRUE,1,2))</f>
        <v>0</v>
      </c>
      <c r="I870" s="36"/>
      <c r="J870" s="842"/>
      <c r="K870" s="842"/>
      <c r="Q870"/>
      <c r="AH870" s="4"/>
    </row>
    <row r="871" spans="2:34">
      <c r="B871" s="853" t="s">
        <v>1102</v>
      </c>
      <c r="C871" s="854">
        <v>2001</v>
      </c>
      <c r="D871" s="854"/>
      <c r="E871" s="854"/>
      <c r="F871" s="854"/>
      <c r="G871" s="844"/>
      <c r="H871" s="930">
        <f>IF(ISBLANK(Table2[[#This Row],[MergedEdCorp]])=TRUE,0,IF(Table2[[#This Row],[MergedEdCorp]]=TRUE,1,2))</f>
        <v>0</v>
      </c>
      <c r="I871" s="36"/>
      <c r="J871" s="842"/>
      <c r="K871" s="842"/>
      <c r="Q871"/>
      <c r="AH871" s="4"/>
    </row>
    <row r="872" spans="2:34">
      <c r="B872" s="850" t="s">
        <v>1103</v>
      </c>
      <c r="C872" s="851">
        <v>2007</v>
      </c>
      <c r="D872" s="851"/>
      <c r="E872" s="851"/>
      <c r="F872" s="851"/>
      <c r="G872" s="852"/>
      <c r="H872" s="930">
        <f>IF(ISBLANK(Table2[[#This Row],[MergedEdCorp]])=TRUE,0,IF(Table2[[#This Row],[MergedEdCorp]]=TRUE,1,2))</f>
        <v>0</v>
      </c>
      <c r="I872" s="36"/>
      <c r="J872" s="842"/>
      <c r="K872" s="842"/>
      <c r="Q872"/>
      <c r="AH872" s="4"/>
    </row>
    <row r="873" spans="2:34">
      <c r="B873" s="853" t="s">
        <v>1104</v>
      </c>
      <c r="C873" s="854">
        <v>2008</v>
      </c>
      <c r="D873" s="854"/>
      <c r="E873" s="854"/>
      <c r="F873" s="854"/>
      <c r="G873" s="844"/>
      <c r="H873" s="930">
        <f>IF(ISBLANK(Table2[[#This Row],[MergedEdCorp]])=TRUE,0,IF(Table2[[#This Row],[MergedEdCorp]]=TRUE,1,2))</f>
        <v>0</v>
      </c>
      <c r="I873" s="36"/>
      <c r="J873" s="842"/>
      <c r="K873" s="842"/>
      <c r="Q873"/>
      <c r="AH873" s="4"/>
    </row>
    <row r="874" spans="2:34">
      <c r="B874" s="850" t="s">
        <v>1105</v>
      </c>
      <c r="C874" s="851">
        <v>2009</v>
      </c>
      <c r="D874" s="851"/>
      <c r="E874" s="851"/>
      <c r="F874" s="851"/>
      <c r="G874" s="852"/>
      <c r="H874" s="930">
        <f>IF(ISBLANK(Table2[[#This Row],[MergedEdCorp]])=TRUE,0,IF(Table2[[#This Row],[MergedEdCorp]]=TRUE,1,2))</f>
        <v>0</v>
      </c>
      <c r="I874" s="36"/>
      <c r="J874" s="842"/>
      <c r="K874" s="842"/>
      <c r="Q874"/>
      <c r="AH874" s="4"/>
    </row>
    <row r="875" spans="2:34">
      <c r="B875" s="853" t="s">
        <v>1106</v>
      </c>
      <c r="C875" s="854">
        <v>2011</v>
      </c>
      <c r="D875" s="854"/>
      <c r="E875" s="854"/>
      <c r="F875" s="854"/>
      <c r="G875" s="844"/>
      <c r="H875" s="930">
        <f>IF(ISBLANK(Table2[[#This Row],[MergedEdCorp]])=TRUE,0,IF(Table2[[#This Row],[MergedEdCorp]]=TRUE,1,2))</f>
        <v>0</v>
      </c>
      <c r="I875" s="36"/>
      <c r="J875" s="842"/>
      <c r="K875" s="842"/>
      <c r="Q875"/>
      <c r="AH875" s="4"/>
    </row>
    <row r="876" spans="2:34">
      <c r="B876" s="850" t="s">
        <v>1149</v>
      </c>
      <c r="C876" s="851">
        <v>2012</v>
      </c>
      <c r="D876" s="851"/>
      <c r="E876" s="851"/>
      <c r="F876" s="851"/>
      <c r="G876" s="852"/>
      <c r="H876" s="930">
        <f>IF(ISBLANK(Table2[[#This Row],[MergedEdCorp]])=TRUE,0,IF(Table2[[#This Row],[MergedEdCorp]]=TRUE,1,2))</f>
        <v>0</v>
      </c>
      <c r="I876" s="36"/>
      <c r="J876" s="842"/>
      <c r="K876" s="842"/>
      <c r="Q876"/>
      <c r="AH876" s="4"/>
    </row>
    <row r="877" spans="2:34">
      <c r="B877" s="853" t="s">
        <v>1150</v>
      </c>
      <c r="C877" s="854">
        <v>2013</v>
      </c>
      <c r="D877" s="854"/>
      <c r="E877" s="854"/>
      <c r="F877" s="854"/>
      <c r="G877" s="844"/>
      <c r="H877" s="930">
        <f>IF(ISBLANK(Table2[[#This Row],[MergedEdCorp]])=TRUE,0,IF(Table2[[#This Row],[MergedEdCorp]]=TRUE,1,2))</f>
        <v>0</v>
      </c>
      <c r="I877" s="36"/>
      <c r="J877" s="842"/>
      <c r="K877" s="842"/>
      <c r="Q877"/>
      <c r="AH877" s="4"/>
    </row>
    <row r="878" spans="2:34">
      <c r="B878" s="850" t="s">
        <v>1186</v>
      </c>
      <c r="C878" s="851">
        <v>2015</v>
      </c>
      <c r="D878" s="851"/>
      <c r="E878" s="851"/>
      <c r="F878" s="851"/>
      <c r="G878" s="852"/>
      <c r="H878" s="930">
        <f>IF(ISBLANK(Table2[[#This Row],[MergedEdCorp]])=TRUE,0,IF(Table2[[#This Row],[MergedEdCorp]]=TRUE,1,2))</f>
        <v>0</v>
      </c>
      <c r="I878" s="36"/>
      <c r="J878" s="842"/>
      <c r="K878" s="842"/>
      <c r="Q878"/>
      <c r="AH878" s="4"/>
    </row>
    <row r="879" spans="2:34">
      <c r="B879" s="853" t="s">
        <v>1133</v>
      </c>
      <c r="C879" s="854">
        <v>2011</v>
      </c>
      <c r="D879" s="854"/>
      <c r="E879" s="854"/>
      <c r="F879" s="854"/>
      <c r="G879" s="844"/>
      <c r="H879" s="930">
        <f>IF(ISBLANK(Table2[[#This Row],[MergedEdCorp]])=TRUE,0,IF(Table2[[#This Row],[MergedEdCorp]]=TRUE,1,2))</f>
        <v>0</v>
      </c>
      <c r="I879" s="36"/>
      <c r="J879" s="842"/>
      <c r="K879" s="842"/>
      <c r="Q879"/>
      <c r="AH879" s="4"/>
    </row>
    <row r="880" spans="2:34">
      <c r="B880" s="850" t="s">
        <v>1107</v>
      </c>
      <c r="C880" s="851">
        <v>2000</v>
      </c>
      <c r="D880" s="851"/>
      <c r="E880" s="851"/>
      <c r="F880" s="851"/>
      <c r="G880" s="852"/>
      <c r="H880" s="930">
        <f>IF(ISBLANK(Table2[[#This Row],[MergedEdCorp]])=TRUE,0,IF(Table2[[#This Row],[MergedEdCorp]]=TRUE,1,2))</f>
        <v>0</v>
      </c>
      <c r="I880" s="36"/>
      <c r="J880" s="842"/>
      <c r="K880" s="842"/>
      <c r="Q880"/>
      <c r="AH880" s="4"/>
    </row>
    <row r="881" spans="2:34">
      <c r="B881" s="853" t="s">
        <v>1108</v>
      </c>
      <c r="C881" s="854">
        <v>2007</v>
      </c>
      <c r="D881" s="854">
        <v>2016</v>
      </c>
      <c r="E881" s="854">
        <v>509</v>
      </c>
      <c r="F881" s="854"/>
      <c r="G881" s="844" t="b">
        <v>0</v>
      </c>
      <c r="H881" s="930">
        <f>IF(ISBLANK(Table2[[#This Row],[MergedEdCorp]])=TRUE,0,IF(Table2[[#This Row],[MergedEdCorp]]=TRUE,1,2))</f>
        <v>2</v>
      </c>
      <c r="I881" s="36"/>
      <c r="J881" s="842"/>
      <c r="K881" s="842"/>
      <c r="Q881"/>
      <c r="AH881" s="4"/>
    </row>
    <row r="882" spans="2:34">
      <c r="B882" s="850" t="s">
        <v>1109</v>
      </c>
      <c r="C882" s="851">
        <v>2005</v>
      </c>
      <c r="D882" s="851"/>
      <c r="E882" s="851"/>
      <c r="F882" s="851"/>
      <c r="G882" s="852"/>
      <c r="H882" s="930">
        <f>IF(ISBLANK(Table2[[#This Row],[MergedEdCorp]])=TRUE,0,IF(Table2[[#This Row],[MergedEdCorp]]=TRUE,1,2))</f>
        <v>0</v>
      </c>
      <c r="I882" s="36"/>
      <c r="J882" s="842"/>
      <c r="K882" s="842"/>
      <c r="Q882"/>
      <c r="AH882" s="4"/>
    </row>
    <row r="883" spans="2:34">
      <c r="B883" s="853" t="s">
        <v>1110</v>
      </c>
      <c r="C883" s="854">
        <v>2006</v>
      </c>
      <c r="D883" s="854">
        <v>2016</v>
      </c>
      <c r="E883" s="854">
        <v>509</v>
      </c>
      <c r="F883" s="854" t="s">
        <v>1260</v>
      </c>
      <c r="G883" s="844" t="b">
        <v>1</v>
      </c>
      <c r="H883" s="930">
        <f>IF(ISBLANK(Table2[[#This Row],[MergedEdCorp]])=TRUE,0,IF(Table2[[#This Row],[MergedEdCorp]]=TRUE,1,2))</f>
        <v>1</v>
      </c>
      <c r="I883" s="36"/>
      <c r="J883" s="842"/>
      <c r="K883" s="842"/>
      <c r="Q883"/>
      <c r="AH883" s="4"/>
    </row>
    <row r="884" spans="2:34">
      <c r="B884" s="850" t="s">
        <v>1111</v>
      </c>
      <c r="C884" s="851">
        <v>2009</v>
      </c>
      <c r="D884" s="851">
        <v>2016</v>
      </c>
      <c r="E884" s="851">
        <v>509</v>
      </c>
      <c r="F884" s="851"/>
      <c r="G884" s="852" t="b">
        <v>0</v>
      </c>
      <c r="H884" s="930">
        <f>IF(ISBLANK(Table2[[#This Row],[MergedEdCorp]])=TRUE,0,IF(Table2[[#This Row],[MergedEdCorp]]=TRUE,1,2))</f>
        <v>2</v>
      </c>
      <c r="I884" s="36"/>
      <c r="J884" s="842"/>
      <c r="K884" s="842"/>
      <c r="Q884"/>
      <c r="AH884" s="4"/>
    </row>
    <row r="885" spans="2:34">
      <c r="B885" s="853" t="s">
        <v>1113</v>
      </c>
      <c r="C885" s="854">
        <v>2013</v>
      </c>
      <c r="D885" s="854">
        <v>2016</v>
      </c>
      <c r="E885" s="854">
        <v>509</v>
      </c>
      <c r="F885" s="854"/>
      <c r="G885" s="844" t="b">
        <v>0</v>
      </c>
      <c r="H885" s="930">
        <f>IF(ISBLANK(Table2[[#This Row],[MergedEdCorp]])=TRUE,0,IF(Table2[[#This Row],[MergedEdCorp]]=TRUE,1,2))</f>
        <v>2</v>
      </c>
      <c r="I885" s="36"/>
      <c r="J885" s="842"/>
      <c r="K885" s="842"/>
      <c r="Q885"/>
      <c r="AH885" s="4"/>
    </row>
    <row r="886" spans="2:34">
      <c r="B886" s="850" t="s">
        <v>1112</v>
      </c>
      <c r="C886" s="851">
        <v>2010</v>
      </c>
      <c r="D886" s="851">
        <v>2016</v>
      </c>
      <c r="E886" s="851">
        <v>509</v>
      </c>
      <c r="F886" s="851"/>
      <c r="G886" s="852" t="b">
        <v>0</v>
      </c>
      <c r="H886" s="930">
        <f>IF(ISBLANK(Table2[[#This Row],[MergedEdCorp]])=TRUE,0,IF(Table2[[#This Row],[MergedEdCorp]]=TRUE,1,2))</f>
        <v>2</v>
      </c>
      <c r="I886" s="36"/>
      <c r="J886" s="842"/>
      <c r="K886" s="842"/>
      <c r="Q886"/>
      <c r="AH886" s="4"/>
    </row>
    <row r="887" spans="2:34">
      <c r="B887" s="853" t="s">
        <v>1199</v>
      </c>
      <c r="C887" s="854">
        <v>2005</v>
      </c>
      <c r="D887" s="854">
        <v>2017</v>
      </c>
      <c r="E887" s="854">
        <v>513</v>
      </c>
      <c r="F887" s="854" t="s">
        <v>1219</v>
      </c>
      <c r="G887" s="844" t="b">
        <v>1</v>
      </c>
      <c r="H887" s="930">
        <f>IF(ISBLANK(Table2[[#This Row],[MergedEdCorp]])=TRUE,0,IF(Table2[[#This Row],[MergedEdCorp]]=TRUE,1,2))</f>
        <v>1</v>
      </c>
      <c r="I887" s="36"/>
      <c r="J887" s="842"/>
      <c r="K887" s="842"/>
      <c r="Q887"/>
      <c r="AH887" s="4"/>
    </row>
    <row r="888" spans="2:34">
      <c r="B888" s="850" t="s">
        <v>1151</v>
      </c>
      <c r="C888" s="851">
        <v>2012</v>
      </c>
      <c r="D888" s="851">
        <v>2017</v>
      </c>
      <c r="E888" s="851">
        <v>513</v>
      </c>
      <c r="F888" s="851"/>
      <c r="G888" s="852" t="b">
        <v>0</v>
      </c>
      <c r="H888" s="930">
        <f>IF(ISBLANK(Table2[[#This Row],[MergedEdCorp]])=TRUE,0,IF(Table2[[#This Row],[MergedEdCorp]]=TRUE,1,2))</f>
        <v>2</v>
      </c>
      <c r="I888" s="36"/>
      <c r="J888" s="842"/>
      <c r="K888" s="842"/>
      <c r="Q888"/>
      <c r="AH888" s="4"/>
    </row>
    <row r="889" spans="2:34">
      <c r="B889" s="853" t="s">
        <v>1114</v>
      </c>
      <c r="C889" s="854">
        <v>2000</v>
      </c>
      <c r="D889" s="854"/>
      <c r="E889" s="854"/>
      <c r="F889" s="854"/>
      <c r="G889" s="844"/>
      <c r="H889" s="930">
        <f>IF(ISBLANK(Table2[[#This Row],[MergedEdCorp]])=TRUE,0,IF(Table2[[#This Row],[MergedEdCorp]]=TRUE,1,2))</f>
        <v>0</v>
      </c>
      <c r="I889" s="36"/>
      <c r="J889" s="842"/>
      <c r="K889" s="842"/>
      <c r="Q889"/>
      <c r="AH889" s="4"/>
    </row>
    <row r="890" spans="2:34">
      <c r="B890" s="850" t="s">
        <v>1170</v>
      </c>
      <c r="C890" s="851">
        <v>2013</v>
      </c>
      <c r="D890" s="851"/>
      <c r="E890" s="851"/>
      <c r="F890" s="851"/>
      <c r="G890" s="852"/>
      <c r="H890" s="930">
        <f>IF(ISBLANK(Table2[[#This Row],[MergedEdCorp]])=TRUE,0,IF(Table2[[#This Row],[MergedEdCorp]]=TRUE,1,2))</f>
        <v>0</v>
      </c>
      <c r="I890" s="36"/>
      <c r="J890" s="842"/>
      <c r="K890" s="842"/>
      <c r="Q890"/>
      <c r="AH890" s="4"/>
    </row>
    <row r="891" spans="2:34">
      <c r="B891" s="853" t="s">
        <v>1115</v>
      </c>
      <c r="C891" s="854">
        <v>2010</v>
      </c>
      <c r="D891" s="854"/>
      <c r="E891" s="854"/>
      <c r="F891" s="854"/>
      <c r="G891" s="844"/>
      <c r="H891" s="930">
        <f>IF(ISBLANK(Table2[[#This Row],[MergedEdCorp]])=TRUE,0,IF(Table2[[#This Row],[MergedEdCorp]]=TRUE,1,2))</f>
        <v>0</v>
      </c>
      <c r="I891" s="36"/>
      <c r="J891" s="842"/>
      <c r="K891" s="842"/>
      <c r="Q891"/>
      <c r="AH891" s="4"/>
    </row>
    <row r="892" spans="2:34">
      <c r="B892" s="850" t="s">
        <v>1116</v>
      </c>
      <c r="C892" s="851">
        <v>2009</v>
      </c>
      <c r="D892" s="851"/>
      <c r="E892" s="851"/>
      <c r="F892" s="851"/>
      <c r="G892" s="852"/>
      <c r="H892" s="930">
        <f>IF(ISBLANK(Table2[[#This Row],[MergedEdCorp]])=TRUE,0,IF(Table2[[#This Row],[MergedEdCorp]]=TRUE,1,2))</f>
        <v>0</v>
      </c>
      <c r="I892" s="36"/>
      <c r="J892" s="842"/>
      <c r="K892" s="842"/>
      <c r="Q892"/>
      <c r="AH892" s="4"/>
    </row>
    <row r="893" spans="2:34">
      <c r="B893" s="853" t="s">
        <v>1134</v>
      </c>
      <c r="C893" s="854">
        <v>2011</v>
      </c>
      <c r="D893" s="854"/>
      <c r="E893" s="854"/>
      <c r="F893" s="854"/>
      <c r="G893" s="844"/>
      <c r="H893" s="930">
        <f>IF(ISBLANK(Table2[[#This Row],[MergedEdCorp]])=TRUE,0,IF(Table2[[#This Row],[MergedEdCorp]]=TRUE,1,2))</f>
        <v>0</v>
      </c>
      <c r="I893" s="36"/>
      <c r="J893" s="842"/>
      <c r="K893" s="842"/>
      <c r="Q893"/>
      <c r="AH893" s="4"/>
    </row>
    <row r="894" spans="2:34">
      <c r="B894" s="850" t="s">
        <v>1135</v>
      </c>
      <c r="C894" s="851">
        <v>2011</v>
      </c>
      <c r="D894" s="851"/>
      <c r="E894" s="851"/>
      <c r="F894" s="851"/>
      <c r="G894" s="852"/>
      <c r="H894" s="930">
        <f>IF(ISBLANK(Table2[[#This Row],[MergedEdCorp]])=TRUE,0,IF(Table2[[#This Row],[MergedEdCorp]]=TRUE,1,2))</f>
        <v>0</v>
      </c>
      <c r="I894" s="36"/>
      <c r="J894" s="842"/>
      <c r="K894" s="842"/>
      <c r="Q894"/>
      <c r="AH894" s="4"/>
    </row>
    <row r="895" spans="2:34">
      <c r="B895" s="853" t="s">
        <v>1117</v>
      </c>
      <c r="C895" s="854">
        <v>2010</v>
      </c>
      <c r="D895" s="854"/>
      <c r="E895" s="854"/>
      <c r="F895" s="854"/>
      <c r="G895" s="844"/>
      <c r="H895" s="930">
        <f>IF(ISBLANK(Table2[[#This Row],[MergedEdCorp]])=TRUE,0,IF(Table2[[#This Row],[MergedEdCorp]]=TRUE,1,2))</f>
        <v>0</v>
      </c>
      <c r="I895" s="36"/>
      <c r="J895" s="842"/>
      <c r="K895" s="842"/>
      <c r="Q895"/>
      <c r="AH895" s="4"/>
    </row>
    <row r="896" spans="2:34">
      <c r="B896" s="853" t="s">
        <v>1191</v>
      </c>
      <c r="C896" s="854">
        <v>2016</v>
      </c>
      <c r="D896" s="854"/>
      <c r="E896" s="854"/>
      <c r="F896" s="854"/>
      <c r="G896" s="844"/>
      <c r="H896" s="930">
        <f>IF(ISBLANK(Table2[[#This Row],[MergedEdCorp]])=TRUE,0,IF(Table2[[#This Row],[MergedEdCorp]]=TRUE,1,2))</f>
        <v>0</v>
      </c>
      <c r="I896" s="36"/>
      <c r="J896" s="842"/>
      <c r="K896" s="842"/>
      <c r="Q896"/>
      <c r="AH896" s="4"/>
    </row>
    <row r="897" spans="2:34">
      <c r="B897" s="850" t="s">
        <v>1079</v>
      </c>
      <c r="C897" s="851">
        <v>2010</v>
      </c>
      <c r="D897" s="851">
        <v>2016</v>
      </c>
      <c r="E897" s="851">
        <v>509</v>
      </c>
      <c r="F897" s="851"/>
      <c r="G897" s="852" t="b">
        <v>0</v>
      </c>
      <c r="H897" s="930">
        <f>IF(ISBLANK(Table2[[#This Row],[MergedEdCorp]])=TRUE,0,IF(Table2[[#This Row],[MergedEdCorp]]=TRUE,1,2))</f>
        <v>2</v>
      </c>
      <c r="I897" s="36"/>
      <c r="J897" s="842"/>
      <c r="K897" s="842"/>
      <c r="Q897"/>
      <c r="AH897" s="4"/>
    </row>
    <row r="898" spans="2:34">
      <c r="B898" s="853" t="s">
        <v>1118</v>
      </c>
      <c r="C898" s="854">
        <v>2005</v>
      </c>
      <c r="D898" s="854"/>
      <c r="E898" s="854"/>
      <c r="F898" s="854"/>
      <c r="G898" s="844"/>
      <c r="H898" s="930">
        <f>IF(ISBLANK(Table2[[#This Row],[MergedEdCorp]])=TRUE,0,IF(Table2[[#This Row],[MergedEdCorp]]=TRUE,1,2))</f>
        <v>0</v>
      </c>
      <c r="I898" s="36"/>
      <c r="J898" s="842"/>
      <c r="K898" s="842"/>
      <c r="Q898"/>
      <c r="AH898" s="4"/>
    </row>
    <row r="899" spans="2:34">
      <c r="B899" s="850" t="s">
        <v>1119</v>
      </c>
      <c r="C899" s="851">
        <v>2002</v>
      </c>
      <c r="D899" s="851"/>
      <c r="E899" s="851"/>
      <c r="F899" s="851"/>
      <c r="G899" s="852"/>
      <c r="H899" s="930">
        <f>IF(ISBLANK(Table2[[#This Row],[MergedEdCorp]])=TRUE,0,IF(Table2[[#This Row],[MergedEdCorp]]=TRUE,1,2))</f>
        <v>0</v>
      </c>
      <c r="I899" s="36"/>
      <c r="J899" s="842"/>
      <c r="K899" s="842"/>
      <c r="Q899"/>
      <c r="AH899" s="4"/>
    </row>
    <row r="900" spans="2:34">
      <c r="B900" s="853" t="s">
        <v>1171</v>
      </c>
      <c r="C900" s="854">
        <v>2014</v>
      </c>
      <c r="D900" s="854"/>
      <c r="E900" s="854"/>
      <c r="F900" s="854"/>
      <c r="G900" s="844"/>
      <c r="H900" s="930">
        <f>IF(ISBLANK(Table2[[#This Row],[MergedEdCorp]])=TRUE,0,IF(Table2[[#This Row],[MergedEdCorp]]=TRUE,1,2))</f>
        <v>0</v>
      </c>
      <c r="I900" s="36"/>
      <c r="J900" s="842"/>
      <c r="K900" s="842"/>
      <c r="Q900"/>
      <c r="AH900" s="4"/>
    </row>
    <row r="901" spans="2:34">
      <c r="B901" s="850" t="s">
        <v>1152</v>
      </c>
      <c r="C901" s="851">
        <v>2012</v>
      </c>
      <c r="D901" s="851"/>
      <c r="E901" s="851"/>
      <c r="F901" s="851"/>
      <c r="G901" s="852"/>
      <c r="H901" s="930">
        <f>IF(ISBLANK(Table2[[#This Row],[MergedEdCorp]])=TRUE,0,IF(Table2[[#This Row],[MergedEdCorp]]=TRUE,1,2))</f>
        <v>0</v>
      </c>
      <c r="I901" s="36"/>
      <c r="J901" s="842"/>
      <c r="K901" s="842"/>
      <c r="Q901"/>
      <c r="AH901" s="4"/>
    </row>
    <row r="902" spans="2:34">
      <c r="B902" s="853" t="s">
        <v>1153</v>
      </c>
      <c r="C902" s="854">
        <v>2012</v>
      </c>
      <c r="D902" s="854"/>
      <c r="E902" s="854"/>
      <c r="F902" s="854"/>
      <c r="G902" s="844"/>
      <c r="H902" s="930">
        <f>IF(ISBLANK(Table2[[#This Row],[MergedEdCorp]])=TRUE,0,IF(Table2[[#This Row],[MergedEdCorp]]=TRUE,1,2))</f>
        <v>0</v>
      </c>
      <c r="I902" s="36"/>
      <c r="J902" s="842"/>
      <c r="K902" s="842"/>
      <c r="Q902"/>
      <c r="AH902" s="4"/>
    </row>
    <row r="903" spans="2:34">
      <c r="B903" s="850" t="s">
        <v>1168</v>
      </c>
      <c r="C903" s="851">
        <v>2016</v>
      </c>
      <c r="D903" s="851">
        <v>2015</v>
      </c>
      <c r="E903" s="851">
        <v>502</v>
      </c>
      <c r="F903" s="851"/>
      <c r="G903" s="852" t="b">
        <v>0</v>
      </c>
      <c r="H903" s="930">
        <f>IF(ISBLANK(Table2[[#This Row],[MergedEdCorp]])=TRUE,0,IF(Table2[[#This Row],[MergedEdCorp]]=TRUE,1,2))</f>
        <v>2</v>
      </c>
      <c r="I903" s="36"/>
      <c r="J903" s="842"/>
      <c r="K903" s="842"/>
      <c r="Q903"/>
      <c r="AH903" s="4"/>
    </row>
    <row r="904" spans="2:34">
      <c r="B904" s="853" t="s">
        <v>1120</v>
      </c>
      <c r="C904" s="854">
        <v>2000</v>
      </c>
      <c r="D904" s="854"/>
      <c r="E904" s="854"/>
      <c r="F904" s="854"/>
      <c r="G904" s="844"/>
      <c r="H904" s="930">
        <f>IF(ISBLANK(Table2[[#This Row],[MergedEdCorp]])=TRUE,0,IF(Table2[[#This Row],[MergedEdCorp]]=TRUE,1,2))</f>
        <v>0</v>
      </c>
      <c r="I904" s="36"/>
      <c r="J904" s="842"/>
      <c r="K904" s="842"/>
      <c r="Q904"/>
      <c r="AH904" s="4"/>
    </row>
    <row r="905" spans="2:34">
      <c r="B905" s="853" t="s">
        <v>1121</v>
      </c>
      <c r="C905" s="854">
        <v>1999</v>
      </c>
      <c r="D905" s="854"/>
      <c r="E905" s="854"/>
      <c r="F905" s="854"/>
      <c r="G905" s="844"/>
      <c r="H905" s="930">
        <f>IF(ISBLANK(Table2[[#This Row],[MergedEdCorp]])=TRUE,0,IF(Table2[[#This Row],[MergedEdCorp]]=TRUE,1,2))</f>
        <v>0</v>
      </c>
      <c r="I905" s="36"/>
      <c r="J905" s="842"/>
      <c r="K905" s="842"/>
      <c r="Q905"/>
      <c r="AH905" s="4"/>
    </row>
    <row r="906" spans="2:34">
      <c r="B906" s="850" t="s">
        <v>1122</v>
      </c>
      <c r="C906" s="851">
        <v>2000</v>
      </c>
      <c r="D906" s="851"/>
      <c r="E906" s="851"/>
      <c r="F906" s="851"/>
      <c r="G906" s="852"/>
      <c r="H906" s="930">
        <f>IF(ISBLANK(Table2[[#This Row],[MergedEdCorp]])=TRUE,0,IF(Table2[[#This Row],[MergedEdCorp]]=TRUE,1,2))</f>
        <v>0</v>
      </c>
      <c r="I906" s="36"/>
      <c r="J906" s="842"/>
      <c r="K906" s="842"/>
      <c r="Q906"/>
      <c r="AH906" s="4"/>
    </row>
    <row r="907" spans="2:34">
      <c r="B907" s="853" t="s">
        <v>1187</v>
      </c>
      <c r="C907" s="854">
        <v>2015</v>
      </c>
      <c r="D907" s="854"/>
      <c r="E907" s="854"/>
      <c r="F907" s="854"/>
      <c r="G907" s="844"/>
      <c r="H907" s="930">
        <f>IF(ISBLANK(Table2[[#This Row],[MergedEdCorp]])=TRUE,0,IF(Table2[[#This Row],[MergedEdCorp]]=TRUE,1,2))</f>
        <v>0</v>
      </c>
      <c r="I907" s="36"/>
      <c r="J907" s="842"/>
      <c r="K907" s="842"/>
      <c r="Q907"/>
      <c r="AH907" s="4"/>
    </row>
    <row r="908" spans="2:34">
      <c r="B908" s="850" t="s">
        <v>1129</v>
      </c>
      <c r="C908" s="851">
        <v>2011</v>
      </c>
      <c r="D908" s="851">
        <v>2015</v>
      </c>
      <c r="E908" s="851">
        <v>500</v>
      </c>
      <c r="F908" s="851"/>
      <c r="G908" s="852" t="b">
        <v>0</v>
      </c>
      <c r="H908" s="930">
        <f>IF(ISBLANK(Table2[[#This Row],[MergedEdCorp]])=TRUE,0,IF(Table2[[#This Row],[MergedEdCorp]]=TRUE,1,2))</f>
        <v>2</v>
      </c>
      <c r="I908" s="36"/>
      <c r="J908" s="842"/>
      <c r="K908" s="842"/>
      <c r="Q908"/>
      <c r="AH908" s="4"/>
    </row>
    <row r="909" spans="2:34">
      <c r="B909" s="853" t="s">
        <v>1140</v>
      </c>
      <c r="C909" s="854">
        <v>2012</v>
      </c>
      <c r="D909" s="854">
        <v>2015</v>
      </c>
      <c r="E909" s="854">
        <v>500</v>
      </c>
      <c r="F909" s="854"/>
      <c r="G909" s="844" t="b">
        <v>0</v>
      </c>
      <c r="H909" s="930">
        <f>IF(ISBLANK(Table2[[#This Row],[MergedEdCorp]])=TRUE,0,IF(Table2[[#This Row],[MergedEdCorp]]=TRUE,1,2))</f>
        <v>2</v>
      </c>
      <c r="I909" s="36"/>
      <c r="J909" s="842"/>
      <c r="K909" s="842"/>
      <c r="Q909"/>
      <c r="AH909" s="4"/>
    </row>
    <row r="910" spans="2:34">
      <c r="B910" s="850" t="s">
        <v>1255</v>
      </c>
      <c r="C910" s="851">
        <v>2016</v>
      </c>
      <c r="D910" s="851">
        <v>2017</v>
      </c>
      <c r="E910" s="851">
        <v>500</v>
      </c>
      <c r="F910" s="851"/>
      <c r="G910" s="852" t="b">
        <v>0</v>
      </c>
      <c r="H910" s="930">
        <f>IF(ISBLANK(Table2[[#This Row],[MergedEdCorp]])=TRUE,0,IF(Table2[[#This Row],[MergedEdCorp]]=TRUE,1,2))</f>
        <v>2</v>
      </c>
      <c r="I910" s="36"/>
      <c r="J910" s="842"/>
      <c r="K910" s="842"/>
      <c r="Q910"/>
      <c r="AH910" s="4"/>
    </row>
    <row r="911" spans="2:34">
      <c r="B911" s="850" t="s">
        <v>1176</v>
      </c>
      <c r="C911" s="851">
        <v>2014</v>
      </c>
      <c r="D911" s="851">
        <v>2015</v>
      </c>
      <c r="E911" s="851">
        <v>500</v>
      </c>
      <c r="F911" s="851"/>
      <c r="G911" s="852" t="b">
        <v>0</v>
      </c>
      <c r="H911" s="930">
        <f>IF(ISBLANK(Table2[[#This Row],[MergedEdCorp]])=TRUE,0,IF(Table2[[#This Row],[MergedEdCorp]]=TRUE,1,2))</f>
        <v>2</v>
      </c>
      <c r="I911" s="36"/>
      <c r="J911" s="842"/>
      <c r="K911" s="842"/>
      <c r="Q911"/>
      <c r="AH911" s="4"/>
    </row>
    <row r="912" spans="2:34">
      <c r="B912" s="853" t="s">
        <v>1177</v>
      </c>
      <c r="C912" s="854">
        <v>2014</v>
      </c>
      <c r="D912" s="854">
        <v>2015</v>
      </c>
      <c r="E912" s="854">
        <v>500</v>
      </c>
      <c r="F912" s="854"/>
      <c r="G912" s="844" t="b">
        <v>0</v>
      </c>
      <c r="H912" s="930">
        <f>IF(ISBLANK(Table2[[#This Row],[MergedEdCorp]])=TRUE,0,IF(Table2[[#This Row],[MergedEdCorp]]=TRUE,1,2))</f>
        <v>2</v>
      </c>
      <c r="I912" s="36"/>
      <c r="J912" s="842"/>
      <c r="K912" s="842"/>
      <c r="Q912"/>
      <c r="AH912" s="4"/>
    </row>
    <row r="913" spans="2:34">
      <c r="B913" s="850" t="s">
        <v>1098</v>
      </c>
      <c r="C913" s="851">
        <v>2010</v>
      </c>
      <c r="D913" s="851">
        <v>2015</v>
      </c>
      <c r="E913" s="851">
        <v>500</v>
      </c>
      <c r="F913" s="851"/>
      <c r="G913" s="852" t="b">
        <v>0</v>
      </c>
      <c r="H913" s="930">
        <f>IF(ISBLANK(Table2[[#This Row],[MergedEdCorp]])=TRUE,0,IF(Table2[[#This Row],[MergedEdCorp]]=TRUE,1,2))</f>
        <v>2</v>
      </c>
      <c r="I913" s="36"/>
      <c r="J913" s="842"/>
      <c r="K913" s="842"/>
      <c r="Q913"/>
      <c r="AH913" s="4"/>
    </row>
    <row r="914" spans="2:34">
      <c r="B914" s="853" t="s">
        <v>1097</v>
      </c>
      <c r="C914" s="854">
        <v>2010</v>
      </c>
      <c r="D914" s="854">
        <v>2015</v>
      </c>
      <c r="E914" s="854">
        <v>500</v>
      </c>
      <c r="F914" s="854"/>
      <c r="G914" s="844" t="b">
        <v>0</v>
      </c>
      <c r="H914" s="930">
        <f>IF(ISBLANK(Table2[[#This Row],[MergedEdCorp]])=TRUE,0,IF(Table2[[#This Row],[MergedEdCorp]]=TRUE,1,2))</f>
        <v>2</v>
      </c>
      <c r="I914" s="36"/>
      <c r="J914" s="842"/>
      <c r="K914" s="842"/>
      <c r="Q914"/>
      <c r="AH914" s="4"/>
    </row>
    <row r="915" spans="2:34">
      <c r="B915" s="850" t="s">
        <v>1161</v>
      </c>
      <c r="C915" s="851">
        <v>2013</v>
      </c>
      <c r="D915" s="851">
        <v>2013</v>
      </c>
      <c r="E915" s="851">
        <v>500</v>
      </c>
      <c r="F915" s="851"/>
      <c r="G915" s="852" t="b">
        <v>0</v>
      </c>
      <c r="H915" s="930">
        <f>IF(ISBLANK(Table2[[#This Row],[MergedEdCorp]])=TRUE,0,IF(Table2[[#This Row],[MergedEdCorp]]=TRUE,1,2))</f>
        <v>2</v>
      </c>
      <c r="I915" s="36"/>
      <c r="J915" s="842"/>
      <c r="K915" s="842"/>
      <c r="Q915"/>
      <c r="AH915" s="4"/>
    </row>
    <row r="916" spans="2:34">
      <c r="B916" s="853" t="s">
        <v>1175</v>
      </c>
      <c r="C916" s="854">
        <v>2014</v>
      </c>
      <c r="D916" s="854">
        <v>2015</v>
      </c>
      <c r="E916" s="854">
        <v>500</v>
      </c>
      <c r="F916" s="854"/>
      <c r="G916" s="844" t="b">
        <v>0</v>
      </c>
      <c r="H916" s="930">
        <f>IF(ISBLANK(Table2[[#This Row],[MergedEdCorp]])=TRUE,0,IF(Table2[[#This Row],[MergedEdCorp]]=TRUE,1,2))</f>
        <v>2</v>
      </c>
      <c r="I916" s="36"/>
      <c r="J916" s="842"/>
      <c r="K916" s="842"/>
      <c r="Q916"/>
      <c r="AH916" s="4"/>
    </row>
    <row r="917" spans="2:34">
      <c r="B917" s="850" t="s">
        <v>1256</v>
      </c>
      <c r="C917" s="851">
        <v>2016</v>
      </c>
      <c r="D917" s="851">
        <v>2017</v>
      </c>
      <c r="E917" s="851">
        <v>500</v>
      </c>
      <c r="F917" s="851"/>
      <c r="G917" s="852" t="b">
        <v>0</v>
      </c>
      <c r="H917" s="930">
        <f>IF(ISBLANK(Table2[[#This Row],[MergedEdCorp]])=TRUE,0,IF(Table2[[#This Row],[MergedEdCorp]]=TRUE,1,2))</f>
        <v>2</v>
      </c>
      <c r="I917" s="36"/>
      <c r="J917" s="842"/>
      <c r="K917" s="842"/>
      <c r="Q917"/>
      <c r="AH917" s="4"/>
    </row>
    <row r="918" spans="2:34">
      <c r="B918" s="850" t="s">
        <v>1141</v>
      </c>
      <c r="C918" s="851">
        <v>2012</v>
      </c>
      <c r="D918" s="851">
        <v>2015</v>
      </c>
      <c r="E918" s="851">
        <v>500</v>
      </c>
      <c r="F918" s="851"/>
      <c r="G918" s="852" t="b">
        <v>0</v>
      </c>
      <c r="H918" s="930">
        <f>IF(ISBLANK(Table2[[#This Row],[MergedEdCorp]])=TRUE,0,IF(Table2[[#This Row],[MergedEdCorp]]=TRUE,1,2))</f>
        <v>2</v>
      </c>
      <c r="I918" s="36"/>
      <c r="J918" s="842"/>
      <c r="K918" s="842"/>
      <c r="Q918"/>
      <c r="AH918" s="4"/>
    </row>
    <row r="919" spans="2:34">
      <c r="B919" s="853" t="s">
        <v>1158</v>
      </c>
      <c r="C919" s="854">
        <v>2013</v>
      </c>
      <c r="D919" s="854">
        <v>2013</v>
      </c>
      <c r="E919" s="854">
        <v>500</v>
      </c>
      <c r="F919" s="854"/>
      <c r="G919" s="844" t="b">
        <v>0</v>
      </c>
      <c r="H919" s="930">
        <f>IF(ISBLANK(Table2[[#This Row],[MergedEdCorp]])=TRUE,0,IF(Table2[[#This Row],[MergedEdCorp]]=TRUE,1,2))</f>
        <v>2</v>
      </c>
      <c r="I919" s="36"/>
      <c r="J919" s="842"/>
      <c r="K919" s="842"/>
      <c r="Q919"/>
      <c r="AH919" s="4"/>
    </row>
    <row r="920" spans="2:34">
      <c r="B920" s="853" t="s">
        <v>1257</v>
      </c>
      <c r="C920" s="854">
        <v>2016</v>
      </c>
      <c r="D920" s="854">
        <v>2017</v>
      </c>
      <c r="E920" s="854">
        <v>500</v>
      </c>
      <c r="F920" s="854"/>
      <c r="G920" s="844" t="b">
        <v>0</v>
      </c>
      <c r="H920" s="930">
        <f>IF(ISBLANK(Table2[[#This Row],[MergedEdCorp]])=TRUE,0,IF(Table2[[#This Row],[MergedEdCorp]]=TRUE,1,2))</f>
        <v>2</v>
      </c>
      <c r="I920" s="36"/>
      <c r="J920" s="842"/>
      <c r="K920" s="842"/>
      <c r="Q920"/>
      <c r="AH920" s="4"/>
    </row>
    <row r="921" spans="2:34">
      <c r="B921" s="853" t="s">
        <v>1258</v>
      </c>
      <c r="C921" s="854">
        <v>2016</v>
      </c>
      <c r="D921" s="854">
        <v>2017</v>
      </c>
      <c r="E921" s="854">
        <v>500</v>
      </c>
      <c r="F921" s="854"/>
      <c r="G921" s="844" t="b">
        <v>0</v>
      </c>
      <c r="H921" s="930">
        <f>IF(ISBLANK(Table2[[#This Row],[MergedEdCorp]])=TRUE,0,IF(Table2[[#This Row],[MergedEdCorp]]=TRUE,1,2))</f>
        <v>2</v>
      </c>
      <c r="I921" s="36"/>
      <c r="J921" s="842"/>
      <c r="K921" s="842"/>
      <c r="Q921"/>
      <c r="AH921" s="4"/>
    </row>
    <row r="922" spans="2:34">
      <c r="B922" s="850" t="s">
        <v>1156</v>
      </c>
      <c r="C922" s="851">
        <v>2013</v>
      </c>
      <c r="D922" s="851">
        <v>2013</v>
      </c>
      <c r="E922" s="851">
        <v>500</v>
      </c>
      <c r="F922" s="851"/>
      <c r="G922" s="852" t="b">
        <v>0</v>
      </c>
      <c r="H922" s="930">
        <f>IF(ISBLANK(Table2[[#This Row],[MergedEdCorp]])=TRUE,0,IF(Table2[[#This Row],[MergedEdCorp]]=TRUE,1,2))</f>
        <v>2</v>
      </c>
      <c r="I922" s="36"/>
      <c r="J922" s="842"/>
      <c r="K922" s="842"/>
      <c r="Q922"/>
      <c r="AH922" s="4"/>
    </row>
    <row r="923" spans="2:34">
      <c r="B923" s="853" t="s">
        <v>1180</v>
      </c>
      <c r="C923" s="854">
        <v>2006</v>
      </c>
      <c r="D923" s="854">
        <v>2013</v>
      </c>
      <c r="E923" s="854">
        <v>500</v>
      </c>
      <c r="F923" s="854"/>
      <c r="G923" s="844" t="b">
        <v>0</v>
      </c>
      <c r="H923" s="930">
        <f>IF(ISBLANK(Table2[[#This Row],[MergedEdCorp]])=TRUE,0,IF(Table2[[#This Row],[MergedEdCorp]]=TRUE,1,2))</f>
        <v>2</v>
      </c>
      <c r="I923" s="36"/>
      <c r="J923" s="842"/>
      <c r="K923" s="842"/>
      <c r="Q923"/>
      <c r="AH923" s="4"/>
    </row>
    <row r="924" spans="2:34">
      <c r="B924" s="850" t="s">
        <v>1093</v>
      </c>
      <c r="C924" s="851">
        <v>2008</v>
      </c>
      <c r="D924" s="851">
        <v>2013</v>
      </c>
      <c r="E924" s="851">
        <v>500</v>
      </c>
      <c r="F924" s="851"/>
      <c r="G924" s="852" t="b">
        <v>0</v>
      </c>
      <c r="H924" s="930">
        <f>IF(ISBLANK(Table2[[#This Row],[MergedEdCorp]])=TRUE,0,IF(Table2[[#This Row],[MergedEdCorp]]=TRUE,1,2))</f>
        <v>2</v>
      </c>
      <c r="I924" s="36"/>
      <c r="J924" s="842"/>
      <c r="K924" s="842"/>
      <c r="Q924"/>
      <c r="AH924" s="4"/>
    </row>
    <row r="925" spans="2:34">
      <c r="B925" s="853" t="s">
        <v>1094</v>
      </c>
      <c r="C925" s="854">
        <v>2008</v>
      </c>
      <c r="D925" s="854">
        <v>2013</v>
      </c>
      <c r="E925" s="854">
        <v>500</v>
      </c>
      <c r="F925" s="854" t="s">
        <v>1221</v>
      </c>
      <c r="G925" s="844" t="b">
        <v>1</v>
      </c>
      <c r="H925" s="930">
        <f>IF(ISBLANK(Table2[[#This Row],[MergedEdCorp]])=TRUE,0,IF(Table2[[#This Row],[MergedEdCorp]]=TRUE,1,2))</f>
        <v>1</v>
      </c>
      <c r="I925" s="36"/>
      <c r="J925" s="842"/>
      <c r="K925" s="842"/>
      <c r="Q925"/>
      <c r="AH925" s="4"/>
    </row>
    <row r="926" spans="2:34">
      <c r="B926" s="850" t="s">
        <v>1095</v>
      </c>
      <c r="C926" s="851">
        <v>2008</v>
      </c>
      <c r="D926" s="851">
        <v>2013</v>
      </c>
      <c r="E926" s="851">
        <v>500</v>
      </c>
      <c r="F926" s="851"/>
      <c r="G926" s="852" t="b">
        <v>0</v>
      </c>
      <c r="H926" s="930">
        <f>IF(ISBLANK(Table2[[#This Row],[MergedEdCorp]])=TRUE,0,IF(Table2[[#This Row],[MergedEdCorp]]=TRUE,1,2))</f>
        <v>2</v>
      </c>
      <c r="I926" s="36"/>
      <c r="J926" s="842"/>
      <c r="K926" s="842"/>
      <c r="Q926"/>
      <c r="AH926" s="4"/>
    </row>
    <row r="927" spans="2:34">
      <c r="B927" s="853" t="s">
        <v>1096</v>
      </c>
      <c r="C927" s="854">
        <v>2010</v>
      </c>
      <c r="D927" s="854">
        <v>2013</v>
      </c>
      <c r="E927" s="854">
        <v>500</v>
      </c>
      <c r="F927" s="854"/>
      <c r="G927" s="844" t="b">
        <v>0</v>
      </c>
      <c r="H927" s="930">
        <f>IF(ISBLANK(Table2[[#This Row],[MergedEdCorp]])=TRUE,0,IF(Table2[[#This Row],[MergedEdCorp]]=TRUE,1,2))</f>
        <v>2</v>
      </c>
      <c r="I927" s="36"/>
      <c r="J927" s="842"/>
      <c r="K927" s="842"/>
      <c r="Q927"/>
      <c r="AH927" s="4"/>
    </row>
    <row r="928" spans="2:34">
      <c r="B928" s="850" t="s">
        <v>1159</v>
      </c>
      <c r="C928" s="851">
        <v>2013</v>
      </c>
      <c r="D928" s="851">
        <v>2013</v>
      </c>
      <c r="E928" s="851">
        <v>500</v>
      </c>
      <c r="F928" s="851"/>
      <c r="G928" s="852" t="b">
        <v>0</v>
      </c>
      <c r="H928" s="930">
        <f>IF(ISBLANK(Table2[[#This Row],[MergedEdCorp]])=TRUE,0,IF(Table2[[#This Row],[MergedEdCorp]]=TRUE,1,2))</f>
        <v>2</v>
      </c>
      <c r="I928" s="36"/>
      <c r="J928" s="842"/>
      <c r="K928" s="842"/>
      <c r="Q928"/>
      <c r="AH928" s="4"/>
    </row>
    <row r="929" spans="2:34">
      <c r="B929" s="853" t="s">
        <v>1157</v>
      </c>
      <c r="C929" s="854">
        <v>2013</v>
      </c>
      <c r="D929" s="854">
        <v>2013</v>
      </c>
      <c r="E929" s="854">
        <v>500</v>
      </c>
      <c r="F929" s="854"/>
      <c r="G929" s="844" t="b">
        <v>0</v>
      </c>
      <c r="H929" s="930">
        <f>IF(ISBLANK(Table2[[#This Row],[MergedEdCorp]])=TRUE,0,IF(Table2[[#This Row],[MergedEdCorp]]=TRUE,1,2))</f>
        <v>2</v>
      </c>
      <c r="I929" s="36"/>
      <c r="J929" s="842"/>
      <c r="K929" s="842"/>
      <c r="Q929"/>
      <c r="AH929" s="4"/>
    </row>
    <row r="930" spans="2:34">
      <c r="B930" s="850" t="s">
        <v>1178</v>
      </c>
      <c r="C930" s="851">
        <v>2014</v>
      </c>
      <c r="D930" s="851">
        <v>2015</v>
      </c>
      <c r="E930" s="851">
        <v>500</v>
      </c>
      <c r="F930" s="851"/>
      <c r="G930" s="852" t="b">
        <v>0</v>
      </c>
      <c r="H930" s="930">
        <f>IF(ISBLANK(Table2[[#This Row],[MergedEdCorp]])=TRUE,0,IF(Table2[[#This Row],[MergedEdCorp]]=TRUE,1,2))</f>
        <v>2</v>
      </c>
      <c r="I930" s="36"/>
      <c r="J930" s="842"/>
      <c r="K930" s="842"/>
      <c r="Q930"/>
      <c r="AH930" s="4"/>
    </row>
    <row r="931" spans="2:34">
      <c r="B931" s="853" t="s">
        <v>1259</v>
      </c>
      <c r="C931" s="854">
        <v>2016</v>
      </c>
      <c r="D931" s="854">
        <v>2017</v>
      </c>
      <c r="E931" s="854">
        <v>500</v>
      </c>
      <c r="F931" s="854"/>
      <c r="G931" s="844" t="b">
        <v>0</v>
      </c>
      <c r="H931" s="930">
        <f>IF(ISBLANK(Table2[[#This Row],[MergedEdCorp]])=TRUE,0,IF(Table2[[#This Row],[MergedEdCorp]]=TRUE,1,2))</f>
        <v>2</v>
      </c>
      <c r="I931" s="36"/>
      <c r="J931" s="842"/>
      <c r="K931" s="842"/>
      <c r="Q931"/>
      <c r="AH931" s="4"/>
    </row>
    <row r="932" spans="2:34">
      <c r="B932" s="853" t="s">
        <v>1179</v>
      </c>
      <c r="C932" s="854">
        <v>2014</v>
      </c>
      <c r="D932" s="854">
        <v>2015</v>
      </c>
      <c r="E932" s="854">
        <v>500</v>
      </c>
      <c r="F932" s="854"/>
      <c r="G932" s="844" t="b">
        <v>0</v>
      </c>
      <c r="H932" s="930">
        <f>IF(ISBLANK(Table2[[#This Row],[MergedEdCorp]])=TRUE,0,IF(Table2[[#This Row],[MergedEdCorp]]=TRUE,1,2))</f>
        <v>2</v>
      </c>
      <c r="I932" s="36"/>
      <c r="J932" s="842"/>
      <c r="K932" s="842"/>
      <c r="Q932"/>
      <c r="AH932" s="4"/>
    </row>
    <row r="933" spans="2:34">
      <c r="B933" s="850" t="s">
        <v>1160</v>
      </c>
      <c r="C933" s="851">
        <v>2013</v>
      </c>
      <c r="D933" s="851">
        <v>2013</v>
      </c>
      <c r="E933" s="851">
        <v>500</v>
      </c>
      <c r="F933" s="851"/>
      <c r="G933" s="852" t="b">
        <v>0</v>
      </c>
      <c r="H933" s="930">
        <f>IF(ISBLANK(Table2[[#This Row],[MergedEdCorp]])=TRUE,0,IF(Table2[[#This Row],[MergedEdCorp]]=TRUE,1,2))</f>
        <v>2</v>
      </c>
      <c r="I933" s="36"/>
      <c r="J933" s="842"/>
      <c r="K933" s="842"/>
      <c r="Q933"/>
      <c r="AH933" s="4"/>
    </row>
    <row r="934" spans="2:34">
      <c r="B934" s="853" t="s">
        <v>1137</v>
      </c>
      <c r="C934" s="854">
        <v>2011</v>
      </c>
      <c r="D934" s="854">
        <v>2015</v>
      </c>
      <c r="E934" s="854">
        <v>500</v>
      </c>
      <c r="F934" s="854"/>
      <c r="G934" s="844" t="b">
        <v>0</v>
      </c>
      <c r="H934" s="930">
        <f>IF(ISBLANK(Table2[[#This Row],[MergedEdCorp]])=TRUE,0,IF(Table2[[#This Row],[MergedEdCorp]]=TRUE,1,2))</f>
        <v>2</v>
      </c>
      <c r="I934" s="36"/>
      <c r="J934" s="842"/>
      <c r="K934" s="842"/>
      <c r="Q934"/>
      <c r="AH934" s="4"/>
    </row>
    <row r="935" spans="2:34">
      <c r="B935" s="850" t="s">
        <v>1174</v>
      </c>
      <c r="C935" s="851">
        <v>2014</v>
      </c>
      <c r="D935" s="851">
        <v>2015</v>
      </c>
      <c r="E935" s="851">
        <v>500</v>
      </c>
      <c r="F935" s="851"/>
      <c r="G935" s="852" t="b">
        <v>0</v>
      </c>
      <c r="H935" s="930">
        <f>IF(ISBLANK(Table2[[#This Row],[MergedEdCorp]])=TRUE,0,IF(Table2[[#This Row],[MergedEdCorp]]=TRUE,1,2))</f>
        <v>2</v>
      </c>
      <c r="I935" s="36"/>
      <c r="J935" s="842"/>
      <c r="K935" s="842"/>
      <c r="Q935"/>
      <c r="AH935" s="4"/>
    </row>
    <row r="936" spans="2:34">
      <c r="B936" s="853" t="s">
        <v>1142</v>
      </c>
      <c r="C936" s="854">
        <v>2012</v>
      </c>
      <c r="D936" s="854">
        <v>2015</v>
      </c>
      <c r="E936" s="854">
        <v>500</v>
      </c>
      <c r="F936" s="854"/>
      <c r="G936" s="844" t="b">
        <v>0</v>
      </c>
      <c r="H936" s="930">
        <f>IF(ISBLANK(Table2[[#This Row],[MergedEdCorp]])=TRUE,0,IF(Table2[[#This Row],[MergedEdCorp]]=TRUE,1,2))</f>
        <v>2</v>
      </c>
      <c r="I936" s="36"/>
      <c r="J936" s="842"/>
      <c r="K936" s="842"/>
      <c r="Q936"/>
      <c r="AH936" s="4"/>
    </row>
    <row r="937" spans="2:34">
      <c r="B937" s="850" t="s">
        <v>1123</v>
      </c>
      <c r="C937" s="851">
        <v>2001</v>
      </c>
      <c r="D937" s="851"/>
      <c r="E937" s="851"/>
      <c r="F937" s="851"/>
      <c r="G937" s="852"/>
      <c r="H937" s="930">
        <f>IF(ISBLANK(Table2[[#This Row],[MergedEdCorp]])=TRUE,0,IF(Table2[[#This Row],[MergedEdCorp]]=TRUE,1,2))</f>
        <v>0</v>
      </c>
      <c r="I937" s="36"/>
      <c r="J937" s="842"/>
      <c r="K937" s="842"/>
      <c r="Q937"/>
      <c r="AH937" s="4"/>
    </row>
    <row r="938" spans="2:34">
      <c r="B938" s="853" t="s">
        <v>1154</v>
      </c>
      <c r="C938" s="854">
        <v>2012</v>
      </c>
      <c r="D938" s="854"/>
      <c r="E938" s="854"/>
      <c r="F938" s="854"/>
      <c r="G938" s="844"/>
      <c r="H938" s="930">
        <f>IF(ISBLANK(Table2[[#This Row],[MergedEdCorp]])=TRUE,0,IF(Table2[[#This Row],[MergedEdCorp]]=TRUE,1,2))</f>
        <v>0</v>
      </c>
      <c r="I938" s="36"/>
      <c r="J938" s="842"/>
      <c r="K938" s="842"/>
      <c r="Q938"/>
      <c r="AH938" s="4"/>
    </row>
    <row r="939" spans="2:34">
      <c r="B939" s="850" t="s">
        <v>1124</v>
      </c>
      <c r="C939" s="851">
        <v>2006</v>
      </c>
      <c r="D939" s="855">
        <v>41821</v>
      </c>
      <c r="E939" s="851">
        <v>502</v>
      </c>
      <c r="F939" s="851" t="s">
        <v>1124</v>
      </c>
      <c r="G939" s="852" t="b">
        <v>1</v>
      </c>
      <c r="H939" s="930">
        <f>IF(ISBLANK(Table2[[#This Row],[MergedEdCorp]])=TRUE,0,IF(Table2[[#This Row],[MergedEdCorp]]=TRUE,1,2))</f>
        <v>1</v>
      </c>
      <c r="I939" s="36"/>
      <c r="J939" s="842"/>
      <c r="K939" s="842"/>
      <c r="Q939"/>
      <c r="AH939" s="4"/>
    </row>
    <row r="940" spans="2:34">
      <c r="B940" s="853" t="s">
        <v>1136</v>
      </c>
      <c r="C940" s="854">
        <v>2011</v>
      </c>
      <c r="D940" s="854">
        <v>2015</v>
      </c>
      <c r="E940" s="854">
        <v>502</v>
      </c>
      <c r="F940" s="854"/>
      <c r="G940" s="844" t="b">
        <v>0</v>
      </c>
      <c r="H940" s="930">
        <f>IF(ISBLANK(Table2[[#This Row],[MergedEdCorp]])=TRUE,0,IF(Table2[[#This Row],[MergedEdCorp]]=TRUE,1,2))</f>
        <v>2</v>
      </c>
      <c r="I940" s="36"/>
      <c r="J940" s="842"/>
      <c r="K940" s="842"/>
      <c r="Q940"/>
      <c r="AH940" s="4"/>
    </row>
    <row r="941" spans="2:34">
      <c r="B941" s="850" t="s">
        <v>1125</v>
      </c>
      <c r="C941" s="851">
        <v>2009</v>
      </c>
      <c r="D941" s="851"/>
      <c r="E941" s="851"/>
      <c r="F941" s="851"/>
      <c r="G941" s="852"/>
      <c r="H941" s="930">
        <f>IF(ISBLANK(Table2[[#This Row],[MergedEdCorp]])=TRUE,0,IF(Table2[[#This Row],[MergedEdCorp]]=TRUE,1,2))</f>
        <v>0</v>
      </c>
      <c r="I941" s="36"/>
      <c r="J941" s="842"/>
      <c r="K941" s="842"/>
      <c r="Q941"/>
      <c r="AH941" s="4"/>
    </row>
    <row r="942" spans="2:34">
      <c r="B942" s="853" t="s">
        <v>1127</v>
      </c>
      <c r="C942" s="854">
        <v>2005</v>
      </c>
      <c r="D942" s="854"/>
      <c r="E942" s="854"/>
      <c r="F942" s="854"/>
      <c r="G942" s="844"/>
      <c r="H942" s="930">
        <f>IF(ISBLANK(Table2[[#This Row],[MergedEdCorp]])=TRUE,0,IF(Table2[[#This Row],[MergedEdCorp]]=TRUE,1,2))</f>
        <v>0</v>
      </c>
      <c r="I942" s="36"/>
      <c r="J942" s="842"/>
      <c r="K942" s="842"/>
      <c r="Q942"/>
      <c r="AH942" s="4"/>
    </row>
    <row r="943" spans="2:34">
      <c r="B943" s="850" t="s">
        <v>1088</v>
      </c>
      <c r="C943" s="851">
        <v>2008</v>
      </c>
      <c r="D943" s="851"/>
      <c r="E943" s="851"/>
      <c r="F943" s="851"/>
      <c r="G943" s="852"/>
      <c r="H943" s="930">
        <f>IF(ISBLANK(Table2[[#This Row],[MergedEdCorp]])=TRUE,0,IF(Table2[[#This Row],[MergedEdCorp]]=TRUE,1,2))</f>
        <v>0</v>
      </c>
      <c r="I943" s="36"/>
      <c r="J943" s="842"/>
      <c r="K943" s="842"/>
      <c r="Q943"/>
      <c r="AH943" s="4"/>
    </row>
    <row r="944" spans="2:34">
      <c r="B944" s="853" t="s">
        <v>1126</v>
      </c>
      <c r="C944" s="854">
        <v>2010</v>
      </c>
      <c r="D944" s="854"/>
      <c r="E944" s="854"/>
      <c r="F944" s="854"/>
      <c r="G944" s="844"/>
      <c r="H944" s="930">
        <f>IF(ISBLANK(Table2[[#This Row],[MergedEdCorp]])=TRUE,0,IF(Table2[[#This Row],[MergedEdCorp]]=TRUE,1,2))</f>
        <v>0</v>
      </c>
      <c r="I944" s="36"/>
      <c r="J944" s="842"/>
      <c r="K944" s="842"/>
      <c r="Q944"/>
      <c r="AH944" s="4"/>
    </row>
    <row r="945" spans="2:34">
      <c r="B945" s="853" t="s">
        <v>1190</v>
      </c>
      <c r="C945" s="854">
        <v>2005</v>
      </c>
      <c r="D945" s="854">
        <v>2016</v>
      </c>
      <c r="E945" s="854">
        <v>509</v>
      </c>
      <c r="F945" s="854"/>
      <c r="G945" s="844" t="b">
        <v>0</v>
      </c>
      <c r="H945" s="930">
        <f>IF(ISBLANK(Table2[[#This Row],[MergedEdCorp]])=TRUE,0,IF(Table2[[#This Row],[MergedEdCorp]]=TRUE,1,2))</f>
        <v>2</v>
      </c>
      <c r="I945" s="36"/>
      <c r="J945" s="842"/>
      <c r="K945" s="842"/>
      <c r="Q945"/>
      <c r="AH945" s="4"/>
    </row>
    <row r="946" spans="2:34">
      <c r="G946" s="36"/>
      <c r="I946" s="36"/>
      <c r="J946" s="843"/>
      <c r="K946" s="842"/>
      <c r="Q946"/>
      <c r="AH946" s="4"/>
    </row>
    <row r="947" spans="2:34">
      <c r="G947" s="36"/>
      <c r="I947" s="36"/>
      <c r="J947" s="843"/>
      <c r="K947" s="842"/>
      <c r="Q947"/>
      <c r="AH947" s="4"/>
    </row>
    <row r="948" spans="2:34">
      <c r="G948" s="36"/>
      <c r="I948" s="36"/>
      <c r="J948" s="843"/>
      <c r="K948" s="842"/>
      <c r="Q948"/>
      <c r="AH948" s="4"/>
    </row>
    <row r="949" spans="2:34">
      <c r="G949" s="36"/>
      <c r="I949" s="36"/>
      <c r="J949" s="843"/>
      <c r="K949" s="843"/>
      <c r="Q949"/>
      <c r="AH949" s="4"/>
    </row>
    <row r="950" spans="2:34">
      <c r="G950" s="36"/>
      <c r="I950" s="36"/>
      <c r="J950" s="843"/>
      <c r="K950" s="843"/>
      <c r="Q950"/>
      <c r="AH950" s="4"/>
    </row>
    <row r="951" spans="2:34">
      <c r="G951" s="36"/>
      <c r="I951" s="36"/>
      <c r="J951" s="843"/>
      <c r="K951" s="843"/>
      <c r="Q951"/>
      <c r="AH951" s="4"/>
    </row>
    <row r="952" spans="2:34">
      <c r="G952" s="36"/>
      <c r="I952" s="36"/>
      <c r="J952" s="843"/>
      <c r="K952" s="843"/>
      <c r="Q952"/>
      <c r="AH952" s="4"/>
    </row>
    <row r="953" spans="2:34">
      <c r="G953" s="36"/>
      <c r="I953" s="36"/>
      <c r="J953" s="843"/>
      <c r="K953" s="843"/>
      <c r="Q953"/>
      <c r="AH953" s="4"/>
    </row>
    <row r="954" spans="2:34">
      <c r="G954" s="36"/>
      <c r="I954" s="36"/>
      <c r="J954" s="843"/>
      <c r="K954" s="843"/>
      <c r="Q954"/>
      <c r="AH954" s="4"/>
    </row>
    <row r="955" spans="2:34">
      <c r="G955" s="36"/>
      <c r="I955" s="36"/>
      <c r="J955" s="843"/>
      <c r="K955" s="843"/>
      <c r="Q955"/>
      <c r="AH955" s="4"/>
    </row>
    <row r="956" spans="2:34">
      <c r="G956" s="36"/>
      <c r="I956" s="36"/>
      <c r="J956" s="843"/>
      <c r="K956" s="843"/>
      <c r="Q956"/>
      <c r="AH956" s="4"/>
    </row>
    <row r="957" spans="2:34">
      <c r="G957" s="36"/>
      <c r="K957" s="843"/>
      <c r="L957" s="843"/>
    </row>
    <row r="958" spans="2:34">
      <c r="G958" s="36"/>
      <c r="K958" s="843"/>
      <c r="L958" s="843"/>
    </row>
    <row r="959" spans="2:34">
      <c r="G959" s="36"/>
      <c r="K959" s="843"/>
      <c r="L959" s="843"/>
    </row>
    <row r="960" spans="2:34">
      <c r="G960" s="36"/>
      <c r="K960" s="843"/>
      <c r="L960" s="843"/>
    </row>
    <row r="961" spans="7:12">
      <c r="G961" s="36"/>
      <c r="K961" s="843"/>
      <c r="L961" s="843"/>
    </row>
    <row r="962" spans="7:12">
      <c r="G962" s="36"/>
      <c r="K962" s="843"/>
      <c r="L962" s="843"/>
    </row>
    <row r="963" spans="7:12">
      <c r="G963" s="36"/>
      <c r="K963" s="843"/>
      <c r="L963" s="843"/>
    </row>
    <row r="964" spans="7:12">
      <c r="G964" s="36"/>
    </row>
    <row r="965" spans="7:12">
      <c r="G965" s="36"/>
    </row>
    <row r="966" spans="7:12">
      <c r="G966" s="36"/>
    </row>
    <row r="967" spans="7:12">
      <c r="G967" s="36"/>
    </row>
    <row r="968" spans="7:12">
      <c r="G968" s="36"/>
    </row>
    <row r="969" spans="7:12">
      <c r="G969" s="36"/>
    </row>
    <row r="970" spans="7:12">
      <c r="G970" s="36"/>
    </row>
    <row r="971" spans="7:12">
      <c r="G971" s="36"/>
    </row>
    <row r="972" spans="7:12">
      <c r="G972" s="36"/>
    </row>
    <row r="973" spans="7:12">
      <c r="G973" s="36"/>
    </row>
    <row r="974" spans="7:12">
      <c r="G974" s="36"/>
    </row>
    <row r="975" spans="7:12">
      <c r="G975" s="36"/>
    </row>
    <row r="976" spans="7:12">
      <c r="G976" s="36"/>
    </row>
    <row r="977" spans="7:7">
      <c r="G977" s="36"/>
    </row>
    <row r="978" spans="7:7">
      <c r="G978" s="36"/>
    </row>
    <row r="979" spans="7:7">
      <c r="G979" s="36"/>
    </row>
    <row r="980" spans="7:7">
      <c r="G980" s="36"/>
    </row>
    <row r="981" spans="7:7">
      <c r="G981" s="36"/>
    </row>
    <row r="982" spans="7:7">
      <c r="G982" s="36"/>
    </row>
    <row r="983" spans="7:7">
      <c r="G983" s="36"/>
    </row>
    <row r="984" spans="7:7">
      <c r="G984" s="36"/>
    </row>
    <row r="985" spans="7:7">
      <c r="G985" s="36"/>
    </row>
    <row r="986" spans="7:7">
      <c r="G986" s="36"/>
    </row>
    <row r="987" spans="7:7">
      <c r="G987" s="36"/>
    </row>
    <row r="988" spans="7:7">
      <c r="G988" s="36"/>
    </row>
  </sheetData>
  <sheetProtection password="CA09" sheet="1" objects="1" scenarios="1"/>
  <sortState ref="B802:H961">
    <sortCondition ref="B802:B961"/>
  </sortState>
  <mergeCells count="5">
    <mergeCell ref="C50:C51"/>
    <mergeCell ref="K102:K107"/>
    <mergeCell ref="M11:O11"/>
    <mergeCell ref="M4:O4"/>
    <mergeCell ref="M12:O12"/>
  </mergeCells>
  <conditionalFormatting sqref="B802:B840">
    <cfRule type="expression" dxfId="68" priority="94">
      <formula>P802="Closed"</formula>
    </cfRule>
  </conditionalFormatting>
  <conditionalFormatting sqref="J805:K805 K802:K805 B802:B840 J809:K956 J807:K807">
    <cfRule type="expression" dxfId="67" priority="92">
      <formula>$R802="Closed"</formula>
    </cfRule>
  </conditionalFormatting>
  <conditionalFormatting sqref="B803">
    <cfRule type="expression" dxfId="66" priority="88">
      <formula>$R803="Closed"</formula>
    </cfRule>
  </conditionalFormatting>
  <conditionalFormatting sqref="B804">
    <cfRule type="expression" dxfId="65" priority="87">
      <formula>$R804="Closed"</formula>
    </cfRule>
  </conditionalFormatting>
  <conditionalFormatting sqref="B805">
    <cfRule type="expression" dxfId="64" priority="86">
      <formula>$R805="Closed"</formula>
    </cfRule>
  </conditionalFormatting>
  <conditionalFormatting sqref="B806">
    <cfRule type="expression" dxfId="63" priority="85">
      <formula>$R806="Closed"</formula>
    </cfRule>
  </conditionalFormatting>
  <conditionalFormatting sqref="B806">
    <cfRule type="expression" dxfId="62" priority="84">
      <formula>$R806="Closed"</formula>
    </cfRule>
  </conditionalFormatting>
  <conditionalFormatting sqref="B807">
    <cfRule type="expression" dxfId="61" priority="83">
      <formula>$R807="Closed"</formula>
    </cfRule>
  </conditionalFormatting>
  <conditionalFormatting sqref="B807">
    <cfRule type="expression" dxfId="60" priority="82">
      <formula>$R807="Closed"</formula>
    </cfRule>
  </conditionalFormatting>
  <conditionalFormatting sqref="B808">
    <cfRule type="expression" dxfId="59" priority="81">
      <formula>$R808="Closed"</formula>
    </cfRule>
  </conditionalFormatting>
  <conditionalFormatting sqref="J805 K802:K805 B802:B840 J809:K956 J807:K807">
    <cfRule type="expression" dxfId="58" priority="79">
      <formula>$R802="Transferred"</formula>
    </cfRule>
  </conditionalFormatting>
  <conditionalFormatting sqref="B802:B810">
    <cfRule type="expression" dxfId="57" priority="76">
      <formula>$R802="Closed"</formula>
    </cfRule>
  </conditionalFormatting>
  <conditionalFormatting sqref="F846">
    <cfRule type="expression" dxfId="56" priority="73">
      <formula>W847="Closed"</formula>
    </cfRule>
  </conditionalFormatting>
  <conditionalFormatting sqref="F846 B841:B945">
    <cfRule type="expression" dxfId="55" priority="72">
      <formula>$R842="Closed"</formula>
    </cfRule>
  </conditionalFormatting>
  <conditionalFormatting sqref="F846 B841:B945">
    <cfRule type="expression" dxfId="54" priority="71">
      <formula>$R842="Transferred"</formula>
    </cfRule>
  </conditionalFormatting>
  <conditionalFormatting sqref="F847">
    <cfRule type="expression" dxfId="53" priority="70">
      <formula>W848="Closed"</formula>
    </cfRule>
  </conditionalFormatting>
  <conditionalFormatting sqref="F847">
    <cfRule type="expression" dxfId="52" priority="69">
      <formula>$R848="Closed"</formula>
    </cfRule>
  </conditionalFormatting>
  <conditionalFormatting sqref="F847">
    <cfRule type="expression" dxfId="51" priority="68">
      <formula>$R848="Transferred"</formula>
    </cfRule>
  </conditionalFormatting>
  <conditionalFormatting sqref="F844">
    <cfRule type="expression" dxfId="50" priority="67">
      <formula>W845="Closed"</formula>
    </cfRule>
  </conditionalFormatting>
  <conditionalFormatting sqref="F844">
    <cfRule type="expression" dxfId="49" priority="66">
      <formula>$R845="Closed"</formula>
    </cfRule>
  </conditionalFormatting>
  <conditionalFormatting sqref="F844">
    <cfRule type="expression" dxfId="48" priority="65">
      <formula>$R845="Transferred"</formula>
    </cfRule>
  </conditionalFormatting>
  <conditionalFormatting sqref="F857">
    <cfRule type="expression" dxfId="47" priority="64">
      <formula>W858="Closed"</formula>
    </cfRule>
  </conditionalFormatting>
  <conditionalFormatting sqref="F857">
    <cfRule type="expression" dxfId="46" priority="63">
      <formula>$R858="Closed"</formula>
    </cfRule>
  </conditionalFormatting>
  <conditionalFormatting sqref="F857">
    <cfRule type="expression" dxfId="45" priority="62">
      <formula>$R858="Transferred"</formula>
    </cfRule>
  </conditionalFormatting>
  <conditionalFormatting sqref="F888">
    <cfRule type="expression" dxfId="44" priority="61">
      <formula>W889="Closed"</formula>
    </cfRule>
  </conditionalFormatting>
  <conditionalFormatting sqref="F888">
    <cfRule type="expression" dxfId="43" priority="60">
      <formula>$R889="Closed"</formula>
    </cfRule>
  </conditionalFormatting>
  <conditionalFormatting sqref="F888">
    <cfRule type="expression" dxfId="42" priority="59">
      <formula>$R889="Transferred"</formula>
    </cfRule>
  </conditionalFormatting>
  <conditionalFormatting sqref="K807">
    <cfRule type="expression" dxfId="41" priority="35">
      <formula>$R807="Closed"</formula>
    </cfRule>
  </conditionalFormatting>
  <conditionalFormatting sqref="I804">
    <cfRule type="expression" dxfId="40" priority="55">
      <formula>AA801="Closed"</formula>
    </cfRule>
  </conditionalFormatting>
  <conditionalFormatting sqref="L957:L963 K802:K805 K809:K956 K807">
    <cfRule type="expression" dxfId="39" priority="54">
      <formula>AA802="Closed"</formula>
    </cfRule>
  </conditionalFormatting>
  <conditionalFormatting sqref="K957:L963">
    <cfRule type="expression" dxfId="38" priority="53">
      <formula>$S957="Closed"</formula>
    </cfRule>
  </conditionalFormatting>
  <conditionalFormatting sqref="K802">
    <cfRule type="expression" dxfId="37" priority="52">
      <formula>$R802="Closed"</formula>
    </cfRule>
  </conditionalFormatting>
  <conditionalFormatting sqref="I804">
    <cfRule type="expression" dxfId="36" priority="51">
      <formula>AA801="Closed"</formula>
    </cfRule>
  </conditionalFormatting>
  <conditionalFormatting sqref="I804">
    <cfRule type="expression" dxfId="35" priority="50">
      <formula>$R801="Closed"</formula>
    </cfRule>
  </conditionalFormatting>
  <conditionalFormatting sqref="I804">
    <cfRule type="expression" dxfId="34" priority="49">
      <formula>$R801="Closed"</formula>
    </cfRule>
  </conditionalFormatting>
  <conditionalFormatting sqref="K803">
    <cfRule type="expression" dxfId="33" priority="47">
      <formula>$R803="Closed"</formula>
    </cfRule>
  </conditionalFormatting>
  <conditionalFormatting sqref="K804">
    <cfRule type="expression" dxfId="32" priority="45">
      <formula>$R804="Closed"</formula>
    </cfRule>
  </conditionalFormatting>
  <conditionalFormatting sqref="J805">
    <cfRule type="expression" dxfId="31" priority="44">
      <formula>$R805="Closed"</formula>
    </cfRule>
  </conditionalFormatting>
  <conditionalFormatting sqref="K805">
    <cfRule type="expression" dxfId="30" priority="43">
      <formula>$R805="Closed"</formula>
    </cfRule>
  </conditionalFormatting>
  <conditionalFormatting sqref="J807">
    <cfRule type="expression" dxfId="29" priority="38">
      <formula>$R807="Closed"</formula>
    </cfRule>
  </conditionalFormatting>
  <conditionalFormatting sqref="K807">
    <cfRule type="expression" dxfId="28" priority="37">
      <formula>$R807="Closed"</formula>
    </cfRule>
  </conditionalFormatting>
  <conditionalFormatting sqref="J807">
    <cfRule type="expression" dxfId="27" priority="36">
      <formula>$R807="Closed"</formula>
    </cfRule>
  </conditionalFormatting>
  <conditionalFormatting sqref="K802:K804">
    <cfRule type="expression" dxfId="26" priority="26">
      <formula>$R802="Closed"</formula>
    </cfRule>
  </conditionalFormatting>
  <conditionalFormatting sqref="K957:L963">
    <cfRule type="expression" dxfId="25" priority="30">
      <formula>$S957="Transferred"</formula>
    </cfRule>
  </conditionalFormatting>
  <conditionalFormatting sqref="I804">
    <cfRule type="expression" dxfId="24" priority="29">
      <formula>$R801="Transferred"</formula>
    </cfRule>
  </conditionalFormatting>
  <conditionalFormatting sqref="F845">
    <cfRule type="expression" dxfId="23" priority="22">
      <formula>W846="Closed"</formula>
    </cfRule>
  </conditionalFormatting>
  <conditionalFormatting sqref="F845">
    <cfRule type="expression" dxfId="22" priority="21">
      <formula>$R846="Closed"</formula>
    </cfRule>
  </conditionalFormatting>
  <conditionalFormatting sqref="F845">
    <cfRule type="expression" dxfId="21" priority="20">
      <formula>$R846="Transferred"</formula>
    </cfRule>
  </conditionalFormatting>
  <conditionalFormatting sqref="F846">
    <cfRule type="expression" dxfId="20" priority="19">
      <formula>W847="Closed"</formula>
    </cfRule>
  </conditionalFormatting>
  <conditionalFormatting sqref="F846">
    <cfRule type="expression" dxfId="19" priority="18">
      <formula>$R847="Closed"</formula>
    </cfRule>
  </conditionalFormatting>
  <conditionalFormatting sqref="F846">
    <cfRule type="expression" dxfId="18" priority="17">
      <formula>$R847="Transferred"</formula>
    </cfRule>
  </conditionalFormatting>
  <conditionalFormatting sqref="F843">
    <cfRule type="expression" dxfId="17" priority="16">
      <formula>W844="Closed"</formula>
    </cfRule>
  </conditionalFormatting>
  <conditionalFormatting sqref="F843">
    <cfRule type="expression" dxfId="16" priority="15">
      <formula>$R844="Closed"</formula>
    </cfRule>
  </conditionalFormatting>
  <conditionalFormatting sqref="F843">
    <cfRule type="expression" dxfId="15" priority="14">
      <formula>$R844="Transferred"</formula>
    </cfRule>
  </conditionalFormatting>
  <conditionalFormatting sqref="F856">
    <cfRule type="expression" dxfId="14" priority="13">
      <formula>W857="Closed"</formula>
    </cfRule>
  </conditionalFormatting>
  <conditionalFormatting sqref="F856">
    <cfRule type="expression" dxfId="13" priority="12">
      <formula>$R857="Closed"</formula>
    </cfRule>
  </conditionalFormatting>
  <conditionalFormatting sqref="F856">
    <cfRule type="expression" dxfId="12" priority="11">
      <formula>$R857="Transferred"</formula>
    </cfRule>
  </conditionalFormatting>
  <conditionalFormatting sqref="F887">
    <cfRule type="expression" dxfId="11" priority="10">
      <formula>W888="Closed"</formula>
    </cfRule>
  </conditionalFormatting>
  <conditionalFormatting sqref="F887">
    <cfRule type="expression" dxfId="10" priority="9">
      <formula>$R888="Closed"</formula>
    </cfRule>
  </conditionalFormatting>
  <conditionalFormatting sqref="F887">
    <cfRule type="expression" dxfId="9" priority="8">
      <formula>$R888="Transferred"</formula>
    </cfRule>
  </conditionalFormatting>
  <conditionalFormatting sqref="B841:B945">
    <cfRule type="expression" dxfId="8" priority="96">
      <formula>P842="Closed"</formula>
    </cfRule>
  </conditionalFormatting>
  <dataValidations disablePrompts="1" count="2">
    <dataValidation type="list" sqref="K31">
      <formula1>$B$36</formula1>
    </dataValidation>
    <dataValidation showInputMessage="1" showErrorMessage="1" sqref="I28"/>
  </dataValidations>
  <hyperlinks>
    <hyperlink ref="G116" r:id="rId1"/>
  </hyperlinks>
  <pageMargins left="0.7" right="0.7" top="0.75" bottom="0.75" header="0.3" footer="0.3"/>
  <pageSetup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333333"/>
    <pageSetUpPr fitToPage="1"/>
  </sheetPr>
  <dimension ref="B1:O685"/>
  <sheetViews>
    <sheetView showGridLines="0" zoomScale="90" zoomScaleNormal="90" zoomScaleSheetLayoutView="85" zoomScalePageLayoutView="80" workbookViewId="0">
      <pane ySplit="5" topLeftCell="A6" activePane="bottomLeft" state="frozen"/>
      <selection activeCell="J16" sqref="J16"/>
      <selection pane="bottomLeft" activeCell="F5" sqref="F5"/>
    </sheetView>
  </sheetViews>
  <sheetFormatPr defaultColWidth="10.33203125" defaultRowHeight="15"/>
  <cols>
    <col min="1" max="1" width="3.6640625" style="166" customWidth="1"/>
    <col min="2" max="2" width="4.6640625" style="166" customWidth="1"/>
    <col min="3" max="3" width="12.88671875" style="166" bestFit="1" customWidth="1"/>
    <col min="4" max="4" width="44.5546875" style="166" customWidth="1"/>
    <col min="5" max="6" width="18.88671875" style="166" bestFit="1" customWidth="1"/>
    <col min="7" max="7" width="17.6640625" style="166" customWidth="1"/>
    <col min="8" max="8" width="7.6640625" style="166" bestFit="1" customWidth="1"/>
    <col min="9" max="9" width="44.88671875" style="166" bestFit="1" customWidth="1"/>
    <col min="10" max="11" width="14.109375" style="166" bestFit="1" customWidth="1"/>
    <col min="12" max="12" width="16.109375" style="166" customWidth="1"/>
    <col min="13" max="248" width="10.33203125" style="166"/>
    <col min="249" max="249" width="3.6640625" style="166" customWidth="1"/>
    <col min="250" max="250" width="5.33203125" style="166" customWidth="1"/>
    <col min="251" max="251" width="9.44140625" style="166" bestFit="1" customWidth="1"/>
    <col min="252" max="252" width="25.6640625" style="166" bestFit="1" customWidth="1"/>
    <col min="253" max="254" width="21.6640625" style="166" customWidth="1"/>
    <col min="255" max="255" width="10.33203125" style="166" customWidth="1"/>
    <col min="256" max="256" width="5.33203125" style="166" customWidth="1"/>
    <col min="257" max="257" width="9.44140625" style="166" bestFit="1" customWidth="1"/>
    <col min="258" max="258" width="25.6640625" style="166" bestFit="1" customWidth="1"/>
    <col min="259" max="259" width="21" style="166" customWidth="1"/>
    <col min="260" max="260" width="20.33203125" style="166" customWidth="1"/>
    <col min="261" max="504" width="10.33203125" style="166"/>
    <col min="505" max="505" width="3.6640625" style="166" customWidth="1"/>
    <col min="506" max="506" width="5.33203125" style="166" customWidth="1"/>
    <col min="507" max="507" width="9.44140625" style="166" bestFit="1" customWidth="1"/>
    <col min="508" max="508" width="25.6640625" style="166" bestFit="1" customWidth="1"/>
    <col min="509" max="510" width="21.6640625" style="166" customWidth="1"/>
    <col min="511" max="511" width="10.33203125" style="166" customWidth="1"/>
    <col min="512" max="512" width="5.33203125" style="166" customWidth="1"/>
    <col min="513" max="513" width="9.44140625" style="166" bestFit="1" customWidth="1"/>
    <col min="514" max="514" width="25.6640625" style="166" bestFit="1" customWidth="1"/>
    <col min="515" max="515" width="21" style="166" customWidth="1"/>
    <col min="516" max="516" width="20.33203125" style="166" customWidth="1"/>
    <col min="517" max="760" width="10.33203125" style="166"/>
    <col min="761" max="761" width="3.6640625" style="166" customWidth="1"/>
    <col min="762" max="762" width="5.33203125" style="166" customWidth="1"/>
    <col min="763" max="763" width="9.44140625" style="166" bestFit="1" customWidth="1"/>
    <col min="764" max="764" width="25.6640625" style="166" bestFit="1" customWidth="1"/>
    <col min="765" max="766" width="21.6640625" style="166" customWidth="1"/>
    <col min="767" max="767" width="10.33203125" style="166" customWidth="1"/>
    <col min="768" max="768" width="5.33203125" style="166" customWidth="1"/>
    <col min="769" max="769" width="9.44140625" style="166" bestFit="1" customWidth="1"/>
    <col min="770" max="770" width="25.6640625" style="166" bestFit="1" customWidth="1"/>
    <col min="771" max="771" width="21" style="166" customWidth="1"/>
    <col min="772" max="772" width="20.33203125" style="166" customWidth="1"/>
    <col min="773" max="1016" width="10.33203125" style="166"/>
    <col min="1017" max="1017" width="3.6640625" style="166" customWidth="1"/>
    <col min="1018" max="1018" width="5.33203125" style="166" customWidth="1"/>
    <col min="1019" max="1019" width="9.44140625" style="166" bestFit="1" customWidth="1"/>
    <col min="1020" max="1020" width="25.6640625" style="166" bestFit="1" customWidth="1"/>
    <col min="1021" max="1022" width="21.6640625" style="166" customWidth="1"/>
    <col min="1023" max="1023" width="10.33203125" style="166" customWidth="1"/>
    <col min="1024" max="1024" width="5.33203125" style="166" customWidth="1"/>
    <col min="1025" max="1025" width="9.44140625" style="166" bestFit="1" customWidth="1"/>
    <col min="1026" max="1026" width="25.6640625" style="166" bestFit="1" customWidth="1"/>
    <col min="1027" max="1027" width="21" style="166" customWidth="1"/>
    <col min="1028" max="1028" width="20.33203125" style="166" customWidth="1"/>
    <col min="1029" max="1272" width="10.33203125" style="166"/>
    <col min="1273" max="1273" width="3.6640625" style="166" customWidth="1"/>
    <col min="1274" max="1274" width="5.33203125" style="166" customWidth="1"/>
    <col min="1275" max="1275" width="9.44140625" style="166" bestFit="1" customWidth="1"/>
    <col min="1276" max="1276" width="25.6640625" style="166" bestFit="1" customWidth="1"/>
    <col min="1277" max="1278" width="21.6640625" style="166" customWidth="1"/>
    <col min="1279" max="1279" width="10.33203125" style="166" customWidth="1"/>
    <col min="1280" max="1280" width="5.33203125" style="166" customWidth="1"/>
    <col min="1281" max="1281" width="9.44140625" style="166" bestFit="1" customWidth="1"/>
    <col min="1282" max="1282" width="25.6640625" style="166" bestFit="1" customWidth="1"/>
    <col min="1283" max="1283" width="21" style="166" customWidth="1"/>
    <col min="1284" max="1284" width="20.33203125" style="166" customWidth="1"/>
    <col min="1285" max="1528" width="10.33203125" style="166"/>
    <col min="1529" max="1529" width="3.6640625" style="166" customWidth="1"/>
    <col min="1530" max="1530" width="5.33203125" style="166" customWidth="1"/>
    <col min="1531" max="1531" width="9.44140625" style="166" bestFit="1" customWidth="1"/>
    <col min="1532" max="1532" width="25.6640625" style="166" bestFit="1" customWidth="1"/>
    <col min="1533" max="1534" width="21.6640625" style="166" customWidth="1"/>
    <col min="1535" max="1535" width="10.33203125" style="166" customWidth="1"/>
    <col min="1536" max="1536" width="5.33203125" style="166" customWidth="1"/>
    <col min="1537" max="1537" width="9.44140625" style="166" bestFit="1" customWidth="1"/>
    <col min="1538" max="1538" width="25.6640625" style="166" bestFit="1" customWidth="1"/>
    <col min="1539" max="1539" width="21" style="166" customWidth="1"/>
    <col min="1540" max="1540" width="20.33203125" style="166" customWidth="1"/>
    <col min="1541" max="1784" width="10.33203125" style="166"/>
    <col min="1785" max="1785" width="3.6640625" style="166" customWidth="1"/>
    <col min="1786" max="1786" width="5.33203125" style="166" customWidth="1"/>
    <col min="1787" max="1787" width="9.44140625" style="166" bestFit="1" customWidth="1"/>
    <col min="1788" max="1788" width="25.6640625" style="166" bestFit="1" customWidth="1"/>
    <col min="1789" max="1790" width="21.6640625" style="166" customWidth="1"/>
    <col min="1791" max="1791" width="10.33203125" style="166" customWidth="1"/>
    <col min="1792" max="1792" width="5.33203125" style="166" customWidth="1"/>
    <col min="1793" max="1793" width="9.44140625" style="166" bestFit="1" customWidth="1"/>
    <col min="1794" max="1794" width="25.6640625" style="166" bestFit="1" customWidth="1"/>
    <col min="1795" max="1795" width="21" style="166" customWidth="1"/>
    <col min="1796" max="1796" width="20.33203125" style="166" customWidth="1"/>
    <col min="1797" max="2040" width="10.33203125" style="166"/>
    <col min="2041" max="2041" width="3.6640625" style="166" customWidth="1"/>
    <col min="2042" max="2042" width="5.33203125" style="166" customWidth="1"/>
    <col min="2043" max="2043" width="9.44140625" style="166" bestFit="1" customWidth="1"/>
    <col min="2044" max="2044" width="25.6640625" style="166" bestFit="1" customWidth="1"/>
    <col min="2045" max="2046" width="21.6640625" style="166" customWidth="1"/>
    <col min="2047" max="2047" width="10.33203125" style="166" customWidth="1"/>
    <col min="2048" max="2048" width="5.33203125" style="166" customWidth="1"/>
    <col min="2049" max="2049" width="9.44140625" style="166" bestFit="1" customWidth="1"/>
    <col min="2050" max="2050" width="25.6640625" style="166" bestFit="1" customWidth="1"/>
    <col min="2051" max="2051" width="21" style="166" customWidth="1"/>
    <col min="2052" max="2052" width="20.33203125" style="166" customWidth="1"/>
    <col min="2053" max="2296" width="10.33203125" style="166"/>
    <col min="2297" max="2297" width="3.6640625" style="166" customWidth="1"/>
    <col min="2298" max="2298" width="5.33203125" style="166" customWidth="1"/>
    <col min="2299" max="2299" width="9.44140625" style="166" bestFit="1" customWidth="1"/>
    <col min="2300" max="2300" width="25.6640625" style="166" bestFit="1" customWidth="1"/>
    <col min="2301" max="2302" width="21.6640625" style="166" customWidth="1"/>
    <col min="2303" max="2303" width="10.33203125" style="166" customWidth="1"/>
    <col min="2304" max="2304" width="5.33203125" style="166" customWidth="1"/>
    <col min="2305" max="2305" width="9.44140625" style="166" bestFit="1" customWidth="1"/>
    <col min="2306" max="2306" width="25.6640625" style="166" bestFit="1" customWidth="1"/>
    <col min="2307" max="2307" width="21" style="166" customWidth="1"/>
    <col min="2308" max="2308" width="20.33203125" style="166" customWidth="1"/>
    <col min="2309" max="2552" width="10.33203125" style="166"/>
    <col min="2553" max="2553" width="3.6640625" style="166" customWidth="1"/>
    <col min="2554" max="2554" width="5.33203125" style="166" customWidth="1"/>
    <col min="2555" max="2555" width="9.44140625" style="166" bestFit="1" customWidth="1"/>
    <col min="2556" max="2556" width="25.6640625" style="166" bestFit="1" customWidth="1"/>
    <col min="2557" max="2558" width="21.6640625" style="166" customWidth="1"/>
    <col min="2559" max="2559" width="10.33203125" style="166" customWidth="1"/>
    <col min="2560" max="2560" width="5.33203125" style="166" customWidth="1"/>
    <col min="2561" max="2561" width="9.44140625" style="166" bestFit="1" customWidth="1"/>
    <col min="2562" max="2562" width="25.6640625" style="166" bestFit="1" customWidth="1"/>
    <col min="2563" max="2563" width="21" style="166" customWidth="1"/>
    <col min="2564" max="2564" width="20.33203125" style="166" customWidth="1"/>
    <col min="2565" max="2808" width="10.33203125" style="166"/>
    <col min="2809" max="2809" width="3.6640625" style="166" customWidth="1"/>
    <col min="2810" max="2810" width="5.33203125" style="166" customWidth="1"/>
    <col min="2811" max="2811" width="9.44140625" style="166" bestFit="1" customWidth="1"/>
    <col min="2812" max="2812" width="25.6640625" style="166" bestFit="1" customWidth="1"/>
    <col min="2813" max="2814" width="21.6640625" style="166" customWidth="1"/>
    <col min="2815" max="2815" width="10.33203125" style="166" customWidth="1"/>
    <col min="2816" max="2816" width="5.33203125" style="166" customWidth="1"/>
    <col min="2817" max="2817" width="9.44140625" style="166" bestFit="1" customWidth="1"/>
    <col min="2818" max="2818" width="25.6640625" style="166" bestFit="1" customWidth="1"/>
    <col min="2819" max="2819" width="21" style="166" customWidth="1"/>
    <col min="2820" max="2820" width="20.33203125" style="166" customWidth="1"/>
    <col min="2821" max="3064" width="10.33203125" style="166"/>
    <col min="3065" max="3065" width="3.6640625" style="166" customWidth="1"/>
    <col min="3066" max="3066" width="5.33203125" style="166" customWidth="1"/>
    <col min="3067" max="3067" width="9.44140625" style="166" bestFit="1" customWidth="1"/>
    <col min="3068" max="3068" width="25.6640625" style="166" bestFit="1" customWidth="1"/>
    <col min="3069" max="3070" width="21.6640625" style="166" customWidth="1"/>
    <col min="3071" max="3071" width="10.33203125" style="166" customWidth="1"/>
    <col min="3072" max="3072" width="5.33203125" style="166" customWidth="1"/>
    <col min="3073" max="3073" width="9.44140625" style="166" bestFit="1" customWidth="1"/>
    <col min="3074" max="3074" width="25.6640625" style="166" bestFit="1" customWidth="1"/>
    <col min="3075" max="3075" width="21" style="166" customWidth="1"/>
    <col min="3076" max="3076" width="20.33203125" style="166" customWidth="1"/>
    <col min="3077" max="3320" width="10.33203125" style="166"/>
    <col min="3321" max="3321" width="3.6640625" style="166" customWidth="1"/>
    <col min="3322" max="3322" width="5.33203125" style="166" customWidth="1"/>
    <col min="3323" max="3323" width="9.44140625" style="166" bestFit="1" customWidth="1"/>
    <col min="3324" max="3324" width="25.6640625" style="166" bestFit="1" customWidth="1"/>
    <col min="3325" max="3326" width="21.6640625" style="166" customWidth="1"/>
    <col min="3327" max="3327" width="10.33203125" style="166" customWidth="1"/>
    <col min="3328" max="3328" width="5.33203125" style="166" customWidth="1"/>
    <col min="3329" max="3329" width="9.44140625" style="166" bestFit="1" customWidth="1"/>
    <col min="3330" max="3330" width="25.6640625" style="166" bestFit="1" customWidth="1"/>
    <col min="3331" max="3331" width="21" style="166" customWidth="1"/>
    <col min="3332" max="3332" width="20.33203125" style="166" customWidth="1"/>
    <col min="3333" max="3576" width="10.33203125" style="166"/>
    <col min="3577" max="3577" width="3.6640625" style="166" customWidth="1"/>
    <col min="3578" max="3578" width="5.33203125" style="166" customWidth="1"/>
    <col min="3579" max="3579" width="9.44140625" style="166" bestFit="1" customWidth="1"/>
    <col min="3580" max="3580" width="25.6640625" style="166" bestFit="1" customWidth="1"/>
    <col min="3581" max="3582" width="21.6640625" style="166" customWidth="1"/>
    <col min="3583" max="3583" width="10.33203125" style="166" customWidth="1"/>
    <col min="3584" max="3584" width="5.33203125" style="166" customWidth="1"/>
    <col min="3585" max="3585" width="9.44140625" style="166" bestFit="1" customWidth="1"/>
    <col min="3586" max="3586" width="25.6640625" style="166" bestFit="1" customWidth="1"/>
    <col min="3587" max="3587" width="21" style="166" customWidth="1"/>
    <col min="3588" max="3588" width="20.33203125" style="166" customWidth="1"/>
    <col min="3589" max="3832" width="10.33203125" style="166"/>
    <col min="3833" max="3833" width="3.6640625" style="166" customWidth="1"/>
    <col min="3834" max="3834" width="5.33203125" style="166" customWidth="1"/>
    <col min="3835" max="3835" width="9.44140625" style="166" bestFit="1" customWidth="1"/>
    <col min="3836" max="3836" width="25.6640625" style="166" bestFit="1" customWidth="1"/>
    <col min="3837" max="3838" width="21.6640625" style="166" customWidth="1"/>
    <col min="3839" max="3839" width="10.33203125" style="166" customWidth="1"/>
    <col min="3840" max="3840" width="5.33203125" style="166" customWidth="1"/>
    <col min="3841" max="3841" width="9.44140625" style="166" bestFit="1" customWidth="1"/>
    <col min="3842" max="3842" width="25.6640625" style="166" bestFit="1" customWidth="1"/>
    <col min="3843" max="3843" width="21" style="166" customWidth="1"/>
    <col min="3844" max="3844" width="20.33203125" style="166" customWidth="1"/>
    <col min="3845" max="4088" width="10.33203125" style="166"/>
    <col min="4089" max="4089" width="3.6640625" style="166" customWidth="1"/>
    <col min="4090" max="4090" width="5.33203125" style="166" customWidth="1"/>
    <col min="4091" max="4091" width="9.44140625" style="166" bestFit="1" customWidth="1"/>
    <col min="4092" max="4092" width="25.6640625" style="166" bestFit="1" customWidth="1"/>
    <col min="4093" max="4094" width="21.6640625" style="166" customWidth="1"/>
    <col min="4095" max="4095" width="10.33203125" style="166" customWidth="1"/>
    <col min="4096" max="4096" width="5.33203125" style="166" customWidth="1"/>
    <col min="4097" max="4097" width="9.44140625" style="166" bestFit="1" customWidth="1"/>
    <col min="4098" max="4098" width="25.6640625" style="166" bestFit="1" customWidth="1"/>
    <col min="4099" max="4099" width="21" style="166" customWidth="1"/>
    <col min="4100" max="4100" width="20.33203125" style="166" customWidth="1"/>
    <col min="4101" max="4344" width="10.33203125" style="166"/>
    <col min="4345" max="4345" width="3.6640625" style="166" customWidth="1"/>
    <col min="4346" max="4346" width="5.33203125" style="166" customWidth="1"/>
    <col min="4347" max="4347" width="9.44140625" style="166" bestFit="1" customWidth="1"/>
    <col min="4348" max="4348" width="25.6640625" style="166" bestFit="1" customWidth="1"/>
    <col min="4349" max="4350" width="21.6640625" style="166" customWidth="1"/>
    <col min="4351" max="4351" width="10.33203125" style="166" customWidth="1"/>
    <col min="4352" max="4352" width="5.33203125" style="166" customWidth="1"/>
    <col min="4353" max="4353" width="9.44140625" style="166" bestFit="1" customWidth="1"/>
    <col min="4354" max="4354" width="25.6640625" style="166" bestFit="1" customWidth="1"/>
    <col min="4355" max="4355" width="21" style="166" customWidth="1"/>
    <col min="4356" max="4356" width="20.33203125" style="166" customWidth="1"/>
    <col min="4357" max="4600" width="10.33203125" style="166"/>
    <col min="4601" max="4601" width="3.6640625" style="166" customWidth="1"/>
    <col min="4602" max="4602" width="5.33203125" style="166" customWidth="1"/>
    <col min="4603" max="4603" width="9.44140625" style="166" bestFit="1" customWidth="1"/>
    <col min="4604" max="4604" width="25.6640625" style="166" bestFit="1" customWidth="1"/>
    <col min="4605" max="4606" width="21.6640625" style="166" customWidth="1"/>
    <col min="4607" max="4607" width="10.33203125" style="166" customWidth="1"/>
    <col min="4608" max="4608" width="5.33203125" style="166" customWidth="1"/>
    <col min="4609" max="4609" width="9.44140625" style="166" bestFit="1" customWidth="1"/>
    <col min="4610" max="4610" width="25.6640625" style="166" bestFit="1" customWidth="1"/>
    <col min="4611" max="4611" width="21" style="166" customWidth="1"/>
    <col min="4612" max="4612" width="20.33203125" style="166" customWidth="1"/>
    <col min="4613" max="4856" width="10.33203125" style="166"/>
    <col min="4857" max="4857" width="3.6640625" style="166" customWidth="1"/>
    <col min="4858" max="4858" width="5.33203125" style="166" customWidth="1"/>
    <col min="4859" max="4859" width="9.44140625" style="166" bestFit="1" customWidth="1"/>
    <col min="4860" max="4860" width="25.6640625" style="166" bestFit="1" customWidth="1"/>
    <col min="4861" max="4862" width="21.6640625" style="166" customWidth="1"/>
    <col min="4863" max="4863" width="10.33203125" style="166" customWidth="1"/>
    <col min="4864" max="4864" width="5.33203125" style="166" customWidth="1"/>
    <col min="4865" max="4865" width="9.44140625" style="166" bestFit="1" customWidth="1"/>
    <col min="4866" max="4866" width="25.6640625" style="166" bestFit="1" customWidth="1"/>
    <col min="4867" max="4867" width="21" style="166" customWidth="1"/>
    <col min="4868" max="4868" width="20.33203125" style="166" customWidth="1"/>
    <col min="4869" max="5112" width="10.33203125" style="166"/>
    <col min="5113" max="5113" width="3.6640625" style="166" customWidth="1"/>
    <col min="5114" max="5114" width="5.33203125" style="166" customWidth="1"/>
    <col min="5115" max="5115" width="9.44140625" style="166" bestFit="1" customWidth="1"/>
    <col min="5116" max="5116" width="25.6640625" style="166" bestFit="1" customWidth="1"/>
    <col min="5117" max="5118" width="21.6640625" style="166" customWidth="1"/>
    <col min="5119" max="5119" width="10.33203125" style="166" customWidth="1"/>
    <col min="5120" max="5120" width="5.33203125" style="166" customWidth="1"/>
    <col min="5121" max="5121" width="9.44140625" style="166" bestFit="1" customWidth="1"/>
    <col min="5122" max="5122" width="25.6640625" style="166" bestFit="1" customWidth="1"/>
    <col min="5123" max="5123" width="21" style="166" customWidth="1"/>
    <col min="5124" max="5124" width="20.33203125" style="166" customWidth="1"/>
    <col min="5125" max="5368" width="10.33203125" style="166"/>
    <col min="5369" max="5369" width="3.6640625" style="166" customWidth="1"/>
    <col min="5370" max="5370" width="5.33203125" style="166" customWidth="1"/>
    <col min="5371" max="5371" width="9.44140625" style="166" bestFit="1" customWidth="1"/>
    <col min="5372" max="5372" width="25.6640625" style="166" bestFit="1" customWidth="1"/>
    <col min="5373" max="5374" width="21.6640625" style="166" customWidth="1"/>
    <col min="5375" max="5375" width="10.33203125" style="166" customWidth="1"/>
    <col min="5376" max="5376" width="5.33203125" style="166" customWidth="1"/>
    <col min="5377" max="5377" width="9.44140625" style="166" bestFit="1" customWidth="1"/>
    <col min="5378" max="5378" width="25.6640625" style="166" bestFit="1" customWidth="1"/>
    <col min="5379" max="5379" width="21" style="166" customWidth="1"/>
    <col min="5380" max="5380" width="20.33203125" style="166" customWidth="1"/>
    <col min="5381" max="5624" width="10.33203125" style="166"/>
    <col min="5625" max="5625" width="3.6640625" style="166" customWidth="1"/>
    <col min="5626" max="5626" width="5.33203125" style="166" customWidth="1"/>
    <col min="5627" max="5627" width="9.44140625" style="166" bestFit="1" customWidth="1"/>
    <col min="5628" max="5628" width="25.6640625" style="166" bestFit="1" customWidth="1"/>
    <col min="5629" max="5630" width="21.6640625" style="166" customWidth="1"/>
    <col min="5631" max="5631" width="10.33203125" style="166" customWidth="1"/>
    <col min="5632" max="5632" width="5.33203125" style="166" customWidth="1"/>
    <col min="5633" max="5633" width="9.44140625" style="166" bestFit="1" customWidth="1"/>
    <col min="5634" max="5634" width="25.6640625" style="166" bestFit="1" customWidth="1"/>
    <col min="5635" max="5635" width="21" style="166" customWidth="1"/>
    <col min="5636" max="5636" width="20.33203125" style="166" customWidth="1"/>
    <col min="5637" max="5880" width="10.33203125" style="166"/>
    <col min="5881" max="5881" width="3.6640625" style="166" customWidth="1"/>
    <col min="5882" max="5882" width="5.33203125" style="166" customWidth="1"/>
    <col min="5883" max="5883" width="9.44140625" style="166" bestFit="1" customWidth="1"/>
    <col min="5884" max="5884" width="25.6640625" style="166" bestFit="1" customWidth="1"/>
    <col min="5885" max="5886" width="21.6640625" style="166" customWidth="1"/>
    <col min="5887" max="5887" width="10.33203125" style="166" customWidth="1"/>
    <col min="5888" max="5888" width="5.33203125" style="166" customWidth="1"/>
    <col min="5889" max="5889" width="9.44140625" style="166" bestFit="1" customWidth="1"/>
    <col min="5890" max="5890" width="25.6640625" style="166" bestFit="1" customWidth="1"/>
    <col min="5891" max="5891" width="21" style="166" customWidth="1"/>
    <col min="5892" max="5892" width="20.33203125" style="166" customWidth="1"/>
    <col min="5893" max="6136" width="10.33203125" style="166"/>
    <col min="6137" max="6137" width="3.6640625" style="166" customWidth="1"/>
    <col min="6138" max="6138" width="5.33203125" style="166" customWidth="1"/>
    <col min="6139" max="6139" width="9.44140625" style="166" bestFit="1" customWidth="1"/>
    <col min="6140" max="6140" width="25.6640625" style="166" bestFit="1" customWidth="1"/>
    <col min="6141" max="6142" width="21.6640625" style="166" customWidth="1"/>
    <col min="6143" max="6143" width="10.33203125" style="166" customWidth="1"/>
    <col min="6144" max="6144" width="5.33203125" style="166" customWidth="1"/>
    <col min="6145" max="6145" width="9.44140625" style="166" bestFit="1" customWidth="1"/>
    <col min="6146" max="6146" width="25.6640625" style="166" bestFit="1" customWidth="1"/>
    <col min="6147" max="6147" width="21" style="166" customWidth="1"/>
    <col min="6148" max="6148" width="20.33203125" style="166" customWidth="1"/>
    <col min="6149" max="6392" width="10.33203125" style="166"/>
    <col min="6393" max="6393" width="3.6640625" style="166" customWidth="1"/>
    <col min="6394" max="6394" width="5.33203125" style="166" customWidth="1"/>
    <col min="6395" max="6395" width="9.44140625" style="166" bestFit="1" customWidth="1"/>
    <col min="6396" max="6396" width="25.6640625" style="166" bestFit="1" customWidth="1"/>
    <col min="6397" max="6398" width="21.6640625" style="166" customWidth="1"/>
    <col min="6399" max="6399" width="10.33203125" style="166" customWidth="1"/>
    <col min="6400" max="6400" width="5.33203125" style="166" customWidth="1"/>
    <col min="6401" max="6401" width="9.44140625" style="166" bestFit="1" customWidth="1"/>
    <col min="6402" max="6402" width="25.6640625" style="166" bestFit="1" customWidth="1"/>
    <col min="6403" max="6403" width="21" style="166" customWidth="1"/>
    <col min="6404" max="6404" width="20.33203125" style="166" customWidth="1"/>
    <col min="6405" max="6648" width="10.33203125" style="166"/>
    <col min="6649" max="6649" width="3.6640625" style="166" customWidth="1"/>
    <col min="6650" max="6650" width="5.33203125" style="166" customWidth="1"/>
    <col min="6651" max="6651" width="9.44140625" style="166" bestFit="1" customWidth="1"/>
    <col min="6652" max="6652" width="25.6640625" style="166" bestFit="1" customWidth="1"/>
    <col min="6653" max="6654" width="21.6640625" style="166" customWidth="1"/>
    <col min="6655" max="6655" width="10.33203125" style="166" customWidth="1"/>
    <col min="6656" max="6656" width="5.33203125" style="166" customWidth="1"/>
    <col min="6657" max="6657" width="9.44140625" style="166" bestFit="1" customWidth="1"/>
    <col min="6658" max="6658" width="25.6640625" style="166" bestFit="1" customWidth="1"/>
    <col min="6659" max="6659" width="21" style="166" customWidth="1"/>
    <col min="6660" max="6660" width="20.33203125" style="166" customWidth="1"/>
    <col min="6661" max="6904" width="10.33203125" style="166"/>
    <col min="6905" max="6905" width="3.6640625" style="166" customWidth="1"/>
    <col min="6906" max="6906" width="5.33203125" style="166" customWidth="1"/>
    <col min="6907" max="6907" width="9.44140625" style="166" bestFit="1" customWidth="1"/>
    <col min="6908" max="6908" width="25.6640625" style="166" bestFit="1" customWidth="1"/>
    <col min="6909" max="6910" width="21.6640625" style="166" customWidth="1"/>
    <col min="6911" max="6911" width="10.33203125" style="166" customWidth="1"/>
    <col min="6912" max="6912" width="5.33203125" style="166" customWidth="1"/>
    <col min="6913" max="6913" width="9.44140625" style="166" bestFit="1" customWidth="1"/>
    <col min="6914" max="6914" width="25.6640625" style="166" bestFit="1" customWidth="1"/>
    <col min="6915" max="6915" width="21" style="166" customWidth="1"/>
    <col min="6916" max="6916" width="20.33203125" style="166" customWidth="1"/>
    <col min="6917" max="7160" width="10.33203125" style="166"/>
    <col min="7161" max="7161" width="3.6640625" style="166" customWidth="1"/>
    <col min="7162" max="7162" width="5.33203125" style="166" customWidth="1"/>
    <col min="7163" max="7163" width="9.44140625" style="166" bestFit="1" customWidth="1"/>
    <col min="7164" max="7164" width="25.6640625" style="166" bestFit="1" customWidth="1"/>
    <col min="7165" max="7166" width="21.6640625" style="166" customWidth="1"/>
    <col min="7167" max="7167" width="10.33203125" style="166" customWidth="1"/>
    <col min="7168" max="7168" width="5.33203125" style="166" customWidth="1"/>
    <col min="7169" max="7169" width="9.44140625" style="166" bestFit="1" customWidth="1"/>
    <col min="7170" max="7170" width="25.6640625" style="166" bestFit="1" customWidth="1"/>
    <col min="7171" max="7171" width="21" style="166" customWidth="1"/>
    <col min="7172" max="7172" width="20.33203125" style="166" customWidth="1"/>
    <col min="7173" max="7416" width="10.33203125" style="166"/>
    <col min="7417" max="7417" width="3.6640625" style="166" customWidth="1"/>
    <col min="7418" max="7418" width="5.33203125" style="166" customWidth="1"/>
    <col min="7419" max="7419" width="9.44140625" style="166" bestFit="1" customWidth="1"/>
    <col min="7420" max="7420" width="25.6640625" style="166" bestFit="1" customWidth="1"/>
    <col min="7421" max="7422" width="21.6640625" style="166" customWidth="1"/>
    <col min="7423" max="7423" width="10.33203125" style="166" customWidth="1"/>
    <col min="7424" max="7424" width="5.33203125" style="166" customWidth="1"/>
    <col min="7425" max="7425" width="9.44140625" style="166" bestFit="1" customWidth="1"/>
    <col min="7426" max="7426" width="25.6640625" style="166" bestFit="1" customWidth="1"/>
    <col min="7427" max="7427" width="21" style="166" customWidth="1"/>
    <col min="7428" max="7428" width="20.33203125" style="166" customWidth="1"/>
    <col min="7429" max="7672" width="10.33203125" style="166"/>
    <col min="7673" max="7673" width="3.6640625" style="166" customWidth="1"/>
    <col min="7674" max="7674" width="5.33203125" style="166" customWidth="1"/>
    <col min="7675" max="7675" width="9.44140625" style="166" bestFit="1" customWidth="1"/>
    <col min="7676" max="7676" width="25.6640625" style="166" bestFit="1" customWidth="1"/>
    <col min="7677" max="7678" width="21.6640625" style="166" customWidth="1"/>
    <col min="7679" max="7679" width="10.33203125" style="166" customWidth="1"/>
    <col min="7680" max="7680" width="5.33203125" style="166" customWidth="1"/>
    <col min="7681" max="7681" width="9.44140625" style="166" bestFit="1" customWidth="1"/>
    <col min="7682" max="7682" width="25.6640625" style="166" bestFit="1" customWidth="1"/>
    <col min="7683" max="7683" width="21" style="166" customWidth="1"/>
    <col min="7684" max="7684" width="20.33203125" style="166" customWidth="1"/>
    <col min="7685" max="7928" width="10.33203125" style="166"/>
    <col min="7929" max="7929" width="3.6640625" style="166" customWidth="1"/>
    <col min="7930" max="7930" width="5.33203125" style="166" customWidth="1"/>
    <col min="7931" max="7931" width="9.44140625" style="166" bestFit="1" customWidth="1"/>
    <col min="7932" max="7932" width="25.6640625" style="166" bestFit="1" customWidth="1"/>
    <col min="7933" max="7934" width="21.6640625" style="166" customWidth="1"/>
    <col min="7935" max="7935" width="10.33203125" style="166" customWidth="1"/>
    <col min="7936" max="7936" width="5.33203125" style="166" customWidth="1"/>
    <col min="7937" max="7937" width="9.44140625" style="166" bestFit="1" customWidth="1"/>
    <col min="7938" max="7938" width="25.6640625" style="166" bestFit="1" customWidth="1"/>
    <col min="7939" max="7939" width="21" style="166" customWidth="1"/>
    <col min="7940" max="7940" width="20.33203125" style="166" customWidth="1"/>
    <col min="7941" max="8184" width="10.33203125" style="166"/>
    <col min="8185" max="8185" width="3.6640625" style="166" customWidth="1"/>
    <col min="8186" max="8186" width="5.33203125" style="166" customWidth="1"/>
    <col min="8187" max="8187" width="9.44140625" style="166" bestFit="1" customWidth="1"/>
    <col min="8188" max="8188" width="25.6640625" style="166" bestFit="1" customWidth="1"/>
    <col min="8189" max="8190" width="21.6640625" style="166" customWidth="1"/>
    <col min="8191" max="8191" width="10.33203125" style="166" customWidth="1"/>
    <col min="8192" max="8192" width="5.33203125" style="166" customWidth="1"/>
    <col min="8193" max="8193" width="9.44140625" style="166" bestFit="1" customWidth="1"/>
    <col min="8194" max="8194" width="25.6640625" style="166" bestFit="1" customWidth="1"/>
    <col min="8195" max="8195" width="21" style="166" customWidth="1"/>
    <col min="8196" max="8196" width="20.33203125" style="166" customWidth="1"/>
    <col min="8197" max="8440" width="10.33203125" style="166"/>
    <col min="8441" max="8441" width="3.6640625" style="166" customWidth="1"/>
    <col min="8442" max="8442" width="5.33203125" style="166" customWidth="1"/>
    <col min="8443" max="8443" width="9.44140625" style="166" bestFit="1" customWidth="1"/>
    <col min="8444" max="8444" width="25.6640625" style="166" bestFit="1" customWidth="1"/>
    <col min="8445" max="8446" width="21.6640625" style="166" customWidth="1"/>
    <col min="8447" max="8447" width="10.33203125" style="166" customWidth="1"/>
    <col min="8448" max="8448" width="5.33203125" style="166" customWidth="1"/>
    <col min="8449" max="8449" width="9.44140625" style="166" bestFit="1" customWidth="1"/>
    <col min="8450" max="8450" width="25.6640625" style="166" bestFit="1" customWidth="1"/>
    <col min="8451" max="8451" width="21" style="166" customWidth="1"/>
    <col min="8452" max="8452" width="20.33203125" style="166" customWidth="1"/>
    <col min="8453" max="8696" width="10.33203125" style="166"/>
    <col min="8697" max="8697" width="3.6640625" style="166" customWidth="1"/>
    <col min="8698" max="8698" width="5.33203125" style="166" customWidth="1"/>
    <col min="8699" max="8699" width="9.44140625" style="166" bestFit="1" customWidth="1"/>
    <col min="8700" max="8700" width="25.6640625" style="166" bestFit="1" customWidth="1"/>
    <col min="8701" max="8702" width="21.6640625" style="166" customWidth="1"/>
    <col min="8703" max="8703" width="10.33203125" style="166" customWidth="1"/>
    <col min="8704" max="8704" width="5.33203125" style="166" customWidth="1"/>
    <col min="8705" max="8705" width="9.44140625" style="166" bestFit="1" customWidth="1"/>
    <col min="8706" max="8706" width="25.6640625" style="166" bestFit="1" customWidth="1"/>
    <col min="8707" max="8707" width="21" style="166" customWidth="1"/>
    <col min="8708" max="8708" width="20.33203125" style="166" customWidth="1"/>
    <col min="8709" max="8952" width="10.33203125" style="166"/>
    <col min="8953" max="8953" width="3.6640625" style="166" customWidth="1"/>
    <col min="8954" max="8954" width="5.33203125" style="166" customWidth="1"/>
    <col min="8955" max="8955" width="9.44140625" style="166" bestFit="1" customWidth="1"/>
    <col min="8956" max="8956" width="25.6640625" style="166" bestFit="1" customWidth="1"/>
    <col min="8957" max="8958" width="21.6640625" style="166" customWidth="1"/>
    <col min="8959" max="8959" width="10.33203125" style="166" customWidth="1"/>
    <col min="8960" max="8960" width="5.33203125" style="166" customWidth="1"/>
    <col min="8961" max="8961" width="9.44140625" style="166" bestFit="1" customWidth="1"/>
    <col min="8962" max="8962" width="25.6640625" style="166" bestFit="1" customWidth="1"/>
    <col min="8963" max="8963" width="21" style="166" customWidth="1"/>
    <col min="8964" max="8964" width="20.33203125" style="166" customWidth="1"/>
    <col min="8965" max="9208" width="10.33203125" style="166"/>
    <col min="9209" max="9209" width="3.6640625" style="166" customWidth="1"/>
    <col min="9210" max="9210" width="5.33203125" style="166" customWidth="1"/>
    <col min="9211" max="9211" width="9.44140625" style="166" bestFit="1" customWidth="1"/>
    <col min="9212" max="9212" width="25.6640625" style="166" bestFit="1" customWidth="1"/>
    <col min="9213" max="9214" width="21.6640625" style="166" customWidth="1"/>
    <col min="9215" max="9215" width="10.33203125" style="166" customWidth="1"/>
    <col min="9216" max="9216" width="5.33203125" style="166" customWidth="1"/>
    <col min="9217" max="9217" width="9.44140625" style="166" bestFit="1" customWidth="1"/>
    <col min="9218" max="9218" width="25.6640625" style="166" bestFit="1" customWidth="1"/>
    <col min="9219" max="9219" width="21" style="166" customWidth="1"/>
    <col min="9220" max="9220" width="20.33203125" style="166" customWidth="1"/>
    <col min="9221" max="9464" width="10.33203125" style="166"/>
    <col min="9465" max="9465" width="3.6640625" style="166" customWidth="1"/>
    <col min="9466" max="9466" width="5.33203125" style="166" customWidth="1"/>
    <col min="9467" max="9467" width="9.44140625" style="166" bestFit="1" customWidth="1"/>
    <col min="9468" max="9468" width="25.6640625" style="166" bestFit="1" customWidth="1"/>
    <col min="9469" max="9470" width="21.6640625" style="166" customWidth="1"/>
    <col min="9471" max="9471" width="10.33203125" style="166" customWidth="1"/>
    <col min="9472" max="9472" width="5.33203125" style="166" customWidth="1"/>
    <col min="9473" max="9473" width="9.44140625" style="166" bestFit="1" customWidth="1"/>
    <col min="9474" max="9474" width="25.6640625" style="166" bestFit="1" customWidth="1"/>
    <col min="9475" max="9475" width="21" style="166" customWidth="1"/>
    <col min="9476" max="9476" width="20.33203125" style="166" customWidth="1"/>
    <col min="9477" max="9720" width="10.33203125" style="166"/>
    <col min="9721" max="9721" width="3.6640625" style="166" customWidth="1"/>
    <col min="9722" max="9722" width="5.33203125" style="166" customWidth="1"/>
    <col min="9723" max="9723" width="9.44140625" style="166" bestFit="1" customWidth="1"/>
    <col min="9724" max="9724" width="25.6640625" style="166" bestFit="1" customWidth="1"/>
    <col min="9725" max="9726" width="21.6640625" style="166" customWidth="1"/>
    <col min="9727" max="9727" width="10.33203125" style="166" customWidth="1"/>
    <col min="9728" max="9728" width="5.33203125" style="166" customWidth="1"/>
    <col min="9729" max="9729" width="9.44140625" style="166" bestFit="1" customWidth="1"/>
    <col min="9730" max="9730" width="25.6640625" style="166" bestFit="1" customWidth="1"/>
    <col min="9731" max="9731" width="21" style="166" customWidth="1"/>
    <col min="9732" max="9732" width="20.33203125" style="166" customWidth="1"/>
    <col min="9733" max="9976" width="10.33203125" style="166"/>
    <col min="9977" max="9977" width="3.6640625" style="166" customWidth="1"/>
    <col min="9978" max="9978" width="5.33203125" style="166" customWidth="1"/>
    <col min="9979" max="9979" width="9.44140625" style="166" bestFit="1" customWidth="1"/>
    <col min="9980" max="9980" width="25.6640625" style="166" bestFit="1" customWidth="1"/>
    <col min="9981" max="9982" width="21.6640625" style="166" customWidth="1"/>
    <col min="9983" max="9983" width="10.33203125" style="166" customWidth="1"/>
    <col min="9984" max="9984" width="5.33203125" style="166" customWidth="1"/>
    <col min="9985" max="9985" width="9.44140625" style="166" bestFit="1" customWidth="1"/>
    <col min="9986" max="9986" width="25.6640625" style="166" bestFit="1" customWidth="1"/>
    <col min="9987" max="9987" width="21" style="166" customWidth="1"/>
    <col min="9988" max="9988" width="20.33203125" style="166" customWidth="1"/>
    <col min="9989" max="10232" width="10.33203125" style="166"/>
    <col min="10233" max="10233" width="3.6640625" style="166" customWidth="1"/>
    <col min="10234" max="10234" width="5.33203125" style="166" customWidth="1"/>
    <col min="10235" max="10235" width="9.44140625" style="166" bestFit="1" customWidth="1"/>
    <col min="10236" max="10236" width="25.6640625" style="166" bestFit="1" customWidth="1"/>
    <col min="10237" max="10238" width="21.6640625" style="166" customWidth="1"/>
    <col min="10239" max="10239" width="10.33203125" style="166" customWidth="1"/>
    <col min="10240" max="10240" width="5.33203125" style="166" customWidth="1"/>
    <col min="10241" max="10241" width="9.44140625" style="166" bestFit="1" customWidth="1"/>
    <col min="10242" max="10242" width="25.6640625" style="166" bestFit="1" customWidth="1"/>
    <col min="10243" max="10243" width="21" style="166" customWidth="1"/>
    <col min="10244" max="10244" width="20.33203125" style="166" customWidth="1"/>
    <col min="10245" max="10488" width="10.33203125" style="166"/>
    <col min="10489" max="10489" width="3.6640625" style="166" customWidth="1"/>
    <col min="10490" max="10490" width="5.33203125" style="166" customWidth="1"/>
    <col min="10491" max="10491" width="9.44140625" style="166" bestFit="1" customWidth="1"/>
    <col min="10492" max="10492" width="25.6640625" style="166" bestFit="1" customWidth="1"/>
    <col min="10493" max="10494" width="21.6640625" style="166" customWidth="1"/>
    <col min="10495" max="10495" width="10.33203125" style="166" customWidth="1"/>
    <col min="10496" max="10496" width="5.33203125" style="166" customWidth="1"/>
    <col min="10497" max="10497" width="9.44140625" style="166" bestFit="1" customWidth="1"/>
    <col min="10498" max="10498" width="25.6640625" style="166" bestFit="1" customWidth="1"/>
    <col min="10499" max="10499" width="21" style="166" customWidth="1"/>
    <col min="10500" max="10500" width="20.33203125" style="166" customWidth="1"/>
    <col min="10501" max="10744" width="10.33203125" style="166"/>
    <col min="10745" max="10745" width="3.6640625" style="166" customWidth="1"/>
    <col min="10746" max="10746" width="5.33203125" style="166" customWidth="1"/>
    <col min="10747" max="10747" width="9.44140625" style="166" bestFit="1" customWidth="1"/>
    <col min="10748" max="10748" width="25.6640625" style="166" bestFit="1" customWidth="1"/>
    <col min="10749" max="10750" width="21.6640625" style="166" customWidth="1"/>
    <col min="10751" max="10751" width="10.33203125" style="166" customWidth="1"/>
    <col min="10752" max="10752" width="5.33203125" style="166" customWidth="1"/>
    <col min="10753" max="10753" width="9.44140625" style="166" bestFit="1" customWidth="1"/>
    <col min="10754" max="10754" width="25.6640625" style="166" bestFit="1" customWidth="1"/>
    <col min="10755" max="10755" width="21" style="166" customWidth="1"/>
    <col min="10756" max="10756" width="20.33203125" style="166" customWidth="1"/>
    <col min="10757" max="11000" width="10.33203125" style="166"/>
    <col min="11001" max="11001" width="3.6640625" style="166" customWidth="1"/>
    <col min="11002" max="11002" width="5.33203125" style="166" customWidth="1"/>
    <col min="11003" max="11003" width="9.44140625" style="166" bestFit="1" customWidth="1"/>
    <col min="11004" max="11004" width="25.6640625" style="166" bestFit="1" customWidth="1"/>
    <col min="11005" max="11006" width="21.6640625" style="166" customWidth="1"/>
    <col min="11007" max="11007" width="10.33203125" style="166" customWidth="1"/>
    <col min="11008" max="11008" width="5.33203125" style="166" customWidth="1"/>
    <col min="11009" max="11009" width="9.44140625" style="166" bestFit="1" customWidth="1"/>
    <col min="11010" max="11010" width="25.6640625" style="166" bestFit="1" customWidth="1"/>
    <col min="11011" max="11011" width="21" style="166" customWidth="1"/>
    <col min="11012" max="11012" width="20.33203125" style="166" customWidth="1"/>
    <col min="11013" max="11256" width="10.33203125" style="166"/>
    <col min="11257" max="11257" width="3.6640625" style="166" customWidth="1"/>
    <col min="11258" max="11258" width="5.33203125" style="166" customWidth="1"/>
    <col min="11259" max="11259" width="9.44140625" style="166" bestFit="1" customWidth="1"/>
    <col min="11260" max="11260" width="25.6640625" style="166" bestFit="1" customWidth="1"/>
    <col min="11261" max="11262" width="21.6640625" style="166" customWidth="1"/>
    <col min="11263" max="11263" width="10.33203125" style="166" customWidth="1"/>
    <col min="11264" max="11264" width="5.33203125" style="166" customWidth="1"/>
    <col min="11265" max="11265" width="9.44140625" style="166" bestFit="1" customWidth="1"/>
    <col min="11266" max="11266" width="25.6640625" style="166" bestFit="1" customWidth="1"/>
    <col min="11267" max="11267" width="21" style="166" customWidth="1"/>
    <col min="11268" max="11268" width="20.33203125" style="166" customWidth="1"/>
    <col min="11269" max="11512" width="10.33203125" style="166"/>
    <col min="11513" max="11513" width="3.6640625" style="166" customWidth="1"/>
    <col min="11514" max="11514" width="5.33203125" style="166" customWidth="1"/>
    <col min="11515" max="11515" width="9.44140625" style="166" bestFit="1" customWidth="1"/>
    <col min="11516" max="11516" width="25.6640625" style="166" bestFit="1" customWidth="1"/>
    <col min="11517" max="11518" width="21.6640625" style="166" customWidth="1"/>
    <col min="11519" max="11519" width="10.33203125" style="166" customWidth="1"/>
    <col min="11520" max="11520" width="5.33203125" style="166" customWidth="1"/>
    <col min="11521" max="11521" width="9.44140625" style="166" bestFit="1" customWidth="1"/>
    <col min="11522" max="11522" width="25.6640625" style="166" bestFit="1" customWidth="1"/>
    <col min="11523" max="11523" width="21" style="166" customWidth="1"/>
    <col min="11524" max="11524" width="20.33203125" style="166" customWidth="1"/>
    <col min="11525" max="11768" width="10.33203125" style="166"/>
    <col min="11769" max="11769" width="3.6640625" style="166" customWidth="1"/>
    <col min="11770" max="11770" width="5.33203125" style="166" customWidth="1"/>
    <col min="11771" max="11771" width="9.44140625" style="166" bestFit="1" customWidth="1"/>
    <col min="11772" max="11772" width="25.6640625" style="166" bestFit="1" customWidth="1"/>
    <col min="11773" max="11774" width="21.6640625" style="166" customWidth="1"/>
    <col min="11775" max="11775" width="10.33203125" style="166" customWidth="1"/>
    <col min="11776" max="11776" width="5.33203125" style="166" customWidth="1"/>
    <col min="11777" max="11777" width="9.44140625" style="166" bestFit="1" customWidth="1"/>
    <col min="11778" max="11778" width="25.6640625" style="166" bestFit="1" customWidth="1"/>
    <col min="11779" max="11779" width="21" style="166" customWidth="1"/>
    <col min="11780" max="11780" width="20.33203125" style="166" customWidth="1"/>
    <col min="11781" max="12024" width="10.33203125" style="166"/>
    <col min="12025" max="12025" width="3.6640625" style="166" customWidth="1"/>
    <col min="12026" max="12026" width="5.33203125" style="166" customWidth="1"/>
    <col min="12027" max="12027" width="9.44140625" style="166" bestFit="1" customWidth="1"/>
    <col min="12028" max="12028" width="25.6640625" style="166" bestFit="1" customWidth="1"/>
    <col min="12029" max="12030" width="21.6640625" style="166" customWidth="1"/>
    <col min="12031" max="12031" width="10.33203125" style="166" customWidth="1"/>
    <col min="12032" max="12032" width="5.33203125" style="166" customWidth="1"/>
    <col min="12033" max="12033" width="9.44140625" style="166" bestFit="1" customWidth="1"/>
    <col min="12034" max="12034" width="25.6640625" style="166" bestFit="1" customWidth="1"/>
    <col min="12035" max="12035" width="21" style="166" customWidth="1"/>
    <col min="12036" max="12036" width="20.33203125" style="166" customWidth="1"/>
    <col min="12037" max="12280" width="10.33203125" style="166"/>
    <col min="12281" max="12281" width="3.6640625" style="166" customWidth="1"/>
    <col min="12282" max="12282" width="5.33203125" style="166" customWidth="1"/>
    <col min="12283" max="12283" width="9.44140625" style="166" bestFit="1" customWidth="1"/>
    <col min="12284" max="12284" width="25.6640625" style="166" bestFit="1" customWidth="1"/>
    <col min="12285" max="12286" width="21.6640625" style="166" customWidth="1"/>
    <col min="12287" max="12287" width="10.33203125" style="166" customWidth="1"/>
    <col min="12288" max="12288" width="5.33203125" style="166" customWidth="1"/>
    <col min="12289" max="12289" width="9.44140625" style="166" bestFit="1" customWidth="1"/>
    <col min="12290" max="12290" width="25.6640625" style="166" bestFit="1" customWidth="1"/>
    <col min="12291" max="12291" width="21" style="166" customWidth="1"/>
    <col min="12292" max="12292" width="20.33203125" style="166" customWidth="1"/>
    <col min="12293" max="12536" width="10.33203125" style="166"/>
    <col min="12537" max="12537" width="3.6640625" style="166" customWidth="1"/>
    <col min="12538" max="12538" width="5.33203125" style="166" customWidth="1"/>
    <col min="12539" max="12539" width="9.44140625" style="166" bestFit="1" customWidth="1"/>
    <col min="12540" max="12540" width="25.6640625" style="166" bestFit="1" customWidth="1"/>
    <col min="12541" max="12542" width="21.6640625" style="166" customWidth="1"/>
    <col min="12543" max="12543" width="10.33203125" style="166" customWidth="1"/>
    <col min="12544" max="12544" width="5.33203125" style="166" customWidth="1"/>
    <col min="12545" max="12545" width="9.44140625" style="166" bestFit="1" customWidth="1"/>
    <col min="12546" max="12546" width="25.6640625" style="166" bestFit="1" customWidth="1"/>
    <col min="12547" max="12547" width="21" style="166" customWidth="1"/>
    <col min="12548" max="12548" width="20.33203125" style="166" customWidth="1"/>
    <col min="12549" max="12792" width="10.33203125" style="166"/>
    <col min="12793" max="12793" width="3.6640625" style="166" customWidth="1"/>
    <col min="12794" max="12794" width="5.33203125" style="166" customWidth="1"/>
    <col min="12795" max="12795" width="9.44140625" style="166" bestFit="1" customWidth="1"/>
    <col min="12796" max="12796" width="25.6640625" style="166" bestFit="1" customWidth="1"/>
    <col min="12797" max="12798" width="21.6640625" style="166" customWidth="1"/>
    <col min="12799" max="12799" width="10.33203125" style="166" customWidth="1"/>
    <col min="12800" max="12800" width="5.33203125" style="166" customWidth="1"/>
    <col min="12801" max="12801" width="9.44140625" style="166" bestFit="1" customWidth="1"/>
    <col min="12802" max="12802" width="25.6640625" style="166" bestFit="1" customWidth="1"/>
    <col min="12803" max="12803" width="21" style="166" customWidth="1"/>
    <col min="12804" max="12804" width="20.33203125" style="166" customWidth="1"/>
    <col min="12805" max="13048" width="10.33203125" style="166"/>
    <col min="13049" max="13049" width="3.6640625" style="166" customWidth="1"/>
    <col min="13050" max="13050" width="5.33203125" style="166" customWidth="1"/>
    <col min="13051" max="13051" width="9.44140625" style="166" bestFit="1" customWidth="1"/>
    <col min="13052" max="13052" width="25.6640625" style="166" bestFit="1" customWidth="1"/>
    <col min="13053" max="13054" width="21.6640625" style="166" customWidth="1"/>
    <col min="13055" max="13055" width="10.33203125" style="166" customWidth="1"/>
    <col min="13056" max="13056" width="5.33203125" style="166" customWidth="1"/>
    <col min="13057" max="13057" width="9.44140625" style="166" bestFit="1" customWidth="1"/>
    <col min="13058" max="13058" width="25.6640625" style="166" bestFit="1" customWidth="1"/>
    <col min="13059" max="13059" width="21" style="166" customWidth="1"/>
    <col min="13060" max="13060" width="20.33203125" style="166" customWidth="1"/>
    <col min="13061" max="13304" width="10.33203125" style="166"/>
    <col min="13305" max="13305" width="3.6640625" style="166" customWidth="1"/>
    <col min="13306" max="13306" width="5.33203125" style="166" customWidth="1"/>
    <col min="13307" max="13307" width="9.44140625" style="166" bestFit="1" customWidth="1"/>
    <col min="13308" max="13308" width="25.6640625" style="166" bestFit="1" customWidth="1"/>
    <col min="13309" max="13310" width="21.6640625" style="166" customWidth="1"/>
    <col min="13311" max="13311" width="10.33203125" style="166" customWidth="1"/>
    <col min="13312" max="13312" width="5.33203125" style="166" customWidth="1"/>
    <col min="13313" max="13313" width="9.44140625" style="166" bestFit="1" customWidth="1"/>
    <col min="13314" max="13314" width="25.6640625" style="166" bestFit="1" customWidth="1"/>
    <col min="13315" max="13315" width="21" style="166" customWidth="1"/>
    <col min="13316" max="13316" width="20.33203125" style="166" customWidth="1"/>
    <col min="13317" max="13560" width="10.33203125" style="166"/>
    <col min="13561" max="13561" width="3.6640625" style="166" customWidth="1"/>
    <col min="13562" max="13562" width="5.33203125" style="166" customWidth="1"/>
    <col min="13563" max="13563" width="9.44140625" style="166" bestFit="1" customWidth="1"/>
    <col min="13564" max="13564" width="25.6640625" style="166" bestFit="1" customWidth="1"/>
    <col min="13565" max="13566" width="21.6640625" style="166" customWidth="1"/>
    <col min="13567" max="13567" width="10.33203125" style="166" customWidth="1"/>
    <col min="13568" max="13568" width="5.33203125" style="166" customWidth="1"/>
    <col min="13569" max="13569" width="9.44140625" style="166" bestFit="1" customWidth="1"/>
    <col min="13570" max="13570" width="25.6640625" style="166" bestFit="1" customWidth="1"/>
    <col min="13571" max="13571" width="21" style="166" customWidth="1"/>
    <col min="13572" max="13572" width="20.33203125" style="166" customWidth="1"/>
    <col min="13573" max="13816" width="10.33203125" style="166"/>
    <col min="13817" max="13817" width="3.6640625" style="166" customWidth="1"/>
    <col min="13818" max="13818" width="5.33203125" style="166" customWidth="1"/>
    <col min="13819" max="13819" width="9.44140625" style="166" bestFit="1" customWidth="1"/>
    <col min="13820" max="13820" width="25.6640625" style="166" bestFit="1" customWidth="1"/>
    <col min="13821" max="13822" width="21.6640625" style="166" customWidth="1"/>
    <col min="13823" max="13823" width="10.33203125" style="166" customWidth="1"/>
    <col min="13824" max="13824" width="5.33203125" style="166" customWidth="1"/>
    <col min="13825" max="13825" width="9.44140625" style="166" bestFit="1" customWidth="1"/>
    <col min="13826" max="13826" width="25.6640625" style="166" bestFit="1" customWidth="1"/>
    <col min="13827" max="13827" width="21" style="166" customWidth="1"/>
    <col min="13828" max="13828" width="20.33203125" style="166" customWidth="1"/>
    <col min="13829" max="14072" width="10.33203125" style="166"/>
    <col min="14073" max="14073" width="3.6640625" style="166" customWidth="1"/>
    <col min="14074" max="14074" width="5.33203125" style="166" customWidth="1"/>
    <col min="14075" max="14075" width="9.44140625" style="166" bestFit="1" customWidth="1"/>
    <col min="14076" max="14076" width="25.6640625" style="166" bestFit="1" customWidth="1"/>
    <col min="14077" max="14078" width="21.6640625" style="166" customWidth="1"/>
    <col min="14079" max="14079" width="10.33203125" style="166" customWidth="1"/>
    <col min="14080" max="14080" width="5.33203125" style="166" customWidth="1"/>
    <col min="14081" max="14081" width="9.44140625" style="166" bestFit="1" customWidth="1"/>
    <col min="14082" max="14082" width="25.6640625" style="166" bestFit="1" customWidth="1"/>
    <col min="14083" max="14083" width="21" style="166" customWidth="1"/>
    <col min="14084" max="14084" width="20.33203125" style="166" customWidth="1"/>
    <col min="14085" max="14328" width="10.33203125" style="166"/>
    <col min="14329" max="14329" width="3.6640625" style="166" customWidth="1"/>
    <col min="14330" max="14330" width="5.33203125" style="166" customWidth="1"/>
    <col min="14331" max="14331" width="9.44140625" style="166" bestFit="1" customWidth="1"/>
    <col min="14332" max="14332" width="25.6640625" style="166" bestFit="1" customWidth="1"/>
    <col min="14333" max="14334" width="21.6640625" style="166" customWidth="1"/>
    <col min="14335" max="14335" width="10.33203125" style="166" customWidth="1"/>
    <col min="14336" max="14336" width="5.33203125" style="166" customWidth="1"/>
    <col min="14337" max="14337" width="9.44140625" style="166" bestFit="1" customWidth="1"/>
    <col min="14338" max="14338" width="25.6640625" style="166" bestFit="1" customWidth="1"/>
    <col min="14339" max="14339" width="21" style="166" customWidth="1"/>
    <col min="14340" max="14340" width="20.33203125" style="166" customWidth="1"/>
    <col min="14341" max="14584" width="10.33203125" style="166"/>
    <col min="14585" max="14585" width="3.6640625" style="166" customWidth="1"/>
    <col min="14586" max="14586" width="5.33203125" style="166" customWidth="1"/>
    <col min="14587" max="14587" width="9.44140625" style="166" bestFit="1" customWidth="1"/>
    <col min="14588" max="14588" width="25.6640625" style="166" bestFit="1" customWidth="1"/>
    <col min="14589" max="14590" width="21.6640625" style="166" customWidth="1"/>
    <col min="14591" max="14591" width="10.33203125" style="166" customWidth="1"/>
    <col min="14592" max="14592" width="5.33203125" style="166" customWidth="1"/>
    <col min="14593" max="14593" width="9.44140625" style="166" bestFit="1" customWidth="1"/>
    <col min="14594" max="14594" width="25.6640625" style="166" bestFit="1" customWidth="1"/>
    <col min="14595" max="14595" width="21" style="166" customWidth="1"/>
    <col min="14596" max="14596" width="20.33203125" style="166" customWidth="1"/>
    <col min="14597" max="14840" width="10.33203125" style="166"/>
    <col min="14841" max="14841" width="3.6640625" style="166" customWidth="1"/>
    <col min="14842" max="14842" width="5.33203125" style="166" customWidth="1"/>
    <col min="14843" max="14843" width="9.44140625" style="166" bestFit="1" customWidth="1"/>
    <col min="14844" max="14844" width="25.6640625" style="166" bestFit="1" customWidth="1"/>
    <col min="14845" max="14846" width="21.6640625" style="166" customWidth="1"/>
    <col min="14847" max="14847" width="10.33203125" style="166" customWidth="1"/>
    <col min="14848" max="14848" width="5.33203125" style="166" customWidth="1"/>
    <col min="14849" max="14849" width="9.44140625" style="166" bestFit="1" customWidth="1"/>
    <col min="14850" max="14850" width="25.6640625" style="166" bestFit="1" customWidth="1"/>
    <col min="14851" max="14851" width="21" style="166" customWidth="1"/>
    <col min="14852" max="14852" width="20.33203125" style="166" customWidth="1"/>
    <col min="14853" max="15096" width="10.33203125" style="166"/>
    <col min="15097" max="15097" width="3.6640625" style="166" customWidth="1"/>
    <col min="15098" max="15098" width="5.33203125" style="166" customWidth="1"/>
    <col min="15099" max="15099" width="9.44140625" style="166" bestFit="1" customWidth="1"/>
    <col min="15100" max="15100" width="25.6640625" style="166" bestFit="1" customWidth="1"/>
    <col min="15101" max="15102" width="21.6640625" style="166" customWidth="1"/>
    <col min="15103" max="15103" width="10.33203125" style="166" customWidth="1"/>
    <col min="15104" max="15104" width="5.33203125" style="166" customWidth="1"/>
    <col min="15105" max="15105" width="9.44140625" style="166" bestFit="1" customWidth="1"/>
    <col min="15106" max="15106" width="25.6640625" style="166" bestFit="1" customWidth="1"/>
    <col min="15107" max="15107" width="21" style="166" customWidth="1"/>
    <col min="15108" max="15108" width="20.33203125" style="166" customWidth="1"/>
    <col min="15109" max="15352" width="10.33203125" style="166"/>
    <col min="15353" max="15353" width="3.6640625" style="166" customWidth="1"/>
    <col min="15354" max="15354" width="5.33203125" style="166" customWidth="1"/>
    <col min="15355" max="15355" width="9.44140625" style="166" bestFit="1" customWidth="1"/>
    <col min="15356" max="15356" width="25.6640625" style="166" bestFit="1" customWidth="1"/>
    <col min="15357" max="15358" width="21.6640625" style="166" customWidth="1"/>
    <col min="15359" max="15359" width="10.33203125" style="166" customWidth="1"/>
    <col min="15360" max="15360" width="5.33203125" style="166" customWidth="1"/>
    <col min="15361" max="15361" width="9.44140625" style="166" bestFit="1" customWidth="1"/>
    <col min="15362" max="15362" width="25.6640625" style="166" bestFit="1" customWidth="1"/>
    <col min="15363" max="15363" width="21" style="166" customWidth="1"/>
    <col min="15364" max="15364" width="20.33203125" style="166" customWidth="1"/>
    <col min="15365" max="15608" width="10.33203125" style="166"/>
    <col min="15609" max="15609" width="3.6640625" style="166" customWidth="1"/>
    <col min="15610" max="15610" width="5.33203125" style="166" customWidth="1"/>
    <col min="15611" max="15611" width="9.44140625" style="166" bestFit="1" customWidth="1"/>
    <col min="15612" max="15612" width="25.6640625" style="166" bestFit="1" customWidth="1"/>
    <col min="15613" max="15614" width="21.6640625" style="166" customWidth="1"/>
    <col min="15615" max="15615" width="10.33203125" style="166" customWidth="1"/>
    <col min="15616" max="15616" width="5.33203125" style="166" customWidth="1"/>
    <col min="15617" max="15617" width="9.44140625" style="166" bestFit="1" customWidth="1"/>
    <col min="15618" max="15618" width="25.6640625" style="166" bestFit="1" customWidth="1"/>
    <col min="15619" max="15619" width="21" style="166" customWidth="1"/>
    <col min="15620" max="15620" width="20.33203125" style="166" customWidth="1"/>
    <col min="15621" max="15864" width="10.33203125" style="166"/>
    <col min="15865" max="15865" width="3.6640625" style="166" customWidth="1"/>
    <col min="15866" max="15866" width="5.33203125" style="166" customWidth="1"/>
    <col min="15867" max="15867" width="9.44140625" style="166" bestFit="1" customWidth="1"/>
    <col min="15868" max="15868" width="25.6640625" style="166" bestFit="1" customWidth="1"/>
    <col min="15869" max="15870" width="21.6640625" style="166" customWidth="1"/>
    <col min="15871" max="15871" width="10.33203125" style="166" customWidth="1"/>
    <col min="15872" max="15872" width="5.33203125" style="166" customWidth="1"/>
    <col min="15873" max="15873" width="9.44140625" style="166" bestFit="1" customWidth="1"/>
    <col min="15874" max="15874" width="25.6640625" style="166" bestFit="1" customWidth="1"/>
    <col min="15875" max="15875" width="21" style="166" customWidth="1"/>
    <col min="15876" max="15876" width="20.33203125" style="166" customWidth="1"/>
    <col min="15877" max="16120" width="10.33203125" style="166"/>
    <col min="16121" max="16121" width="3.6640625" style="166" customWidth="1"/>
    <col min="16122" max="16122" width="5.33203125" style="166" customWidth="1"/>
    <col min="16123" max="16123" width="9.44140625" style="166" bestFit="1" customWidth="1"/>
    <col min="16124" max="16124" width="25.6640625" style="166" bestFit="1" customWidth="1"/>
    <col min="16125" max="16126" width="21.6640625" style="166" customWidth="1"/>
    <col min="16127" max="16127" width="10.33203125" style="166" customWidth="1"/>
    <col min="16128" max="16128" width="5.33203125" style="166" customWidth="1"/>
    <col min="16129" max="16129" width="9.44140625" style="166" bestFit="1" customWidth="1"/>
    <col min="16130" max="16130" width="25.6640625" style="166" bestFit="1" customWidth="1"/>
    <col min="16131" max="16131" width="21" style="166" customWidth="1"/>
    <col min="16132" max="16132" width="20.33203125" style="166" customWidth="1"/>
    <col min="16133" max="16384" width="10.33203125" style="166"/>
  </cols>
  <sheetData>
    <row r="1" spans="2:15">
      <c r="B1" s="165"/>
      <c r="C1" s="165"/>
      <c r="D1" s="165"/>
      <c r="E1" s="165"/>
      <c r="F1" s="165"/>
      <c r="G1" s="165"/>
      <c r="J1"/>
    </row>
    <row r="2" spans="2:15" ht="18">
      <c r="B2" s="165"/>
      <c r="C2" s="167" t="s">
        <v>131</v>
      </c>
      <c r="D2" s="167"/>
      <c r="E2" s="167"/>
      <c r="F2" s="167"/>
      <c r="G2" s="165"/>
    </row>
    <row r="3" spans="2:15" ht="18">
      <c r="B3" s="165"/>
      <c r="C3" s="168" t="s">
        <v>1055</v>
      </c>
      <c r="D3" s="168"/>
      <c r="E3" s="168"/>
      <c r="F3" s="168"/>
      <c r="G3" s="165"/>
    </row>
    <row r="4" spans="2:15">
      <c r="B4" s="165"/>
      <c r="C4" s="650"/>
      <c r="D4" s="650"/>
      <c r="E4" s="165"/>
      <c r="F4" s="165"/>
      <c r="G4" s="165"/>
    </row>
    <row r="5" spans="2:15" ht="30">
      <c r="B5" s="165"/>
      <c r="C5" s="651" t="s">
        <v>108</v>
      </c>
      <c r="D5" s="651" t="s">
        <v>109</v>
      </c>
      <c r="E5" s="949" t="s">
        <v>1056</v>
      </c>
      <c r="F5" s="949" t="s">
        <v>1253</v>
      </c>
      <c r="H5" s="944"/>
      <c r="I5" s="944"/>
      <c r="J5" s="944"/>
      <c r="K5" s="944"/>
      <c r="L5" s="944"/>
    </row>
    <row r="6" spans="2:15">
      <c r="B6" s="165"/>
      <c r="C6" s="652">
        <v>570101</v>
      </c>
      <c r="D6" s="653" t="s">
        <v>377</v>
      </c>
      <c r="E6" s="950">
        <v>11613</v>
      </c>
      <c r="F6" s="950">
        <v>11763</v>
      </c>
      <c r="G6" s="945"/>
      <c r="H6" s="942"/>
      <c r="I6" s="942"/>
      <c r="J6" s="943"/>
      <c r="K6" s="943"/>
      <c r="L6" s="4"/>
    </row>
    <row r="7" spans="2:15">
      <c r="B7" s="165"/>
      <c r="C7" s="652">
        <v>410401</v>
      </c>
      <c r="D7" s="653" t="s">
        <v>378</v>
      </c>
      <c r="E7" s="950">
        <v>12021</v>
      </c>
      <c r="F7" s="950">
        <v>12171</v>
      </c>
      <c r="G7" s="945"/>
      <c r="H7" s="942"/>
      <c r="I7" s="942"/>
      <c r="J7" s="943"/>
      <c r="K7" s="943"/>
      <c r="L7" s="4"/>
      <c r="M7" s="31"/>
      <c r="N7" s="31"/>
      <c r="O7" s="31"/>
    </row>
    <row r="8" spans="2:15">
      <c r="B8" s="165"/>
      <c r="C8" s="652">
        <v>80101</v>
      </c>
      <c r="D8" s="653" t="s">
        <v>379</v>
      </c>
      <c r="E8" s="950">
        <v>14150</v>
      </c>
      <c r="F8" s="950">
        <v>14300</v>
      </c>
      <c r="G8" s="945"/>
      <c r="H8" s="942"/>
      <c r="I8" s="942"/>
      <c r="J8" s="943"/>
      <c r="K8" s="943"/>
      <c r="L8" s="4"/>
      <c r="M8" s="31"/>
      <c r="N8" s="31"/>
      <c r="O8" s="31"/>
    </row>
    <row r="9" spans="2:15">
      <c r="B9" s="165"/>
      <c r="C9" s="652">
        <v>142101</v>
      </c>
      <c r="D9" s="653" t="s">
        <v>380</v>
      </c>
      <c r="E9" s="950">
        <v>10484</v>
      </c>
      <c r="F9" s="950">
        <v>10634</v>
      </c>
      <c r="G9" s="945"/>
      <c r="H9" s="942"/>
      <c r="I9" s="942"/>
      <c r="J9" s="943"/>
      <c r="K9" s="943"/>
      <c r="L9" s="4"/>
      <c r="M9" s="31"/>
      <c r="N9" s="31"/>
      <c r="O9" s="31"/>
    </row>
    <row r="10" spans="2:15">
      <c r="B10" s="165"/>
      <c r="C10" s="652">
        <v>10100</v>
      </c>
      <c r="D10" s="653" t="s">
        <v>381</v>
      </c>
      <c r="E10" s="950">
        <v>14422</v>
      </c>
      <c r="F10" s="950">
        <v>14572</v>
      </c>
      <c r="G10" s="945"/>
      <c r="H10" s="942"/>
      <c r="I10" s="942"/>
      <c r="J10" s="943"/>
      <c r="K10" s="943"/>
      <c r="L10" s="4"/>
      <c r="M10" s="31"/>
      <c r="N10" s="31"/>
      <c r="O10" s="31"/>
    </row>
    <row r="11" spans="2:15">
      <c r="B11" s="165"/>
      <c r="C11" s="652">
        <v>450101</v>
      </c>
      <c r="D11" s="653" t="s">
        <v>382</v>
      </c>
      <c r="E11" s="950">
        <v>10930</v>
      </c>
      <c r="F11" s="950">
        <v>11080</v>
      </c>
      <c r="G11" s="945"/>
      <c r="H11" s="942"/>
      <c r="I11" s="942"/>
      <c r="J11" s="943"/>
      <c r="K11" s="943"/>
      <c r="L11" s="4"/>
      <c r="M11" s="31"/>
      <c r="N11" s="31"/>
      <c r="O11" s="31"/>
    </row>
    <row r="12" spans="2:15">
      <c r="B12" s="165"/>
      <c r="C12" s="652">
        <v>140101</v>
      </c>
      <c r="D12" s="653" t="s">
        <v>383</v>
      </c>
      <c r="E12" s="950">
        <v>10212</v>
      </c>
      <c r="F12" s="950">
        <v>10362</v>
      </c>
      <c r="G12" s="945"/>
      <c r="H12" s="942"/>
      <c r="I12" s="942"/>
      <c r="J12" s="943"/>
      <c r="K12" s="943"/>
      <c r="L12" s="4"/>
      <c r="M12" s="31"/>
      <c r="N12" s="31"/>
      <c r="O12" s="31"/>
    </row>
    <row r="13" spans="2:15">
      <c r="B13" s="165"/>
      <c r="C13" s="652">
        <v>180202</v>
      </c>
      <c r="D13" s="653" t="s">
        <v>384</v>
      </c>
      <c r="E13" s="950">
        <v>11685</v>
      </c>
      <c r="F13" s="950">
        <v>11835</v>
      </c>
      <c r="G13" s="945"/>
      <c r="H13" s="942"/>
      <c r="I13" s="942"/>
      <c r="J13" s="943"/>
      <c r="K13" s="943"/>
      <c r="L13" s="4"/>
      <c r="M13" s="31"/>
      <c r="N13" s="31"/>
      <c r="O13" s="31"/>
    </row>
    <row r="14" spans="2:15">
      <c r="B14" s="165"/>
      <c r="C14" s="652">
        <v>220202</v>
      </c>
      <c r="D14" s="653" t="s">
        <v>385</v>
      </c>
      <c r="E14" s="950">
        <v>12450</v>
      </c>
      <c r="F14" s="950">
        <v>12600</v>
      </c>
      <c r="G14" s="945"/>
      <c r="H14" s="942"/>
      <c r="I14" s="942"/>
      <c r="J14" s="943"/>
      <c r="K14" s="943"/>
      <c r="L14" s="4"/>
      <c r="M14" s="31"/>
      <c r="N14" s="31"/>
      <c r="O14" s="31"/>
    </row>
    <row r="15" spans="2:15">
      <c r="B15" s="165"/>
      <c r="C15" s="652">
        <v>20101</v>
      </c>
      <c r="D15" s="653" t="s">
        <v>386</v>
      </c>
      <c r="E15" s="950">
        <v>10978</v>
      </c>
      <c r="F15" s="950">
        <v>11128</v>
      </c>
      <c r="G15" s="945"/>
      <c r="H15" s="942"/>
      <c r="I15" s="942"/>
      <c r="J15" s="943"/>
      <c r="K15" s="943"/>
      <c r="L15" s="4"/>
      <c r="M15" s="31"/>
      <c r="N15" s="31"/>
      <c r="O15" s="31"/>
    </row>
    <row r="16" spans="2:15">
      <c r="B16" s="165"/>
      <c r="C16" s="652">
        <v>40302</v>
      </c>
      <c r="D16" s="653" t="s">
        <v>387</v>
      </c>
      <c r="E16" s="950">
        <v>10712</v>
      </c>
      <c r="F16" s="950">
        <v>10862</v>
      </c>
      <c r="G16" s="945"/>
      <c r="H16" s="942"/>
      <c r="I16" s="942"/>
      <c r="J16" s="943"/>
      <c r="K16" s="943"/>
      <c r="L16" s="4"/>
      <c r="M16" s="31"/>
      <c r="N16" s="31"/>
      <c r="O16" s="31"/>
    </row>
    <row r="17" spans="2:15">
      <c r="B17" s="165"/>
      <c r="C17" s="652">
        <v>460102</v>
      </c>
      <c r="D17" s="653" t="s">
        <v>388</v>
      </c>
      <c r="E17" s="950">
        <v>11813</v>
      </c>
      <c r="F17" s="950">
        <v>11963</v>
      </c>
      <c r="G17" s="945"/>
      <c r="H17" s="942"/>
      <c r="I17" s="942"/>
      <c r="J17" s="943"/>
      <c r="K17" s="943"/>
      <c r="L17" s="4"/>
      <c r="M17" s="31"/>
      <c r="N17" s="31"/>
      <c r="O17" s="31"/>
    </row>
    <row r="18" spans="2:15">
      <c r="B18" s="165"/>
      <c r="C18" s="652">
        <v>580303</v>
      </c>
      <c r="D18" s="653" t="s">
        <v>389</v>
      </c>
      <c r="E18" s="950">
        <v>57998</v>
      </c>
      <c r="F18" s="950">
        <v>58148</v>
      </c>
      <c r="G18" s="945"/>
      <c r="H18" s="942"/>
      <c r="I18" s="942"/>
      <c r="J18" s="943"/>
      <c r="K18" s="943"/>
      <c r="L18" s="4"/>
      <c r="M18" s="31"/>
      <c r="N18" s="31"/>
      <c r="O18" s="31"/>
    </row>
    <row r="19" spans="2:15">
      <c r="B19" s="165"/>
      <c r="C19" s="652">
        <v>140201</v>
      </c>
      <c r="D19" s="653" t="s">
        <v>390</v>
      </c>
      <c r="E19" s="950">
        <v>11071</v>
      </c>
      <c r="F19" s="950">
        <v>11221</v>
      </c>
      <c r="G19" s="945"/>
      <c r="H19" s="942"/>
      <c r="I19" s="942"/>
      <c r="J19" s="943"/>
      <c r="K19" s="943"/>
      <c r="L19" s="4"/>
      <c r="M19" s="31"/>
      <c r="N19" s="31"/>
      <c r="O19" s="31"/>
    </row>
    <row r="20" spans="2:15">
      <c r="B20" s="165"/>
      <c r="C20" s="652">
        <v>580106</v>
      </c>
      <c r="D20" s="653" t="s">
        <v>391</v>
      </c>
      <c r="E20" s="950">
        <v>17777</v>
      </c>
      <c r="F20" s="950">
        <v>18277</v>
      </c>
      <c r="G20" s="945"/>
      <c r="H20" s="942"/>
      <c r="I20" s="942"/>
      <c r="J20" s="943"/>
      <c r="K20" s="943"/>
      <c r="L20" s="4"/>
      <c r="M20" s="31"/>
      <c r="N20" s="31"/>
      <c r="O20" s="31"/>
    </row>
    <row r="21" spans="2:15">
      <c r="B21" s="165"/>
      <c r="C21" s="652">
        <v>270100</v>
      </c>
      <c r="D21" s="653" t="s">
        <v>392</v>
      </c>
      <c r="E21" s="950">
        <v>9793</v>
      </c>
      <c r="F21" s="950">
        <v>9943</v>
      </c>
      <c r="G21" s="945"/>
      <c r="H21" s="942"/>
      <c r="I21" s="942"/>
      <c r="J21" s="943"/>
      <c r="K21" s="943"/>
      <c r="L21" s="4"/>
      <c r="M21" s="31"/>
      <c r="N21" s="31"/>
      <c r="O21" s="31"/>
    </row>
    <row r="22" spans="2:15">
      <c r="B22" s="165"/>
      <c r="C22" s="652">
        <v>120102</v>
      </c>
      <c r="D22" s="653" t="s">
        <v>393</v>
      </c>
      <c r="E22" s="950">
        <v>21457</v>
      </c>
      <c r="F22" s="950">
        <v>21607</v>
      </c>
      <c r="G22" s="945"/>
      <c r="H22" s="942"/>
      <c r="I22" s="942"/>
      <c r="J22" s="943"/>
      <c r="K22" s="943"/>
      <c r="L22" s="4"/>
      <c r="M22" s="31"/>
      <c r="N22" s="31"/>
      <c r="O22" s="31"/>
    </row>
    <row r="23" spans="2:15">
      <c r="B23" s="165"/>
      <c r="C23" s="652">
        <v>20601</v>
      </c>
      <c r="D23" s="653" t="s">
        <v>394</v>
      </c>
      <c r="E23" s="950">
        <v>12703</v>
      </c>
      <c r="F23" s="950">
        <v>12853</v>
      </c>
      <c r="G23" s="945"/>
      <c r="H23" s="942"/>
      <c r="I23" s="942"/>
      <c r="J23" s="943"/>
      <c r="K23" s="943"/>
      <c r="L23" s="4"/>
      <c r="M23" s="31"/>
      <c r="N23" s="31"/>
      <c r="O23" s="31"/>
    </row>
    <row r="24" spans="2:15">
      <c r="B24" s="165"/>
      <c r="C24" s="652">
        <v>660405</v>
      </c>
      <c r="D24" s="653" t="s">
        <v>395</v>
      </c>
      <c r="E24" s="950">
        <v>20821</v>
      </c>
      <c r="F24" s="950">
        <v>20971</v>
      </c>
      <c r="G24" s="945"/>
      <c r="H24" s="942"/>
      <c r="I24" s="942"/>
      <c r="J24" s="943"/>
      <c r="K24" s="943"/>
      <c r="L24" s="4"/>
      <c r="M24" s="31"/>
      <c r="N24" s="31"/>
      <c r="O24" s="31"/>
    </row>
    <row r="25" spans="2:15">
      <c r="B25" s="165"/>
      <c r="C25" s="652">
        <v>640101</v>
      </c>
      <c r="D25" s="653" t="s">
        <v>396</v>
      </c>
      <c r="E25" s="950">
        <v>11752</v>
      </c>
      <c r="F25" s="950">
        <v>11902</v>
      </c>
      <c r="G25" s="945"/>
      <c r="H25" s="942"/>
      <c r="I25" s="942"/>
      <c r="J25" s="943"/>
      <c r="K25" s="943"/>
      <c r="L25" s="4"/>
      <c r="M25" s="31"/>
      <c r="N25" s="31"/>
      <c r="O25" s="31"/>
    </row>
    <row r="26" spans="2:15">
      <c r="B26" s="165"/>
      <c r="C26" s="652">
        <v>571901</v>
      </c>
      <c r="D26" s="653" t="s">
        <v>397</v>
      </c>
      <c r="E26" s="950">
        <v>10030</v>
      </c>
      <c r="F26" s="950">
        <v>10180</v>
      </c>
      <c r="G26" s="945"/>
      <c r="H26" s="942"/>
      <c r="I26" s="942"/>
      <c r="J26" s="943"/>
      <c r="K26" s="943"/>
      <c r="L26" s="4"/>
      <c r="M26" s="31"/>
      <c r="N26" s="31"/>
      <c r="O26" s="31"/>
    </row>
    <row r="27" spans="2:15">
      <c r="B27" s="165"/>
      <c r="C27" s="652">
        <v>131601</v>
      </c>
      <c r="D27" s="653" t="s">
        <v>398</v>
      </c>
      <c r="E27" s="950">
        <v>11819</v>
      </c>
      <c r="F27" s="950">
        <v>11969</v>
      </c>
      <c r="G27" s="945"/>
      <c r="H27" s="942"/>
      <c r="I27" s="942"/>
      <c r="J27" s="943"/>
      <c r="K27" s="943"/>
      <c r="L27" s="4"/>
      <c r="M27" s="31"/>
      <c r="N27" s="31"/>
      <c r="O27" s="31"/>
    </row>
    <row r="28" spans="2:15">
      <c r="B28" s="165"/>
      <c r="C28" s="652">
        <v>670201</v>
      </c>
      <c r="D28" s="653" t="s">
        <v>399</v>
      </c>
      <c r="E28" s="950">
        <v>9902</v>
      </c>
      <c r="F28" s="950">
        <v>10052</v>
      </c>
      <c r="G28" s="945"/>
      <c r="H28" s="942"/>
      <c r="I28" s="942"/>
      <c r="J28" s="943"/>
      <c r="K28" s="943"/>
      <c r="L28" s="4"/>
      <c r="M28" s="31"/>
      <c r="N28" s="31"/>
      <c r="O28" s="31"/>
    </row>
    <row r="29" spans="2:15">
      <c r="B29" s="165"/>
      <c r="C29" s="652">
        <v>50100</v>
      </c>
      <c r="D29" s="653" t="s">
        <v>400</v>
      </c>
      <c r="E29" s="950">
        <v>10845</v>
      </c>
      <c r="F29" s="950">
        <v>10995</v>
      </c>
      <c r="G29" s="945"/>
      <c r="H29" s="942"/>
      <c r="I29" s="942"/>
      <c r="J29" s="943"/>
      <c r="K29" s="943"/>
      <c r="L29" s="4"/>
      <c r="M29" s="31"/>
      <c r="N29" s="31"/>
      <c r="O29" s="31"/>
    </row>
    <row r="30" spans="2:15">
      <c r="B30" s="165"/>
      <c r="C30" s="652">
        <v>90201</v>
      </c>
      <c r="D30" s="653" t="s">
        <v>401</v>
      </c>
      <c r="E30" s="950">
        <v>13535</v>
      </c>
      <c r="F30" s="950">
        <v>13685</v>
      </c>
      <c r="G30" s="945"/>
      <c r="H30" s="942"/>
      <c r="I30" s="942"/>
      <c r="J30" s="943"/>
      <c r="K30" s="943"/>
      <c r="L30" s="4"/>
      <c r="M30" s="31"/>
      <c r="N30" s="31"/>
      <c r="O30" s="31"/>
    </row>
    <row r="31" spans="2:15">
      <c r="B31" s="165"/>
      <c r="C31" s="652">
        <v>491302</v>
      </c>
      <c r="D31" s="653" t="s">
        <v>402</v>
      </c>
      <c r="E31" s="950">
        <v>10386</v>
      </c>
      <c r="F31" s="950">
        <v>10536</v>
      </c>
      <c r="G31" s="945"/>
      <c r="H31" s="942"/>
      <c r="I31" s="942"/>
      <c r="J31" s="943"/>
      <c r="K31" s="943"/>
      <c r="L31" s="4"/>
      <c r="M31" s="31"/>
      <c r="N31" s="31"/>
      <c r="O31" s="31"/>
    </row>
    <row r="32" spans="2:15">
      <c r="B32" s="165"/>
      <c r="C32" s="652">
        <v>570201</v>
      </c>
      <c r="D32" s="653" t="s">
        <v>403</v>
      </c>
      <c r="E32" s="950">
        <v>13553</v>
      </c>
      <c r="F32" s="950">
        <v>13703</v>
      </c>
      <c r="G32" s="945"/>
      <c r="H32" s="942"/>
      <c r="I32" s="942"/>
      <c r="J32" s="943"/>
      <c r="K32" s="943"/>
      <c r="L32" s="4"/>
      <c r="M32" s="31"/>
      <c r="N32" s="31"/>
      <c r="O32" s="31"/>
    </row>
    <row r="33" spans="2:15">
      <c r="B33" s="165"/>
      <c r="C33" s="652">
        <v>240101</v>
      </c>
      <c r="D33" s="653" t="s">
        <v>404</v>
      </c>
      <c r="E33" s="950">
        <v>10815</v>
      </c>
      <c r="F33" s="950">
        <v>10965</v>
      </c>
      <c r="G33" s="945"/>
      <c r="H33" s="942"/>
      <c r="I33" s="942"/>
      <c r="J33" s="943"/>
      <c r="K33" s="943"/>
      <c r="L33" s="4"/>
      <c r="M33" s="31"/>
      <c r="N33" s="31"/>
      <c r="O33" s="31"/>
    </row>
    <row r="34" spans="2:15">
      <c r="B34" s="165"/>
      <c r="C34" s="652">
        <v>580101</v>
      </c>
      <c r="D34" s="653" t="s">
        <v>405</v>
      </c>
      <c r="E34" s="950">
        <v>17278</v>
      </c>
      <c r="F34" s="950">
        <v>17428</v>
      </c>
      <c r="G34" s="945"/>
      <c r="H34" s="942"/>
      <c r="I34" s="942"/>
      <c r="J34" s="943"/>
      <c r="K34" s="943"/>
      <c r="L34" s="4"/>
      <c r="M34" s="31"/>
      <c r="N34" s="31"/>
      <c r="O34" s="31"/>
    </row>
    <row r="35" spans="2:15">
      <c r="B35" s="165"/>
      <c r="C35" s="652">
        <v>80201</v>
      </c>
      <c r="D35" s="653" t="s">
        <v>406</v>
      </c>
      <c r="E35" s="950">
        <v>11784</v>
      </c>
      <c r="F35" s="950">
        <v>11934</v>
      </c>
      <c r="G35" s="945"/>
      <c r="H35" s="942"/>
      <c r="I35" s="942"/>
      <c r="J35" s="943"/>
      <c r="K35" s="943"/>
      <c r="L35" s="4"/>
      <c r="M35" s="31"/>
      <c r="N35" s="31"/>
      <c r="O35" s="31"/>
    </row>
    <row r="36" spans="2:15">
      <c r="B36" s="165"/>
      <c r="C36" s="652">
        <v>280210</v>
      </c>
      <c r="D36" s="653" t="s">
        <v>407</v>
      </c>
      <c r="E36" s="950">
        <v>16008</v>
      </c>
      <c r="F36" s="950">
        <v>16158</v>
      </c>
      <c r="G36" s="945"/>
      <c r="H36" s="942"/>
      <c r="I36" s="942"/>
      <c r="J36" s="943"/>
      <c r="K36" s="943"/>
      <c r="L36" s="4"/>
      <c r="M36" s="31"/>
      <c r="N36" s="31"/>
      <c r="O36" s="31"/>
    </row>
    <row r="37" spans="2:15">
      <c r="B37" s="165"/>
      <c r="C37" s="652">
        <v>420901</v>
      </c>
      <c r="D37" s="653" t="s">
        <v>408</v>
      </c>
      <c r="E37" s="950">
        <v>11072</v>
      </c>
      <c r="F37" s="950">
        <v>11222</v>
      </c>
      <c r="G37" s="945"/>
      <c r="H37" s="942"/>
      <c r="I37" s="942"/>
      <c r="J37" s="943"/>
      <c r="K37" s="943"/>
      <c r="L37" s="4"/>
      <c r="M37" s="31"/>
      <c r="N37" s="31"/>
      <c r="O37" s="31"/>
    </row>
    <row r="38" spans="2:15">
      <c r="B38" s="165"/>
      <c r="C38" s="652">
        <v>521301</v>
      </c>
      <c r="D38" s="653" t="s">
        <v>409</v>
      </c>
      <c r="E38" s="950">
        <v>12147</v>
      </c>
      <c r="F38" s="950">
        <v>12297</v>
      </c>
      <c r="G38" s="945"/>
      <c r="H38" s="942"/>
      <c r="I38" s="942"/>
      <c r="J38" s="943"/>
      <c r="K38" s="943"/>
      <c r="L38" s="4"/>
      <c r="M38" s="31"/>
      <c r="N38" s="31"/>
      <c r="O38" s="31"/>
    </row>
    <row r="39" spans="2:15">
      <c r="B39" s="165"/>
      <c r="C39" s="652">
        <v>401301</v>
      </c>
      <c r="D39" s="653" t="s">
        <v>410</v>
      </c>
      <c r="E39" s="950">
        <v>13245</v>
      </c>
      <c r="F39" s="950">
        <v>13395</v>
      </c>
      <c r="G39" s="945"/>
      <c r="H39" s="942"/>
      <c r="I39" s="942"/>
      <c r="J39" s="943"/>
      <c r="K39" s="943"/>
      <c r="L39" s="4"/>
      <c r="M39" s="31"/>
      <c r="N39" s="31"/>
      <c r="O39" s="31"/>
    </row>
    <row r="40" spans="2:15">
      <c r="B40" s="165"/>
      <c r="C40" s="652">
        <v>180300</v>
      </c>
      <c r="D40" s="653" t="s">
        <v>411</v>
      </c>
      <c r="E40" s="950">
        <v>12643</v>
      </c>
      <c r="F40" s="950">
        <v>12793</v>
      </c>
      <c r="G40" s="945"/>
      <c r="H40" s="942"/>
      <c r="I40" s="942"/>
      <c r="J40" s="943"/>
      <c r="K40" s="943"/>
      <c r="L40" s="4"/>
      <c r="M40" s="31"/>
      <c r="N40" s="31"/>
      <c r="O40" s="31"/>
    </row>
    <row r="41" spans="2:15">
      <c r="B41" s="165"/>
      <c r="C41" s="652">
        <v>570302</v>
      </c>
      <c r="D41" s="653" t="s">
        <v>412</v>
      </c>
      <c r="E41" s="950">
        <v>10130</v>
      </c>
      <c r="F41" s="950">
        <v>10280</v>
      </c>
      <c r="G41" s="945"/>
      <c r="H41" s="942"/>
      <c r="I41" s="942"/>
      <c r="J41" s="943"/>
      <c r="K41" s="943"/>
      <c r="L41" s="4"/>
      <c r="M41" s="31"/>
      <c r="N41" s="31"/>
      <c r="O41" s="31"/>
    </row>
    <row r="42" spans="2:15">
      <c r="B42" s="165"/>
      <c r="C42" s="652">
        <v>580501</v>
      </c>
      <c r="D42" s="653" t="s">
        <v>413</v>
      </c>
      <c r="E42" s="950">
        <v>15707</v>
      </c>
      <c r="F42" s="950">
        <v>15857</v>
      </c>
      <c r="G42" s="945"/>
      <c r="H42" s="942"/>
      <c r="I42" s="942"/>
      <c r="J42" s="943"/>
      <c r="K42" s="943"/>
      <c r="L42" s="4"/>
      <c r="M42" s="31"/>
      <c r="N42" s="31"/>
      <c r="O42" s="31"/>
    </row>
    <row r="43" spans="2:15">
      <c r="B43" s="165"/>
      <c r="C43" s="652">
        <v>580505</v>
      </c>
      <c r="D43" s="653" t="s">
        <v>414</v>
      </c>
      <c r="E43" s="950">
        <v>17916</v>
      </c>
      <c r="F43" s="950">
        <v>18066</v>
      </c>
      <c r="G43" s="945"/>
      <c r="H43" s="942"/>
      <c r="I43" s="942"/>
      <c r="J43" s="943"/>
      <c r="K43" s="943"/>
      <c r="L43" s="4"/>
      <c r="M43" s="31"/>
      <c r="N43" s="31"/>
      <c r="O43" s="31"/>
    </row>
    <row r="44" spans="2:15">
      <c r="B44" s="165"/>
      <c r="C44" s="652">
        <v>130200</v>
      </c>
      <c r="D44" s="653" t="s">
        <v>415</v>
      </c>
      <c r="E44" s="950">
        <v>11443</v>
      </c>
      <c r="F44" s="950">
        <v>11593</v>
      </c>
      <c r="G44" s="945"/>
      <c r="H44" s="942"/>
      <c r="I44" s="942"/>
      <c r="J44" s="943"/>
      <c r="K44" s="943"/>
      <c r="L44" s="4"/>
      <c r="M44" s="31"/>
      <c r="N44" s="31"/>
      <c r="O44" s="31"/>
    </row>
    <row r="45" spans="2:15">
      <c r="B45" s="165"/>
      <c r="C45" s="652">
        <v>231301</v>
      </c>
      <c r="D45" s="653" t="s">
        <v>416</v>
      </c>
      <c r="E45" s="950">
        <v>10223</v>
      </c>
      <c r="F45" s="950">
        <v>10373</v>
      </c>
      <c r="G45" s="945"/>
      <c r="H45" s="942"/>
      <c r="I45" s="942"/>
      <c r="J45" s="943"/>
      <c r="K45" s="943"/>
      <c r="L45" s="4"/>
      <c r="M45" s="31"/>
      <c r="N45" s="31"/>
      <c r="O45" s="31"/>
    </row>
    <row r="46" spans="2:15">
      <c r="B46" s="165"/>
      <c r="C46" s="652">
        <v>660102</v>
      </c>
      <c r="D46" s="653" t="s">
        <v>417</v>
      </c>
      <c r="E46" s="950">
        <v>20906</v>
      </c>
      <c r="F46" s="950">
        <v>21056</v>
      </c>
      <c r="G46" s="945"/>
      <c r="H46" s="942"/>
      <c r="I46" s="942"/>
      <c r="J46" s="943"/>
      <c r="K46" s="943"/>
      <c r="L46" s="4"/>
      <c r="M46" s="31"/>
      <c r="N46" s="31"/>
      <c r="O46" s="31"/>
    </row>
    <row r="47" spans="2:15">
      <c r="B47" s="165"/>
      <c r="C47" s="652">
        <v>90301</v>
      </c>
      <c r="D47" s="653" t="s">
        <v>418</v>
      </c>
      <c r="E47" s="950">
        <v>12058</v>
      </c>
      <c r="F47" s="950">
        <v>12208</v>
      </c>
      <c r="G47" s="945"/>
      <c r="H47" s="942"/>
      <c r="I47" s="942"/>
      <c r="J47" s="943"/>
      <c r="K47" s="943"/>
      <c r="L47" s="4"/>
      <c r="M47" s="31"/>
      <c r="N47" s="31"/>
      <c r="O47" s="31"/>
    </row>
    <row r="48" spans="2:15">
      <c r="B48" s="165"/>
      <c r="C48" s="652">
        <v>20801</v>
      </c>
      <c r="D48" s="653" t="s">
        <v>419</v>
      </c>
      <c r="E48" s="950">
        <v>11969</v>
      </c>
      <c r="F48" s="950">
        <v>12119</v>
      </c>
      <c r="G48" s="945"/>
      <c r="H48" s="942"/>
      <c r="I48" s="942"/>
      <c r="J48" s="943"/>
      <c r="K48" s="943"/>
      <c r="L48" s="4"/>
      <c r="M48" s="31"/>
      <c r="N48" s="31"/>
      <c r="O48" s="31"/>
    </row>
    <row r="49" spans="2:15">
      <c r="B49" s="165"/>
      <c r="C49" s="652">
        <v>220909</v>
      </c>
      <c r="D49" s="653" t="s">
        <v>420</v>
      </c>
      <c r="E49" s="950">
        <v>10380</v>
      </c>
      <c r="F49" s="950">
        <v>10530</v>
      </c>
      <c r="G49" s="945"/>
      <c r="H49" s="942"/>
      <c r="I49" s="942"/>
      <c r="J49" s="943"/>
      <c r="K49" s="943"/>
      <c r="L49" s="4"/>
      <c r="M49" s="31"/>
      <c r="N49" s="31"/>
      <c r="O49" s="31"/>
    </row>
    <row r="50" spans="2:15">
      <c r="B50" s="165"/>
      <c r="C50" s="652">
        <v>280207</v>
      </c>
      <c r="D50" s="653" t="s">
        <v>421</v>
      </c>
      <c r="E50" s="950">
        <v>19988</v>
      </c>
      <c r="F50" s="950">
        <v>20138</v>
      </c>
      <c r="G50" s="945"/>
      <c r="H50" s="942"/>
      <c r="I50" s="942"/>
      <c r="J50" s="943"/>
      <c r="K50" s="943"/>
      <c r="L50" s="4"/>
      <c r="M50" s="31"/>
      <c r="N50" s="31"/>
      <c r="O50" s="31"/>
    </row>
    <row r="51" spans="2:15">
      <c r="B51" s="165"/>
      <c r="C51" s="652">
        <v>280253</v>
      </c>
      <c r="D51" s="653" t="s">
        <v>422</v>
      </c>
      <c r="E51" s="950">
        <v>14114</v>
      </c>
      <c r="F51" s="950">
        <v>14264</v>
      </c>
      <c r="G51" s="945"/>
      <c r="H51" s="942"/>
      <c r="I51" s="942"/>
      <c r="J51" s="943"/>
      <c r="K51" s="943"/>
      <c r="L51" s="4"/>
      <c r="M51" s="31"/>
      <c r="N51" s="31"/>
      <c r="O51" s="31"/>
    </row>
    <row r="52" spans="2:15">
      <c r="B52" s="165"/>
      <c r="C52" s="652">
        <v>61001</v>
      </c>
      <c r="D52" s="653" t="s">
        <v>423</v>
      </c>
      <c r="E52" s="950">
        <v>12160</v>
      </c>
      <c r="F52" s="950">
        <v>12310</v>
      </c>
      <c r="G52" s="945"/>
      <c r="H52" s="942"/>
      <c r="I52" s="942"/>
      <c r="J52" s="943"/>
      <c r="K52" s="943"/>
      <c r="L52" s="4"/>
      <c r="M52" s="31"/>
      <c r="N52" s="31"/>
      <c r="O52" s="31"/>
    </row>
    <row r="53" spans="2:15">
      <c r="B53" s="165"/>
      <c r="C53" s="652">
        <v>490101</v>
      </c>
      <c r="D53" s="653" t="s">
        <v>424</v>
      </c>
      <c r="E53" s="950">
        <v>13240</v>
      </c>
      <c r="F53" s="950">
        <v>13390</v>
      </c>
      <c r="G53" s="945"/>
      <c r="H53" s="942"/>
      <c r="I53" s="942"/>
      <c r="J53" s="943"/>
      <c r="K53" s="943"/>
      <c r="L53" s="4"/>
      <c r="M53" s="31"/>
      <c r="N53" s="31"/>
      <c r="O53" s="31"/>
    </row>
    <row r="54" spans="2:15">
      <c r="B54" s="165"/>
      <c r="C54" s="652">
        <v>10201</v>
      </c>
      <c r="D54" s="653" t="s">
        <v>425</v>
      </c>
      <c r="E54" s="950">
        <v>13721</v>
      </c>
      <c r="F54" s="950">
        <v>13871</v>
      </c>
      <c r="G54" s="945"/>
      <c r="H54" s="942"/>
      <c r="I54" s="942"/>
      <c r="J54" s="943"/>
      <c r="K54" s="943"/>
      <c r="L54" s="4"/>
      <c r="M54" s="31"/>
      <c r="N54" s="31"/>
      <c r="O54" s="31"/>
    </row>
    <row r="55" spans="2:15">
      <c r="B55" s="165"/>
      <c r="C55" s="652">
        <v>10306</v>
      </c>
      <c r="D55" s="653" t="s">
        <v>426</v>
      </c>
      <c r="E55" s="950">
        <v>12863</v>
      </c>
      <c r="F55" s="950">
        <v>13013</v>
      </c>
      <c r="G55" s="945"/>
      <c r="H55" s="942"/>
      <c r="I55" s="942"/>
      <c r="J55" s="943"/>
      <c r="K55" s="943"/>
      <c r="L55" s="4"/>
      <c r="M55" s="31"/>
      <c r="N55" s="31"/>
      <c r="O55" s="31"/>
    </row>
    <row r="56" spans="2:15">
      <c r="B56" s="165"/>
      <c r="C56" s="652">
        <v>280521</v>
      </c>
      <c r="D56" s="653" t="s">
        <v>427</v>
      </c>
      <c r="E56" s="950">
        <v>17700</v>
      </c>
      <c r="F56" s="950">
        <v>17850</v>
      </c>
      <c r="G56" s="945"/>
      <c r="H56" s="942"/>
      <c r="I56" s="942"/>
      <c r="J56" s="943"/>
      <c r="K56" s="943"/>
      <c r="L56" s="4"/>
      <c r="M56" s="31"/>
      <c r="N56" s="31"/>
      <c r="O56" s="31"/>
    </row>
    <row r="57" spans="2:15">
      <c r="B57" s="165"/>
      <c r="C57" s="652">
        <v>30200</v>
      </c>
      <c r="D57" s="653" t="s">
        <v>428</v>
      </c>
      <c r="E57" s="950">
        <v>10570</v>
      </c>
      <c r="F57" s="950">
        <v>10720</v>
      </c>
      <c r="G57" s="945"/>
      <c r="H57" s="942"/>
      <c r="I57" s="942"/>
      <c r="J57" s="943"/>
      <c r="K57" s="943"/>
      <c r="L57" s="4"/>
      <c r="M57" s="31"/>
      <c r="N57" s="31"/>
      <c r="O57" s="31"/>
    </row>
    <row r="58" spans="2:15">
      <c r="B58" s="165"/>
      <c r="C58" s="652">
        <v>661905</v>
      </c>
      <c r="D58" s="653" t="s">
        <v>429</v>
      </c>
      <c r="E58" s="950">
        <v>20668</v>
      </c>
      <c r="F58" s="950">
        <v>20818</v>
      </c>
      <c r="G58" s="945"/>
      <c r="H58" s="942"/>
      <c r="I58" s="942"/>
      <c r="J58" s="943"/>
      <c r="K58" s="943"/>
      <c r="L58" s="4"/>
      <c r="M58" s="31"/>
      <c r="N58" s="31"/>
      <c r="O58" s="31"/>
    </row>
    <row r="59" spans="2:15">
      <c r="B59" s="165"/>
      <c r="C59" s="652">
        <v>22902</v>
      </c>
      <c r="D59" s="653" t="s">
        <v>430</v>
      </c>
      <c r="E59" s="950">
        <v>11235</v>
      </c>
      <c r="F59" s="950">
        <v>11385</v>
      </c>
      <c r="G59" s="945"/>
      <c r="H59" s="942"/>
      <c r="I59" s="942"/>
      <c r="J59" s="943"/>
      <c r="K59" s="943"/>
      <c r="L59" s="4"/>
      <c r="M59" s="31"/>
      <c r="N59" s="31"/>
      <c r="O59" s="31"/>
    </row>
    <row r="60" spans="2:15">
      <c r="B60" s="165"/>
      <c r="C60" s="652">
        <v>630101</v>
      </c>
      <c r="D60" s="653" t="s">
        <v>431</v>
      </c>
      <c r="E60" s="950">
        <v>20885</v>
      </c>
      <c r="F60" s="950">
        <v>21035</v>
      </c>
      <c r="G60" s="945"/>
      <c r="H60" s="942"/>
      <c r="I60" s="942"/>
      <c r="J60" s="943"/>
      <c r="K60" s="943"/>
      <c r="L60" s="4"/>
      <c r="M60" s="31"/>
      <c r="N60" s="31"/>
      <c r="O60" s="31"/>
    </row>
    <row r="61" spans="2:15">
      <c r="B61" s="165"/>
      <c r="C61" s="652">
        <v>570401</v>
      </c>
      <c r="D61" s="653" t="s">
        <v>432</v>
      </c>
      <c r="E61" s="950">
        <v>13616</v>
      </c>
      <c r="F61" s="950">
        <v>13766</v>
      </c>
      <c r="G61" s="945"/>
      <c r="H61" s="942"/>
      <c r="I61" s="942"/>
      <c r="J61" s="943"/>
      <c r="K61" s="943"/>
      <c r="L61" s="4"/>
      <c r="M61" s="31"/>
      <c r="N61" s="31"/>
      <c r="O61" s="31"/>
    </row>
    <row r="62" spans="2:15">
      <c r="B62" s="165"/>
      <c r="C62" s="652">
        <v>510101</v>
      </c>
      <c r="D62" s="653" t="s">
        <v>433</v>
      </c>
      <c r="E62" s="950">
        <v>10522</v>
      </c>
      <c r="F62" s="950">
        <v>10672</v>
      </c>
      <c r="G62" s="945"/>
      <c r="H62" s="942"/>
      <c r="I62" s="942"/>
      <c r="J62" s="943"/>
      <c r="K62" s="943"/>
      <c r="L62" s="4"/>
      <c r="M62" s="31"/>
      <c r="N62" s="31"/>
      <c r="O62" s="31"/>
    </row>
    <row r="63" spans="2:15">
      <c r="B63" s="165"/>
      <c r="C63" s="652">
        <v>580512</v>
      </c>
      <c r="D63" s="653" t="s">
        <v>434</v>
      </c>
      <c r="E63" s="950">
        <v>13833</v>
      </c>
      <c r="F63" s="950">
        <v>13983</v>
      </c>
      <c r="G63" s="945"/>
      <c r="H63" s="942"/>
      <c r="I63" s="942"/>
      <c r="J63" s="943"/>
      <c r="K63" s="943"/>
      <c r="L63" s="4"/>
      <c r="M63" s="31"/>
      <c r="N63" s="31"/>
      <c r="O63" s="31"/>
    </row>
    <row r="64" spans="2:15">
      <c r="B64" s="165"/>
      <c r="C64" s="652">
        <v>480601</v>
      </c>
      <c r="D64" s="653" t="s">
        <v>435</v>
      </c>
      <c r="E64" s="950">
        <v>17158</v>
      </c>
      <c r="F64" s="950">
        <v>17308</v>
      </c>
      <c r="G64" s="945"/>
      <c r="H64" s="942"/>
      <c r="I64" s="942"/>
      <c r="J64" s="943"/>
      <c r="K64" s="943"/>
      <c r="L64" s="4"/>
      <c r="M64" s="31"/>
      <c r="N64" s="31"/>
      <c r="O64" s="31"/>
    </row>
    <row r="65" spans="2:15">
      <c r="B65" s="165"/>
      <c r="C65" s="652">
        <v>661402</v>
      </c>
      <c r="D65" s="653" t="s">
        <v>436</v>
      </c>
      <c r="E65" s="950">
        <v>23211</v>
      </c>
      <c r="F65" s="950">
        <v>23361</v>
      </c>
      <c r="G65" s="945"/>
      <c r="H65" s="942"/>
      <c r="I65" s="942"/>
      <c r="J65" s="943"/>
      <c r="K65" s="943"/>
      <c r="L65" s="4"/>
      <c r="M65" s="31"/>
      <c r="N65" s="31"/>
      <c r="O65" s="31"/>
    </row>
    <row r="66" spans="2:15">
      <c r="B66" s="165"/>
      <c r="C66" s="652">
        <v>580909</v>
      </c>
      <c r="D66" s="653" t="s">
        <v>437</v>
      </c>
      <c r="E66" s="950">
        <v>53545</v>
      </c>
      <c r="F66" s="950">
        <v>53545</v>
      </c>
      <c r="G66" s="945"/>
      <c r="H66" s="942"/>
      <c r="I66" s="942"/>
      <c r="J66" s="943"/>
      <c r="K66" s="943"/>
      <c r="L66" s="4"/>
      <c r="M66" s="31"/>
      <c r="N66" s="31"/>
      <c r="O66" s="31"/>
    </row>
    <row r="67" spans="2:15">
      <c r="B67" s="165"/>
      <c r="C67" s="652">
        <v>260101</v>
      </c>
      <c r="D67" s="653" t="s">
        <v>438</v>
      </c>
      <c r="E67" s="950">
        <v>12798</v>
      </c>
      <c r="F67" s="950">
        <v>12948</v>
      </c>
      <c r="G67" s="945"/>
      <c r="H67" s="942"/>
      <c r="I67" s="942"/>
      <c r="J67" s="943"/>
      <c r="K67" s="943"/>
      <c r="L67" s="4"/>
      <c r="M67" s="31"/>
      <c r="N67" s="31"/>
      <c r="O67" s="31"/>
    </row>
    <row r="68" spans="2:15">
      <c r="B68" s="165"/>
      <c r="C68" s="652">
        <v>171102</v>
      </c>
      <c r="D68" s="653" t="s">
        <v>439</v>
      </c>
      <c r="E68" s="950">
        <v>8986</v>
      </c>
      <c r="F68" s="950">
        <v>9136</v>
      </c>
      <c r="G68" s="945"/>
      <c r="H68" s="942"/>
      <c r="I68" s="942"/>
      <c r="J68" s="943"/>
      <c r="K68" s="943"/>
      <c r="L68" s="4"/>
      <c r="M68" s="31"/>
      <c r="N68" s="31"/>
      <c r="O68" s="31"/>
    </row>
    <row r="69" spans="2:15">
      <c r="B69" s="165"/>
      <c r="C69" s="652">
        <v>261801</v>
      </c>
      <c r="D69" s="653" t="s">
        <v>440</v>
      </c>
      <c r="E69" s="950">
        <v>11095</v>
      </c>
      <c r="F69" s="950">
        <v>11245</v>
      </c>
      <c r="G69" s="945"/>
      <c r="H69" s="942"/>
      <c r="I69" s="942"/>
      <c r="J69" s="943"/>
      <c r="K69" s="943"/>
      <c r="L69" s="4"/>
      <c r="M69" s="31"/>
      <c r="N69" s="31"/>
      <c r="O69" s="31"/>
    </row>
    <row r="70" spans="2:15">
      <c r="B70" s="165"/>
      <c r="C70" s="652">
        <v>62301</v>
      </c>
      <c r="D70" s="653" t="s">
        <v>441</v>
      </c>
      <c r="E70" s="950">
        <v>12787</v>
      </c>
      <c r="F70" s="950">
        <v>12937</v>
      </c>
      <c r="G70" s="945"/>
      <c r="H70" s="942"/>
      <c r="I70" s="942"/>
      <c r="J70" s="943"/>
      <c r="K70" s="943"/>
      <c r="L70" s="4"/>
      <c r="M70" s="31"/>
      <c r="N70" s="31"/>
      <c r="O70" s="31"/>
    </row>
    <row r="71" spans="2:15">
      <c r="B71" s="165"/>
      <c r="C71" s="652">
        <v>660303</v>
      </c>
      <c r="D71" s="653" t="s">
        <v>442</v>
      </c>
      <c r="E71" s="950">
        <v>22106</v>
      </c>
      <c r="F71" s="950">
        <v>22106</v>
      </c>
      <c r="G71" s="945"/>
      <c r="H71" s="942"/>
      <c r="I71" s="942"/>
      <c r="J71" s="943"/>
      <c r="K71" s="943"/>
      <c r="L71" s="4"/>
      <c r="M71" s="31"/>
      <c r="N71" s="31"/>
      <c r="O71" s="31"/>
    </row>
    <row r="72" spans="2:15">
      <c r="B72" s="165"/>
      <c r="C72" s="652">
        <v>250109</v>
      </c>
      <c r="D72" s="653" t="s">
        <v>443</v>
      </c>
      <c r="E72" s="950">
        <v>11521</v>
      </c>
      <c r="F72" s="950">
        <v>11671</v>
      </c>
      <c r="G72" s="945"/>
      <c r="H72" s="942"/>
      <c r="I72" s="942"/>
      <c r="J72" s="943"/>
      <c r="K72" s="943"/>
      <c r="L72" s="4"/>
      <c r="M72" s="31"/>
      <c r="N72" s="31"/>
      <c r="O72" s="31"/>
    </row>
    <row r="73" spans="2:15">
      <c r="B73" s="165"/>
      <c r="C73" s="652">
        <v>580203</v>
      </c>
      <c r="D73" s="653" t="s">
        <v>444</v>
      </c>
      <c r="E73" s="950">
        <v>13848</v>
      </c>
      <c r="F73" s="950">
        <v>13998</v>
      </c>
      <c r="G73" s="945"/>
      <c r="H73" s="942"/>
      <c r="I73" s="942"/>
      <c r="J73" s="943"/>
      <c r="K73" s="943"/>
      <c r="L73" s="4"/>
      <c r="M73" s="31"/>
      <c r="N73" s="31"/>
      <c r="O73" s="31"/>
    </row>
    <row r="74" spans="2:15">
      <c r="B74" s="165"/>
      <c r="C74" s="652">
        <v>490202</v>
      </c>
      <c r="D74" s="653" t="s">
        <v>445</v>
      </c>
      <c r="E74" s="950">
        <v>10851</v>
      </c>
      <c r="F74" s="950">
        <v>11001</v>
      </c>
      <c r="G74" s="945"/>
      <c r="H74" s="942"/>
      <c r="I74" s="942"/>
      <c r="J74" s="943"/>
      <c r="K74" s="943"/>
      <c r="L74" s="4"/>
      <c r="M74" s="31"/>
      <c r="N74" s="31"/>
      <c r="O74" s="31"/>
    </row>
    <row r="75" spans="2:15">
      <c r="B75" s="165"/>
      <c r="C75" s="652">
        <v>161601</v>
      </c>
      <c r="D75" s="653" t="s">
        <v>446</v>
      </c>
      <c r="E75" s="950">
        <v>11409</v>
      </c>
      <c r="F75" s="950">
        <v>11909</v>
      </c>
      <c r="G75" s="945"/>
      <c r="H75" s="942"/>
      <c r="I75" s="942"/>
      <c r="J75" s="943"/>
      <c r="K75" s="943"/>
      <c r="L75" s="4"/>
      <c r="M75" s="31"/>
      <c r="N75" s="31"/>
      <c r="O75" s="31"/>
    </row>
    <row r="76" spans="2:15">
      <c r="B76" s="165"/>
      <c r="C76" s="652">
        <v>140600</v>
      </c>
      <c r="D76" s="653" t="s">
        <v>447</v>
      </c>
      <c r="E76" s="950">
        <v>12355</v>
      </c>
      <c r="F76" s="950">
        <v>12505</v>
      </c>
      <c r="G76" s="945"/>
      <c r="H76" s="942"/>
      <c r="I76" s="942"/>
      <c r="J76" s="943"/>
      <c r="K76" s="943"/>
      <c r="L76" s="4"/>
      <c r="M76" s="31"/>
      <c r="N76" s="31"/>
      <c r="O76" s="31"/>
    </row>
    <row r="77" spans="2:15">
      <c r="B77" s="165"/>
      <c r="C77" s="652">
        <v>520101</v>
      </c>
      <c r="D77" s="653" t="s">
        <v>448</v>
      </c>
      <c r="E77" s="950">
        <v>10518</v>
      </c>
      <c r="F77" s="950">
        <v>10668</v>
      </c>
      <c r="G77" s="945"/>
      <c r="H77" s="942"/>
      <c r="I77" s="942"/>
      <c r="J77" s="943"/>
      <c r="K77" s="943"/>
      <c r="L77" s="4"/>
      <c r="M77" s="31"/>
      <c r="N77" s="31"/>
      <c r="O77" s="31"/>
    </row>
    <row r="78" spans="2:15">
      <c r="B78" s="165"/>
      <c r="C78" s="652">
        <v>661201</v>
      </c>
      <c r="D78" s="653" t="s">
        <v>449</v>
      </c>
      <c r="E78" s="950">
        <v>20404</v>
      </c>
      <c r="F78" s="950">
        <v>20554</v>
      </c>
      <c r="G78" s="945"/>
      <c r="H78" s="942"/>
      <c r="I78" s="942"/>
      <c r="J78" s="943"/>
      <c r="K78" s="943"/>
      <c r="L78" s="4"/>
      <c r="M78" s="31"/>
      <c r="N78" s="31"/>
      <c r="O78" s="31"/>
    </row>
    <row r="79" spans="2:15">
      <c r="B79" s="165"/>
      <c r="C79" s="652">
        <v>180701</v>
      </c>
      <c r="D79" s="653" t="s">
        <v>450</v>
      </c>
      <c r="E79" s="950">
        <v>11697</v>
      </c>
      <c r="F79" s="950">
        <v>11847</v>
      </c>
      <c r="G79" s="945"/>
      <c r="H79" s="942"/>
      <c r="I79" s="942"/>
      <c r="J79" s="943"/>
      <c r="K79" s="943"/>
      <c r="L79" s="4"/>
      <c r="M79" s="31"/>
      <c r="N79" s="31"/>
      <c r="O79" s="31"/>
    </row>
    <row r="80" spans="2:15">
      <c r="B80" s="165"/>
      <c r="C80" s="652">
        <v>190301</v>
      </c>
      <c r="D80" s="653" t="s">
        <v>451</v>
      </c>
      <c r="E80" s="950">
        <v>10695</v>
      </c>
      <c r="F80" s="950">
        <v>10845</v>
      </c>
      <c r="G80" s="945"/>
      <c r="H80" s="942"/>
      <c r="I80" s="942"/>
      <c r="J80" s="943"/>
      <c r="K80" s="943"/>
      <c r="L80" s="4"/>
      <c r="M80" s="31"/>
      <c r="N80" s="31"/>
      <c r="O80" s="31"/>
    </row>
    <row r="81" spans="2:15">
      <c r="B81" s="165"/>
      <c r="C81" s="652">
        <v>240201</v>
      </c>
      <c r="D81" s="653" t="s">
        <v>452</v>
      </c>
      <c r="E81" s="950">
        <v>10568</v>
      </c>
      <c r="F81" s="950">
        <v>10718</v>
      </c>
      <c r="G81" s="945"/>
      <c r="H81" s="942"/>
      <c r="I81" s="942"/>
      <c r="J81" s="943"/>
      <c r="K81" s="943"/>
      <c r="L81" s="4"/>
      <c r="M81" s="31"/>
      <c r="N81" s="31"/>
      <c r="O81" s="31"/>
    </row>
    <row r="82" spans="2:15">
      <c r="B82" s="165"/>
      <c r="C82" s="652">
        <v>641610</v>
      </c>
      <c r="D82" s="653" t="s">
        <v>453</v>
      </c>
      <c r="E82" s="950">
        <v>12700</v>
      </c>
      <c r="F82" s="950">
        <v>12850</v>
      </c>
      <c r="G82" s="945"/>
      <c r="H82" s="942"/>
      <c r="I82" s="942"/>
      <c r="J82" s="943"/>
      <c r="K82" s="943"/>
      <c r="L82" s="4"/>
      <c r="M82" s="31"/>
      <c r="N82" s="31"/>
      <c r="O82" s="31"/>
    </row>
    <row r="83" spans="2:15">
      <c r="B83" s="165"/>
      <c r="C83" s="652">
        <v>410601</v>
      </c>
      <c r="D83" s="653" t="s">
        <v>454</v>
      </c>
      <c r="E83" s="950">
        <v>11005</v>
      </c>
      <c r="F83" s="950">
        <v>11155</v>
      </c>
      <c r="G83" s="945"/>
      <c r="H83" s="942"/>
      <c r="I83" s="942"/>
      <c r="J83" s="943"/>
      <c r="K83" s="943"/>
      <c r="L83" s="4"/>
      <c r="M83" s="31"/>
      <c r="N83" s="31"/>
      <c r="O83" s="31"/>
    </row>
    <row r="84" spans="2:15">
      <c r="B84" s="165"/>
      <c r="C84" s="652">
        <v>570603</v>
      </c>
      <c r="D84" s="653" t="s">
        <v>455</v>
      </c>
      <c r="E84" s="950">
        <v>10881</v>
      </c>
      <c r="F84" s="950">
        <v>11031</v>
      </c>
      <c r="G84" s="945"/>
      <c r="H84" s="942"/>
      <c r="I84" s="942"/>
      <c r="J84" s="943"/>
      <c r="K84" s="943"/>
      <c r="L84" s="4"/>
      <c r="M84" s="31"/>
      <c r="N84" s="31"/>
      <c r="O84" s="31"/>
    </row>
    <row r="85" spans="2:15">
      <c r="B85" s="165"/>
      <c r="C85" s="652">
        <v>270301</v>
      </c>
      <c r="D85" s="653" t="s">
        <v>456</v>
      </c>
      <c r="E85" s="950">
        <v>11195</v>
      </c>
      <c r="F85" s="950">
        <v>11345</v>
      </c>
      <c r="G85" s="945"/>
      <c r="H85" s="942"/>
      <c r="I85" s="942"/>
      <c r="J85" s="943"/>
      <c r="K85" s="943"/>
      <c r="L85" s="4"/>
      <c r="M85" s="31"/>
      <c r="N85" s="31"/>
      <c r="O85" s="31"/>
    </row>
    <row r="86" spans="2:15">
      <c r="B86" s="165"/>
      <c r="C86" s="652">
        <v>430300</v>
      </c>
      <c r="D86" s="653" t="s">
        <v>457</v>
      </c>
      <c r="E86" s="950">
        <v>11178</v>
      </c>
      <c r="F86" s="950">
        <v>11328</v>
      </c>
      <c r="G86" s="945"/>
      <c r="H86" s="942"/>
      <c r="I86" s="942"/>
      <c r="J86" s="943"/>
      <c r="K86" s="943"/>
      <c r="L86" s="4"/>
      <c r="M86" s="31"/>
      <c r="N86" s="31"/>
      <c r="O86" s="31"/>
    </row>
    <row r="87" spans="2:15">
      <c r="B87" s="165"/>
      <c r="C87" s="652">
        <v>21102</v>
      </c>
      <c r="D87" s="653" t="s">
        <v>458</v>
      </c>
      <c r="E87" s="950">
        <v>12679</v>
      </c>
      <c r="F87" s="950">
        <v>12829</v>
      </c>
      <c r="G87" s="945"/>
      <c r="H87" s="942"/>
      <c r="I87" s="942"/>
      <c r="J87" s="943"/>
      <c r="K87" s="943"/>
      <c r="L87" s="4"/>
      <c r="M87" s="31"/>
      <c r="N87" s="31"/>
      <c r="O87" s="31"/>
    </row>
    <row r="88" spans="2:15">
      <c r="B88" s="165"/>
      <c r="C88" s="652">
        <v>250901</v>
      </c>
      <c r="D88" s="653" t="s">
        <v>459</v>
      </c>
      <c r="E88" s="950">
        <v>10187</v>
      </c>
      <c r="F88" s="950">
        <v>10337</v>
      </c>
      <c r="G88" s="945"/>
      <c r="H88" s="942"/>
      <c r="I88" s="942"/>
      <c r="J88" s="943"/>
      <c r="K88" s="943"/>
      <c r="L88" s="4"/>
      <c r="M88" s="31"/>
      <c r="N88" s="31"/>
      <c r="O88" s="31"/>
    </row>
    <row r="89" spans="2:15">
      <c r="B89" s="165"/>
      <c r="C89" s="652">
        <v>600301</v>
      </c>
      <c r="D89" s="653" t="s">
        <v>460</v>
      </c>
      <c r="E89" s="950">
        <v>11637</v>
      </c>
      <c r="F89" s="950">
        <v>11787</v>
      </c>
      <c r="G89" s="945"/>
      <c r="H89" s="942"/>
      <c r="I89" s="942"/>
      <c r="J89" s="943"/>
      <c r="K89" s="943"/>
      <c r="L89" s="4"/>
      <c r="M89" s="31"/>
      <c r="N89" s="31"/>
      <c r="O89" s="31"/>
    </row>
    <row r="90" spans="2:15">
      <c r="B90" s="165"/>
      <c r="C90" s="652">
        <v>571502</v>
      </c>
      <c r="D90" s="653" t="s">
        <v>461</v>
      </c>
      <c r="E90" s="950">
        <v>14147</v>
      </c>
      <c r="F90" s="950">
        <v>14297</v>
      </c>
      <c r="G90" s="945"/>
      <c r="H90" s="942"/>
      <c r="I90" s="942"/>
      <c r="J90" s="943"/>
      <c r="K90" s="943"/>
      <c r="L90" s="4"/>
      <c r="M90" s="31"/>
      <c r="N90" s="31"/>
      <c r="O90" s="31"/>
    </row>
    <row r="91" spans="2:15">
      <c r="B91" s="165"/>
      <c r="C91" s="652">
        <v>510201</v>
      </c>
      <c r="D91" s="653" t="s">
        <v>462</v>
      </c>
      <c r="E91" s="950">
        <v>11602</v>
      </c>
      <c r="F91" s="950">
        <v>11752</v>
      </c>
      <c r="G91" s="945"/>
      <c r="H91" s="942"/>
      <c r="I91" s="942"/>
      <c r="J91" s="943"/>
      <c r="K91" s="943"/>
      <c r="L91" s="4"/>
      <c r="M91" s="31"/>
      <c r="N91" s="31"/>
      <c r="O91" s="31"/>
    </row>
    <row r="92" spans="2:15">
      <c r="B92" s="165"/>
      <c r="C92" s="652">
        <v>280411</v>
      </c>
      <c r="D92" s="653" t="s">
        <v>463</v>
      </c>
      <c r="E92" s="950">
        <v>20537</v>
      </c>
      <c r="F92" s="950">
        <v>20687</v>
      </c>
      <c r="G92" s="945"/>
      <c r="H92" s="942"/>
      <c r="I92" s="942"/>
      <c r="J92" s="943"/>
      <c r="K92" s="943"/>
      <c r="L92" s="4"/>
      <c r="M92" s="31"/>
      <c r="N92" s="31"/>
      <c r="O92" s="31"/>
    </row>
    <row r="93" spans="2:15">
      <c r="B93" s="165"/>
      <c r="C93" s="652">
        <v>480102</v>
      </c>
      <c r="D93" s="653" t="s">
        <v>464</v>
      </c>
      <c r="E93" s="950">
        <v>15759</v>
      </c>
      <c r="F93" s="950">
        <v>15909</v>
      </c>
      <c r="G93" s="945"/>
      <c r="H93" s="942"/>
      <c r="I93" s="942"/>
      <c r="J93" s="943"/>
      <c r="K93" s="943"/>
      <c r="L93" s="4"/>
      <c r="M93" s="31"/>
      <c r="N93" s="31"/>
      <c r="O93" s="31"/>
    </row>
    <row r="94" spans="2:15">
      <c r="B94" s="165"/>
      <c r="C94" s="652">
        <v>222201</v>
      </c>
      <c r="D94" s="653" t="s">
        <v>465</v>
      </c>
      <c r="E94" s="950">
        <v>8822</v>
      </c>
      <c r="F94" s="950">
        <v>8472</v>
      </c>
      <c r="G94" s="945"/>
      <c r="H94" s="942"/>
      <c r="I94" s="942"/>
      <c r="J94" s="943"/>
      <c r="K94" s="943"/>
      <c r="L94" s="4"/>
      <c r="M94" s="31"/>
      <c r="N94" s="31"/>
      <c r="O94" s="31"/>
    </row>
    <row r="95" spans="2:15">
      <c r="B95" s="165"/>
      <c r="C95" s="652">
        <v>60401</v>
      </c>
      <c r="D95" s="653" t="s">
        <v>466</v>
      </c>
      <c r="E95" s="950">
        <v>11709</v>
      </c>
      <c r="F95" s="950">
        <v>11859</v>
      </c>
      <c r="G95" s="945"/>
      <c r="H95" s="942"/>
      <c r="I95" s="942"/>
      <c r="J95" s="943"/>
      <c r="K95" s="943"/>
      <c r="L95" s="4"/>
      <c r="M95" s="31"/>
      <c r="N95" s="31"/>
      <c r="O95" s="31"/>
    </row>
    <row r="96" spans="2:15">
      <c r="B96" s="165"/>
      <c r="C96" s="652">
        <v>50401</v>
      </c>
      <c r="D96" s="653" t="s">
        <v>467</v>
      </c>
      <c r="E96" s="950">
        <v>11003</v>
      </c>
      <c r="F96" s="950">
        <v>11153</v>
      </c>
      <c r="G96" s="945"/>
      <c r="H96" s="942"/>
      <c r="I96" s="942"/>
      <c r="J96" s="943"/>
      <c r="K96" s="943"/>
      <c r="L96" s="4"/>
      <c r="M96" s="31"/>
      <c r="N96" s="31"/>
      <c r="O96" s="31"/>
    </row>
    <row r="97" spans="2:15">
      <c r="B97" s="165"/>
      <c r="C97" s="652">
        <v>190401</v>
      </c>
      <c r="D97" s="653" t="s">
        <v>468</v>
      </c>
      <c r="E97" s="950">
        <v>14480</v>
      </c>
      <c r="F97" s="950">
        <v>14630</v>
      </c>
      <c r="G97" s="945"/>
      <c r="H97" s="942"/>
      <c r="I97" s="942"/>
      <c r="J97" s="943"/>
      <c r="K97" s="943"/>
      <c r="L97" s="4"/>
      <c r="M97" s="31"/>
      <c r="N97" s="31"/>
      <c r="O97" s="31"/>
    </row>
    <row r="98" spans="2:15">
      <c r="B98" s="165"/>
      <c r="C98" s="652">
        <v>42302</v>
      </c>
      <c r="D98" s="653" t="s">
        <v>469</v>
      </c>
      <c r="E98" s="950">
        <v>11718</v>
      </c>
      <c r="F98" s="950">
        <v>11868</v>
      </c>
      <c r="G98" s="945"/>
      <c r="H98" s="942"/>
      <c r="I98" s="942"/>
      <c r="J98" s="943"/>
      <c r="K98" s="943"/>
      <c r="L98" s="4"/>
      <c r="M98" s="31"/>
      <c r="N98" s="31"/>
      <c r="O98" s="31"/>
    </row>
    <row r="99" spans="2:15">
      <c r="B99" s="165"/>
      <c r="C99" s="652">
        <v>250201</v>
      </c>
      <c r="D99" s="653" t="s">
        <v>470</v>
      </c>
      <c r="E99" s="950">
        <v>10963</v>
      </c>
      <c r="F99" s="950">
        <v>11113</v>
      </c>
      <c r="G99" s="945"/>
      <c r="H99" s="942"/>
      <c r="I99" s="942"/>
      <c r="J99" s="943"/>
      <c r="K99" s="943"/>
      <c r="L99" s="4"/>
      <c r="M99" s="31"/>
      <c r="N99" s="31"/>
      <c r="O99" s="31"/>
    </row>
    <row r="100" spans="2:15">
      <c r="B100" s="165"/>
      <c r="C100" s="652">
        <v>580233</v>
      </c>
      <c r="D100" s="653" t="s">
        <v>471</v>
      </c>
      <c r="E100" s="950">
        <v>15197</v>
      </c>
      <c r="F100" s="950">
        <v>15347</v>
      </c>
      <c r="G100" s="945"/>
      <c r="H100" s="942"/>
      <c r="I100" s="942"/>
      <c r="J100" s="943"/>
      <c r="K100" s="943"/>
      <c r="L100" s="4"/>
      <c r="M100" s="31"/>
      <c r="N100" s="31"/>
      <c r="O100" s="31"/>
    </row>
    <row r="101" spans="2:15">
      <c r="B101" s="165"/>
      <c r="C101" s="652">
        <v>580513</v>
      </c>
      <c r="D101" s="653" t="s">
        <v>472</v>
      </c>
      <c r="E101" s="950">
        <v>19964</v>
      </c>
      <c r="F101" s="950">
        <v>20114</v>
      </c>
      <c r="G101" s="945"/>
      <c r="H101" s="942"/>
      <c r="I101" s="942"/>
      <c r="J101" s="943"/>
      <c r="K101" s="943"/>
      <c r="L101" s="4"/>
      <c r="M101" s="31"/>
      <c r="N101" s="31"/>
      <c r="O101" s="31"/>
    </row>
    <row r="102" spans="2:15">
      <c r="B102" s="165"/>
      <c r="C102" s="652">
        <v>460801</v>
      </c>
      <c r="D102" s="653" t="s">
        <v>473</v>
      </c>
      <c r="E102" s="950">
        <v>9921</v>
      </c>
      <c r="F102" s="950">
        <v>10071</v>
      </c>
      <c r="G102" s="945"/>
      <c r="H102" s="942"/>
      <c r="I102" s="942"/>
      <c r="J102" s="943"/>
      <c r="K102" s="943"/>
      <c r="L102" s="4"/>
      <c r="M102" s="31"/>
      <c r="N102" s="31"/>
      <c r="O102" s="31"/>
    </row>
    <row r="103" spans="2:15">
      <c r="B103" s="165"/>
      <c r="C103" s="652">
        <v>212101</v>
      </c>
      <c r="D103" s="653" t="s">
        <v>132</v>
      </c>
      <c r="E103" s="950">
        <v>9603</v>
      </c>
      <c r="F103" s="950">
        <v>9753</v>
      </c>
      <c r="G103" s="945"/>
      <c r="H103" s="942"/>
      <c r="I103" s="942"/>
      <c r="J103" s="943"/>
      <c r="K103" s="943"/>
      <c r="L103" s="4"/>
      <c r="M103" s="31"/>
      <c r="N103" s="31"/>
      <c r="O103" s="31"/>
    </row>
    <row r="104" spans="2:15">
      <c r="B104" s="165"/>
      <c r="C104" s="652">
        <v>661004</v>
      </c>
      <c r="D104" s="653" t="s">
        <v>474</v>
      </c>
      <c r="E104" s="950">
        <v>19391</v>
      </c>
      <c r="F104" s="950">
        <v>19541</v>
      </c>
      <c r="G104" s="945"/>
      <c r="H104" s="942"/>
      <c r="I104" s="942"/>
      <c r="J104" s="943"/>
      <c r="K104" s="943"/>
      <c r="L104" s="4"/>
      <c r="M104" s="31"/>
      <c r="N104" s="31"/>
      <c r="O104" s="31"/>
    </row>
    <row r="105" spans="2:15">
      <c r="B105" s="165"/>
      <c r="C105" s="652">
        <v>120401</v>
      </c>
      <c r="D105" s="653" t="s">
        <v>475</v>
      </c>
      <c r="E105" s="950">
        <v>11257</v>
      </c>
      <c r="F105" s="950">
        <v>11407</v>
      </c>
      <c r="G105" s="945"/>
      <c r="H105" s="942"/>
      <c r="I105" s="942"/>
      <c r="J105" s="943"/>
      <c r="K105" s="943"/>
      <c r="L105" s="4"/>
      <c r="M105" s="31"/>
      <c r="N105" s="31"/>
      <c r="O105" s="31"/>
    </row>
    <row r="106" spans="2:15">
      <c r="B106" s="165"/>
      <c r="C106" s="652">
        <v>160801</v>
      </c>
      <c r="D106" s="653" t="s">
        <v>476</v>
      </c>
      <c r="E106" s="950">
        <v>11229</v>
      </c>
      <c r="F106" s="950">
        <v>11379</v>
      </c>
      <c r="G106" s="945"/>
      <c r="H106" s="942"/>
      <c r="I106" s="942"/>
      <c r="J106" s="943"/>
      <c r="K106" s="943"/>
      <c r="L106" s="4"/>
      <c r="M106" s="31"/>
      <c r="N106" s="31"/>
      <c r="O106" s="31"/>
    </row>
    <row r="107" spans="2:15">
      <c r="B107" s="165"/>
      <c r="C107" s="652">
        <v>101001</v>
      </c>
      <c r="D107" s="653" t="s">
        <v>477</v>
      </c>
      <c r="E107" s="950">
        <v>13327</v>
      </c>
      <c r="F107" s="950">
        <v>13477</v>
      </c>
      <c r="G107" s="945"/>
      <c r="H107" s="942"/>
      <c r="I107" s="942"/>
      <c r="J107" s="943"/>
      <c r="K107" s="943"/>
      <c r="L107" s="4"/>
      <c r="M107" s="31"/>
      <c r="N107" s="31"/>
      <c r="O107" s="31"/>
    </row>
    <row r="108" spans="2:15">
      <c r="B108" s="165"/>
      <c r="C108" s="652">
        <v>60503</v>
      </c>
      <c r="D108" s="653" t="s">
        <v>478</v>
      </c>
      <c r="E108" s="950">
        <v>14807</v>
      </c>
      <c r="F108" s="950">
        <v>14957</v>
      </c>
      <c r="G108" s="945"/>
      <c r="H108" s="942"/>
      <c r="I108" s="942"/>
      <c r="J108" s="943"/>
      <c r="K108" s="943"/>
      <c r="L108" s="4"/>
      <c r="M108" s="31"/>
      <c r="N108" s="31"/>
      <c r="O108" s="31"/>
    </row>
    <row r="109" spans="2:15">
      <c r="B109" s="165"/>
      <c r="C109" s="652">
        <v>90601</v>
      </c>
      <c r="D109" s="653" t="s">
        <v>479</v>
      </c>
      <c r="E109" s="950">
        <v>12066</v>
      </c>
      <c r="F109" s="950">
        <v>12216</v>
      </c>
      <c r="G109" s="945"/>
      <c r="H109" s="942"/>
      <c r="I109" s="942"/>
      <c r="J109" s="943"/>
      <c r="K109" s="943"/>
      <c r="L109" s="4"/>
      <c r="M109" s="31"/>
      <c r="N109" s="31"/>
      <c r="O109" s="31"/>
    </row>
    <row r="110" spans="2:15">
      <c r="B110" s="165"/>
      <c r="C110" s="652">
        <v>140701</v>
      </c>
      <c r="D110" s="653" t="s">
        <v>480</v>
      </c>
      <c r="E110" s="950">
        <v>10585</v>
      </c>
      <c r="F110" s="950">
        <v>10735</v>
      </c>
      <c r="G110" s="945"/>
      <c r="H110" s="942"/>
      <c r="I110" s="942"/>
      <c r="J110" s="943"/>
      <c r="K110" s="943"/>
      <c r="L110" s="4"/>
      <c r="M110" s="31"/>
      <c r="N110" s="31"/>
      <c r="O110" s="31"/>
    </row>
    <row r="111" spans="2:15">
      <c r="B111" s="165"/>
      <c r="C111" s="652">
        <v>140702</v>
      </c>
      <c r="D111" s="653" t="s">
        <v>481</v>
      </c>
      <c r="E111" s="950">
        <v>10783</v>
      </c>
      <c r="F111" s="950">
        <v>10933</v>
      </c>
      <c r="G111" s="945"/>
      <c r="H111" s="942"/>
      <c r="I111" s="942"/>
      <c r="J111" s="943"/>
      <c r="K111" s="943"/>
      <c r="L111" s="4"/>
      <c r="M111" s="31"/>
      <c r="N111" s="31"/>
      <c r="O111" s="31"/>
    </row>
    <row r="112" spans="2:15">
      <c r="B112" s="165"/>
      <c r="C112" s="652">
        <v>140709</v>
      </c>
      <c r="D112" s="653" t="s">
        <v>482</v>
      </c>
      <c r="E112" s="950">
        <v>12296</v>
      </c>
      <c r="F112" s="950">
        <v>12446</v>
      </c>
      <c r="G112" s="945"/>
      <c r="H112" s="942"/>
      <c r="I112" s="942"/>
      <c r="J112" s="943"/>
      <c r="K112" s="943"/>
      <c r="L112" s="4"/>
      <c r="M112" s="31"/>
      <c r="N112" s="31"/>
      <c r="O112" s="31"/>
    </row>
    <row r="113" spans="2:15">
      <c r="B113" s="165"/>
      <c r="C113" s="652">
        <v>30101</v>
      </c>
      <c r="D113" s="653" t="s">
        <v>483</v>
      </c>
      <c r="E113" s="950">
        <v>10853</v>
      </c>
      <c r="F113" s="950">
        <v>11003</v>
      </c>
      <c r="G113" s="945"/>
      <c r="H113" s="942"/>
      <c r="I113" s="942"/>
      <c r="J113" s="943"/>
      <c r="K113" s="943"/>
      <c r="L113" s="4"/>
      <c r="M113" s="31"/>
      <c r="N113" s="31"/>
      <c r="O113" s="31"/>
    </row>
    <row r="114" spans="2:15">
      <c r="B114" s="165"/>
      <c r="C114" s="652">
        <v>30701</v>
      </c>
      <c r="D114" s="653" t="s">
        <v>484</v>
      </c>
      <c r="E114" s="950">
        <v>11020</v>
      </c>
      <c r="F114" s="950">
        <v>11170</v>
      </c>
      <c r="G114" s="945"/>
      <c r="H114" s="942"/>
      <c r="I114" s="942"/>
      <c r="J114" s="943"/>
      <c r="K114" s="943"/>
      <c r="L114" s="4"/>
      <c r="M114" s="31"/>
      <c r="N114" s="31"/>
      <c r="O114" s="31"/>
    </row>
    <row r="115" spans="2:15">
      <c r="B115" s="165"/>
      <c r="C115" s="652">
        <v>472202</v>
      </c>
      <c r="D115" s="653" t="s">
        <v>485</v>
      </c>
      <c r="E115" s="950">
        <v>13024</v>
      </c>
      <c r="F115" s="950">
        <v>13174</v>
      </c>
      <c r="G115" s="945"/>
      <c r="H115" s="942"/>
      <c r="I115" s="942"/>
      <c r="J115" s="943"/>
      <c r="K115" s="943"/>
      <c r="L115" s="4"/>
      <c r="M115" s="31"/>
      <c r="N115" s="31"/>
      <c r="O115" s="31"/>
    </row>
    <row r="116" spans="2:15">
      <c r="B116" s="165"/>
      <c r="C116" s="652">
        <v>440201</v>
      </c>
      <c r="D116" s="653" t="s">
        <v>486</v>
      </c>
      <c r="E116" s="950">
        <v>13520</v>
      </c>
      <c r="F116" s="950">
        <v>13670</v>
      </c>
      <c r="G116" s="945"/>
      <c r="H116" s="942"/>
      <c r="I116" s="942"/>
      <c r="J116" s="943"/>
      <c r="K116" s="943"/>
      <c r="L116" s="4"/>
      <c r="M116" s="31"/>
      <c r="N116" s="31"/>
      <c r="O116" s="31"/>
    </row>
    <row r="117" spans="2:15">
      <c r="B117" s="165"/>
      <c r="C117" s="652">
        <v>251601</v>
      </c>
      <c r="D117" s="653" t="s">
        <v>487</v>
      </c>
      <c r="E117" s="950">
        <v>11333</v>
      </c>
      <c r="F117" s="950">
        <v>11483</v>
      </c>
      <c r="G117" s="945"/>
      <c r="H117" s="942"/>
      <c r="I117" s="942"/>
      <c r="J117" s="943"/>
      <c r="K117" s="943"/>
      <c r="L117" s="4"/>
      <c r="M117" s="31"/>
      <c r="N117" s="31"/>
      <c r="O117" s="31"/>
    </row>
    <row r="118" spans="2:15">
      <c r="B118" s="165"/>
      <c r="C118" s="652">
        <v>261501</v>
      </c>
      <c r="D118" s="653" t="s">
        <v>488</v>
      </c>
      <c r="E118" s="950">
        <v>10472</v>
      </c>
      <c r="F118" s="950">
        <v>10622</v>
      </c>
      <c r="G118" s="945"/>
      <c r="H118" s="942"/>
      <c r="I118" s="942"/>
      <c r="J118" s="943"/>
      <c r="K118" s="943"/>
      <c r="L118" s="4"/>
      <c r="M118" s="31"/>
      <c r="N118" s="31"/>
      <c r="O118" s="31"/>
    </row>
    <row r="119" spans="2:15">
      <c r="B119" s="165"/>
      <c r="C119" s="652">
        <v>110101</v>
      </c>
      <c r="D119" s="653" t="s">
        <v>489</v>
      </c>
      <c r="E119" s="950">
        <v>13041</v>
      </c>
      <c r="F119" s="950">
        <v>13191</v>
      </c>
      <c r="G119" s="945"/>
      <c r="H119" s="942"/>
      <c r="I119" s="942"/>
      <c r="J119" s="943"/>
      <c r="K119" s="943"/>
      <c r="L119" s="4"/>
      <c r="M119" s="31"/>
      <c r="N119" s="31"/>
      <c r="O119" s="31"/>
    </row>
    <row r="120" spans="2:15">
      <c r="B120" s="165"/>
      <c r="C120" s="652">
        <v>140801</v>
      </c>
      <c r="D120" s="653" t="s">
        <v>490</v>
      </c>
      <c r="E120" s="950">
        <v>9351</v>
      </c>
      <c r="F120" s="950">
        <v>9501</v>
      </c>
      <c r="G120" s="945"/>
      <c r="H120" s="942"/>
      <c r="I120" s="942"/>
      <c r="J120" s="943"/>
      <c r="K120" s="943"/>
      <c r="L120" s="4"/>
      <c r="M120" s="31"/>
      <c r="N120" s="31"/>
      <c r="O120" s="31"/>
    </row>
    <row r="121" spans="2:15">
      <c r="B121" s="165"/>
      <c r="C121" s="652">
        <v>500101</v>
      </c>
      <c r="D121" s="653" t="s">
        <v>491</v>
      </c>
      <c r="E121" s="950">
        <v>13660</v>
      </c>
      <c r="F121" s="950">
        <v>13810</v>
      </c>
      <c r="G121" s="945"/>
      <c r="H121" s="942"/>
      <c r="I121" s="942"/>
      <c r="J121" s="943"/>
      <c r="K121" s="943"/>
      <c r="L121" s="4"/>
      <c r="M121" s="31"/>
      <c r="N121" s="31"/>
      <c r="O121" s="31"/>
    </row>
    <row r="122" spans="2:15">
      <c r="B122" s="165"/>
      <c r="C122" s="652">
        <v>140703</v>
      </c>
      <c r="D122" s="653" t="s">
        <v>492</v>
      </c>
      <c r="E122" s="950">
        <v>10778</v>
      </c>
      <c r="F122" s="950">
        <v>10928</v>
      </c>
      <c r="G122" s="945"/>
      <c r="H122" s="942"/>
      <c r="I122" s="942"/>
      <c r="J122" s="943"/>
      <c r="K122" s="943"/>
      <c r="L122" s="4"/>
      <c r="M122" s="31"/>
      <c r="N122" s="31"/>
      <c r="O122" s="31"/>
    </row>
    <row r="123" spans="2:15">
      <c r="B123" s="165"/>
      <c r="C123" s="652">
        <v>510401</v>
      </c>
      <c r="D123" s="653" t="s">
        <v>493</v>
      </c>
      <c r="E123" s="950">
        <v>17457</v>
      </c>
      <c r="F123" s="950">
        <v>17607</v>
      </c>
      <c r="G123" s="945"/>
      <c r="H123" s="942"/>
      <c r="I123" s="942"/>
      <c r="J123" s="943"/>
      <c r="K123" s="943"/>
      <c r="L123" s="4"/>
      <c r="M123" s="31"/>
      <c r="N123" s="31"/>
      <c r="O123" s="31"/>
    </row>
    <row r="124" spans="2:15">
      <c r="B124" s="165"/>
      <c r="C124" s="652">
        <v>411101</v>
      </c>
      <c r="D124" s="653" t="s">
        <v>494</v>
      </c>
      <c r="E124" s="950">
        <v>11879</v>
      </c>
      <c r="F124" s="950">
        <v>12029</v>
      </c>
      <c r="G124" s="945"/>
      <c r="H124" s="942"/>
      <c r="I124" s="942"/>
      <c r="J124" s="943"/>
      <c r="K124" s="943"/>
      <c r="L124" s="4"/>
      <c r="M124" s="31"/>
      <c r="N124" s="31"/>
      <c r="O124" s="31"/>
    </row>
    <row r="125" spans="2:15">
      <c r="B125" s="165"/>
      <c r="C125" s="652">
        <v>650301</v>
      </c>
      <c r="D125" s="653" t="s">
        <v>495</v>
      </c>
      <c r="E125" s="950">
        <v>13326</v>
      </c>
      <c r="F125" s="950">
        <v>13826</v>
      </c>
      <c r="G125" s="945"/>
      <c r="H125" s="942"/>
      <c r="I125" s="942"/>
      <c r="J125" s="943"/>
      <c r="K125" s="943"/>
      <c r="L125" s="4"/>
      <c r="M125" s="31"/>
      <c r="N125" s="31"/>
      <c r="O125" s="31"/>
    </row>
    <row r="126" spans="2:15">
      <c r="B126" s="165"/>
      <c r="C126" s="652">
        <v>60701</v>
      </c>
      <c r="D126" s="653" t="s">
        <v>496</v>
      </c>
      <c r="E126" s="950">
        <v>14775</v>
      </c>
      <c r="F126" s="950">
        <v>14925</v>
      </c>
      <c r="G126" s="945"/>
      <c r="H126" s="942"/>
      <c r="I126" s="942"/>
      <c r="J126" s="943"/>
      <c r="K126" s="943"/>
      <c r="L126" s="4"/>
      <c r="M126" s="31"/>
      <c r="N126" s="31"/>
      <c r="O126" s="31"/>
    </row>
    <row r="127" spans="2:15">
      <c r="B127" s="165"/>
      <c r="C127" s="652">
        <v>541102</v>
      </c>
      <c r="D127" s="653" t="s">
        <v>497</v>
      </c>
      <c r="E127" s="950">
        <v>11152</v>
      </c>
      <c r="F127" s="950">
        <v>11302</v>
      </c>
      <c r="G127" s="945"/>
      <c r="H127" s="942"/>
      <c r="I127" s="942"/>
      <c r="J127" s="943"/>
      <c r="K127" s="943"/>
      <c r="L127" s="4"/>
      <c r="M127" s="31"/>
      <c r="N127" s="31"/>
      <c r="O127" s="31"/>
    </row>
    <row r="128" spans="2:15">
      <c r="B128" s="165"/>
      <c r="C128" s="652">
        <v>10500</v>
      </c>
      <c r="D128" s="653" t="s">
        <v>498</v>
      </c>
      <c r="E128" s="950">
        <v>12141</v>
      </c>
      <c r="F128" s="950">
        <v>12291</v>
      </c>
      <c r="G128" s="945"/>
      <c r="H128" s="942"/>
      <c r="I128" s="942"/>
      <c r="J128" s="943"/>
      <c r="K128" s="943"/>
      <c r="L128" s="4"/>
      <c r="M128" s="31"/>
      <c r="N128" s="31"/>
      <c r="O128" s="31"/>
    </row>
    <row r="129" spans="2:15">
      <c r="B129" s="165"/>
      <c r="C129" s="652">
        <v>580402</v>
      </c>
      <c r="D129" s="653" t="s">
        <v>499</v>
      </c>
      <c r="E129" s="950">
        <v>20936</v>
      </c>
      <c r="F129" s="950">
        <v>21086</v>
      </c>
      <c r="G129" s="945"/>
      <c r="H129" s="942"/>
      <c r="I129" s="942"/>
      <c r="J129" s="943"/>
      <c r="K129" s="943"/>
      <c r="L129" s="4"/>
      <c r="M129" s="31"/>
      <c r="N129" s="31"/>
      <c r="O129" s="31"/>
    </row>
    <row r="130" spans="2:15">
      <c r="B130" s="165"/>
      <c r="C130" s="652">
        <v>510501</v>
      </c>
      <c r="D130" s="653" t="s">
        <v>500</v>
      </c>
      <c r="E130" s="950">
        <v>18731</v>
      </c>
      <c r="F130" s="950">
        <v>18881</v>
      </c>
      <c r="G130" s="945"/>
      <c r="H130" s="942"/>
      <c r="I130" s="942"/>
      <c r="J130" s="943"/>
      <c r="K130" s="943"/>
      <c r="L130" s="4"/>
      <c r="M130" s="31"/>
      <c r="N130" s="31"/>
      <c r="O130" s="31"/>
    </row>
    <row r="131" spans="2:15">
      <c r="B131" s="165"/>
      <c r="C131" s="652">
        <v>580410</v>
      </c>
      <c r="D131" s="653" t="s">
        <v>501</v>
      </c>
      <c r="E131" s="950">
        <v>15856</v>
      </c>
      <c r="F131" s="950">
        <v>16006</v>
      </c>
      <c r="G131" s="945"/>
      <c r="H131" s="942"/>
      <c r="I131" s="942"/>
      <c r="J131" s="943"/>
      <c r="K131" s="943"/>
      <c r="L131" s="4"/>
      <c r="M131" s="31"/>
      <c r="N131" s="31"/>
      <c r="O131" s="31"/>
    </row>
    <row r="132" spans="2:15">
      <c r="B132" s="165"/>
      <c r="C132" s="652">
        <v>580507</v>
      </c>
      <c r="D132" s="653" t="s">
        <v>502</v>
      </c>
      <c r="E132" s="950">
        <v>16297</v>
      </c>
      <c r="F132" s="950">
        <v>16447</v>
      </c>
      <c r="G132" s="945"/>
      <c r="H132" s="942"/>
      <c r="I132" s="942"/>
      <c r="J132" s="943"/>
      <c r="K132" s="943"/>
      <c r="L132" s="4"/>
      <c r="M132" s="31"/>
      <c r="N132" s="31"/>
      <c r="O132" s="31"/>
    </row>
    <row r="133" spans="2:15">
      <c r="B133" s="165"/>
      <c r="C133" s="652">
        <v>471701</v>
      </c>
      <c r="D133" s="653" t="s">
        <v>503</v>
      </c>
      <c r="E133" s="950">
        <v>12267</v>
      </c>
      <c r="F133" s="950">
        <v>12417</v>
      </c>
      <c r="G133" s="945"/>
      <c r="H133" s="942"/>
      <c r="I133" s="942"/>
      <c r="J133" s="943"/>
      <c r="K133" s="943"/>
      <c r="L133" s="4"/>
      <c r="M133" s="31"/>
      <c r="N133" s="31"/>
      <c r="O133" s="31"/>
    </row>
    <row r="134" spans="2:15">
      <c r="B134" s="165"/>
      <c r="C134" s="652">
        <v>230201</v>
      </c>
      <c r="D134" s="653" t="s">
        <v>504</v>
      </c>
      <c r="E134" s="950">
        <v>10285</v>
      </c>
      <c r="F134" s="950">
        <v>10435</v>
      </c>
      <c r="G134" s="945"/>
      <c r="H134" s="942"/>
      <c r="I134" s="942"/>
      <c r="J134" s="943"/>
      <c r="K134" s="943"/>
      <c r="L134" s="4"/>
      <c r="M134" s="31"/>
      <c r="N134" s="31"/>
      <c r="O134" s="31"/>
    </row>
    <row r="135" spans="2:15">
      <c r="B135" s="165"/>
      <c r="C135" s="652">
        <v>580105</v>
      </c>
      <c r="D135" s="653" t="s">
        <v>505</v>
      </c>
      <c r="E135" s="950">
        <v>15711</v>
      </c>
      <c r="F135" s="950">
        <v>15361</v>
      </c>
      <c r="G135" s="945"/>
      <c r="H135" s="942"/>
      <c r="I135" s="942"/>
      <c r="J135" s="943"/>
      <c r="K135" s="943"/>
      <c r="L135" s="4"/>
      <c r="M135" s="31"/>
      <c r="N135" s="31"/>
      <c r="O135" s="31"/>
    </row>
    <row r="136" spans="2:15">
      <c r="B136" s="165"/>
      <c r="C136" s="652">
        <v>520401</v>
      </c>
      <c r="D136" s="653" t="s">
        <v>506</v>
      </c>
      <c r="E136" s="950">
        <v>11269</v>
      </c>
      <c r="F136" s="950">
        <v>11419</v>
      </c>
      <c r="G136" s="945"/>
      <c r="H136" s="942"/>
      <c r="I136" s="942"/>
      <c r="J136" s="943"/>
      <c r="K136" s="943"/>
      <c r="L136" s="4"/>
      <c r="M136" s="31"/>
      <c r="N136" s="31"/>
      <c r="O136" s="31"/>
    </row>
    <row r="137" spans="2:15">
      <c r="B137" s="165"/>
      <c r="C137" s="652">
        <v>571000</v>
      </c>
      <c r="D137" s="653" t="s">
        <v>507</v>
      </c>
      <c r="E137" s="950">
        <v>10987</v>
      </c>
      <c r="F137" s="950">
        <v>11137</v>
      </c>
      <c r="G137" s="945"/>
      <c r="H137" s="942"/>
      <c r="I137" s="942"/>
      <c r="J137" s="943"/>
      <c r="K137" s="943"/>
      <c r="L137" s="4"/>
      <c r="M137" s="31"/>
      <c r="N137" s="31"/>
      <c r="O137" s="31"/>
    </row>
    <row r="138" spans="2:15">
      <c r="B138" s="165"/>
      <c r="C138" s="652">
        <v>440301</v>
      </c>
      <c r="D138" s="653" t="s">
        <v>508</v>
      </c>
      <c r="E138" s="950">
        <v>11612</v>
      </c>
      <c r="F138" s="950">
        <v>11762</v>
      </c>
      <c r="G138" s="945"/>
      <c r="H138" s="942"/>
      <c r="I138" s="942"/>
      <c r="J138" s="943"/>
      <c r="K138" s="943"/>
      <c r="L138" s="4"/>
      <c r="M138" s="31"/>
      <c r="N138" s="31"/>
      <c r="O138" s="31"/>
    </row>
    <row r="139" spans="2:15">
      <c r="B139" s="165"/>
      <c r="C139" s="652">
        <v>110200</v>
      </c>
      <c r="D139" s="653" t="s">
        <v>509</v>
      </c>
      <c r="E139" s="950">
        <v>10492</v>
      </c>
      <c r="F139" s="950">
        <v>10642</v>
      </c>
      <c r="G139" s="945"/>
      <c r="H139" s="942"/>
      <c r="I139" s="942"/>
      <c r="J139" s="943"/>
      <c r="K139" s="943"/>
      <c r="L139" s="4"/>
      <c r="M139" s="31"/>
      <c r="N139" s="31"/>
      <c r="O139" s="31"/>
    </row>
    <row r="140" spans="2:15">
      <c r="B140" s="165"/>
      <c r="C140" s="652">
        <v>190501</v>
      </c>
      <c r="D140" s="653" t="s">
        <v>510</v>
      </c>
      <c r="E140" s="950">
        <v>12238</v>
      </c>
      <c r="F140" s="950">
        <v>12388</v>
      </c>
      <c r="G140" s="945"/>
      <c r="H140" s="942"/>
      <c r="I140" s="942"/>
      <c r="J140" s="943"/>
      <c r="K140" s="943"/>
      <c r="L140" s="4"/>
      <c r="M140" s="31"/>
      <c r="N140" s="31"/>
      <c r="O140" s="31"/>
    </row>
    <row r="141" spans="2:15">
      <c r="B141" s="165"/>
      <c r="C141" s="652">
        <v>660202</v>
      </c>
      <c r="D141" s="653" t="s">
        <v>511</v>
      </c>
      <c r="E141" s="950">
        <v>16083</v>
      </c>
      <c r="F141" s="950">
        <v>16233</v>
      </c>
      <c r="G141" s="945"/>
      <c r="H141" s="942"/>
      <c r="I141" s="942"/>
      <c r="J141" s="943"/>
      <c r="K141" s="943"/>
      <c r="L141" s="4"/>
      <c r="M141" s="31"/>
      <c r="N141" s="31"/>
      <c r="O141" s="31"/>
    </row>
    <row r="142" spans="2:15">
      <c r="B142" s="165"/>
      <c r="C142" s="652">
        <v>150203</v>
      </c>
      <c r="D142" s="653" t="s">
        <v>512</v>
      </c>
      <c r="E142" s="950">
        <v>16025</v>
      </c>
      <c r="F142" s="950">
        <v>15675</v>
      </c>
      <c r="G142" s="945"/>
      <c r="H142" s="942"/>
      <c r="I142" s="942"/>
      <c r="J142" s="943"/>
      <c r="K142" s="943"/>
      <c r="L142" s="4"/>
      <c r="M142" s="31"/>
      <c r="N142" s="31"/>
      <c r="O142" s="31"/>
    </row>
    <row r="143" spans="2:15">
      <c r="B143" s="165"/>
      <c r="C143" s="652">
        <v>22302</v>
      </c>
      <c r="D143" s="653" t="s">
        <v>513</v>
      </c>
      <c r="E143" s="950">
        <v>12838</v>
      </c>
      <c r="F143" s="950">
        <v>12988</v>
      </c>
      <c r="G143" s="945"/>
      <c r="H143" s="942"/>
      <c r="I143" s="942"/>
      <c r="J143" s="943"/>
      <c r="K143" s="943"/>
      <c r="L143" s="4"/>
      <c r="M143" s="31"/>
      <c r="N143" s="31"/>
      <c r="O143" s="31"/>
    </row>
    <row r="144" spans="2:15">
      <c r="B144" s="165"/>
      <c r="C144" s="652">
        <v>241101</v>
      </c>
      <c r="D144" s="653" t="s">
        <v>514</v>
      </c>
      <c r="E144" s="950">
        <v>13457</v>
      </c>
      <c r="F144" s="950">
        <v>13607</v>
      </c>
      <c r="G144" s="945"/>
      <c r="H144" s="942"/>
      <c r="I144" s="942"/>
      <c r="J144" s="943"/>
      <c r="K144" s="943"/>
      <c r="L144" s="4"/>
      <c r="M144" s="31"/>
      <c r="N144" s="31"/>
      <c r="O144" s="31"/>
    </row>
    <row r="145" spans="2:15">
      <c r="B145" s="165"/>
      <c r="C145" s="652">
        <v>241001</v>
      </c>
      <c r="D145" s="653" t="s">
        <v>515</v>
      </c>
      <c r="E145" s="950">
        <v>10663</v>
      </c>
      <c r="F145" s="950">
        <v>10813</v>
      </c>
      <c r="G145" s="945"/>
      <c r="H145" s="942"/>
      <c r="I145" s="942"/>
      <c r="J145" s="943"/>
      <c r="K145" s="943"/>
      <c r="L145" s="4"/>
      <c r="M145" s="31"/>
      <c r="N145" s="31"/>
      <c r="O145" s="31"/>
    </row>
    <row r="146" spans="2:15">
      <c r="B146" s="165"/>
      <c r="C146" s="652">
        <v>580107</v>
      </c>
      <c r="D146" s="653" t="s">
        <v>516</v>
      </c>
      <c r="E146" s="950">
        <v>16035</v>
      </c>
      <c r="F146" s="950">
        <v>16185</v>
      </c>
      <c r="G146" s="945"/>
      <c r="H146" s="942"/>
      <c r="I146" s="942"/>
      <c r="J146" s="943"/>
      <c r="K146" s="943"/>
      <c r="L146" s="4"/>
      <c r="M146" s="31"/>
      <c r="N146" s="31"/>
      <c r="O146" s="31"/>
    </row>
    <row r="147" spans="2:15">
      <c r="B147" s="165"/>
      <c r="C147" s="652">
        <v>120501</v>
      </c>
      <c r="D147" s="653" t="s">
        <v>517</v>
      </c>
      <c r="E147" s="950">
        <v>14280</v>
      </c>
      <c r="F147" s="950">
        <v>14430</v>
      </c>
      <c r="G147" s="945"/>
      <c r="H147" s="942"/>
      <c r="I147" s="942"/>
      <c r="J147" s="943"/>
      <c r="K147" s="943"/>
      <c r="L147" s="4"/>
      <c r="M147" s="31"/>
      <c r="N147" s="31"/>
      <c r="O147" s="31"/>
    </row>
    <row r="148" spans="2:15">
      <c r="B148" s="165"/>
      <c r="C148" s="652">
        <v>140707</v>
      </c>
      <c r="D148" s="653" t="s">
        <v>518</v>
      </c>
      <c r="E148" s="950">
        <v>10759</v>
      </c>
      <c r="F148" s="950">
        <v>10909</v>
      </c>
      <c r="G148" s="945"/>
      <c r="H148" s="942"/>
      <c r="I148" s="942"/>
      <c r="J148" s="943"/>
      <c r="K148" s="943"/>
      <c r="L148" s="4"/>
    </row>
    <row r="149" spans="2:15">
      <c r="B149" s="165"/>
      <c r="C149" s="652">
        <v>31301</v>
      </c>
      <c r="D149" s="653" t="s">
        <v>519</v>
      </c>
      <c r="E149" s="950">
        <v>14654</v>
      </c>
      <c r="F149" s="950">
        <v>14804</v>
      </c>
      <c r="G149" s="945"/>
      <c r="H149" s="942"/>
      <c r="I149" s="942"/>
      <c r="J149" s="943"/>
      <c r="K149" s="943"/>
      <c r="L149" s="4"/>
    </row>
    <row r="150" spans="2:15">
      <c r="B150" s="165"/>
      <c r="C150" s="652">
        <v>250301</v>
      </c>
      <c r="D150" s="653" t="s">
        <v>520</v>
      </c>
      <c r="E150" s="950">
        <v>13419</v>
      </c>
      <c r="F150" s="950">
        <v>13569</v>
      </c>
      <c r="G150" s="945"/>
      <c r="H150" s="942"/>
      <c r="I150" s="942"/>
      <c r="J150" s="943"/>
      <c r="K150" s="943"/>
      <c r="L150" s="4"/>
    </row>
    <row r="151" spans="2:15">
      <c r="B151" s="165"/>
      <c r="C151" s="652">
        <v>660403</v>
      </c>
      <c r="D151" s="653" t="s">
        <v>521</v>
      </c>
      <c r="E151" s="950">
        <v>19277</v>
      </c>
      <c r="F151" s="950">
        <v>19427</v>
      </c>
      <c r="G151" s="945"/>
      <c r="H151" s="942"/>
      <c r="I151" s="942"/>
      <c r="J151" s="943"/>
      <c r="K151" s="943"/>
      <c r="L151" s="4"/>
    </row>
    <row r="152" spans="2:15">
      <c r="B152" s="165"/>
      <c r="C152" s="652">
        <v>211003</v>
      </c>
      <c r="D152" s="653" t="s">
        <v>522</v>
      </c>
      <c r="E152" s="950">
        <v>10877</v>
      </c>
      <c r="F152" s="950">
        <v>11027</v>
      </c>
      <c r="G152" s="945"/>
      <c r="H152" s="942"/>
      <c r="I152" s="942"/>
      <c r="J152" s="943"/>
      <c r="K152" s="943"/>
      <c r="L152" s="4"/>
    </row>
    <row r="153" spans="2:15">
      <c r="B153" s="165"/>
      <c r="C153" s="652">
        <v>130502</v>
      </c>
      <c r="D153" s="653" t="s">
        <v>523</v>
      </c>
      <c r="E153" s="950">
        <v>11595</v>
      </c>
      <c r="F153" s="950">
        <v>11745</v>
      </c>
      <c r="G153" s="945"/>
      <c r="H153" s="942"/>
      <c r="I153" s="942"/>
      <c r="J153" s="943"/>
      <c r="K153" s="943"/>
      <c r="L153" s="4"/>
    </row>
    <row r="154" spans="2:15">
      <c r="B154" s="165"/>
      <c r="C154" s="652">
        <v>120301</v>
      </c>
      <c r="D154" s="653" t="s">
        <v>524</v>
      </c>
      <c r="E154" s="950">
        <v>17493</v>
      </c>
      <c r="F154" s="950">
        <v>17643</v>
      </c>
      <c r="G154" s="945"/>
      <c r="H154" s="942"/>
      <c r="I154" s="942"/>
      <c r="J154" s="943"/>
      <c r="K154" s="943"/>
      <c r="L154" s="4"/>
    </row>
    <row r="155" spans="2:15">
      <c r="B155" s="165"/>
      <c r="C155" s="652">
        <v>610301</v>
      </c>
      <c r="D155" s="653" t="s">
        <v>525</v>
      </c>
      <c r="E155" s="950">
        <v>11362</v>
      </c>
      <c r="F155" s="950">
        <v>11512</v>
      </c>
      <c r="G155" s="945"/>
      <c r="H155" s="942"/>
      <c r="I155" s="942"/>
      <c r="J155" s="943"/>
      <c r="K155" s="943"/>
      <c r="L155" s="4"/>
    </row>
    <row r="156" spans="2:15">
      <c r="B156" s="165"/>
      <c r="C156" s="652">
        <v>530101</v>
      </c>
      <c r="D156" s="653" t="s">
        <v>526</v>
      </c>
      <c r="E156" s="950">
        <v>9584</v>
      </c>
      <c r="F156" s="950">
        <v>9734</v>
      </c>
      <c r="G156" s="945"/>
      <c r="H156" s="942"/>
      <c r="I156" s="942"/>
      <c r="J156" s="943"/>
      <c r="K156" s="943"/>
      <c r="L156" s="4"/>
    </row>
    <row r="157" spans="2:15">
      <c r="B157" s="165"/>
      <c r="C157" s="652">
        <v>680801</v>
      </c>
      <c r="D157" s="653" t="s">
        <v>527</v>
      </c>
      <c r="E157" s="950">
        <v>10348</v>
      </c>
      <c r="F157" s="950">
        <v>10498</v>
      </c>
      <c r="G157" s="945"/>
      <c r="H157" s="942"/>
      <c r="I157" s="942"/>
      <c r="J157" s="943"/>
      <c r="K157" s="943"/>
      <c r="L157" s="4"/>
    </row>
    <row r="158" spans="2:15">
      <c r="B158" s="165"/>
      <c r="C158" s="652">
        <v>60800</v>
      </c>
      <c r="D158" s="653" t="s">
        <v>528</v>
      </c>
      <c r="E158" s="950">
        <v>13335</v>
      </c>
      <c r="F158" s="950">
        <v>13485</v>
      </c>
      <c r="G158" s="945"/>
      <c r="H158" s="942"/>
      <c r="I158" s="942"/>
      <c r="J158" s="943"/>
      <c r="K158" s="943"/>
      <c r="L158" s="4"/>
    </row>
    <row r="159" spans="2:15">
      <c r="B159" s="165"/>
      <c r="C159" s="652">
        <v>140301</v>
      </c>
      <c r="D159" s="653" t="s">
        <v>529</v>
      </c>
      <c r="E159" s="950">
        <v>10555</v>
      </c>
      <c r="F159" s="950">
        <v>10705</v>
      </c>
      <c r="G159" s="945"/>
      <c r="H159" s="942"/>
      <c r="I159" s="942"/>
      <c r="J159" s="943"/>
      <c r="K159" s="943"/>
      <c r="L159" s="4"/>
    </row>
    <row r="160" spans="2:15">
      <c r="B160" s="165"/>
      <c r="C160" s="652">
        <v>430501</v>
      </c>
      <c r="D160" s="653" t="s">
        <v>530</v>
      </c>
      <c r="E160" s="950">
        <v>11467</v>
      </c>
      <c r="F160" s="950">
        <v>11617</v>
      </c>
      <c r="G160" s="945"/>
      <c r="H160" s="942"/>
      <c r="I160" s="942"/>
      <c r="J160" s="943"/>
      <c r="K160" s="943"/>
      <c r="L160" s="4"/>
    </row>
    <row r="161" spans="2:12">
      <c r="B161" s="165"/>
      <c r="C161" s="652">
        <v>490301</v>
      </c>
      <c r="D161" s="653" t="s">
        <v>531</v>
      </c>
      <c r="E161" s="950">
        <v>12009</v>
      </c>
      <c r="F161" s="950">
        <v>12159</v>
      </c>
      <c r="G161" s="945"/>
      <c r="H161" s="942"/>
      <c r="I161" s="942"/>
      <c r="J161" s="943"/>
      <c r="K161" s="943"/>
      <c r="L161" s="4"/>
    </row>
    <row r="162" spans="2:12">
      <c r="B162" s="165"/>
      <c r="C162" s="652">
        <v>580301</v>
      </c>
      <c r="D162" s="653" t="s">
        <v>532</v>
      </c>
      <c r="E162" s="950">
        <v>24079</v>
      </c>
      <c r="F162" s="950">
        <v>24229</v>
      </c>
      <c r="G162" s="945"/>
      <c r="H162" s="942"/>
      <c r="I162" s="942"/>
      <c r="J162" s="943"/>
      <c r="K162" s="943"/>
      <c r="L162" s="4"/>
    </row>
    <row r="163" spans="2:12">
      <c r="B163" s="165"/>
      <c r="C163" s="652">
        <v>260801</v>
      </c>
      <c r="D163" s="653" t="s">
        <v>533</v>
      </c>
      <c r="E163" s="950">
        <v>11907</v>
      </c>
      <c r="F163" s="950">
        <v>12057</v>
      </c>
      <c r="G163" s="945"/>
      <c r="H163" s="942"/>
      <c r="I163" s="942"/>
      <c r="J163" s="943"/>
      <c r="K163" s="943"/>
      <c r="L163" s="4"/>
    </row>
    <row r="164" spans="2:12">
      <c r="B164" s="165"/>
      <c r="C164" s="652">
        <v>580503</v>
      </c>
      <c r="D164" s="653" t="s">
        <v>534</v>
      </c>
      <c r="E164" s="950">
        <v>15009</v>
      </c>
      <c r="F164" s="950">
        <v>15159</v>
      </c>
      <c r="G164" s="945"/>
      <c r="H164" s="942"/>
      <c r="I164" s="942"/>
      <c r="J164" s="943"/>
      <c r="K164" s="943"/>
      <c r="L164" s="4"/>
    </row>
    <row r="165" spans="2:12">
      <c r="B165" s="165"/>
      <c r="C165" s="652">
        <v>280203</v>
      </c>
      <c r="D165" s="653" t="s">
        <v>535</v>
      </c>
      <c r="E165" s="950">
        <v>16072</v>
      </c>
      <c r="F165" s="950">
        <v>16222</v>
      </c>
      <c r="G165" s="945"/>
      <c r="H165" s="942"/>
      <c r="I165" s="942"/>
      <c r="J165" s="943"/>
      <c r="K165" s="943"/>
      <c r="L165" s="4"/>
    </row>
    <row r="166" spans="2:12">
      <c r="B166" s="165"/>
      <c r="C166" s="652">
        <v>580234</v>
      </c>
      <c r="D166" s="653" t="s">
        <v>536</v>
      </c>
      <c r="E166" s="950">
        <v>17372</v>
      </c>
      <c r="F166" s="950">
        <v>17872</v>
      </c>
      <c r="G166" s="945"/>
      <c r="H166" s="942"/>
      <c r="I166" s="942"/>
      <c r="J166" s="943"/>
      <c r="K166" s="943"/>
      <c r="L166" s="4"/>
    </row>
    <row r="167" spans="2:12">
      <c r="B167" s="165"/>
      <c r="C167" s="652">
        <v>580917</v>
      </c>
      <c r="D167" s="653" t="s">
        <v>537</v>
      </c>
      <c r="E167" s="950">
        <v>22466</v>
      </c>
      <c r="F167" s="950">
        <v>22616</v>
      </c>
      <c r="G167" s="945"/>
      <c r="H167" s="942"/>
      <c r="I167" s="942"/>
      <c r="J167" s="943"/>
      <c r="K167" s="943"/>
      <c r="L167" s="4"/>
    </row>
    <row r="168" spans="2:12">
      <c r="B168" s="165"/>
      <c r="C168" s="652">
        <v>500402</v>
      </c>
      <c r="D168" s="653" t="s">
        <v>538</v>
      </c>
      <c r="E168" s="950">
        <v>16555</v>
      </c>
      <c r="F168" s="950">
        <v>16555</v>
      </c>
      <c r="G168" s="945"/>
      <c r="H168" s="942"/>
      <c r="I168" s="942"/>
      <c r="J168" s="943"/>
      <c r="K168" s="943"/>
      <c r="L168" s="4"/>
    </row>
    <row r="169" spans="2:12">
      <c r="B169" s="165"/>
      <c r="C169" s="652">
        <v>261313</v>
      </c>
      <c r="D169" s="653" t="s">
        <v>539</v>
      </c>
      <c r="E169" s="950">
        <v>12935</v>
      </c>
      <c r="F169" s="950">
        <v>13085</v>
      </c>
      <c r="G169" s="945"/>
      <c r="H169" s="942"/>
      <c r="I169" s="942"/>
      <c r="J169" s="943"/>
      <c r="K169" s="943"/>
      <c r="L169" s="4"/>
    </row>
    <row r="170" spans="2:12">
      <c r="B170" s="165"/>
      <c r="C170" s="652">
        <v>280219</v>
      </c>
      <c r="D170" s="653" t="s">
        <v>540</v>
      </c>
      <c r="E170" s="950">
        <v>18733</v>
      </c>
      <c r="F170" s="950">
        <v>18883</v>
      </c>
      <c r="G170" s="945"/>
      <c r="H170" s="942"/>
      <c r="I170" s="942"/>
      <c r="J170" s="943"/>
      <c r="K170" s="943"/>
      <c r="L170" s="4"/>
    </row>
    <row r="171" spans="2:12">
      <c r="B171" s="165"/>
      <c r="C171" s="652">
        <v>420401</v>
      </c>
      <c r="D171" s="653" t="s">
        <v>541</v>
      </c>
      <c r="E171" s="950">
        <v>14024</v>
      </c>
      <c r="F171" s="950">
        <v>14174</v>
      </c>
      <c r="G171" s="945"/>
      <c r="H171" s="942"/>
      <c r="I171" s="942"/>
      <c r="J171" s="943"/>
      <c r="K171" s="943"/>
      <c r="L171" s="4"/>
    </row>
    <row r="172" spans="2:12">
      <c r="B172" s="165"/>
      <c r="C172" s="652">
        <v>280402</v>
      </c>
      <c r="D172" s="653" t="s">
        <v>542</v>
      </c>
      <c r="E172" s="950">
        <v>21134</v>
      </c>
      <c r="F172" s="950">
        <v>21284</v>
      </c>
      <c r="G172" s="945"/>
      <c r="H172" s="942"/>
      <c r="I172" s="942"/>
      <c r="J172" s="943"/>
      <c r="K172" s="943"/>
      <c r="L172" s="4"/>
    </row>
    <row r="173" spans="2:12">
      <c r="B173" s="165"/>
      <c r="C173" s="652">
        <v>660301</v>
      </c>
      <c r="D173" s="653" t="s">
        <v>543</v>
      </c>
      <c r="E173" s="950">
        <v>18182</v>
      </c>
      <c r="F173" s="950">
        <v>18332</v>
      </c>
      <c r="G173" s="945"/>
      <c r="H173" s="942"/>
      <c r="I173" s="942"/>
      <c r="J173" s="943"/>
      <c r="K173" s="943"/>
      <c r="L173" s="4"/>
    </row>
    <row r="174" spans="2:12">
      <c r="B174" s="165"/>
      <c r="C174" s="652">
        <v>580912</v>
      </c>
      <c r="D174" s="653" t="s">
        <v>544</v>
      </c>
      <c r="E174" s="950">
        <v>13626</v>
      </c>
      <c r="F174" s="950">
        <v>13776</v>
      </c>
      <c r="G174" s="945"/>
      <c r="H174" s="942"/>
      <c r="I174" s="942"/>
      <c r="J174" s="943"/>
      <c r="K174" s="943"/>
      <c r="L174" s="4"/>
    </row>
    <row r="175" spans="2:12">
      <c r="B175" s="165"/>
      <c r="C175" s="652">
        <v>141201</v>
      </c>
      <c r="D175" s="653" t="s">
        <v>545</v>
      </c>
      <c r="E175" s="950">
        <v>10024</v>
      </c>
      <c r="F175" s="950">
        <v>10174</v>
      </c>
      <c r="G175" s="945"/>
      <c r="H175" s="942"/>
      <c r="I175" s="942"/>
      <c r="J175" s="943"/>
      <c r="K175" s="943"/>
      <c r="L175" s="4"/>
    </row>
    <row r="176" spans="2:12">
      <c r="B176" s="165"/>
      <c r="C176" s="652">
        <v>660406</v>
      </c>
      <c r="D176" s="653" t="s">
        <v>546</v>
      </c>
      <c r="E176" s="950">
        <v>18164</v>
      </c>
      <c r="F176" s="950">
        <v>18314</v>
      </c>
      <c r="G176" s="945"/>
      <c r="H176" s="942"/>
      <c r="I176" s="942"/>
      <c r="J176" s="943"/>
      <c r="K176" s="943"/>
      <c r="L176" s="4"/>
    </row>
    <row r="177" spans="2:12">
      <c r="B177" s="165"/>
      <c r="C177" s="652">
        <v>520601</v>
      </c>
      <c r="D177" s="653" t="s">
        <v>547</v>
      </c>
      <c r="E177" s="950">
        <v>21246</v>
      </c>
      <c r="F177" s="950">
        <v>21396</v>
      </c>
      <c r="G177" s="945"/>
      <c r="H177" s="942"/>
      <c r="I177" s="942"/>
      <c r="J177" s="943"/>
      <c r="K177" s="943"/>
      <c r="L177" s="4"/>
    </row>
    <row r="178" spans="2:12">
      <c r="B178" s="165"/>
      <c r="C178" s="652">
        <v>470501</v>
      </c>
      <c r="D178" s="653" t="s">
        <v>548</v>
      </c>
      <c r="E178" s="950">
        <v>11593</v>
      </c>
      <c r="F178" s="950">
        <v>11743</v>
      </c>
      <c r="G178" s="945"/>
      <c r="H178" s="942"/>
      <c r="I178" s="942"/>
      <c r="J178" s="943"/>
      <c r="K178" s="943"/>
      <c r="L178" s="4"/>
    </row>
    <row r="179" spans="2:12">
      <c r="B179" s="165"/>
      <c r="C179" s="652">
        <v>513102</v>
      </c>
      <c r="D179" s="653" t="s">
        <v>549</v>
      </c>
      <c r="E179" s="950">
        <v>10886</v>
      </c>
      <c r="F179" s="950">
        <v>11036</v>
      </c>
      <c r="G179" s="945"/>
      <c r="H179" s="942"/>
      <c r="I179" s="942"/>
      <c r="J179" s="943"/>
      <c r="K179" s="943"/>
      <c r="L179" s="4"/>
    </row>
    <row r="180" spans="2:12">
      <c r="B180" s="165"/>
      <c r="C180" s="652">
        <v>180901</v>
      </c>
      <c r="D180" s="653" t="s">
        <v>550</v>
      </c>
      <c r="E180" s="950">
        <v>11773</v>
      </c>
      <c r="F180" s="950">
        <v>11923</v>
      </c>
      <c r="G180" s="945"/>
      <c r="H180" s="942"/>
      <c r="I180" s="942"/>
      <c r="J180" s="943"/>
      <c r="K180" s="943"/>
      <c r="L180" s="4"/>
    </row>
    <row r="181" spans="2:12">
      <c r="B181" s="165"/>
      <c r="C181" s="652">
        <v>590801</v>
      </c>
      <c r="D181" s="653" t="s">
        <v>551</v>
      </c>
      <c r="E181" s="950">
        <v>13920</v>
      </c>
      <c r="F181" s="950">
        <v>14070</v>
      </c>
      <c r="G181" s="945"/>
      <c r="H181" s="942"/>
      <c r="I181" s="942"/>
      <c r="J181" s="943"/>
      <c r="K181" s="943"/>
      <c r="L181" s="4"/>
    </row>
    <row r="182" spans="2:12">
      <c r="B182" s="165"/>
      <c r="C182" s="652">
        <v>150301</v>
      </c>
      <c r="D182" s="653" t="s">
        <v>552</v>
      </c>
      <c r="E182" s="950">
        <v>13708</v>
      </c>
      <c r="F182" s="950">
        <v>13858</v>
      </c>
      <c r="G182" s="945"/>
      <c r="H182" s="942"/>
      <c r="I182" s="942"/>
      <c r="J182" s="943"/>
      <c r="K182" s="943"/>
      <c r="L182" s="4"/>
    </row>
    <row r="183" spans="2:12">
      <c r="B183" s="165"/>
      <c r="C183" s="652">
        <v>622002</v>
      </c>
      <c r="D183" s="653" t="s">
        <v>553</v>
      </c>
      <c r="E183" s="950">
        <v>15500</v>
      </c>
      <c r="F183" s="950">
        <v>15650</v>
      </c>
      <c r="G183" s="945"/>
      <c r="H183" s="942"/>
      <c r="I183" s="942"/>
      <c r="J183" s="943"/>
      <c r="K183" s="943"/>
      <c r="L183" s="4"/>
    </row>
    <row r="184" spans="2:12">
      <c r="B184" s="165"/>
      <c r="C184" s="652">
        <v>40901</v>
      </c>
      <c r="D184" s="653" t="s">
        <v>554</v>
      </c>
      <c r="E184" s="950">
        <v>11841</v>
      </c>
      <c r="F184" s="950">
        <v>11991</v>
      </c>
      <c r="G184" s="945"/>
      <c r="H184" s="942"/>
      <c r="I184" s="942"/>
      <c r="J184" s="943"/>
      <c r="K184" s="943"/>
      <c r="L184" s="4"/>
    </row>
    <row r="185" spans="2:12">
      <c r="B185" s="165"/>
      <c r="C185" s="652">
        <v>70600</v>
      </c>
      <c r="D185" s="653" t="s">
        <v>555</v>
      </c>
      <c r="E185" s="950">
        <v>11012</v>
      </c>
      <c r="F185" s="950">
        <v>11512</v>
      </c>
      <c r="G185" s="945"/>
      <c r="H185" s="942"/>
      <c r="I185" s="942"/>
      <c r="J185" s="943"/>
      <c r="K185" s="943"/>
      <c r="L185" s="4"/>
    </row>
    <row r="186" spans="2:12">
      <c r="B186" s="165"/>
      <c r="C186" s="652">
        <v>70902</v>
      </c>
      <c r="D186" s="653" t="s">
        <v>556</v>
      </c>
      <c r="E186" s="950">
        <v>10486</v>
      </c>
      <c r="F186" s="950">
        <v>10636</v>
      </c>
      <c r="G186" s="945"/>
      <c r="H186" s="942"/>
      <c r="I186" s="942"/>
      <c r="J186" s="943"/>
      <c r="K186" s="943"/>
      <c r="L186" s="4"/>
    </row>
    <row r="187" spans="2:12">
      <c r="B187" s="165"/>
      <c r="C187" s="652">
        <v>280216</v>
      </c>
      <c r="D187" s="653" t="s">
        <v>557</v>
      </c>
      <c r="E187" s="950">
        <v>14747</v>
      </c>
      <c r="F187" s="950">
        <v>14897</v>
      </c>
      <c r="G187" s="945"/>
      <c r="H187" s="942"/>
      <c r="I187" s="942"/>
      <c r="J187" s="943"/>
      <c r="K187" s="943"/>
      <c r="L187" s="4"/>
    </row>
    <row r="188" spans="2:12">
      <c r="B188" s="165"/>
      <c r="C188" s="652">
        <v>660409</v>
      </c>
      <c r="D188" s="653" t="s">
        <v>558</v>
      </c>
      <c r="E188" s="950">
        <v>22561</v>
      </c>
      <c r="F188" s="950">
        <v>22711</v>
      </c>
      <c r="G188" s="945"/>
      <c r="H188" s="942"/>
      <c r="I188" s="942"/>
      <c r="J188" s="943"/>
      <c r="K188" s="943"/>
      <c r="L188" s="4"/>
    </row>
    <row r="189" spans="2:12">
      <c r="B189" s="165"/>
      <c r="C189" s="652">
        <v>580401</v>
      </c>
      <c r="D189" s="653" t="s">
        <v>559</v>
      </c>
      <c r="E189" s="950">
        <v>15123</v>
      </c>
      <c r="F189" s="950">
        <v>15273</v>
      </c>
      <c r="G189" s="945"/>
      <c r="H189" s="942"/>
      <c r="I189" s="942"/>
      <c r="J189" s="943"/>
      <c r="K189" s="943"/>
      <c r="L189" s="4"/>
    </row>
    <row r="190" spans="2:12">
      <c r="B190" s="165"/>
      <c r="C190" s="652">
        <v>141401</v>
      </c>
      <c r="D190" s="653" t="s">
        <v>560</v>
      </c>
      <c r="E190" s="950">
        <v>11968</v>
      </c>
      <c r="F190" s="950">
        <v>12118</v>
      </c>
      <c r="G190" s="945"/>
      <c r="H190" s="942"/>
      <c r="I190" s="942"/>
      <c r="J190" s="943"/>
      <c r="K190" s="943"/>
      <c r="L190" s="4"/>
    </row>
    <row r="191" spans="2:12">
      <c r="B191" s="165"/>
      <c r="C191" s="652">
        <v>420601</v>
      </c>
      <c r="D191" s="653" t="s">
        <v>561</v>
      </c>
      <c r="E191" s="950">
        <v>12829</v>
      </c>
      <c r="F191" s="950">
        <v>12979</v>
      </c>
      <c r="G191" s="945"/>
      <c r="H191" s="942"/>
      <c r="I191" s="942"/>
      <c r="J191" s="943"/>
      <c r="K191" s="943"/>
      <c r="L191" s="4"/>
    </row>
    <row r="192" spans="2:12">
      <c r="B192" s="165"/>
      <c r="C192" s="652">
        <v>261301</v>
      </c>
      <c r="D192" s="653" t="s">
        <v>562</v>
      </c>
      <c r="E192" s="950">
        <v>10997</v>
      </c>
      <c r="F192" s="950">
        <v>11147</v>
      </c>
      <c r="G192" s="945"/>
      <c r="H192" s="942"/>
      <c r="I192" s="942"/>
      <c r="J192" s="943"/>
      <c r="K192" s="943"/>
      <c r="L192" s="4"/>
    </row>
    <row r="193" spans="2:12">
      <c r="B193" s="165"/>
      <c r="C193" s="652">
        <v>61101</v>
      </c>
      <c r="D193" s="653" t="s">
        <v>563</v>
      </c>
      <c r="E193" s="950">
        <v>9872</v>
      </c>
      <c r="F193" s="950">
        <v>10022</v>
      </c>
      <c r="G193" s="945"/>
      <c r="H193" s="942"/>
      <c r="I193" s="942"/>
      <c r="J193" s="943"/>
      <c r="K193" s="943"/>
      <c r="L193" s="4"/>
    </row>
    <row r="194" spans="2:12">
      <c r="B194" s="165"/>
      <c r="C194" s="652">
        <v>590501</v>
      </c>
      <c r="D194" s="653" t="s">
        <v>564</v>
      </c>
      <c r="E194" s="950">
        <v>19752</v>
      </c>
      <c r="F194" s="950">
        <v>19902</v>
      </c>
      <c r="G194" s="945"/>
      <c r="H194" s="942"/>
      <c r="I194" s="942"/>
      <c r="J194" s="943"/>
      <c r="K194" s="943"/>
      <c r="L194" s="4"/>
    </row>
    <row r="195" spans="2:12">
      <c r="B195" s="165"/>
      <c r="C195" s="652">
        <v>280522</v>
      </c>
      <c r="D195" s="653" t="s">
        <v>565</v>
      </c>
      <c r="E195" s="950">
        <v>17181</v>
      </c>
      <c r="F195" s="950">
        <v>17331</v>
      </c>
      <c r="G195" s="945"/>
      <c r="H195" s="942"/>
      <c r="I195" s="942"/>
      <c r="J195" s="943"/>
      <c r="K195" s="943"/>
      <c r="L195" s="4"/>
    </row>
    <row r="196" spans="2:12">
      <c r="B196" s="165"/>
      <c r="C196" s="652">
        <v>421001</v>
      </c>
      <c r="D196" s="653" t="s">
        <v>566</v>
      </c>
      <c r="E196" s="950">
        <v>11003</v>
      </c>
      <c r="F196" s="950">
        <v>11153</v>
      </c>
      <c r="G196" s="945"/>
      <c r="H196" s="942"/>
      <c r="I196" s="942"/>
      <c r="J196" s="943"/>
      <c r="K196" s="943"/>
      <c r="L196" s="4"/>
    </row>
    <row r="197" spans="2:12">
      <c r="B197" s="165"/>
      <c r="C197" s="652">
        <v>22001</v>
      </c>
      <c r="D197" s="653" t="s">
        <v>567</v>
      </c>
      <c r="E197" s="950">
        <v>9506</v>
      </c>
      <c r="F197" s="950">
        <v>9656</v>
      </c>
      <c r="G197" s="945"/>
      <c r="H197" s="942"/>
      <c r="I197" s="942"/>
      <c r="J197" s="943"/>
      <c r="K197" s="943"/>
      <c r="L197" s="4"/>
    </row>
    <row r="198" spans="2:12">
      <c r="B198" s="165"/>
      <c r="C198" s="652">
        <v>580514</v>
      </c>
      <c r="D198" s="653" t="s">
        <v>568</v>
      </c>
      <c r="E198" s="950">
        <v>108153</v>
      </c>
      <c r="F198" s="950">
        <v>107803</v>
      </c>
      <c r="G198" s="945"/>
      <c r="H198" s="942"/>
      <c r="I198" s="942"/>
      <c r="J198" s="943"/>
      <c r="K198" s="943"/>
      <c r="L198" s="4"/>
    </row>
    <row r="199" spans="2:12">
      <c r="B199" s="165"/>
      <c r="C199" s="652">
        <v>581004</v>
      </c>
      <c r="D199" s="653" t="s">
        <v>569</v>
      </c>
      <c r="E199" s="950">
        <v>42821</v>
      </c>
      <c r="F199" s="950">
        <v>42971</v>
      </c>
      <c r="G199" s="945"/>
      <c r="H199" s="942"/>
      <c r="I199" s="942"/>
      <c r="J199" s="943"/>
      <c r="K199" s="943"/>
      <c r="L199" s="4"/>
    </row>
    <row r="200" spans="2:12">
      <c r="B200" s="165"/>
      <c r="C200" s="652">
        <v>280222</v>
      </c>
      <c r="D200" s="653" t="s">
        <v>570</v>
      </c>
      <c r="E200" s="950">
        <v>15287</v>
      </c>
      <c r="F200" s="950">
        <v>15437</v>
      </c>
      <c r="G200" s="945"/>
      <c r="H200" s="942"/>
      <c r="I200" s="942"/>
      <c r="J200" s="943"/>
      <c r="K200" s="943"/>
      <c r="L200" s="4"/>
    </row>
    <row r="201" spans="2:12">
      <c r="B201" s="165"/>
      <c r="C201" s="652">
        <v>442115</v>
      </c>
      <c r="D201" s="653" t="s">
        <v>571</v>
      </c>
      <c r="E201" s="950">
        <v>14357</v>
      </c>
      <c r="F201" s="950">
        <v>14507</v>
      </c>
      <c r="G201" s="945"/>
      <c r="H201" s="942"/>
      <c r="I201" s="942"/>
      <c r="J201" s="943"/>
      <c r="K201" s="943"/>
      <c r="L201" s="4"/>
    </row>
    <row r="202" spans="2:12">
      <c r="B202" s="165"/>
      <c r="C202" s="652">
        <v>270601</v>
      </c>
      <c r="D202" s="653" t="s">
        <v>572</v>
      </c>
      <c r="E202" s="950">
        <v>11458</v>
      </c>
      <c r="F202" s="950">
        <v>11608</v>
      </c>
      <c r="G202" s="945"/>
      <c r="H202" s="942"/>
      <c r="I202" s="942"/>
      <c r="J202" s="943"/>
      <c r="K202" s="943"/>
      <c r="L202" s="4"/>
    </row>
    <row r="203" spans="2:12">
      <c r="B203" s="165"/>
      <c r="C203" s="652">
        <v>61503</v>
      </c>
      <c r="D203" s="653" t="s">
        <v>573</v>
      </c>
      <c r="E203" s="950">
        <v>10834</v>
      </c>
      <c r="F203" s="950">
        <v>10984</v>
      </c>
      <c r="G203" s="945"/>
      <c r="H203" s="942"/>
      <c r="I203" s="942"/>
      <c r="J203" s="943"/>
      <c r="K203" s="943"/>
      <c r="L203" s="4"/>
    </row>
    <row r="204" spans="2:12">
      <c r="B204" s="165"/>
      <c r="C204" s="652">
        <v>640502</v>
      </c>
      <c r="D204" s="653" t="s">
        <v>574</v>
      </c>
      <c r="E204" s="950">
        <v>14197</v>
      </c>
      <c r="F204" s="950">
        <v>14347</v>
      </c>
      <c r="G204" s="945"/>
      <c r="H204" s="942"/>
      <c r="I204" s="942"/>
      <c r="J204" s="943"/>
      <c r="K204" s="943"/>
      <c r="L204" s="4"/>
    </row>
    <row r="205" spans="2:12">
      <c r="B205" s="165"/>
      <c r="C205" s="652">
        <v>640601</v>
      </c>
      <c r="D205" s="653" t="s">
        <v>575</v>
      </c>
      <c r="E205" s="950">
        <v>11843</v>
      </c>
      <c r="F205" s="950">
        <v>11993</v>
      </c>
      <c r="G205" s="945"/>
      <c r="H205" s="942"/>
      <c r="I205" s="942"/>
      <c r="J205" s="943"/>
      <c r="K205" s="943"/>
      <c r="L205" s="4"/>
    </row>
    <row r="206" spans="2:12">
      <c r="B206" s="165"/>
      <c r="C206" s="652">
        <v>270701</v>
      </c>
      <c r="D206" s="653" t="s">
        <v>576</v>
      </c>
      <c r="E206" s="950">
        <v>13191</v>
      </c>
      <c r="F206" s="950">
        <v>13341</v>
      </c>
      <c r="G206" s="945"/>
      <c r="H206" s="942"/>
      <c r="I206" s="942"/>
      <c r="J206" s="943"/>
      <c r="K206" s="943"/>
      <c r="L206" s="4"/>
    </row>
    <row r="207" spans="2:12">
      <c r="B207" s="165"/>
      <c r="C207" s="652">
        <v>210402</v>
      </c>
      <c r="D207" s="653" t="s">
        <v>577</v>
      </c>
      <c r="E207" s="950">
        <v>9560</v>
      </c>
      <c r="F207" s="950">
        <v>9710</v>
      </c>
      <c r="G207" s="945"/>
      <c r="H207" s="942"/>
      <c r="I207" s="942"/>
      <c r="J207" s="943"/>
      <c r="K207" s="943"/>
      <c r="L207" s="4"/>
    </row>
    <row r="208" spans="2:12">
      <c r="B208" s="165"/>
      <c r="C208" s="652">
        <v>120701</v>
      </c>
      <c r="D208" s="653" t="s">
        <v>578</v>
      </c>
      <c r="E208" s="950">
        <v>13106</v>
      </c>
      <c r="F208" s="950">
        <v>13606</v>
      </c>
      <c r="G208" s="945"/>
      <c r="H208" s="942"/>
      <c r="I208" s="942"/>
      <c r="J208" s="943"/>
      <c r="K208" s="943"/>
      <c r="L208" s="4"/>
    </row>
    <row r="209" spans="2:12">
      <c r="B209" s="165"/>
      <c r="C209" s="652">
        <v>280217</v>
      </c>
      <c r="D209" s="653" t="s">
        <v>579</v>
      </c>
      <c r="E209" s="950">
        <v>13762</v>
      </c>
      <c r="F209" s="950">
        <v>13912</v>
      </c>
      <c r="G209" s="945"/>
      <c r="H209" s="942"/>
      <c r="I209" s="942"/>
      <c r="J209" s="943"/>
      <c r="K209" s="943"/>
      <c r="L209" s="4"/>
    </row>
    <row r="210" spans="2:12">
      <c r="B210" s="165"/>
      <c r="C210" s="652">
        <v>41101</v>
      </c>
      <c r="D210" s="653" t="s">
        <v>580</v>
      </c>
      <c r="E210" s="950">
        <v>11701</v>
      </c>
      <c r="F210" s="950">
        <v>11851</v>
      </c>
      <c r="G210" s="945"/>
      <c r="H210" s="942"/>
      <c r="I210" s="942"/>
      <c r="J210" s="943"/>
      <c r="K210" s="943"/>
      <c r="L210" s="4"/>
    </row>
    <row r="211" spans="2:12">
      <c r="B211" s="165"/>
      <c r="C211" s="652">
        <v>62201</v>
      </c>
      <c r="D211" s="653" t="s">
        <v>581</v>
      </c>
      <c r="E211" s="950">
        <v>12357</v>
      </c>
      <c r="F211" s="950">
        <v>12507</v>
      </c>
      <c r="G211" s="945"/>
      <c r="H211" s="942"/>
      <c r="I211" s="942"/>
      <c r="J211" s="943"/>
      <c r="K211" s="943"/>
      <c r="L211" s="4"/>
    </row>
    <row r="212" spans="2:12">
      <c r="B212" s="165"/>
      <c r="C212" s="652">
        <v>280209</v>
      </c>
      <c r="D212" s="653" t="s">
        <v>582</v>
      </c>
      <c r="E212" s="950">
        <v>16053</v>
      </c>
      <c r="F212" s="950">
        <v>16203</v>
      </c>
      <c r="G212" s="945"/>
      <c r="H212" s="942"/>
      <c r="I212" s="942"/>
      <c r="J212" s="943"/>
      <c r="K212" s="943"/>
      <c r="L212" s="4"/>
    </row>
    <row r="213" spans="2:12">
      <c r="B213" s="165"/>
      <c r="C213" s="652">
        <v>60301</v>
      </c>
      <c r="D213" s="653" t="s">
        <v>583</v>
      </c>
      <c r="E213" s="950">
        <v>10556</v>
      </c>
      <c r="F213" s="950">
        <v>10706</v>
      </c>
      <c r="G213" s="945"/>
      <c r="H213" s="942"/>
      <c r="I213" s="942"/>
      <c r="J213" s="943"/>
      <c r="K213" s="943"/>
      <c r="L213" s="4"/>
    </row>
    <row r="214" spans="2:12">
      <c r="B214" s="165"/>
      <c r="C214" s="652">
        <v>21601</v>
      </c>
      <c r="D214" s="653" t="s">
        <v>584</v>
      </c>
      <c r="E214" s="950">
        <v>12385</v>
      </c>
      <c r="F214" s="950">
        <v>12885</v>
      </c>
      <c r="G214" s="945"/>
      <c r="H214" s="942"/>
      <c r="I214" s="942"/>
      <c r="J214" s="943"/>
      <c r="K214" s="943"/>
      <c r="L214" s="4"/>
    </row>
    <row r="215" spans="2:12">
      <c r="B215" s="165"/>
      <c r="C215" s="652">
        <v>141604</v>
      </c>
      <c r="D215" s="653" t="s">
        <v>585</v>
      </c>
      <c r="E215" s="950">
        <v>9109</v>
      </c>
      <c r="F215" s="950">
        <v>9259</v>
      </c>
      <c r="G215" s="945"/>
      <c r="H215" s="942"/>
      <c r="I215" s="942"/>
      <c r="J215" s="943"/>
      <c r="K215" s="943"/>
      <c r="L215" s="4"/>
    </row>
    <row r="216" spans="2:12">
      <c r="B216" s="165"/>
      <c r="C216" s="652">
        <v>460500</v>
      </c>
      <c r="D216" s="653" t="s">
        <v>586</v>
      </c>
      <c r="E216" s="950">
        <v>11966</v>
      </c>
      <c r="F216" s="950">
        <v>12116</v>
      </c>
      <c r="G216" s="945"/>
      <c r="H216" s="942"/>
      <c r="I216" s="942"/>
      <c r="J216" s="943"/>
      <c r="K216" s="943"/>
      <c r="L216" s="4"/>
    </row>
    <row r="217" spans="2:12">
      <c r="B217" s="165"/>
      <c r="C217" s="652">
        <v>520701</v>
      </c>
      <c r="D217" s="653" t="s">
        <v>587</v>
      </c>
      <c r="E217" s="950">
        <v>10507</v>
      </c>
      <c r="F217" s="950">
        <v>10657</v>
      </c>
      <c r="G217" s="945"/>
      <c r="H217" s="942"/>
      <c r="I217" s="942"/>
      <c r="J217" s="943"/>
      <c r="K217" s="943"/>
      <c r="L217" s="4"/>
    </row>
    <row r="218" spans="2:12">
      <c r="B218" s="165"/>
      <c r="C218" s="652">
        <v>650902</v>
      </c>
      <c r="D218" s="653" t="s">
        <v>588</v>
      </c>
      <c r="E218" s="950">
        <v>10107</v>
      </c>
      <c r="F218" s="950">
        <v>10257</v>
      </c>
      <c r="G218" s="945"/>
      <c r="H218" s="942"/>
      <c r="I218" s="942"/>
      <c r="J218" s="943"/>
      <c r="K218" s="943"/>
      <c r="L218" s="4"/>
    </row>
    <row r="219" spans="2:12">
      <c r="B219" s="165"/>
      <c r="C219" s="652">
        <v>280218</v>
      </c>
      <c r="D219" s="653" t="s">
        <v>589</v>
      </c>
      <c r="E219" s="950">
        <v>17970</v>
      </c>
      <c r="F219" s="950">
        <v>18120</v>
      </c>
      <c r="G219" s="945"/>
      <c r="H219" s="942"/>
      <c r="I219" s="942"/>
      <c r="J219" s="943"/>
      <c r="K219" s="943"/>
      <c r="L219" s="4"/>
    </row>
    <row r="220" spans="2:12">
      <c r="B220" s="165"/>
      <c r="C220" s="652">
        <v>480404</v>
      </c>
      <c r="D220" s="653" t="s">
        <v>590</v>
      </c>
      <c r="E220" s="950">
        <v>22063</v>
      </c>
      <c r="F220" s="950">
        <v>22213</v>
      </c>
      <c r="G220" s="945"/>
      <c r="H220" s="942"/>
      <c r="I220" s="942"/>
      <c r="J220" s="943"/>
      <c r="K220" s="943"/>
      <c r="L220" s="4"/>
    </row>
    <row r="221" spans="2:12">
      <c r="B221" s="165"/>
      <c r="C221" s="652">
        <v>260401</v>
      </c>
      <c r="D221" s="653" t="s">
        <v>591</v>
      </c>
      <c r="E221" s="950">
        <v>12709</v>
      </c>
      <c r="F221" s="950">
        <v>12859</v>
      </c>
      <c r="G221" s="945"/>
      <c r="H221" s="942"/>
      <c r="I221" s="942"/>
      <c r="J221" s="943"/>
      <c r="K221" s="943"/>
      <c r="L221" s="4"/>
    </row>
    <row r="222" spans="2:12">
      <c r="B222" s="165"/>
      <c r="C222" s="652">
        <v>220401</v>
      </c>
      <c r="D222" s="653" t="s">
        <v>592</v>
      </c>
      <c r="E222" s="950">
        <v>8930</v>
      </c>
      <c r="F222" s="950">
        <v>9080</v>
      </c>
      <c r="G222" s="945"/>
      <c r="H222" s="942"/>
      <c r="I222" s="942"/>
      <c r="J222" s="943"/>
      <c r="K222" s="943"/>
      <c r="L222" s="4"/>
    </row>
    <row r="223" spans="2:12">
      <c r="B223" s="165"/>
      <c r="C223" s="652">
        <v>20702</v>
      </c>
      <c r="D223" s="653" t="s">
        <v>593</v>
      </c>
      <c r="E223" s="950">
        <v>11363</v>
      </c>
      <c r="F223" s="950">
        <v>11513</v>
      </c>
      <c r="G223" s="945"/>
      <c r="H223" s="942"/>
      <c r="I223" s="942"/>
      <c r="J223" s="943"/>
      <c r="K223" s="943"/>
      <c r="L223" s="4"/>
    </row>
    <row r="224" spans="2:12">
      <c r="B224" s="165"/>
      <c r="C224" s="652">
        <v>240401</v>
      </c>
      <c r="D224" s="653" t="s">
        <v>594</v>
      </c>
      <c r="E224" s="950">
        <v>12607</v>
      </c>
      <c r="F224" s="950">
        <v>12757</v>
      </c>
      <c r="G224" s="945"/>
      <c r="H224" s="942"/>
      <c r="I224" s="942"/>
      <c r="J224" s="943"/>
      <c r="K224" s="943"/>
      <c r="L224" s="4"/>
    </row>
    <row r="225" spans="2:12">
      <c r="B225" s="165"/>
      <c r="C225" s="652">
        <v>430700</v>
      </c>
      <c r="D225" s="653" t="s">
        <v>595</v>
      </c>
      <c r="E225" s="950">
        <v>13038</v>
      </c>
      <c r="F225" s="950">
        <v>13188</v>
      </c>
      <c r="G225" s="945"/>
      <c r="H225" s="942"/>
      <c r="I225" s="942"/>
      <c r="J225" s="943"/>
      <c r="K225" s="943"/>
      <c r="L225" s="4"/>
    </row>
    <row r="226" spans="2:12">
      <c r="B226" s="165"/>
      <c r="C226" s="652">
        <v>81401</v>
      </c>
      <c r="D226" s="653" t="s">
        <v>596</v>
      </c>
      <c r="E226" s="950">
        <v>13221</v>
      </c>
      <c r="F226" s="950">
        <v>13371</v>
      </c>
      <c r="G226" s="945"/>
      <c r="H226" s="942"/>
      <c r="I226" s="942"/>
      <c r="J226" s="943"/>
      <c r="K226" s="943"/>
      <c r="L226" s="4"/>
    </row>
    <row r="227" spans="2:12">
      <c r="B227" s="165"/>
      <c r="C227" s="652">
        <v>100902</v>
      </c>
      <c r="D227" s="653" t="s">
        <v>597</v>
      </c>
      <c r="E227" s="950">
        <v>14964</v>
      </c>
      <c r="F227" s="950">
        <v>15114</v>
      </c>
      <c r="G227" s="945"/>
      <c r="H227" s="942"/>
      <c r="I227" s="942"/>
      <c r="J227" s="943"/>
      <c r="K227" s="943"/>
      <c r="L227" s="4"/>
    </row>
    <row r="228" spans="2:12">
      <c r="B228" s="165"/>
      <c r="C228" s="652">
        <v>470202</v>
      </c>
      <c r="D228" s="653" t="s">
        <v>598</v>
      </c>
      <c r="E228" s="950">
        <v>11669</v>
      </c>
      <c r="F228" s="950">
        <v>11819</v>
      </c>
      <c r="G228" s="945"/>
      <c r="H228" s="942"/>
      <c r="I228" s="942"/>
      <c r="J228" s="943"/>
      <c r="K228" s="943"/>
      <c r="L228" s="4"/>
    </row>
    <row r="229" spans="2:12">
      <c r="B229" s="165"/>
      <c r="C229" s="652">
        <v>540801</v>
      </c>
      <c r="D229" s="653" t="s">
        <v>599</v>
      </c>
      <c r="E229" s="950">
        <v>16057</v>
      </c>
      <c r="F229" s="950">
        <v>16207</v>
      </c>
      <c r="G229" s="945"/>
      <c r="H229" s="942"/>
      <c r="I229" s="942"/>
      <c r="J229" s="943"/>
      <c r="K229" s="943"/>
      <c r="L229" s="4"/>
    </row>
    <row r="230" spans="2:12">
      <c r="B230" s="165"/>
      <c r="C230" s="652">
        <v>280100</v>
      </c>
      <c r="D230" s="653" t="s">
        <v>600</v>
      </c>
      <c r="E230" s="950">
        <v>18535</v>
      </c>
      <c r="F230" s="950">
        <v>18685</v>
      </c>
      <c r="G230" s="945"/>
      <c r="H230" s="942"/>
      <c r="I230" s="942"/>
      <c r="J230" s="943"/>
      <c r="K230" s="943"/>
      <c r="L230" s="4"/>
    </row>
    <row r="231" spans="2:12">
      <c r="B231" s="165"/>
      <c r="C231" s="652">
        <v>630300</v>
      </c>
      <c r="D231" s="653" t="s">
        <v>601</v>
      </c>
      <c r="E231" s="950">
        <v>11819</v>
      </c>
      <c r="F231" s="950">
        <v>11969</v>
      </c>
      <c r="G231" s="945"/>
      <c r="H231" s="942"/>
      <c r="I231" s="942"/>
      <c r="J231" s="943"/>
      <c r="K231" s="943"/>
      <c r="L231" s="4"/>
    </row>
    <row r="232" spans="2:12">
      <c r="B232" s="165"/>
      <c r="C232" s="652">
        <v>630918</v>
      </c>
      <c r="D232" s="653" t="s">
        <v>602</v>
      </c>
      <c r="E232" s="950">
        <v>12350</v>
      </c>
      <c r="F232" s="950">
        <v>12500</v>
      </c>
      <c r="G232" s="945"/>
      <c r="H232" s="942"/>
      <c r="I232" s="942"/>
      <c r="J232" s="943"/>
      <c r="K232" s="943"/>
      <c r="L232" s="4"/>
    </row>
    <row r="233" spans="2:12">
      <c r="B233" s="165"/>
      <c r="C233" s="652">
        <v>170500</v>
      </c>
      <c r="D233" s="653" t="s">
        <v>603</v>
      </c>
      <c r="E233" s="950">
        <v>10215</v>
      </c>
      <c r="F233" s="950">
        <v>10365</v>
      </c>
      <c r="G233" s="945"/>
      <c r="H233" s="942"/>
      <c r="I233" s="942"/>
      <c r="J233" s="943"/>
      <c r="K233" s="943"/>
      <c r="L233" s="4"/>
    </row>
    <row r="234" spans="2:12">
      <c r="B234" s="165"/>
      <c r="C234" s="652">
        <v>430901</v>
      </c>
      <c r="D234" s="653" t="s">
        <v>604</v>
      </c>
      <c r="E234" s="950">
        <v>12222</v>
      </c>
      <c r="F234" s="950">
        <v>12372</v>
      </c>
      <c r="G234" s="945"/>
      <c r="H234" s="942"/>
      <c r="I234" s="942"/>
      <c r="J234" s="943"/>
      <c r="K234" s="943"/>
      <c r="L234" s="4"/>
    </row>
    <row r="235" spans="2:12">
      <c r="B235" s="165"/>
      <c r="C235" s="652">
        <v>440601</v>
      </c>
      <c r="D235" s="653" t="s">
        <v>605</v>
      </c>
      <c r="E235" s="950">
        <v>13123</v>
      </c>
      <c r="F235" s="950">
        <v>13273</v>
      </c>
      <c r="G235" s="945"/>
      <c r="H235" s="942"/>
      <c r="I235" s="942"/>
      <c r="J235" s="943"/>
      <c r="K235" s="943"/>
      <c r="L235" s="4"/>
    </row>
    <row r="236" spans="2:12">
      <c r="B236" s="165"/>
      <c r="C236" s="652">
        <v>511101</v>
      </c>
      <c r="D236" s="653" t="s">
        <v>606</v>
      </c>
      <c r="E236" s="950">
        <v>10605</v>
      </c>
      <c r="F236" s="950">
        <v>10755</v>
      </c>
      <c r="G236" s="945"/>
      <c r="H236" s="942"/>
      <c r="I236" s="942"/>
      <c r="J236" s="943"/>
      <c r="K236" s="943"/>
      <c r="L236" s="4"/>
    </row>
    <row r="237" spans="2:12">
      <c r="B237" s="165"/>
      <c r="C237" s="652">
        <v>42801</v>
      </c>
      <c r="D237" s="653" t="s">
        <v>607</v>
      </c>
      <c r="E237" s="950">
        <v>11676</v>
      </c>
      <c r="F237" s="950">
        <v>11826</v>
      </c>
      <c r="G237" s="945"/>
      <c r="H237" s="942"/>
      <c r="I237" s="942"/>
      <c r="J237" s="943"/>
      <c r="K237" s="943"/>
      <c r="L237" s="4"/>
    </row>
    <row r="238" spans="2:12">
      <c r="B238" s="165"/>
      <c r="C238" s="652">
        <v>141501</v>
      </c>
      <c r="D238" s="653" t="s">
        <v>608</v>
      </c>
      <c r="E238" s="950">
        <v>10265</v>
      </c>
      <c r="F238" s="950">
        <v>10415</v>
      </c>
      <c r="G238" s="945"/>
      <c r="H238" s="942"/>
      <c r="I238" s="942"/>
      <c r="J238" s="943"/>
      <c r="K238" s="943"/>
      <c r="L238" s="4"/>
    </row>
    <row r="239" spans="2:12">
      <c r="B239" s="165"/>
      <c r="C239" s="652">
        <v>640701</v>
      </c>
      <c r="D239" s="653" t="s">
        <v>609</v>
      </c>
      <c r="E239" s="950">
        <v>10710</v>
      </c>
      <c r="F239" s="950">
        <v>10860</v>
      </c>
      <c r="G239" s="945"/>
      <c r="H239" s="942"/>
      <c r="I239" s="942"/>
      <c r="J239" s="943"/>
      <c r="K239" s="943"/>
      <c r="L239" s="4"/>
    </row>
    <row r="240" spans="2:12">
      <c r="B240" s="165"/>
      <c r="C240" s="652">
        <v>280407</v>
      </c>
      <c r="D240" s="653" t="s">
        <v>610</v>
      </c>
      <c r="E240" s="950">
        <v>22818</v>
      </c>
      <c r="F240" s="950">
        <v>22968</v>
      </c>
      <c r="G240" s="945"/>
      <c r="H240" s="942"/>
      <c r="I240" s="942"/>
      <c r="J240" s="943"/>
      <c r="K240" s="943"/>
      <c r="L240" s="4"/>
    </row>
    <row r="241" spans="2:12">
      <c r="B241" s="165"/>
      <c r="C241" s="652">
        <v>260501</v>
      </c>
      <c r="D241" s="653" t="s">
        <v>611</v>
      </c>
      <c r="E241" s="950">
        <v>11329</v>
      </c>
      <c r="F241" s="950">
        <v>11479</v>
      </c>
      <c r="G241" s="945"/>
      <c r="H241" s="942"/>
      <c r="I241" s="942"/>
      <c r="J241" s="943"/>
      <c r="K241" s="943"/>
      <c r="L241" s="4"/>
    </row>
    <row r="242" spans="2:12">
      <c r="B242" s="165"/>
      <c r="C242" s="652">
        <v>10701</v>
      </c>
      <c r="D242" s="653" t="s">
        <v>612</v>
      </c>
      <c r="E242" s="950">
        <v>13012</v>
      </c>
      <c r="F242" s="950">
        <v>13162</v>
      </c>
      <c r="G242" s="945"/>
      <c r="H242" s="942"/>
      <c r="I242" s="942"/>
      <c r="J242" s="943"/>
      <c r="K242" s="943"/>
      <c r="L242" s="4"/>
    </row>
    <row r="243" spans="2:12">
      <c r="B243" s="165"/>
      <c r="C243" s="652">
        <v>660407</v>
      </c>
      <c r="D243" s="653" t="s">
        <v>613</v>
      </c>
      <c r="E243" s="950">
        <v>22693</v>
      </c>
      <c r="F243" s="950">
        <v>22843</v>
      </c>
      <c r="G243" s="945"/>
      <c r="H243" s="942"/>
      <c r="I243" s="942"/>
      <c r="J243" s="943"/>
      <c r="K243" s="943"/>
      <c r="L243" s="4"/>
    </row>
    <row r="244" spans="2:12">
      <c r="B244" s="165"/>
      <c r="C244" s="652">
        <v>80601</v>
      </c>
      <c r="D244" s="653" t="s">
        <v>614</v>
      </c>
      <c r="E244" s="950">
        <v>10915</v>
      </c>
      <c r="F244" s="950">
        <v>11065</v>
      </c>
      <c r="G244" s="945"/>
      <c r="H244" s="942"/>
      <c r="I244" s="942"/>
      <c r="J244" s="943"/>
      <c r="K244" s="943"/>
      <c r="L244" s="4"/>
    </row>
    <row r="245" spans="2:12">
      <c r="B245" s="165"/>
      <c r="C245" s="652">
        <v>581010</v>
      </c>
      <c r="D245" s="653" t="s">
        <v>615</v>
      </c>
      <c r="E245" s="950">
        <v>17050</v>
      </c>
      <c r="F245" s="950">
        <v>17200</v>
      </c>
      <c r="G245" s="945"/>
      <c r="H245" s="942"/>
      <c r="I245" s="942"/>
      <c r="J245" s="943"/>
      <c r="K245" s="943"/>
      <c r="L245" s="4"/>
    </row>
    <row r="246" spans="2:12">
      <c r="B246" s="165"/>
      <c r="C246" s="652">
        <v>190701</v>
      </c>
      <c r="D246" s="653" t="s">
        <v>616</v>
      </c>
      <c r="E246" s="950">
        <v>13804</v>
      </c>
      <c r="F246" s="950">
        <v>13954</v>
      </c>
      <c r="G246" s="945"/>
      <c r="H246" s="942"/>
      <c r="I246" s="942"/>
      <c r="J246" s="943"/>
      <c r="K246" s="943"/>
      <c r="L246" s="4"/>
    </row>
    <row r="247" spans="2:12">
      <c r="B247" s="165"/>
      <c r="C247" s="652">
        <v>640801</v>
      </c>
      <c r="D247" s="653" t="s">
        <v>617</v>
      </c>
      <c r="E247" s="950">
        <v>12481</v>
      </c>
      <c r="F247" s="950">
        <v>12631</v>
      </c>
      <c r="G247" s="945"/>
      <c r="H247" s="942"/>
      <c r="I247" s="942"/>
      <c r="J247" s="943"/>
      <c r="K247" s="943"/>
      <c r="L247" s="4"/>
    </row>
    <row r="248" spans="2:12">
      <c r="B248" s="165"/>
      <c r="C248" s="652">
        <v>442111</v>
      </c>
      <c r="D248" s="653" t="s">
        <v>618</v>
      </c>
      <c r="E248" s="950">
        <v>18661</v>
      </c>
      <c r="F248" s="950">
        <v>18811</v>
      </c>
      <c r="G248" s="945"/>
      <c r="H248" s="942"/>
      <c r="I248" s="942"/>
      <c r="J248" s="943"/>
      <c r="K248" s="943"/>
      <c r="L248" s="4"/>
    </row>
    <row r="249" spans="2:12">
      <c r="B249" s="165"/>
      <c r="C249" s="652">
        <v>610501</v>
      </c>
      <c r="D249" s="653" t="s">
        <v>619</v>
      </c>
      <c r="E249" s="950">
        <v>10756</v>
      </c>
      <c r="F249" s="950">
        <v>10906</v>
      </c>
      <c r="G249" s="945"/>
      <c r="H249" s="942"/>
      <c r="I249" s="942"/>
      <c r="J249" s="943"/>
      <c r="K249" s="943"/>
      <c r="L249" s="4"/>
    </row>
    <row r="250" spans="2:12">
      <c r="B250" s="165"/>
      <c r="C250" s="652">
        <v>10802</v>
      </c>
      <c r="D250" s="653" t="s">
        <v>620</v>
      </c>
      <c r="E250" s="950">
        <v>11704</v>
      </c>
      <c r="F250" s="950">
        <v>11854</v>
      </c>
      <c r="G250" s="945"/>
      <c r="H250" s="942"/>
      <c r="I250" s="942"/>
      <c r="J250" s="943"/>
      <c r="K250" s="943"/>
      <c r="L250" s="4"/>
    </row>
    <row r="251" spans="2:12">
      <c r="B251" s="165"/>
      <c r="C251" s="652">
        <v>630801</v>
      </c>
      <c r="D251" s="653" t="s">
        <v>621</v>
      </c>
      <c r="E251" s="950">
        <v>14095</v>
      </c>
      <c r="F251" s="950">
        <v>14245</v>
      </c>
      <c r="G251" s="945"/>
      <c r="H251" s="942"/>
      <c r="I251" s="942"/>
      <c r="J251" s="943"/>
      <c r="K251" s="943"/>
      <c r="L251" s="4"/>
    </row>
    <row r="252" spans="2:12">
      <c r="B252" s="165"/>
      <c r="C252" s="652">
        <v>480401</v>
      </c>
      <c r="D252" s="653" t="s">
        <v>622</v>
      </c>
      <c r="E252" s="950">
        <v>16837</v>
      </c>
      <c r="F252" s="950">
        <v>16987</v>
      </c>
      <c r="G252" s="945"/>
      <c r="H252" s="942"/>
      <c r="I252" s="942"/>
      <c r="J252" s="943"/>
      <c r="K252" s="943"/>
      <c r="L252" s="4"/>
    </row>
    <row r="253" spans="2:12">
      <c r="B253" s="165"/>
      <c r="C253" s="652">
        <v>580405</v>
      </c>
      <c r="D253" s="653" t="s">
        <v>623</v>
      </c>
      <c r="E253" s="950">
        <v>15246</v>
      </c>
      <c r="F253" s="950">
        <v>15396</v>
      </c>
      <c r="G253" s="945"/>
      <c r="H253" s="942"/>
      <c r="I253" s="942"/>
      <c r="J253" s="943"/>
      <c r="K253" s="943"/>
      <c r="L253" s="4"/>
    </row>
    <row r="254" spans="2:12">
      <c r="B254" s="165"/>
      <c r="C254" s="652">
        <v>141601</v>
      </c>
      <c r="D254" s="653" t="s">
        <v>624</v>
      </c>
      <c r="E254" s="950">
        <v>10066</v>
      </c>
      <c r="F254" s="950">
        <v>10216</v>
      </c>
      <c r="G254" s="945"/>
      <c r="H254" s="942"/>
      <c r="I254" s="942"/>
      <c r="J254" s="943"/>
      <c r="K254" s="943"/>
      <c r="L254" s="4"/>
    </row>
    <row r="255" spans="2:12">
      <c r="B255" s="165"/>
      <c r="C255" s="652">
        <v>250701</v>
      </c>
      <c r="D255" s="653" t="s">
        <v>625</v>
      </c>
      <c r="E255" s="950">
        <v>13247</v>
      </c>
      <c r="F255" s="950">
        <v>13397</v>
      </c>
      <c r="G255" s="945"/>
      <c r="H255" s="942"/>
      <c r="I255" s="942"/>
      <c r="J255" s="943"/>
      <c r="K255" s="943"/>
      <c r="L255" s="4"/>
    </row>
    <row r="256" spans="2:12">
      <c r="B256" s="165"/>
      <c r="C256" s="652">
        <v>511201</v>
      </c>
      <c r="D256" s="653" t="s">
        <v>626</v>
      </c>
      <c r="E256" s="950">
        <v>13077</v>
      </c>
      <c r="F256" s="950">
        <v>13227</v>
      </c>
      <c r="G256" s="945"/>
      <c r="H256" s="942"/>
      <c r="I256" s="942"/>
      <c r="J256" s="943"/>
      <c r="K256" s="943"/>
      <c r="L256" s="4"/>
    </row>
    <row r="257" spans="2:12">
      <c r="B257" s="165"/>
      <c r="C257" s="652">
        <v>572901</v>
      </c>
      <c r="D257" s="653" t="s">
        <v>627</v>
      </c>
      <c r="E257" s="950">
        <v>15116</v>
      </c>
      <c r="F257" s="950">
        <v>15266</v>
      </c>
      <c r="G257" s="945"/>
      <c r="H257" s="942"/>
      <c r="I257" s="942"/>
      <c r="J257" s="943"/>
      <c r="K257" s="943"/>
      <c r="L257" s="4"/>
    </row>
    <row r="258" spans="2:12">
      <c r="B258" s="165"/>
      <c r="C258" s="652">
        <v>580905</v>
      </c>
      <c r="D258" s="653" t="s">
        <v>628</v>
      </c>
      <c r="E258" s="950">
        <v>16443</v>
      </c>
      <c r="F258" s="950">
        <v>16593</v>
      </c>
      <c r="G258" s="945"/>
      <c r="H258" s="942"/>
      <c r="I258" s="942"/>
      <c r="J258" s="943"/>
      <c r="K258" s="943"/>
      <c r="L258" s="4"/>
    </row>
    <row r="259" spans="2:12">
      <c r="B259" s="165"/>
      <c r="C259" s="652">
        <v>120906</v>
      </c>
      <c r="D259" s="653" t="s">
        <v>629</v>
      </c>
      <c r="E259" s="950">
        <v>14617</v>
      </c>
      <c r="F259" s="950">
        <v>14767</v>
      </c>
      <c r="G259" s="945"/>
      <c r="H259" s="942"/>
      <c r="I259" s="942"/>
      <c r="J259" s="943"/>
      <c r="K259" s="943"/>
      <c r="L259" s="4"/>
    </row>
    <row r="260" spans="2:12">
      <c r="B260" s="165"/>
      <c r="C260" s="652">
        <v>460701</v>
      </c>
      <c r="D260" s="653" t="s">
        <v>630</v>
      </c>
      <c r="E260" s="950">
        <v>10528</v>
      </c>
      <c r="F260" s="950">
        <v>10678</v>
      </c>
      <c r="G260" s="945"/>
      <c r="H260" s="942"/>
      <c r="I260" s="942"/>
      <c r="J260" s="943"/>
      <c r="K260" s="943"/>
      <c r="L260" s="4"/>
    </row>
    <row r="261" spans="2:12">
      <c r="B261" s="165"/>
      <c r="C261" s="652">
        <v>580406</v>
      </c>
      <c r="D261" s="653" t="s">
        <v>631</v>
      </c>
      <c r="E261" s="950">
        <v>14123</v>
      </c>
      <c r="F261" s="950">
        <v>14273</v>
      </c>
      <c r="G261" s="945"/>
      <c r="H261" s="942"/>
      <c r="I261" s="942"/>
      <c r="J261" s="943"/>
      <c r="K261" s="943"/>
      <c r="L261" s="4"/>
    </row>
    <row r="262" spans="2:12">
      <c r="B262" s="165"/>
      <c r="C262" s="652">
        <v>30501</v>
      </c>
      <c r="D262" s="653" t="s">
        <v>632</v>
      </c>
      <c r="E262" s="950">
        <v>10237</v>
      </c>
      <c r="F262" s="950">
        <v>10387</v>
      </c>
      <c r="G262" s="945"/>
      <c r="H262" s="942"/>
      <c r="I262" s="942"/>
      <c r="J262" s="943"/>
      <c r="K262" s="943"/>
      <c r="L262" s="4"/>
    </row>
    <row r="263" spans="2:12">
      <c r="B263" s="165"/>
      <c r="C263" s="652">
        <v>660501</v>
      </c>
      <c r="D263" s="653" t="s">
        <v>633</v>
      </c>
      <c r="E263" s="950">
        <v>23807</v>
      </c>
      <c r="F263" s="950">
        <v>23957</v>
      </c>
      <c r="G263" s="945"/>
      <c r="H263" s="942"/>
      <c r="I263" s="942"/>
      <c r="J263" s="943"/>
      <c r="K263" s="943"/>
      <c r="L263" s="4"/>
    </row>
    <row r="264" spans="2:12">
      <c r="B264" s="165"/>
      <c r="C264" s="652">
        <v>230301</v>
      </c>
      <c r="D264" s="653" t="s">
        <v>634</v>
      </c>
      <c r="E264" s="950">
        <v>12722</v>
      </c>
      <c r="F264" s="950">
        <v>12872</v>
      </c>
      <c r="G264" s="945"/>
      <c r="H264" s="942"/>
      <c r="I264" s="942"/>
      <c r="J264" s="943"/>
      <c r="K264" s="943"/>
      <c r="L264" s="4"/>
    </row>
    <row r="265" spans="2:12">
      <c r="B265" s="165"/>
      <c r="C265" s="652">
        <v>641001</v>
      </c>
      <c r="D265" s="653" t="s">
        <v>635</v>
      </c>
      <c r="E265" s="950">
        <v>12555</v>
      </c>
      <c r="F265" s="950">
        <v>12705</v>
      </c>
      <c r="G265" s="945"/>
      <c r="H265" s="942"/>
      <c r="I265" s="942"/>
      <c r="J265" s="943"/>
      <c r="K265" s="943"/>
      <c r="L265" s="4"/>
    </row>
    <row r="266" spans="2:12">
      <c r="B266" s="165"/>
      <c r="C266" s="652">
        <v>660404</v>
      </c>
      <c r="D266" s="653" t="s">
        <v>636</v>
      </c>
      <c r="E266" s="950">
        <v>19754</v>
      </c>
      <c r="F266" s="950">
        <v>19904</v>
      </c>
      <c r="G266" s="945"/>
      <c r="H266" s="942"/>
      <c r="I266" s="942"/>
      <c r="J266" s="943"/>
      <c r="K266" s="943"/>
      <c r="L266" s="4"/>
    </row>
    <row r="267" spans="2:12">
      <c r="B267" s="165"/>
      <c r="C267" s="652">
        <v>580506</v>
      </c>
      <c r="D267" s="653" t="s">
        <v>637</v>
      </c>
      <c r="E267" s="950">
        <v>16785</v>
      </c>
      <c r="F267" s="950">
        <v>16935</v>
      </c>
      <c r="G267" s="945"/>
      <c r="H267" s="942"/>
      <c r="I267" s="942"/>
      <c r="J267" s="943"/>
      <c r="K267" s="943"/>
      <c r="L267" s="4"/>
    </row>
    <row r="268" spans="2:12">
      <c r="B268" s="165"/>
      <c r="C268" s="652">
        <v>500201</v>
      </c>
      <c r="D268" s="653" t="s">
        <v>638</v>
      </c>
      <c r="E268" s="950">
        <v>17471</v>
      </c>
      <c r="F268" s="950">
        <v>17621</v>
      </c>
      <c r="G268" s="945"/>
      <c r="H268" s="942"/>
      <c r="I268" s="942"/>
      <c r="J268" s="943"/>
      <c r="K268" s="943"/>
      <c r="L268" s="4"/>
    </row>
    <row r="269" spans="2:12">
      <c r="B269" s="165"/>
      <c r="C269" s="652">
        <v>280201</v>
      </c>
      <c r="D269" s="653" t="s">
        <v>639</v>
      </c>
      <c r="E269" s="950">
        <v>18202</v>
      </c>
      <c r="F269" s="950">
        <v>18202</v>
      </c>
      <c r="G269" s="945"/>
      <c r="H269" s="942"/>
      <c r="I269" s="942"/>
      <c r="J269" s="943"/>
      <c r="K269" s="943"/>
      <c r="L269" s="4"/>
    </row>
    <row r="270" spans="2:12">
      <c r="B270" s="165"/>
      <c r="C270" s="652">
        <v>660203</v>
      </c>
      <c r="D270" s="653" t="s">
        <v>640</v>
      </c>
      <c r="E270" s="950">
        <v>18524</v>
      </c>
      <c r="F270" s="950">
        <v>18674</v>
      </c>
      <c r="G270" s="945"/>
      <c r="H270" s="942"/>
      <c r="I270" s="942"/>
      <c r="J270" s="943"/>
      <c r="K270" s="943"/>
      <c r="L270" s="4"/>
    </row>
    <row r="271" spans="2:12">
      <c r="B271" s="165"/>
      <c r="C271" s="652">
        <v>210601</v>
      </c>
      <c r="D271" s="653" t="s">
        <v>641</v>
      </c>
      <c r="E271" s="950">
        <v>9875</v>
      </c>
      <c r="F271" s="950">
        <v>10025</v>
      </c>
      <c r="G271" s="945"/>
      <c r="H271" s="942"/>
      <c r="I271" s="942"/>
      <c r="J271" s="943"/>
      <c r="K271" s="943"/>
      <c r="L271" s="4"/>
    </row>
    <row r="272" spans="2:12">
      <c r="B272" s="165"/>
      <c r="C272" s="652">
        <v>511301</v>
      </c>
      <c r="D272" s="653" t="s">
        <v>642</v>
      </c>
      <c r="E272" s="950">
        <v>12996</v>
      </c>
      <c r="F272" s="950">
        <v>13146</v>
      </c>
      <c r="G272" s="945"/>
      <c r="H272" s="942"/>
      <c r="I272" s="942"/>
      <c r="J272" s="943"/>
      <c r="K272" s="943"/>
      <c r="L272" s="4"/>
    </row>
    <row r="273" spans="2:12">
      <c r="B273" s="165"/>
      <c r="C273" s="652">
        <v>280409</v>
      </c>
      <c r="D273" s="653" t="s">
        <v>643</v>
      </c>
      <c r="E273" s="950">
        <v>17379</v>
      </c>
      <c r="F273" s="950">
        <v>17529</v>
      </c>
      <c r="G273" s="945"/>
      <c r="H273" s="942"/>
      <c r="I273" s="942"/>
      <c r="J273" s="943"/>
      <c r="K273" s="943"/>
      <c r="L273" s="4"/>
    </row>
    <row r="274" spans="2:12">
      <c r="B274" s="165"/>
      <c r="C274" s="652">
        <v>512404</v>
      </c>
      <c r="D274" s="653" t="s">
        <v>644</v>
      </c>
      <c r="E274" s="950">
        <v>11054</v>
      </c>
      <c r="F274" s="950">
        <v>11204</v>
      </c>
      <c r="G274" s="945"/>
      <c r="H274" s="942"/>
      <c r="I274" s="942"/>
      <c r="J274" s="943"/>
      <c r="K274" s="943"/>
      <c r="L274" s="4"/>
    </row>
    <row r="275" spans="2:12">
      <c r="B275" s="165"/>
      <c r="C275" s="652">
        <v>280214</v>
      </c>
      <c r="D275" s="653" t="s">
        <v>645</v>
      </c>
      <c r="E275" s="950">
        <v>22758</v>
      </c>
      <c r="F275" s="950">
        <v>22908</v>
      </c>
      <c r="G275" s="945"/>
      <c r="H275" s="942"/>
      <c r="I275" s="942"/>
      <c r="J275" s="943"/>
      <c r="K275" s="943"/>
      <c r="L275" s="4"/>
    </row>
    <row r="276" spans="2:12">
      <c r="B276" s="165"/>
      <c r="C276" s="652">
        <v>280517</v>
      </c>
      <c r="D276" s="653" t="s">
        <v>646</v>
      </c>
      <c r="E276" s="950">
        <v>15292</v>
      </c>
      <c r="F276" s="950">
        <v>15442</v>
      </c>
      <c r="G276" s="945"/>
      <c r="H276" s="942"/>
      <c r="I276" s="942"/>
      <c r="J276" s="943"/>
      <c r="K276" s="943"/>
      <c r="L276" s="4"/>
    </row>
    <row r="277" spans="2:12">
      <c r="B277" s="165"/>
      <c r="C277" s="652">
        <v>620803</v>
      </c>
      <c r="D277" s="653" t="s">
        <v>647</v>
      </c>
      <c r="E277" s="950">
        <v>12807</v>
      </c>
      <c r="F277" s="950">
        <v>12957</v>
      </c>
      <c r="G277" s="945"/>
      <c r="H277" s="942"/>
      <c r="I277" s="942"/>
      <c r="J277" s="943"/>
      <c r="K277" s="943"/>
      <c r="L277" s="4"/>
    </row>
    <row r="278" spans="2:12">
      <c r="B278" s="165"/>
      <c r="C278" s="652">
        <v>440901</v>
      </c>
      <c r="D278" s="653" t="s">
        <v>648</v>
      </c>
      <c r="E278" s="950">
        <v>14933</v>
      </c>
      <c r="F278" s="950">
        <v>15083</v>
      </c>
      <c r="G278" s="945"/>
      <c r="H278" s="942"/>
      <c r="I278" s="942"/>
      <c r="J278" s="943"/>
      <c r="K278" s="943"/>
      <c r="L278" s="4"/>
    </row>
    <row r="279" spans="2:12">
      <c r="B279" s="165"/>
      <c r="C279" s="652">
        <v>261101</v>
      </c>
      <c r="D279" s="653" t="s">
        <v>649</v>
      </c>
      <c r="E279" s="950">
        <v>10550</v>
      </c>
      <c r="F279" s="950">
        <v>10700</v>
      </c>
      <c r="G279" s="945"/>
      <c r="H279" s="942"/>
      <c r="I279" s="942"/>
      <c r="J279" s="943"/>
      <c r="K279" s="943"/>
      <c r="L279" s="4"/>
    </row>
    <row r="280" spans="2:12">
      <c r="B280" s="165"/>
      <c r="C280" s="652">
        <v>41401</v>
      </c>
      <c r="D280" s="653" t="s">
        <v>650</v>
      </c>
      <c r="E280" s="950">
        <v>10302</v>
      </c>
      <c r="F280" s="950">
        <v>10452</v>
      </c>
      <c r="G280" s="945"/>
      <c r="H280" s="942"/>
      <c r="I280" s="942"/>
      <c r="J280" s="943"/>
      <c r="K280" s="943"/>
      <c r="L280" s="4"/>
    </row>
    <row r="281" spans="2:12">
      <c r="B281" s="165"/>
      <c r="C281" s="652">
        <v>141701</v>
      </c>
      <c r="D281" s="653" t="s">
        <v>651</v>
      </c>
      <c r="E281" s="950">
        <v>11382</v>
      </c>
      <c r="F281" s="950">
        <v>11532</v>
      </c>
      <c r="G281" s="945"/>
      <c r="H281" s="942"/>
      <c r="I281" s="942"/>
      <c r="J281" s="943"/>
      <c r="K281" s="943"/>
      <c r="L281" s="4"/>
    </row>
    <row r="282" spans="2:12">
      <c r="B282" s="165"/>
      <c r="C282" s="652">
        <v>412201</v>
      </c>
      <c r="D282" s="653" t="s">
        <v>652</v>
      </c>
      <c r="E282" s="950">
        <v>10738</v>
      </c>
      <c r="F282" s="950">
        <v>10888</v>
      </c>
      <c r="G282" s="945"/>
      <c r="H282" s="942"/>
      <c r="I282" s="942"/>
      <c r="J282" s="943"/>
      <c r="K282" s="943"/>
      <c r="L282" s="4"/>
    </row>
    <row r="283" spans="2:12">
      <c r="B283" s="165"/>
      <c r="C283" s="652">
        <v>450704</v>
      </c>
      <c r="D283" s="653" t="s">
        <v>653</v>
      </c>
      <c r="E283" s="950">
        <v>10625</v>
      </c>
      <c r="F283" s="950">
        <v>10775</v>
      </c>
      <c r="G283" s="945"/>
      <c r="H283" s="942"/>
      <c r="I283" s="942"/>
      <c r="J283" s="943"/>
      <c r="K283" s="943"/>
      <c r="L283" s="4"/>
    </row>
    <row r="284" spans="2:12">
      <c r="B284" s="165"/>
      <c r="C284" s="652">
        <v>110701</v>
      </c>
      <c r="D284" s="653" t="s">
        <v>654</v>
      </c>
      <c r="E284" s="950">
        <v>11442</v>
      </c>
      <c r="F284" s="950">
        <v>11592</v>
      </c>
      <c r="G284" s="945"/>
      <c r="H284" s="942"/>
      <c r="I284" s="942"/>
      <c r="J284" s="943"/>
      <c r="K284" s="943"/>
      <c r="L284" s="4"/>
    </row>
    <row r="285" spans="2:12">
      <c r="B285" s="165"/>
      <c r="C285" s="652">
        <v>431401</v>
      </c>
      <c r="D285" s="653" t="s">
        <v>655</v>
      </c>
      <c r="E285" s="950">
        <v>12491</v>
      </c>
      <c r="F285" s="950">
        <v>12641</v>
      </c>
      <c r="G285" s="945"/>
      <c r="H285" s="942"/>
      <c r="I285" s="942"/>
      <c r="J285" s="943"/>
      <c r="K285" s="943"/>
      <c r="L285" s="4"/>
    </row>
    <row r="286" spans="2:12">
      <c r="B286" s="165"/>
      <c r="C286" s="652">
        <v>260901</v>
      </c>
      <c r="D286" s="653" t="s">
        <v>656</v>
      </c>
      <c r="E286" s="950">
        <v>10785</v>
      </c>
      <c r="F286" s="950">
        <v>10935</v>
      </c>
      <c r="G286" s="945"/>
      <c r="H286" s="942"/>
      <c r="I286" s="942"/>
      <c r="J286" s="943"/>
      <c r="K286" s="943"/>
      <c r="L286" s="4"/>
    </row>
    <row r="287" spans="2:12">
      <c r="B287" s="165"/>
      <c r="C287" s="652">
        <v>491401</v>
      </c>
      <c r="D287" s="653" t="s">
        <v>657</v>
      </c>
      <c r="E287" s="950">
        <v>10688</v>
      </c>
      <c r="F287" s="950">
        <v>10838</v>
      </c>
      <c r="G287" s="945"/>
      <c r="H287" s="942"/>
      <c r="I287" s="942"/>
      <c r="J287" s="943"/>
      <c r="K287" s="943"/>
      <c r="L287" s="4"/>
    </row>
    <row r="288" spans="2:12">
      <c r="B288" s="165"/>
      <c r="C288" s="652">
        <v>490501</v>
      </c>
      <c r="D288" s="653" t="s">
        <v>658</v>
      </c>
      <c r="E288" s="950">
        <v>12132</v>
      </c>
      <c r="F288" s="950">
        <v>12282</v>
      </c>
      <c r="G288" s="945"/>
      <c r="H288" s="942"/>
      <c r="I288" s="942"/>
      <c r="J288" s="943"/>
      <c r="K288" s="943"/>
      <c r="L288" s="4"/>
    </row>
    <row r="289" spans="2:12">
      <c r="B289" s="165"/>
      <c r="C289" s="652">
        <v>571800</v>
      </c>
      <c r="D289" s="653" t="s">
        <v>659</v>
      </c>
      <c r="E289" s="950">
        <v>10208</v>
      </c>
      <c r="F289" s="950">
        <v>10358</v>
      </c>
      <c r="G289" s="945"/>
      <c r="H289" s="942"/>
      <c r="I289" s="942"/>
      <c r="J289" s="943"/>
      <c r="K289" s="943"/>
      <c r="L289" s="4"/>
    </row>
    <row r="290" spans="2:12">
      <c r="B290" s="165"/>
      <c r="C290" s="652">
        <v>70901</v>
      </c>
      <c r="D290" s="653" t="s">
        <v>660</v>
      </c>
      <c r="E290" s="950">
        <v>10538</v>
      </c>
      <c r="F290" s="950">
        <v>10688</v>
      </c>
      <c r="G290" s="945"/>
      <c r="H290" s="942"/>
      <c r="I290" s="942"/>
      <c r="J290" s="943"/>
      <c r="K290" s="943"/>
      <c r="L290" s="4"/>
    </row>
    <row r="291" spans="2:12">
      <c r="B291" s="165"/>
      <c r="C291" s="652">
        <v>101300</v>
      </c>
      <c r="D291" s="653" t="s">
        <v>661</v>
      </c>
      <c r="E291" s="950">
        <v>13572</v>
      </c>
      <c r="F291" s="950">
        <v>13722</v>
      </c>
      <c r="G291" s="945"/>
      <c r="H291" s="942"/>
      <c r="I291" s="942"/>
      <c r="J291" s="943"/>
      <c r="K291" s="943"/>
      <c r="L291" s="4"/>
    </row>
    <row r="292" spans="2:12">
      <c r="B292" s="165"/>
      <c r="C292" s="652">
        <v>641301</v>
      </c>
      <c r="D292" s="653" t="s">
        <v>662</v>
      </c>
      <c r="E292" s="950">
        <v>10371</v>
      </c>
      <c r="F292" s="950">
        <v>10521</v>
      </c>
      <c r="G292" s="945"/>
      <c r="H292" s="942"/>
      <c r="I292" s="942"/>
      <c r="J292" s="943"/>
      <c r="K292" s="943"/>
      <c r="L292" s="4"/>
    </row>
    <row r="293" spans="2:12">
      <c r="B293" s="165"/>
      <c r="C293" s="652">
        <v>190901</v>
      </c>
      <c r="D293" s="653" t="s">
        <v>663</v>
      </c>
      <c r="E293" s="950">
        <v>16832</v>
      </c>
      <c r="F293" s="950">
        <v>16982</v>
      </c>
      <c r="G293" s="945"/>
      <c r="H293" s="942"/>
      <c r="I293" s="942"/>
      <c r="J293" s="943"/>
      <c r="K293" s="943"/>
      <c r="L293" s="4"/>
    </row>
    <row r="294" spans="2:12">
      <c r="B294" s="165"/>
      <c r="C294" s="652">
        <v>580403</v>
      </c>
      <c r="D294" s="653" t="s">
        <v>664</v>
      </c>
      <c r="E294" s="950">
        <v>17862</v>
      </c>
      <c r="F294" s="950">
        <v>18012</v>
      </c>
      <c r="G294" s="945"/>
      <c r="H294" s="942"/>
      <c r="I294" s="942"/>
      <c r="J294" s="943"/>
      <c r="K294" s="943"/>
      <c r="L294" s="4"/>
    </row>
    <row r="295" spans="2:12">
      <c r="B295" s="165"/>
      <c r="C295" s="652">
        <v>130801</v>
      </c>
      <c r="D295" s="653" t="s">
        <v>665</v>
      </c>
      <c r="E295" s="950">
        <v>12405</v>
      </c>
      <c r="F295" s="950">
        <v>12555</v>
      </c>
      <c r="G295" s="945"/>
      <c r="H295" s="942"/>
      <c r="I295" s="942"/>
      <c r="J295" s="943"/>
      <c r="K295" s="943"/>
      <c r="L295" s="4"/>
    </row>
    <row r="296" spans="2:12">
      <c r="B296" s="165"/>
      <c r="C296" s="652">
        <v>200401</v>
      </c>
      <c r="D296" s="653" t="s">
        <v>666</v>
      </c>
      <c r="E296" s="950">
        <v>24404</v>
      </c>
      <c r="F296" s="950">
        <v>24554</v>
      </c>
      <c r="G296" s="945"/>
      <c r="H296" s="942"/>
      <c r="I296" s="942"/>
      <c r="J296" s="943"/>
      <c r="K296" s="943"/>
      <c r="L296" s="4"/>
    </row>
    <row r="297" spans="2:12">
      <c r="B297" s="165"/>
      <c r="C297" s="652">
        <v>220301</v>
      </c>
      <c r="D297" s="653" t="s">
        <v>667</v>
      </c>
      <c r="E297" s="950">
        <v>6996</v>
      </c>
      <c r="F297" s="950">
        <v>7496</v>
      </c>
      <c r="G297" s="945"/>
      <c r="H297" s="942"/>
      <c r="I297" s="942"/>
      <c r="J297" s="943"/>
      <c r="K297" s="943"/>
      <c r="L297" s="4"/>
    </row>
    <row r="298" spans="2:12">
      <c r="B298" s="165"/>
      <c r="C298" s="652">
        <v>200501</v>
      </c>
      <c r="D298" s="653" t="s">
        <v>668</v>
      </c>
      <c r="E298" s="950">
        <v>26397</v>
      </c>
      <c r="F298" s="950">
        <v>26547</v>
      </c>
      <c r="G298" s="945"/>
      <c r="H298" s="942"/>
      <c r="I298" s="942"/>
      <c r="J298" s="943"/>
      <c r="K298" s="943"/>
      <c r="L298" s="4"/>
    </row>
    <row r="299" spans="2:12">
      <c r="B299" s="165"/>
      <c r="C299" s="652">
        <v>141301</v>
      </c>
      <c r="D299" s="653" t="s">
        <v>669</v>
      </c>
      <c r="E299" s="950">
        <v>10101</v>
      </c>
      <c r="F299" s="950">
        <v>10251</v>
      </c>
      <c r="G299" s="945"/>
      <c r="H299" s="942"/>
      <c r="I299" s="942"/>
      <c r="J299" s="943"/>
      <c r="K299" s="943"/>
      <c r="L299" s="4"/>
    </row>
    <row r="300" spans="2:12">
      <c r="B300" s="165"/>
      <c r="C300" s="652">
        <v>660402</v>
      </c>
      <c r="D300" s="653" t="s">
        <v>670</v>
      </c>
      <c r="E300" s="950">
        <v>20500</v>
      </c>
      <c r="F300" s="950">
        <v>20650</v>
      </c>
      <c r="G300" s="945"/>
      <c r="H300" s="942"/>
      <c r="I300" s="942"/>
      <c r="J300" s="943"/>
      <c r="K300" s="943"/>
      <c r="L300" s="4"/>
    </row>
    <row r="301" spans="2:12">
      <c r="B301" s="165"/>
      <c r="C301" s="652">
        <v>280231</v>
      </c>
      <c r="D301" s="653" t="s">
        <v>671</v>
      </c>
      <c r="E301" s="950">
        <v>28335</v>
      </c>
      <c r="F301" s="950">
        <v>28485</v>
      </c>
      <c r="G301" s="945"/>
      <c r="H301" s="942"/>
      <c r="I301" s="942"/>
      <c r="J301" s="943"/>
      <c r="K301" s="943"/>
      <c r="L301" s="4"/>
    </row>
    <row r="302" spans="2:12">
      <c r="B302" s="165"/>
      <c r="C302" s="652">
        <v>280226</v>
      </c>
      <c r="D302" s="653" t="s">
        <v>672</v>
      </c>
      <c r="E302" s="950">
        <v>15855</v>
      </c>
      <c r="F302" s="950">
        <v>16005</v>
      </c>
      <c r="G302" s="945"/>
      <c r="H302" s="942"/>
      <c r="I302" s="942"/>
      <c r="J302" s="943"/>
      <c r="K302" s="943"/>
      <c r="L302" s="4"/>
    </row>
    <row r="303" spans="2:12">
      <c r="B303" s="165"/>
      <c r="C303" s="652">
        <v>580502</v>
      </c>
      <c r="D303" s="653" t="s">
        <v>673</v>
      </c>
      <c r="E303" s="950">
        <v>14638</v>
      </c>
      <c r="F303" s="950">
        <v>14788</v>
      </c>
      <c r="G303" s="945"/>
      <c r="H303" s="942"/>
      <c r="I303" s="942"/>
      <c r="J303" s="943"/>
      <c r="K303" s="943"/>
      <c r="L303" s="4"/>
    </row>
    <row r="304" spans="2:12">
      <c r="B304" s="165"/>
      <c r="C304" s="652">
        <v>610600</v>
      </c>
      <c r="D304" s="653" t="s">
        <v>674</v>
      </c>
      <c r="E304" s="950">
        <v>13020</v>
      </c>
      <c r="F304" s="950">
        <v>13170</v>
      </c>
      <c r="G304" s="945"/>
      <c r="H304" s="942"/>
      <c r="I304" s="942"/>
      <c r="J304" s="943"/>
      <c r="K304" s="943"/>
      <c r="L304" s="4"/>
    </row>
    <row r="305" spans="2:12">
      <c r="B305" s="165"/>
      <c r="C305" s="652">
        <v>61700</v>
      </c>
      <c r="D305" s="653" t="s">
        <v>675</v>
      </c>
      <c r="E305" s="950">
        <v>10514</v>
      </c>
      <c r="F305" s="950">
        <v>10664</v>
      </c>
      <c r="G305" s="945"/>
      <c r="H305" s="942"/>
      <c r="I305" s="942"/>
      <c r="J305" s="943"/>
      <c r="K305" s="943"/>
      <c r="L305" s="4"/>
    </row>
    <row r="306" spans="2:12">
      <c r="B306" s="165"/>
      <c r="C306" s="652">
        <v>420411</v>
      </c>
      <c r="D306" s="653" t="s">
        <v>676</v>
      </c>
      <c r="E306" s="950">
        <v>11294</v>
      </c>
      <c r="F306" s="950">
        <v>11444</v>
      </c>
      <c r="G306" s="945"/>
      <c r="H306" s="942"/>
      <c r="I306" s="942"/>
      <c r="J306" s="943"/>
      <c r="K306" s="943"/>
      <c r="L306" s="4"/>
    </row>
    <row r="307" spans="2:12">
      <c r="B307" s="165"/>
      <c r="C307" s="652">
        <v>572702</v>
      </c>
      <c r="D307" s="653" t="s">
        <v>677</v>
      </c>
      <c r="E307" s="950">
        <v>10940</v>
      </c>
      <c r="F307" s="950">
        <v>11090</v>
      </c>
      <c r="G307" s="945"/>
      <c r="H307" s="942"/>
      <c r="I307" s="942"/>
      <c r="J307" s="943"/>
      <c r="K307" s="943"/>
      <c r="L307" s="4"/>
    </row>
    <row r="308" spans="2:12">
      <c r="B308" s="165"/>
      <c r="C308" s="652">
        <v>540901</v>
      </c>
      <c r="D308" s="653" t="s">
        <v>678</v>
      </c>
      <c r="E308" s="950">
        <v>12795</v>
      </c>
      <c r="F308" s="950">
        <v>12945</v>
      </c>
      <c r="G308" s="945"/>
      <c r="H308" s="942"/>
      <c r="I308" s="942"/>
      <c r="J308" s="943"/>
      <c r="K308" s="943"/>
      <c r="L308" s="4"/>
    </row>
    <row r="309" spans="2:12">
      <c r="B309" s="165"/>
      <c r="C309" s="652">
        <v>280515</v>
      </c>
      <c r="D309" s="653" t="s">
        <v>679</v>
      </c>
      <c r="E309" s="950">
        <v>24261</v>
      </c>
      <c r="F309" s="950">
        <v>24411</v>
      </c>
      <c r="G309" s="945"/>
      <c r="H309" s="942"/>
      <c r="I309" s="942"/>
      <c r="J309" s="943"/>
      <c r="K309" s="943"/>
      <c r="L309" s="4"/>
    </row>
    <row r="310" spans="2:12">
      <c r="B310" s="165"/>
      <c r="C310" s="652">
        <v>630601</v>
      </c>
      <c r="D310" s="653" t="s">
        <v>680</v>
      </c>
      <c r="E310" s="950">
        <v>18715</v>
      </c>
      <c r="F310" s="950">
        <v>18865</v>
      </c>
      <c r="G310" s="945"/>
      <c r="H310" s="942"/>
      <c r="I310" s="942"/>
      <c r="J310" s="943"/>
      <c r="K310" s="943"/>
      <c r="L310" s="4"/>
    </row>
    <row r="311" spans="2:12">
      <c r="B311" s="165"/>
      <c r="C311" s="652">
        <v>31502</v>
      </c>
      <c r="D311" s="653" t="s">
        <v>681</v>
      </c>
      <c r="E311" s="950">
        <v>12416</v>
      </c>
      <c r="F311" s="950">
        <v>12566</v>
      </c>
      <c r="G311" s="945"/>
      <c r="H311" s="942"/>
      <c r="I311" s="942"/>
      <c r="J311" s="943"/>
      <c r="K311" s="943"/>
      <c r="L311" s="4"/>
    </row>
    <row r="312" spans="2:12">
      <c r="B312" s="165"/>
      <c r="C312" s="652">
        <v>170600</v>
      </c>
      <c r="D312" s="653" t="s">
        <v>682</v>
      </c>
      <c r="E312" s="950">
        <v>10758</v>
      </c>
      <c r="F312" s="950">
        <v>10908</v>
      </c>
      <c r="G312" s="945"/>
      <c r="H312" s="942"/>
      <c r="I312" s="942"/>
      <c r="J312" s="943"/>
      <c r="K312" s="943"/>
      <c r="L312" s="4"/>
    </row>
    <row r="313" spans="2:12">
      <c r="B313" s="165"/>
      <c r="C313" s="652">
        <v>420501</v>
      </c>
      <c r="D313" s="653" t="s">
        <v>683</v>
      </c>
      <c r="E313" s="950">
        <v>11973</v>
      </c>
      <c r="F313" s="950">
        <v>12123</v>
      </c>
      <c r="G313" s="945"/>
      <c r="H313" s="942"/>
      <c r="I313" s="942"/>
      <c r="J313" s="943"/>
      <c r="K313" s="943"/>
      <c r="L313" s="4"/>
    </row>
    <row r="314" spans="2:12">
      <c r="B314" s="165"/>
      <c r="C314" s="652">
        <v>660101</v>
      </c>
      <c r="D314" s="653" t="s">
        <v>684</v>
      </c>
      <c r="E314" s="950">
        <v>20857</v>
      </c>
      <c r="F314" s="950">
        <v>21007</v>
      </c>
      <c r="G314" s="945"/>
      <c r="H314" s="942"/>
      <c r="I314" s="942"/>
      <c r="J314" s="943"/>
      <c r="K314" s="943"/>
      <c r="L314" s="4"/>
    </row>
    <row r="315" spans="2:12">
      <c r="B315" s="165"/>
      <c r="C315" s="652">
        <v>150601</v>
      </c>
      <c r="D315" s="653" t="s">
        <v>685</v>
      </c>
      <c r="E315" s="950">
        <v>20011</v>
      </c>
      <c r="F315" s="950">
        <v>20161</v>
      </c>
      <c r="G315" s="945"/>
      <c r="H315" s="942"/>
      <c r="I315" s="942"/>
      <c r="J315" s="943"/>
      <c r="K315" s="943"/>
      <c r="L315" s="4"/>
    </row>
    <row r="316" spans="2:12">
      <c r="B316" s="165"/>
      <c r="C316" s="652">
        <v>450607</v>
      </c>
      <c r="D316" s="653" t="s">
        <v>686</v>
      </c>
      <c r="E316" s="950">
        <v>12940</v>
      </c>
      <c r="F316" s="950">
        <v>13090</v>
      </c>
      <c r="G316" s="945"/>
      <c r="H316" s="942"/>
      <c r="I316" s="942"/>
      <c r="J316" s="943"/>
      <c r="K316" s="943"/>
      <c r="L316" s="4"/>
    </row>
    <row r="317" spans="2:12">
      <c r="B317" s="165"/>
      <c r="C317" s="652">
        <v>142601</v>
      </c>
      <c r="D317" s="653" t="s">
        <v>687</v>
      </c>
      <c r="E317" s="950">
        <v>9827</v>
      </c>
      <c r="F317" s="950">
        <v>9977</v>
      </c>
      <c r="G317" s="945"/>
      <c r="H317" s="942"/>
      <c r="I317" s="942"/>
      <c r="J317" s="943"/>
      <c r="K317" s="943"/>
      <c r="L317" s="4"/>
    </row>
    <row r="318" spans="2:12">
      <c r="B318" s="165"/>
      <c r="C318" s="652">
        <v>101401</v>
      </c>
      <c r="D318" s="653" t="s">
        <v>688</v>
      </c>
      <c r="E318" s="950">
        <v>11589</v>
      </c>
      <c r="F318" s="950">
        <v>11739</v>
      </c>
      <c r="G318" s="945"/>
      <c r="H318" s="942"/>
      <c r="I318" s="942"/>
      <c r="J318" s="943"/>
      <c r="K318" s="943"/>
      <c r="L318" s="4"/>
    </row>
    <row r="319" spans="2:12">
      <c r="B319" s="165"/>
      <c r="C319" s="652">
        <v>580805</v>
      </c>
      <c r="D319" s="653" t="s">
        <v>689</v>
      </c>
      <c r="E319" s="950">
        <v>14278</v>
      </c>
      <c r="F319" s="950">
        <v>14428</v>
      </c>
      <c r="G319" s="945"/>
      <c r="H319" s="942"/>
      <c r="I319" s="942"/>
      <c r="J319" s="943"/>
      <c r="K319" s="943"/>
      <c r="L319" s="4"/>
    </row>
    <row r="320" spans="2:12">
      <c r="B320" s="165"/>
      <c r="C320" s="652">
        <v>620600</v>
      </c>
      <c r="D320" s="653" t="s">
        <v>690</v>
      </c>
      <c r="E320" s="950">
        <v>14811</v>
      </c>
      <c r="F320" s="950">
        <v>14961</v>
      </c>
      <c r="G320" s="945"/>
      <c r="H320" s="942"/>
      <c r="I320" s="942"/>
      <c r="J320" s="943"/>
      <c r="K320" s="943"/>
      <c r="L320" s="4"/>
    </row>
    <row r="321" spans="2:12">
      <c r="B321" s="165"/>
      <c r="C321" s="652">
        <v>441202</v>
      </c>
      <c r="D321" s="653" t="s">
        <v>691</v>
      </c>
      <c r="E321" s="950">
        <v>36930</v>
      </c>
      <c r="F321" s="950">
        <v>36930</v>
      </c>
      <c r="G321" s="945"/>
      <c r="H321" s="942"/>
      <c r="I321" s="942"/>
      <c r="J321" s="943"/>
      <c r="K321" s="943"/>
      <c r="L321" s="4"/>
    </row>
    <row r="322" spans="2:12">
      <c r="B322" s="165"/>
      <c r="C322" s="652">
        <v>221401</v>
      </c>
      <c r="D322" s="653" t="s">
        <v>692</v>
      </c>
      <c r="E322" s="950">
        <v>9808</v>
      </c>
      <c r="F322" s="950">
        <v>9958</v>
      </c>
      <c r="G322" s="945"/>
      <c r="H322" s="942"/>
      <c r="I322" s="942"/>
      <c r="J322" s="943"/>
      <c r="K322" s="943"/>
      <c r="L322" s="4"/>
    </row>
    <row r="323" spans="2:12">
      <c r="B323" s="165"/>
      <c r="C323" s="652">
        <v>141800</v>
      </c>
      <c r="D323" s="653" t="s">
        <v>693</v>
      </c>
      <c r="E323" s="950">
        <v>12319</v>
      </c>
      <c r="F323" s="950">
        <v>12469</v>
      </c>
      <c r="G323" s="945"/>
      <c r="H323" s="942"/>
      <c r="I323" s="942"/>
      <c r="J323" s="943"/>
      <c r="K323" s="943"/>
      <c r="L323" s="4"/>
    </row>
    <row r="324" spans="2:12">
      <c r="B324" s="165"/>
      <c r="C324" s="652">
        <v>420807</v>
      </c>
      <c r="D324" s="653" t="s">
        <v>694</v>
      </c>
      <c r="E324" s="950">
        <v>16116</v>
      </c>
      <c r="F324" s="950">
        <v>16266</v>
      </c>
      <c r="G324" s="945"/>
      <c r="H324" s="942"/>
      <c r="I324" s="942"/>
      <c r="J324" s="943"/>
      <c r="K324" s="943"/>
      <c r="L324" s="4"/>
    </row>
    <row r="325" spans="2:12">
      <c r="B325" s="165"/>
      <c r="C325" s="652">
        <v>630701</v>
      </c>
      <c r="D325" s="653" t="s">
        <v>695</v>
      </c>
      <c r="E325" s="950">
        <v>12871</v>
      </c>
      <c r="F325" s="950">
        <v>13021</v>
      </c>
      <c r="G325" s="945"/>
      <c r="H325" s="942"/>
      <c r="I325" s="942"/>
      <c r="J325" s="943"/>
      <c r="K325" s="943"/>
      <c r="L325" s="4"/>
    </row>
    <row r="326" spans="2:12">
      <c r="B326" s="165"/>
      <c r="C326" s="652">
        <v>151102</v>
      </c>
      <c r="D326" s="653" t="s">
        <v>696</v>
      </c>
      <c r="E326" s="950">
        <v>15292</v>
      </c>
      <c r="F326" s="950">
        <v>15442</v>
      </c>
      <c r="G326" s="945"/>
      <c r="H326" s="942"/>
      <c r="I326" s="942"/>
      <c r="J326" s="943"/>
      <c r="K326" s="943"/>
      <c r="L326" s="4"/>
    </row>
    <row r="327" spans="2:12">
      <c r="B327" s="165"/>
      <c r="C327" s="652">
        <v>200601</v>
      </c>
      <c r="D327" s="653" t="s">
        <v>697</v>
      </c>
      <c r="E327" s="950">
        <v>25681</v>
      </c>
      <c r="F327" s="950">
        <v>25831</v>
      </c>
      <c r="G327" s="945"/>
      <c r="H327" s="942"/>
      <c r="I327" s="942"/>
      <c r="J327" s="943"/>
      <c r="K327" s="943"/>
      <c r="L327" s="4"/>
    </row>
    <row r="328" spans="2:12">
      <c r="B328" s="165"/>
      <c r="C328" s="652">
        <v>662401</v>
      </c>
      <c r="D328" s="653" t="s">
        <v>698</v>
      </c>
      <c r="E328" s="950">
        <v>15359</v>
      </c>
      <c r="F328" s="950">
        <v>15509</v>
      </c>
      <c r="G328" s="945"/>
      <c r="H328" s="942"/>
      <c r="I328" s="942"/>
      <c r="J328" s="943"/>
      <c r="K328" s="943"/>
      <c r="L328" s="4"/>
    </row>
    <row r="329" spans="2:12">
      <c r="B329" s="165"/>
      <c r="C329" s="652">
        <v>141901</v>
      </c>
      <c r="D329" s="653" t="s">
        <v>699</v>
      </c>
      <c r="E329" s="950">
        <v>8792</v>
      </c>
      <c r="F329" s="950">
        <v>8942</v>
      </c>
      <c r="G329" s="945"/>
      <c r="H329" s="942"/>
      <c r="I329" s="942"/>
      <c r="J329" s="943"/>
      <c r="K329" s="943"/>
      <c r="L329" s="4"/>
    </row>
    <row r="330" spans="2:12">
      <c r="B330" s="165"/>
      <c r="C330" s="652">
        <v>610801</v>
      </c>
      <c r="D330" s="653" t="s">
        <v>700</v>
      </c>
      <c r="E330" s="950">
        <v>11205</v>
      </c>
      <c r="F330" s="950">
        <v>11355</v>
      </c>
      <c r="G330" s="945"/>
      <c r="H330" s="942"/>
      <c r="I330" s="942"/>
      <c r="J330" s="943"/>
      <c r="K330" s="943"/>
      <c r="L330" s="4"/>
    </row>
    <row r="331" spans="2:12">
      <c r="B331" s="165"/>
      <c r="C331" s="652">
        <v>490601</v>
      </c>
      <c r="D331" s="653" t="s">
        <v>701</v>
      </c>
      <c r="E331" s="950">
        <v>9702</v>
      </c>
      <c r="F331" s="950">
        <v>9852</v>
      </c>
      <c r="G331" s="945"/>
      <c r="H331" s="942"/>
      <c r="I331" s="942"/>
      <c r="J331" s="943"/>
      <c r="K331" s="943"/>
      <c r="L331" s="4"/>
    </row>
    <row r="332" spans="2:12">
      <c r="B332" s="165"/>
      <c r="C332" s="652">
        <v>470801</v>
      </c>
      <c r="D332" s="653" t="s">
        <v>702</v>
      </c>
      <c r="E332" s="950">
        <v>10984</v>
      </c>
      <c r="F332" s="950">
        <v>11134</v>
      </c>
      <c r="G332" s="945"/>
      <c r="H332" s="942"/>
      <c r="I332" s="942"/>
      <c r="J332" s="943"/>
      <c r="K332" s="943"/>
      <c r="L332" s="4"/>
    </row>
    <row r="333" spans="2:12">
      <c r="B333" s="165"/>
      <c r="C333" s="652">
        <v>280215</v>
      </c>
      <c r="D333" s="653" t="s">
        <v>703</v>
      </c>
      <c r="E333" s="950">
        <v>23002</v>
      </c>
      <c r="F333" s="950">
        <v>23002</v>
      </c>
      <c r="G333" s="945"/>
      <c r="H333" s="942"/>
      <c r="I333" s="942"/>
      <c r="J333" s="943"/>
      <c r="K333" s="943"/>
      <c r="L333" s="4"/>
    </row>
    <row r="334" spans="2:12">
      <c r="B334" s="165"/>
      <c r="C334" s="652">
        <v>181001</v>
      </c>
      <c r="D334" s="653" t="s">
        <v>704</v>
      </c>
      <c r="E334" s="950">
        <v>11140</v>
      </c>
      <c r="F334" s="950">
        <v>11290</v>
      </c>
      <c r="G334" s="945"/>
      <c r="H334" s="942"/>
      <c r="I334" s="942"/>
      <c r="J334" s="943"/>
      <c r="K334" s="943"/>
      <c r="L334" s="4"/>
    </row>
    <row r="335" spans="2:12">
      <c r="B335" s="165"/>
      <c r="C335" s="652">
        <v>670401</v>
      </c>
      <c r="D335" s="653" t="s">
        <v>705</v>
      </c>
      <c r="E335" s="950">
        <v>11687</v>
      </c>
      <c r="F335" s="950">
        <v>11837</v>
      </c>
      <c r="G335" s="945"/>
      <c r="H335" s="942"/>
      <c r="I335" s="942"/>
      <c r="J335" s="943"/>
      <c r="K335" s="943"/>
      <c r="L335" s="4"/>
    </row>
    <row r="336" spans="2:12">
      <c r="B336" s="165"/>
      <c r="C336" s="652">
        <v>280205</v>
      </c>
      <c r="D336" s="653" t="s">
        <v>706</v>
      </c>
      <c r="E336" s="950">
        <v>17630</v>
      </c>
      <c r="F336" s="950">
        <v>17780</v>
      </c>
      <c r="G336" s="945"/>
      <c r="H336" s="942"/>
      <c r="I336" s="942"/>
      <c r="J336" s="943"/>
      <c r="K336" s="943"/>
      <c r="L336" s="4"/>
    </row>
    <row r="337" spans="2:12">
      <c r="B337" s="165"/>
      <c r="C337" s="652">
        <v>400301</v>
      </c>
      <c r="D337" s="653" t="s">
        <v>707</v>
      </c>
      <c r="E337" s="950">
        <v>12229</v>
      </c>
      <c r="F337" s="950">
        <v>12229</v>
      </c>
      <c r="G337" s="945"/>
      <c r="H337" s="942"/>
      <c r="I337" s="942"/>
      <c r="J337" s="943"/>
      <c r="K337" s="943"/>
      <c r="L337" s="4"/>
    </row>
    <row r="338" spans="2:12">
      <c r="B338" s="165"/>
      <c r="C338" s="652">
        <v>590901</v>
      </c>
      <c r="D338" s="653" t="s">
        <v>708</v>
      </c>
      <c r="E338" s="950">
        <v>17477</v>
      </c>
      <c r="F338" s="950">
        <v>17477</v>
      </c>
      <c r="G338" s="945"/>
      <c r="H338" s="942"/>
      <c r="I338" s="942"/>
      <c r="J338" s="943"/>
      <c r="K338" s="943"/>
      <c r="L338" s="4"/>
    </row>
    <row r="339" spans="2:12">
      <c r="B339" s="165"/>
      <c r="C339" s="652">
        <v>580104</v>
      </c>
      <c r="D339" s="653" t="s">
        <v>709</v>
      </c>
      <c r="E339" s="950">
        <v>14603</v>
      </c>
      <c r="F339" s="950">
        <v>14753</v>
      </c>
      <c r="G339" s="945"/>
      <c r="H339" s="942"/>
      <c r="I339" s="942"/>
      <c r="J339" s="943"/>
      <c r="K339" s="943"/>
      <c r="L339" s="4"/>
    </row>
    <row r="340" spans="2:12">
      <c r="B340" s="165"/>
      <c r="C340" s="652">
        <v>511602</v>
      </c>
      <c r="D340" s="653" t="s">
        <v>710</v>
      </c>
      <c r="E340" s="950">
        <v>12672</v>
      </c>
      <c r="F340" s="950">
        <v>12822</v>
      </c>
      <c r="G340" s="945"/>
      <c r="H340" s="942"/>
      <c r="I340" s="942"/>
      <c r="J340" s="943"/>
      <c r="K340" s="943"/>
      <c r="L340" s="4"/>
    </row>
    <row r="341" spans="2:12">
      <c r="B341" s="165"/>
      <c r="C341" s="652">
        <v>210800</v>
      </c>
      <c r="D341" s="653" t="s">
        <v>711</v>
      </c>
      <c r="E341" s="950">
        <v>11821</v>
      </c>
      <c r="F341" s="950">
        <v>11971</v>
      </c>
      <c r="G341" s="945"/>
      <c r="H341" s="942"/>
      <c r="I341" s="942"/>
      <c r="J341" s="943"/>
      <c r="K341" s="943"/>
      <c r="L341" s="4"/>
    </row>
    <row r="342" spans="2:12">
      <c r="B342" s="165"/>
      <c r="C342" s="652">
        <v>421501</v>
      </c>
      <c r="D342" s="653" t="s">
        <v>712</v>
      </c>
      <c r="E342" s="950">
        <v>12879</v>
      </c>
      <c r="F342" s="950">
        <v>13029</v>
      </c>
      <c r="G342" s="945"/>
      <c r="H342" s="942"/>
      <c r="I342" s="942"/>
      <c r="J342" s="943"/>
      <c r="K342" s="943"/>
      <c r="L342" s="4"/>
    </row>
    <row r="343" spans="2:12">
      <c r="B343" s="165"/>
      <c r="C343" s="652">
        <v>591302</v>
      </c>
      <c r="D343" s="653" t="s">
        <v>713</v>
      </c>
      <c r="E343" s="950">
        <v>16435</v>
      </c>
      <c r="F343" s="950">
        <v>16585</v>
      </c>
      <c r="G343" s="945"/>
      <c r="H343" s="942"/>
      <c r="I343" s="942"/>
      <c r="J343" s="943"/>
      <c r="K343" s="943"/>
      <c r="L343" s="4"/>
    </row>
    <row r="344" spans="2:12">
      <c r="B344" s="165"/>
      <c r="C344" s="652">
        <v>240801</v>
      </c>
      <c r="D344" s="653" t="s">
        <v>714</v>
      </c>
      <c r="E344" s="950">
        <v>11706</v>
      </c>
      <c r="F344" s="950">
        <v>11856</v>
      </c>
      <c r="G344" s="945"/>
      <c r="H344" s="942"/>
      <c r="I344" s="942"/>
      <c r="J344" s="943"/>
      <c r="K344" s="943"/>
      <c r="L344" s="4"/>
    </row>
    <row r="345" spans="2:12">
      <c r="B345" s="165"/>
      <c r="C345" s="652">
        <v>400400</v>
      </c>
      <c r="D345" s="653" t="s">
        <v>715</v>
      </c>
      <c r="E345" s="950">
        <v>10265</v>
      </c>
      <c r="F345" s="950">
        <v>10415</v>
      </c>
      <c r="G345" s="945"/>
      <c r="H345" s="942"/>
      <c r="I345" s="942"/>
      <c r="J345" s="943"/>
      <c r="K345" s="943"/>
      <c r="L345" s="4"/>
    </row>
    <row r="346" spans="2:12">
      <c r="B346" s="165"/>
      <c r="C346" s="652">
        <v>280503</v>
      </c>
      <c r="D346" s="653" t="s">
        <v>716</v>
      </c>
      <c r="E346" s="950">
        <v>22857</v>
      </c>
      <c r="F346" s="950">
        <v>23007</v>
      </c>
      <c r="G346" s="945"/>
      <c r="H346" s="942"/>
      <c r="I346" s="942"/>
      <c r="J346" s="943"/>
      <c r="K346" s="943"/>
      <c r="L346" s="4"/>
    </row>
    <row r="347" spans="2:12">
      <c r="B347" s="165"/>
      <c r="C347" s="652">
        <v>280300</v>
      </c>
      <c r="D347" s="653" t="s">
        <v>717</v>
      </c>
      <c r="E347" s="950">
        <v>22698</v>
      </c>
      <c r="F347" s="950">
        <v>22848</v>
      </c>
      <c r="G347" s="945"/>
      <c r="H347" s="942"/>
      <c r="I347" s="942"/>
      <c r="J347" s="943"/>
      <c r="K347" s="943"/>
      <c r="L347" s="4"/>
    </row>
    <row r="348" spans="2:12">
      <c r="B348" s="165"/>
      <c r="C348" s="652">
        <v>200701</v>
      </c>
      <c r="D348" s="653" t="s">
        <v>718</v>
      </c>
      <c r="E348" s="950">
        <v>42198</v>
      </c>
      <c r="F348" s="950">
        <v>42698</v>
      </c>
      <c r="G348" s="945"/>
      <c r="H348" s="942"/>
      <c r="I348" s="942"/>
      <c r="J348" s="943"/>
      <c r="K348" s="943"/>
      <c r="L348" s="4"/>
    </row>
    <row r="349" spans="2:12">
      <c r="B349" s="165"/>
      <c r="C349" s="652">
        <v>580212</v>
      </c>
      <c r="D349" s="653" t="s">
        <v>719</v>
      </c>
      <c r="E349" s="950">
        <v>14730</v>
      </c>
      <c r="F349" s="950">
        <v>14880</v>
      </c>
      <c r="G349" s="945"/>
      <c r="H349" s="942"/>
      <c r="I349" s="942"/>
      <c r="J349" s="943"/>
      <c r="K349" s="943"/>
      <c r="L349" s="4"/>
    </row>
    <row r="350" spans="2:12">
      <c r="B350" s="165"/>
      <c r="C350" s="652">
        <v>230901</v>
      </c>
      <c r="D350" s="653" t="s">
        <v>720</v>
      </c>
      <c r="E350" s="950">
        <v>9953</v>
      </c>
      <c r="F350" s="950">
        <v>10103</v>
      </c>
      <c r="G350" s="945"/>
      <c r="H350" s="942"/>
      <c r="I350" s="942"/>
      <c r="J350" s="943"/>
      <c r="K350" s="943"/>
      <c r="L350" s="4"/>
    </row>
    <row r="351" spans="2:12">
      <c r="B351" s="165"/>
      <c r="C351" s="652">
        <v>221301</v>
      </c>
      <c r="D351" s="653" t="s">
        <v>721</v>
      </c>
      <c r="E351" s="950">
        <v>13371</v>
      </c>
      <c r="F351" s="950">
        <v>13521</v>
      </c>
      <c r="G351" s="945"/>
      <c r="H351" s="942"/>
      <c r="I351" s="942"/>
      <c r="J351" s="943"/>
      <c r="K351" s="943"/>
      <c r="L351" s="4"/>
    </row>
    <row r="352" spans="2:12">
      <c r="B352" s="165"/>
      <c r="C352" s="652">
        <v>280220</v>
      </c>
      <c r="D352" s="653" t="s">
        <v>722</v>
      </c>
      <c r="E352" s="950">
        <v>18030</v>
      </c>
      <c r="F352" s="950">
        <v>18180</v>
      </c>
      <c r="G352" s="945"/>
      <c r="H352" s="942"/>
      <c r="I352" s="942"/>
      <c r="J352" s="943"/>
      <c r="K352" s="943"/>
      <c r="L352" s="4"/>
    </row>
    <row r="353" spans="2:12">
      <c r="B353" s="165"/>
      <c r="C353" s="652">
        <v>421504</v>
      </c>
      <c r="D353" s="653" t="s">
        <v>723</v>
      </c>
      <c r="E353" s="950">
        <v>15849</v>
      </c>
      <c r="F353" s="950">
        <v>15999</v>
      </c>
      <c r="G353" s="945"/>
      <c r="H353" s="942"/>
      <c r="I353" s="942"/>
      <c r="J353" s="943"/>
      <c r="K353" s="943"/>
      <c r="L353" s="4"/>
    </row>
    <row r="354" spans="2:12">
      <c r="B354" s="165"/>
      <c r="C354" s="652">
        <v>451001</v>
      </c>
      <c r="D354" s="653" t="s">
        <v>724</v>
      </c>
      <c r="E354" s="950">
        <v>10869</v>
      </c>
      <c r="F354" s="950">
        <v>11019</v>
      </c>
      <c r="G354" s="945"/>
      <c r="H354" s="942"/>
      <c r="I354" s="942"/>
      <c r="J354" s="943"/>
      <c r="K354" s="943"/>
      <c r="L354" s="4"/>
    </row>
    <row r="355" spans="2:12">
      <c r="B355" s="165"/>
      <c r="C355" s="652">
        <v>650501</v>
      </c>
      <c r="D355" s="653" t="s">
        <v>725</v>
      </c>
      <c r="E355" s="950">
        <v>11040</v>
      </c>
      <c r="F355" s="950">
        <v>11190</v>
      </c>
      <c r="G355" s="945"/>
      <c r="H355" s="942"/>
      <c r="I355" s="942"/>
      <c r="J355" s="943"/>
      <c r="K355" s="943"/>
      <c r="L355" s="4"/>
    </row>
    <row r="356" spans="2:12">
      <c r="B356" s="165"/>
      <c r="C356" s="652">
        <v>251101</v>
      </c>
      <c r="D356" s="653" t="s">
        <v>726</v>
      </c>
      <c r="E356" s="950">
        <v>11088</v>
      </c>
      <c r="F356" s="950">
        <v>11238</v>
      </c>
      <c r="G356" s="945"/>
      <c r="H356" s="942"/>
      <c r="I356" s="942"/>
      <c r="J356" s="943"/>
      <c r="K356" s="943"/>
      <c r="L356" s="4"/>
    </row>
    <row r="357" spans="2:12">
      <c r="B357" s="165"/>
      <c r="C357" s="652">
        <v>511901</v>
      </c>
      <c r="D357" s="653" t="s">
        <v>727</v>
      </c>
      <c r="E357" s="950">
        <v>10841</v>
      </c>
      <c r="F357" s="950">
        <v>10991</v>
      </c>
      <c r="G357" s="945"/>
      <c r="H357" s="942"/>
      <c r="I357" s="942"/>
      <c r="J357" s="943"/>
      <c r="K357" s="943"/>
      <c r="L357" s="4"/>
    </row>
    <row r="358" spans="2:12">
      <c r="B358" s="165"/>
      <c r="C358" s="652">
        <v>480101</v>
      </c>
      <c r="D358" s="653" t="s">
        <v>728</v>
      </c>
      <c r="E358" s="950">
        <v>14275</v>
      </c>
      <c r="F358" s="950">
        <v>14425</v>
      </c>
      <c r="G358" s="945"/>
      <c r="H358" s="942"/>
      <c r="I358" s="942"/>
      <c r="J358" s="943"/>
      <c r="K358" s="943"/>
      <c r="L358" s="4"/>
    </row>
    <row r="359" spans="2:12">
      <c r="B359" s="165"/>
      <c r="C359" s="652">
        <v>31101</v>
      </c>
      <c r="D359" s="653" t="s">
        <v>729</v>
      </c>
      <c r="E359" s="950">
        <v>10547</v>
      </c>
      <c r="F359" s="950">
        <v>10697</v>
      </c>
      <c r="G359" s="945"/>
      <c r="H359" s="942"/>
      <c r="I359" s="942"/>
      <c r="J359" s="943"/>
      <c r="K359" s="943"/>
      <c r="L359" s="4"/>
    </row>
    <row r="360" spans="2:12">
      <c r="B360" s="165"/>
      <c r="C360" s="652">
        <v>161501</v>
      </c>
      <c r="D360" s="653" t="s">
        <v>730</v>
      </c>
      <c r="E360" s="950">
        <v>10870</v>
      </c>
      <c r="F360" s="950">
        <v>11020</v>
      </c>
      <c r="G360" s="945"/>
      <c r="H360" s="942"/>
      <c r="I360" s="942"/>
      <c r="J360" s="943"/>
      <c r="K360" s="943"/>
      <c r="L360" s="4"/>
    </row>
    <row r="361" spans="2:12">
      <c r="B361" s="165"/>
      <c r="C361" s="652">
        <v>280212</v>
      </c>
      <c r="D361" s="653" t="s">
        <v>731</v>
      </c>
      <c r="E361" s="950">
        <v>20055</v>
      </c>
      <c r="F361" s="950">
        <v>20205</v>
      </c>
      <c r="G361" s="945"/>
      <c r="H361" s="942"/>
      <c r="I361" s="942"/>
      <c r="J361" s="943"/>
      <c r="K361" s="943"/>
      <c r="L361" s="4"/>
    </row>
    <row r="362" spans="2:12">
      <c r="B362" s="165"/>
      <c r="C362" s="652">
        <v>660701</v>
      </c>
      <c r="D362" s="653" t="s">
        <v>732</v>
      </c>
      <c r="E362" s="950">
        <v>18766</v>
      </c>
      <c r="F362" s="950">
        <v>18916</v>
      </c>
      <c r="G362" s="945"/>
      <c r="H362" s="942"/>
      <c r="I362" s="942"/>
      <c r="J362" s="943"/>
      <c r="K362" s="943"/>
      <c r="L362" s="4"/>
    </row>
    <row r="363" spans="2:12">
      <c r="B363" s="165"/>
      <c r="C363" s="652">
        <v>431101</v>
      </c>
      <c r="D363" s="653" t="s">
        <v>733</v>
      </c>
      <c r="E363" s="950">
        <v>10770</v>
      </c>
      <c r="F363" s="950">
        <v>10920</v>
      </c>
      <c r="G363" s="945"/>
      <c r="H363" s="942"/>
      <c r="I363" s="942"/>
      <c r="J363" s="943"/>
      <c r="K363" s="943"/>
      <c r="L363" s="4"/>
    </row>
    <row r="364" spans="2:12">
      <c r="B364" s="165"/>
      <c r="C364" s="652">
        <v>280406</v>
      </c>
      <c r="D364" s="653" t="s">
        <v>734</v>
      </c>
      <c r="E364" s="950">
        <v>21235</v>
      </c>
      <c r="F364" s="950">
        <v>21235</v>
      </c>
      <c r="G364" s="945"/>
      <c r="H364" s="942"/>
      <c r="I364" s="942"/>
      <c r="J364" s="943"/>
      <c r="K364" s="943"/>
      <c r="L364" s="4"/>
    </row>
    <row r="365" spans="2:12">
      <c r="B365" s="165"/>
      <c r="C365" s="652">
        <v>110901</v>
      </c>
      <c r="D365" s="653" t="s">
        <v>735</v>
      </c>
      <c r="E365" s="950">
        <v>11911</v>
      </c>
      <c r="F365" s="950">
        <v>12411</v>
      </c>
      <c r="G365" s="945"/>
      <c r="H365" s="942"/>
      <c r="I365" s="942"/>
      <c r="J365" s="943"/>
      <c r="K365" s="943"/>
      <c r="L365" s="4"/>
    </row>
    <row r="366" spans="2:12">
      <c r="B366" s="165"/>
      <c r="C366" s="652">
        <v>421101</v>
      </c>
      <c r="D366" s="653" t="s">
        <v>736</v>
      </c>
      <c r="E366" s="950">
        <v>10125</v>
      </c>
      <c r="F366" s="950">
        <v>10275</v>
      </c>
      <c r="G366" s="945"/>
      <c r="H366" s="942"/>
      <c r="I366" s="942"/>
      <c r="J366" s="943"/>
      <c r="K366" s="943"/>
      <c r="L366" s="4"/>
    </row>
    <row r="367" spans="2:12">
      <c r="B367" s="165"/>
      <c r="C367" s="652">
        <v>121401</v>
      </c>
      <c r="D367" s="653" t="s">
        <v>737</v>
      </c>
      <c r="E367" s="950">
        <v>13726</v>
      </c>
      <c r="F367" s="950">
        <v>13876</v>
      </c>
      <c r="G367" s="945"/>
      <c r="H367" s="942"/>
      <c r="I367" s="942"/>
      <c r="J367" s="943"/>
      <c r="K367" s="943"/>
      <c r="L367" s="4"/>
    </row>
    <row r="368" spans="2:12">
      <c r="B368" s="165"/>
      <c r="C368" s="652">
        <v>650701</v>
      </c>
      <c r="D368" s="653" t="s">
        <v>738</v>
      </c>
      <c r="E368" s="950">
        <v>11768</v>
      </c>
      <c r="F368" s="950">
        <v>11918</v>
      </c>
      <c r="G368" s="945"/>
      <c r="H368" s="942"/>
      <c r="I368" s="942"/>
      <c r="J368" s="943"/>
      <c r="K368" s="943"/>
      <c r="L368" s="4"/>
    </row>
    <row r="369" spans="2:12">
      <c r="B369" s="165"/>
      <c r="C369" s="652">
        <v>621001</v>
      </c>
      <c r="D369" s="653" t="s">
        <v>739</v>
      </c>
      <c r="E369" s="950">
        <v>15512</v>
      </c>
      <c r="F369" s="950">
        <v>16012</v>
      </c>
      <c r="G369" s="945"/>
      <c r="H369" s="942"/>
      <c r="I369" s="942"/>
      <c r="J369" s="943"/>
      <c r="K369" s="943"/>
      <c r="L369" s="4"/>
    </row>
    <row r="370" spans="2:12">
      <c r="B370" s="165"/>
      <c r="C370" s="652">
        <v>280523</v>
      </c>
      <c r="D370" s="653" t="s">
        <v>740</v>
      </c>
      <c r="E370" s="950">
        <v>16402</v>
      </c>
      <c r="F370" s="950">
        <v>16552</v>
      </c>
      <c r="G370" s="945"/>
      <c r="H370" s="942"/>
      <c r="I370" s="942"/>
      <c r="J370" s="943"/>
      <c r="K370" s="943"/>
      <c r="L370" s="4"/>
    </row>
    <row r="371" spans="2:12">
      <c r="B371" s="165"/>
      <c r="C371" s="652">
        <v>512001</v>
      </c>
      <c r="D371" s="653" t="s">
        <v>741</v>
      </c>
      <c r="E371" s="950">
        <v>10547</v>
      </c>
      <c r="F371" s="950">
        <v>10697</v>
      </c>
      <c r="G371" s="945"/>
      <c r="H371" s="942"/>
      <c r="I371" s="942"/>
      <c r="J371" s="943"/>
      <c r="K371" s="943"/>
      <c r="L371" s="4"/>
    </row>
    <row r="372" spans="2:12">
      <c r="B372" s="165"/>
      <c r="C372" s="652">
        <v>581012</v>
      </c>
      <c r="D372" s="653" t="s">
        <v>742</v>
      </c>
      <c r="E372" s="950">
        <v>16317</v>
      </c>
      <c r="F372" s="950">
        <v>16467</v>
      </c>
      <c r="G372" s="945"/>
      <c r="H372" s="942"/>
      <c r="I372" s="942"/>
      <c r="J372" s="943"/>
      <c r="K372" s="943"/>
      <c r="L372" s="4"/>
    </row>
    <row r="373" spans="2:12">
      <c r="B373" s="165"/>
      <c r="C373" s="652">
        <v>170801</v>
      </c>
      <c r="D373" s="653" t="s">
        <v>743</v>
      </c>
      <c r="E373" s="950">
        <v>10444</v>
      </c>
      <c r="F373" s="950">
        <v>10594</v>
      </c>
      <c r="G373" s="945"/>
      <c r="H373" s="942"/>
      <c r="I373" s="942"/>
      <c r="J373" s="943"/>
      <c r="K373" s="943"/>
      <c r="L373" s="4"/>
    </row>
    <row r="374" spans="2:12">
      <c r="B374" s="165"/>
      <c r="C374" s="652">
        <v>110304</v>
      </c>
      <c r="D374" s="653" t="s">
        <v>744</v>
      </c>
      <c r="E374" s="950">
        <v>11598</v>
      </c>
      <c r="F374" s="950">
        <v>11748</v>
      </c>
      <c r="G374" s="945"/>
      <c r="H374" s="942"/>
      <c r="I374" s="942"/>
      <c r="J374" s="943"/>
      <c r="K374" s="943"/>
      <c r="L374" s="4"/>
    </row>
    <row r="375" spans="2:12">
      <c r="B375" s="165"/>
      <c r="C375" s="652">
        <v>521200</v>
      </c>
      <c r="D375" s="653" t="s">
        <v>745</v>
      </c>
      <c r="E375" s="950">
        <v>10630</v>
      </c>
      <c r="F375" s="950">
        <v>10280</v>
      </c>
      <c r="G375" s="945"/>
      <c r="H375" s="942"/>
      <c r="I375" s="942"/>
      <c r="J375" s="943"/>
      <c r="K375" s="943"/>
      <c r="L375" s="4"/>
    </row>
    <row r="376" spans="2:12">
      <c r="B376" s="165"/>
      <c r="C376" s="652">
        <v>450801</v>
      </c>
      <c r="D376" s="653" t="s">
        <v>746</v>
      </c>
      <c r="E376" s="950">
        <v>11177</v>
      </c>
      <c r="F376" s="950">
        <v>11327</v>
      </c>
      <c r="G376" s="945"/>
      <c r="H376" s="942"/>
      <c r="I376" s="942"/>
      <c r="J376" s="943"/>
      <c r="K376" s="943"/>
      <c r="L376" s="4"/>
    </row>
    <row r="377" spans="2:12">
      <c r="B377" s="165"/>
      <c r="C377" s="652">
        <v>10615</v>
      </c>
      <c r="D377" s="653" t="s">
        <v>747</v>
      </c>
      <c r="E377" s="950">
        <v>16220</v>
      </c>
      <c r="F377" s="950">
        <v>16370</v>
      </c>
      <c r="G377" s="945"/>
      <c r="H377" s="942"/>
      <c r="I377" s="942"/>
      <c r="J377" s="943"/>
      <c r="K377" s="943"/>
      <c r="L377" s="4"/>
    </row>
    <row r="378" spans="2:12">
      <c r="B378" s="165"/>
      <c r="C378" s="652">
        <v>280225</v>
      </c>
      <c r="D378" s="653" t="s">
        <v>748</v>
      </c>
      <c r="E378" s="950">
        <v>18286</v>
      </c>
      <c r="F378" s="950">
        <v>18436</v>
      </c>
      <c r="G378" s="945"/>
      <c r="H378" s="942"/>
      <c r="I378" s="942"/>
      <c r="J378" s="943"/>
      <c r="K378" s="943"/>
      <c r="L378" s="4"/>
    </row>
    <row r="379" spans="2:12">
      <c r="B379" s="165"/>
      <c r="C379" s="652">
        <v>460901</v>
      </c>
      <c r="D379" s="653" t="s">
        <v>749</v>
      </c>
      <c r="E379" s="950">
        <v>12052</v>
      </c>
      <c r="F379" s="950">
        <v>12202</v>
      </c>
      <c r="G379" s="945"/>
      <c r="H379" s="942"/>
      <c r="I379" s="942"/>
      <c r="J379" s="943"/>
      <c r="K379" s="943"/>
      <c r="L379" s="4"/>
    </row>
    <row r="380" spans="2:12">
      <c r="B380" s="165"/>
      <c r="C380" s="652">
        <v>580211</v>
      </c>
      <c r="D380" s="653" t="s">
        <v>750</v>
      </c>
      <c r="E380" s="950">
        <v>13469</v>
      </c>
      <c r="F380" s="950">
        <v>13619</v>
      </c>
      <c r="G380" s="945"/>
      <c r="H380" s="942"/>
      <c r="I380" s="942"/>
      <c r="J380" s="943"/>
      <c r="K380" s="943"/>
      <c r="L380" s="4"/>
    </row>
    <row r="381" spans="2:12">
      <c r="B381" s="165"/>
      <c r="C381" s="652">
        <v>541001</v>
      </c>
      <c r="D381" s="653" t="s">
        <v>751</v>
      </c>
      <c r="E381" s="950">
        <v>12803</v>
      </c>
      <c r="F381" s="950">
        <v>12953</v>
      </c>
      <c r="G381" s="945"/>
      <c r="H381" s="942"/>
      <c r="I381" s="942"/>
      <c r="J381" s="943"/>
      <c r="K381" s="943"/>
      <c r="L381" s="4"/>
    </row>
    <row r="382" spans="2:12">
      <c r="B382" s="165"/>
      <c r="C382" s="652">
        <v>441000</v>
      </c>
      <c r="D382" s="653" t="s">
        <v>752</v>
      </c>
      <c r="E382" s="950">
        <v>13109</v>
      </c>
      <c r="F382" s="950">
        <v>13259</v>
      </c>
      <c r="G382" s="945"/>
      <c r="H382" s="942"/>
      <c r="I382" s="942"/>
      <c r="J382" s="943"/>
      <c r="K382" s="943"/>
      <c r="L382" s="4"/>
    </row>
    <row r="383" spans="2:12">
      <c r="B383" s="165"/>
      <c r="C383" s="652">
        <v>471101</v>
      </c>
      <c r="D383" s="653" t="s">
        <v>753</v>
      </c>
      <c r="E383" s="950">
        <v>12567</v>
      </c>
      <c r="F383" s="950">
        <v>12717</v>
      </c>
      <c r="G383" s="945"/>
      <c r="H383" s="942"/>
      <c r="I383" s="942"/>
      <c r="J383" s="943"/>
      <c r="K383" s="943"/>
      <c r="L383" s="4"/>
    </row>
    <row r="384" spans="2:12">
      <c r="B384" s="165"/>
      <c r="C384" s="652">
        <v>132201</v>
      </c>
      <c r="D384" s="653" t="s">
        <v>754</v>
      </c>
      <c r="E384" s="950">
        <v>13252</v>
      </c>
      <c r="F384" s="950">
        <v>13402</v>
      </c>
      <c r="G384" s="945"/>
      <c r="H384" s="942"/>
      <c r="I384" s="942"/>
      <c r="J384" s="943"/>
      <c r="K384" s="943"/>
      <c r="L384" s="4"/>
    </row>
    <row r="385" spans="2:12">
      <c r="B385" s="165"/>
      <c r="C385" s="652">
        <v>580208</v>
      </c>
      <c r="D385" s="653" t="s">
        <v>755</v>
      </c>
      <c r="E385" s="950">
        <v>13272</v>
      </c>
      <c r="F385" s="950">
        <v>13422</v>
      </c>
      <c r="G385" s="945"/>
      <c r="H385" s="942"/>
      <c r="I385" s="942"/>
      <c r="J385" s="943"/>
      <c r="K385" s="943"/>
      <c r="L385" s="4"/>
    </row>
    <row r="386" spans="2:12">
      <c r="B386" s="165"/>
      <c r="C386" s="652">
        <v>280410</v>
      </c>
      <c r="D386" s="653" t="s">
        <v>756</v>
      </c>
      <c r="E386" s="950">
        <v>24059</v>
      </c>
      <c r="F386" s="950">
        <v>24209</v>
      </c>
      <c r="G386" s="945"/>
      <c r="H386" s="942"/>
      <c r="I386" s="942"/>
      <c r="J386" s="943"/>
      <c r="K386" s="943"/>
      <c r="L386" s="4"/>
    </row>
    <row r="387" spans="2:12">
      <c r="B387" s="165"/>
      <c r="C387" s="652">
        <v>150801</v>
      </c>
      <c r="D387" s="653" t="s">
        <v>757</v>
      </c>
      <c r="E387" s="950">
        <v>25987</v>
      </c>
      <c r="F387" s="950">
        <v>26137</v>
      </c>
      <c r="G387" s="945"/>
      <c r="H387" s="942"/>
      <c r="I387" s="942"/>
      <c r="J387" s="943"/>
      <c r="K387" s="943"/>
      <c r="L387" s="4"/>
    </row>
    <row r="388" spans="2:12">
      <c r="B388" s="165"/>
      <c r="C388" s="652">
        <v>441101</v>
      </c>
      <c r="D388" s="653" t="s">
        <v>758</v>
      </c>
      <c r="E388" s="950">
        <v>10902</v>
      </c>
      <c r="F388" s="950">
        <v>11052</v>
      </c>
      <c r="G388" s="945"/>
      <c r="H388" s="942"/>
      <c r="I388" s="942"/>
      <c r="J388" s="943"/>
      <c r="K388" s="943"/>
      <c r="L388" s="4"/>
    </row>
    <row r="389" spans="2:12">
      <c r="B389" s="165"/>
      <c r="C389" s="652">
        <v>441201</v>
      </c>
      <c r="D389" s="653" t="s">
        <v>759</v>
      </c>
      <c r="E389" s="950">
        <v>13439</v>
      </c>
      <c r="F389" s="950">
        <v>13589</v>
      </c>
      <c r="G389" s="945"/>
      <c r="H389" s="942"/>
      <c r="I389" s="942"/>
      <c r="J389" s="943"/>
      <c r="K389" s="943"/>
      <c r="L389" s="4"/>
    </row>
    <row r="390" spans="2:12">
      <c r="B390" s="165"/>
      <c r="C390" s="652">
        <v>580306</v>
      </c>
      <c r="D390" s="653" t="s">
        <v>760</v>
      </c>
      <c r="E390" s="950">
        <v>31609</v>
      </c>
      <c r="F390" s="950">
        <v>31759</v>
      </c>
      <c r="G390" s="945"/>
      <c r="H390" s="942"/>
      <c r="I390" s="942"/>
      <c r="J390" s="943"/>
      <c r="K390" s="943"/>
      <c r="L390" s="4"/>
    </row>
    <row r="391" spans="2:12">
      <c r="B391" s="165"/>
      <c r="C391" s="652">
        <v>591401</v>
      </c>
      <c r="D391" s="653" t="s">
        <v>761</v>
      </c>
      <c r="E391" s="950">
        <v>14456</v>
      </c>
      <c r="F391" s="950">
        <v>14606</v>
      </c>
      <c r="G391" s="945"/>
      <c r="H391" s="942"/>
      <c r="I391" s="942"/>
      <c r="J391" s="943"/>
      <c r="K391" s="943"/>
      <c r="L391" s="4"/>
    </row>
    <row r="392" spans="2:12">
      <c r="B392" s="165"/>
      <c r="C392" s="652">
        <v>51301</v>
      </c>
      <c r="D392" s="653" t="s">
        <v>762</v>
      </c>
      <c r="E392" s="950">
        <v>10552</v>
      </c>
      <c r="F392" s="950">
        <v>10702</v>
      </c>
      <c r="G392" s="945"/>
      <c r="H392" s="942"/>
      <c r="I392" s="942"/>
      <c r="J392" s="943"/>
      <c r="K392" s="943"/>
      <c r="L392" s="4"/>
    </row>
    <row r="393" spans="2:12">
      <c r="B393" s="165"/>
      <c r="C393" s="652">
        <v>150901</v>
      </c>
      <c r="D393" s="653" t="s">
        <v>763</v>
      </c>
      <c r="E393" s="950">
        <v>12205</v>
      </c>
      <c r="F393" s="950">
        <v>12355</v>
      </c>
      <c r="G393" s="945"/>
      <c r="H393" s="942"/>
      <c r="I393" s="942"/>
      <c r="J393" s="943"/>
      <c r="K393" s="943"/>
      <c r="L393" s="4"/>
    </row>
    <row r="394" spans="2:12">
      <c r="B394" s="165"/>
      <c r="C394" s="652">
        <v>471201</v>
      </c>
      <c r="D394" s="653" t="s">
        <v>764</v>
      </c>
      <c r="E394" s="950">
        <v>10786</v>
      </c>
      <c r="F394" s="950">
        <v>10936</v>
      </c>
      <c r="G394" s="945"/>
      <c r="H394" s="942"/>
      <c r="I394" s="942"/>
      <c r="J394" s="943"/>
      <c r="K394" s="943"/>
      <c r="L394" s="4"/>
    </row>
    <row r="395" spans="2:12">
      <c r="B395" s="165"/>
      <c r="C395" s="652">
        <v>512101</v>
      </c>
      <c r="D395" s="653" t="s">
        <v>765</v>
      </c>
      <c r="E395" s="950">
        <v>14030</v>
      </c>
      <c r="F395" s="950">
        <v>14180</v>
      </c>
      <c r="G395" s="945"/>
      <c r="H395" s="942"/>
      <c r="I395" s="942"/>
      <c r="J395" s="943"/>
      <c r="K395" s="943"/>
      <c r="L395" s="4"/>
    </row>
    <row r="396" spans="2:12">
      <c r="B396" s="165"/>
      <c r="C396" s="652">
        <v>250401</v>
      </c>
      <c r="D396" s="653" t="s">
        <v>766</v>
      </c>
      <c r="E396" s="950">
        <v>12464</v>
      </c>
      <c r="F396" s="950">
        <v>12614</v>
      </c>
      <c r="G396" s="945"/>
      <c r="H396" s="942"/>
      <c r="I396" s="942"/>
      <c r="J396" s="943"/>
      <c r="K396" s="943"/>
      <c r="L396" s="4"/>
    </row>
    <row r="397" spans="2:12">
      <c r="B397" s="165"/>
      <c r="C397" s="652">
        <v>212001</v>
      </c>
      <c r="D397" s="653" t="s">
        <v>767</v>
      </c>
      <c r="E397" s="950">
        <v>11581</v>
      </c>
      <c r="F397" s="950">
        <v>11731</v>
      </c>
      <c r="G397" s="945"/>
      <c r="H397" s="942"/>
      <c r="I397" s="942"/>
      <c r="J397" s="943"/>
      <c r="K397" s="943"/>
      <c r="L397" s="4"/>
    </row>
    <row r="398" spans="2:12">
      <c r="B398" s="165"/>
      <c r="C398" s="652">
        <v>240901</v>
      </c>
      <c r="D398" s="653" t="s">
        <v>768</v>
      </c>
      <c r="E398" s="950">
        <v>12470</v>
      </c>
      <c r="F398" s="950">
        <v>12620</v>
      </c>
      <c r="G398" s="945"/>
      <c r="H398" s="942"/>
      <c r="I398" s="942"/>
      <c r="J398" s="943"/>
      <c r="K398" s="943"/>
      <c r="L398" s="4"/>
    </row>
    <row r="399" spans="2:12">
      <c r="B399" s="165"/>
      <c r="C399" s="652">
        <v>660801</v>
      </c>
      <c r="D399" s="653" t="s">
        <v>769</v>
      </c>
      <c r="E399" s="950">
        <v>18940</v>
      </c>
      <c r="F399" s="950">
        <v>19090</v>
      </c>
      <c r="G399" s="945"/>
      <c r="H399" s="942"/>
      <c r="I399" s="942"/>
      <c r="J399" s="943"/>
      <c r="K399" s="943"/>
      <c r="L399" s="4"/>
    </row>
    <row r="400" spans="2:12">
      <c r="B400" s="165"/>
      <c r="C400" s="652">
        <v>580207</v>
      </c>
      <c r="D400" s="653" t="s">
        <v>770</v>
      </c>
      <c r="E400" s="950">
        <v>15191</v>
      </c>
      <c r="F400" s="950">
        <v>15341</v>
      </c>
      <c r="G400" s="945"/>
      <c r="H400" s="942"/>
      <c r="I400" s="942"/>
      <c r="J400" s="943"/>
      <c r="K400" s="943"/>
      <c r="L400" s="4"/>
    </row>
    <row r="401" spans="2:12">
      <c r="B401" s="165"/>
      <c r="C401" s="652">
        <v>660900</v>
      </c>
      <c r="D401" s="653" t="s">
        <v>771</v>
      </c>
      <c r="E401" s="950">
        <v>17144</v>
      </c>
      <c r="F401" s="950">
        <v>17294</v>
      </c>
      <c r="G401" s="945"/>
      <c r="H401" s="942"/>
      <c r="I401" s="942"/>
      <c r="J401" s="943"/>
      <c r="K401" s="943"/>
      <c r="L401" s="4"/>
    </row>
    <row r="402" spans="2:12">
      <c r="B402" s="165"/>
      <c r="C402" s="652">
        <v>500108</v>
      </c>
      <c r="D402" s="653" t="s">
        <v>772</v>
      </c>
      <c r="E402" s="950">
        <v>18881</v>
      </c>
      <c r="F402" s="950">
        <v>19031</v>
      </c>
      <c r="G402" s="945"/>
      <c r="H402" s="942"/>
      <c r="I402" s="942"/>
      <c r="J402" s="943"/>
      <c r="K402" s="943"/>
      <c r="L402" s="4"/>
    </row>
    <row r="403" spans="2:12">
      <c r="B403" s="165"/>
      <c r="C403" s="652">
        <v>431201</v>
      </c>
      <c r="D403" s="653" t="s">
        <v>773</v>
      </c>
      <c r="E403" s="950">
        <v>13485</v>
      </c>
      <c r="F403" s="950">
        <v>13635</v>
      </c>
      <c r="G403" s="945"/>
      <c r="H403" s="942"/>
      <c r="I403" s="942"/>
      <c r="J403" s="943"/>
      <c r="K403" s="943"/>
      <c r="L403" s="4"/>
    </row>
    <row r="404" spans="2:12">
      <c r="B404" s="165"/>
      <c r="C404" s="652">
        <v>411501</v>
      </c>
      <c r="D404" s="653" t="s">
        <v>774</v>
      </c>
      <c r="E404" s="950">
        <v>11781</v>
      </c>
      <c r="F404" s="950">
        <v>11931</v>
      </c>
      <c r="G404" s="945"/>
      <c r="H404" s="942"/>
      <c r="I404" s="942"/>
      <c r="J404" s="943"/>
      <c r="K404" s="943"/>
      <c r="L404" s="4"/>
    </row>
    <row r="405" spans="2:12">
      <c r="B405" s="165"/>
      <c r="C405" s="652">
        <v>280405</v>
      </c>
      <c r="D405" s="653" t="s">
        <v>775</v>
      </c>
      <c r="E405" s="950">
        <v>15121</v>
      </c>
      <c r="F405" s="950">
        <v>15271</v>
      </c>
      <c r="G405" s="945"/>
      <c r="H405" s="942"/>
      <c r="I405" s="942"/>
      <c r="J405" s="943"/>
      <c r="K405" s="943"/>
      <c r="L405" s="4"/>
    </row>
    <row r="406" spans="2:12">
      <c r="B406" s="165"/>
      <c r="C406" s="652">
        <v>101601</v>
      </c>
      <c r="D406" s="653" t="s">
        <v>776</v>
      </c>
      <c r="E406" s="950">
        <v>16142</v>
      </c>
      <c r="F406" s="950">
        <v>16292</v>
      </c>
      <c r="G406" s="945"/>
      <c r="H406" s="942"/>
      <c r="I406" s="942"/>
      <c r="J406" s="943"/>
      <c r="K406" s="943"/>
      <c r="L406" s="4"/>
    </row>
    <row r="407" spans="2:12">
      <c r="B407" s="165"/>
      <c r="C407" s="652">
        <v>621101</v>
      </c>
      <c r="D407" s="653" t="s">
        <v>777</v>
      </c>
      <c r="E407" s="950">
        <v>13634</v>
      </c>
      <c r="F407" s="950">
        <v>13784</v>
      </c>
      <c r="G407" s="945"/>
      <c r="H407" s="942"/>
      <c r="I407" s="942"/>
      <c r="J407" s="943"/>
      <c r="K407" s="943"/>
      <c r="L407" s="4"/>
    </row>
    <row r="408" spans="2:12">
      <c r="B408" s="165"/>
      <c r="C408" s="652">
        <v>661100</v>
      </c>
      <c r="D408" s="653" t="s">
        <v>778</v>
      </c>
      <c r="E408" s="950">
        <v>16488</v>
      </c>
      <c r="F408" s="950">
        <v>16638</v>
      </c>
      <c r="G408" s="945"/>
      <c r="H408" s="942"/>
      <c r="I408" s="942"/>
      <c r="J408" s="943"/>
      <c r="K408" s="943"/>
      <c r="L408" s="4"/>
    </row>
    <row r="409" spans="2:12">
      <c r="B409" s="165"/>
      <c r="C409" s="652">
        <v>581015</v>
      </c>
      <c r="D409" s="653" t="s">
        <v>779</v>
      </c>
      <c r="E409" s="950">
        <v>15631</v>
      </c>
      <c r="F409" s="950">
        <v>15781</v>
      </c>
      <c r="G409" s="945"/>
      <c r="H409" s="942"/>
      <c r="I409" s="942"/>
      <c r="J409" s="943"/>
      <c r="K409" s="943"/>
      <c r="L409" s="4"/>
    </row>
    <row r="410" spans="2:12">
      <c r="B410" s="165"/>
      <c r="C410" s="652">
        <v>650101</v>
      </c>
      <c r="D410" s="653" t="s">
        <v>780</v>
      </c>
      <c r="E410" s="950">
        <v>11450</v>
      </c>
      <c r="F410" s="950">
        <v>11600</v>
      </c>
      <c r="G410" s="945"/>
      <c r="H410" s="942"/>
      <c r="I410" s="942"/>
      <c r="J410" s="943"/>
      <c r="K410" s="943"/>
      <c r="L410" s="4"/>
    </row>
    <row r="411" spans="2:12">
      <c r="B411" s="165"/>
      <c r="C411" s="652">
        <v>600402</v>
      </c>
      <c r="D411" s="653" t="s">
        <v>781</v>
      </c>
      <c r="E411" s="950">
        <v>10637</v>
      </c>
      <c r="F411" s="950">
        <v>10787</v>
      </c>
      <c r="G411" s="945"/>
      <c r="H411" s="942"/>
      <c r="I411" s="942"/>
      <c r="J411" s="943"/>
      <c r="K411" s="943"/>
      <c r="L411" s="4"/>
    </row>
    <row r="412" spans="2:12">
      <c r="B412" s="165"/>
      <c r="C412" s="652">
        <v>441600</v>
      </c>
      <c r="D412" s="653" t="s">
        <v>782</v>
      </c>
      <c r="E412" s="950">
        <v>15146</v>
      </c>
      <c r="F412" s="950">
        <v>15296</v>
      </c>
      <c r="G412" s="945"/>
      <c r="H412" s="942"/>
      <c r="I412" s="942"/>
      <c r="J412" s="943"/>
      <c r="K412" s="943"/>
      <c r="L412" s="4"/>
    </row>
    <row r="413" spans="2:12">
      <c r="B413" s="165"/>
      <c r="C413" s="652">
        <v>151001</v>
      </c>
      <c r="D413" s="653" t="s">
        <v>783</v>
      </c>
      <c r="E413" s="950">
        <v>43580</v>
      </c>
      <c r="F413" s="950">
        <v>43580</v>
      </c>
      <c r="G413" s="945"/>
      <c r="H413" s="942"/>
      <c r="I413" s="942"/>
      <c r="J413" s="943"/>
      <c r="K413" s="943"/>
      <c r="L413" s="4"/>
    </row>
    <row r="414" spans="2:12">
      <c r="B414" s="165"/>
      <c r="C414" s="652">
        <v>400601</v>
      </c>
      <c r="D414" s="653" t="s">
        <v>784</v>
      </c>
      <c r="E414" s="950">
        <v>10436</v>
      </c>
      <c r="F414" s="950">
        <v>10586</v>
      </c>
      <c r="G414" s="945"/>
      <c r="H414" s="942"/>
      <c r="I414" s="942"/>
      <c r="J414" s="943"/>
      <c r="K414" s="943"/>
      <c r="L414" s="4"/>
    </row>
    <row r="415" spans="2:12">
      <c r="B415" s="165"/>
      <c r="C415" s="652">
        <v>610901</v>
      </c>
      <c r="D415" s="653" t="s">
        <v>785</v>
      </c>
      <c r="E415" s="950">
        <v>10182</v>
      </c>
      <c r="F415" s="950">
        <v>10332</v>
      </c>
      <c r="G415" s="945"/>
      <c r="H415" s="942"/>
      <c r="I415" s="942"/>
      <c r="J415" s="943"/>
      <c r="K415" s="943"/>
      <c r="L415" s="4"/>
    </row>
    <row r="416" spans="2:12">
      <c r="B416" s="165"/>
      <c r="C416" s="652">
        <v>400800</v>
      </c>
      <c r="D416" s="653" t="s">
        <v>786</v>
      </c>
      <c r="E416" s="950">
        <v>11275</v>
      </c>
      <c r="F416" s="950">
        <v>11425</v>
      </c>
      <c r="G416" s="945"/>
      <c r="H416" s="942"/>
      <c r="I416" s="942"/>
      <c r="J416" s="943"/>
      <c r="K416" s="943"/>
      <c r="L416" s="4"/>
    </row>
    <row r="417" spans="2:12">
      <c r="B417" s="165"/>
      <c r="C417" s="652">
        <v>400701</v>
      </c>
      <c r="D417" s="653" t="s">
        <v>787</v>
      </c>
      <c r="E417" s="950">
        <v>10793</v>
      </c>
      <c r="F417" s="950">
        <v>10943</v>
      </c>
      <c r="G417" s="945"/>
      <c r="H417" s="942"/>
      <c r="I417" s="942"/>
      <c r="J417" s="943"/>
      <c r="K417" s="943"/>
      <c r="L417" s="4"/>
    </row>
    <row r="418" spans="2:12">
      <c r="B418" s="165"/>
      <c r="C418" s="652">
        <v>530301</v>
      </c>
      <c r="D418" s="653" t="s">
        <v>788</v>
      </c>
      <c r="E418" s="950">
        <v>12140</v>
      </c>
      <c r="F418" s="950">
        <v>12290</v>
      </c>
      <c r="G418" s="945"/>
      <c r="H418" s="942"/>
      <c r="I418" s="942"/>
      <c r="J418" s="943"/>
      <c r="K418" s="943"/>
      <c r="L418" s="4"/>
    </row>
    <row r="419" spans="2:12">
      <c r="B419" s="165"/>
      <c r="C419" s="652">
        <v>580103</v>
      </c>
      <c r="D419" s="653" t="s">
        <v>789</v>
      </c>
      <c r="E419" s="950">
        <v>14640</v>
      </c>
      <c r="F419" s="950">
        <v>14790</v>
      </c>
      <c r="G419" s="945"/>
      <c r="H419" s="942"/>
      <c r="I419" s="942"/>
      <c r="J419" s="943"/>
      <c r="K419" s="943"/>
      <c r="L419" s="4"/>
    </row>
    <row r="420" spans="2:12">
      <c r="B420" s="165"/>
      <c r="C420" s="652">
        <v>280204</v>
      </c>
      <c r="D420" s="653" t="s">
        <v>790</v>
      </c>
      <c r="E420" s="950">
        <v>17843</v>
      </c>
      <c r="F420" s="950">
        <v>17993</v>
      </c>
      <c r="G420" s="945"/>
      <c r="H420" s="942"/>
      <c r="I420" s="942"/>
      <c r="J420" s="943"/>
      <c r="K420" s="943"/>
      <c r="L420" s="4"/>
    </row>
    <row r="421" spans="2:12">
      <c r="B421" s="165"/>
      <c r="C421" s="652">
        <v>142201</v>
      </c>
      <c r="D421" s="653" t="s">
        <v>791</v>
      </c>
      <c r="E421" s="950">
        <v>13373</v>
      </c>
      <c r="F421" s="950">
        <v>13523</v>
      </c>
      <c r="G421" s="945"/>
      <c r="H421" s="942"/>
      <c r="I421" s="942"/>
      <c r="J421" s="943"/>
      <c r="K421" s="943"/>
      <c r="L421" s="4"/>
    </row>
    <row r="422" spans="2:12">
      <c r="B422" s="165"/>
      <c r="C422" s="652">
        <v>10623</v>
      </c>
      <c r="D422" s="653" t="s">
        <v>792</v>
      </c>
      <c r="E422" s="950">
        <v>11058</v>
      </c>
      <c r="F422" s="950">
        <v>11208</v>
      </c>
      <c r="G422" s="945"/>
      <c r="H422" s="942"/>
      <c r="I422" s="942"/>
      <c r="J422" s="943"/>
      <c r="K422" s="943"/>
      <c r="L422" s="4"/>
    </row>
    <row r="423" spans="2:12">
      <c r="B423" s="165"/>
      <c r="C423" s="652">
        <v>490801</v>
      </c>
      <c r="D423" s="653" t="s">
        <v>793</v>
      </c>
      <c r="E423" s="950">
        <v>12091</v>
      </c>
      <c r="F423" s="950">
        <v>12241</v>
      </c>
      <c r="G423" s="945"/>
      <c r="H423" s="942"/>
      <c r="I423" s="942"/>
      <c r="J423" s="943"/>
      <c r="K423" s="943"/>
      <c r="L423" s="4"/>
    </row>
    <row r="424" spans="2:12">
      <c r="B424" s="165"/>
      <c r="C424" s="652">
        <v>280229</v>
      </c>
      <c r="D424" s="653" t="s">
        <v>794</v>
      </c>
      <c r="E424" s="950">
        <v>18175</v>
      </c>
      <c r="F424" s="950">
        <v>18325</v>
      </c>
      <c r="G424" s="945"/>
      <c r="H424" s="942"/>
      <c r="I424" s="942"/>
      <c r="J424" s="943"/>
      <c r="K424" s="943"/>
      <c r="L424" s="4"/>
    </row>
    <row r="425" spans="2:12">
      <c r="B425" s="165"/>
      <c r="C425" s="652">
        <v>651501</v>
      </c>
      <c r="D425" s="653" t="s">
        <v>795</v>
      </c>
      <c r="E425" s="950">
        <v>12380</v>
      </c>
      <c r="F425" s="950">
        <v>12530</v>
      </c>
      <c r="G425" s="945"/>
      <c r="H425" s="942"/>
      <c r="I425" s="942"/>
      <c r="J425" s="943"/>
      <c r="K425" s="943"/>
      <c r="L425" s="4"/>
    </row>
    <row r="426" spans="2:12">
      <c r="B426" s="165"/>
      <c r="C426" s="652">
        <v>661301</v>
      </c>
      <c r="D426" s="653" t="s">
        <v>796</v>
      </c>
      <c r="E426" s="950">
        <v>20630</v>
      </c>
      <c r="F426" s="950">
        <v>20780</v>
      </c>
      <c r="G426" s="945"/>
      <c r="H426" s="942"/>
      <c r="I426" s="942"/>
      <c r="J426" s="943"/>
      <c r="K426" s="943"/>
      <c r="L426" s="4"/>
    </row>
    <row r="427" spans="2:12">
      <c r="B427" s="165"/>
      <c r="C427" s="652">
        <v>280501</v>
      </c>
      <c r="D427" s="653" t="s">
        <v>797</v>
      </c>
      <c r="E427" s="950">
        <v>23673</v>
      </c>
      <c r="F427" s="950">
        <v>23823</v>
      </c>
      <c r="G427" s="945"/>
      <c r="H427" s="942"/>
      <c r="I427" s="942"/>
      <c r="J427" s="943"/>
      <c r="K427" s="943"/>
      <c r="L427" s="4"/>
    </row>
    <row r="428" spans="2:12">
      <c r="B428" s="165"/>
      <c r="C428" s="652">
        <v>420303</v>
      </c>
      <c r="D428" s="653" t="s">
        <v>798</v>
      </c>
      <c r="E428" s="950">
        <v>11059</v>
      </c>
      <c r="F428" s="950">
        <v>11209</v>
      </c>
      <c r="G428" s="945"/>
      <c r="H428" s="942"/>
      <c r="I428" s="942"/>
      <c r="J428" s="943"/>
      <c r="K428" s="943"/>
      <c r="L428" s="4"/>
    </row>
    <row r="429" spans="2:12">
      <c r="B429" s="165"/>
      <c r="C429" s="652">
        <v>400900</v>
      </c>
      <c r="D429" s="653" t="s">
        <v>799</v>
      </c>
      <c r="E429" s="950">
        <v>10943</v>
      </c>
      <c r="F429" s="950">
        <v>11093</v>
      </c>
      <c r="G429" s="945"/>
      <c r="H429" s="942"/>
      <c r="I429" s="942"/>
      <c r="J429" s="943"/>
      <c r="K429" s="943"/>
      <c r="L429" s="4"/>
    </row>
    <row r="430" spans="2:12">
      <c r="B430" s="165"/>
      <c r="C430" s="652">
        <v>630202</v>
      </c>
      <c r="D430" s="653" t="s">
        <v>800</v>
      </c>
      <c r="E430" s="950">
        <v>15825</v>
      </c>
      <c r="F430" s="950">
        <v>15975</v>
      </c>
      <c r="G430" s="945"/>
      <c r="H430" s="942"/>
      <c r="I430" s="942"/>
      <c r="J430" s="943"/>
      <c r="K430" s="943"/>
      <c r="L430" s="4"/>
    </row>
    <row r="431" spans="2:12">
      <c r="B431" s="165"/>
      <c r="C431" s="652">
        <v>131101</v>
      </c>
      <c r="D431" s="653" t="s">
        <v>801</v>
      </c>
      <c r="E431" s="950">
        <v>15692</v>
      </c>
      <c r="F431" s="950">
        <v>15842</v>
      </c>
      <c r="G431" s="945"/>
      <c r="H431" s="942"/>
      <c r="I431" s="942"/>
      <c r="J431" s="943"/>
      <c r="K431" s="943"/>
      <c r="L431" s="4"/>
    </row>
    <row r="432" spans="2:12">
      <c r="B432" s="165"/>
      <c r="C432" s="652">
        <v>90501</v>
      </c>
      <c r="D432" s="653" t="s">
        <v>802</v>
      </c>
      <c r="E432" s="950">
        <v>11893</v>
      </c>
      <c r="F432" s="950">
        <v>12043</v>
      </c>
      <c r="G432" s="945"/>
      <c r="H432" s="942"/>
      <c r="I432" s="942"/>
      <c r="J432" s="943"/>
      <c r="K432" s="943"/>
      <c r="L432" s="4"/>
    </row>
    <row r="433" spans="2:12">
      <c r="B433" s="165"/>
      <c r="C433" s="652">
        <v>90901</v>
      </c>
      <c r="D433" s="653" t="s">
        <v>803</v>
      </c>
      <c r="E433" s="950">
        <v>12944</v>
      </c>
      <c r="F433" s="950">
        <v>13094</v>
      </c>
      <c r="G433" s="945"/>
      <c r="H433" s="942"/>
      <c r="I433" s="942"/>
      <c r="J433" s="943"/>
      <c r="K433" s="943"/>
      <c r="L433" s="4"/>
    </row>
    <row r="434" spans="2:12">
      <c r="B434" s="165"/>
      <c r="C434" s="652">
        <v>580404</v>
      </c>
      <c r="D434" s="653" t="s">
        <v>804</v>
      </c>
      <c r="E434" s="950">
        <v>18358</v>
      </c>
      <c r="F434" s="950">
        <v>18508</v>
      </c>
      <c r="G434" s="945"/>
      <c r="H434" s="942"/>
      <c r="I434" s="942"/>
      <c r="J434" s="943"/>
      <c r="K434" s="943"/>
      <c r="L434" s="4"/>
    </row>
    <row r="435" spans="2:12">
      <c r="B435" s="165"/>
      <c r="C435" s="652">
        <v>170901</v>
      </c>
      <c r="D435" s="653" t="s">
        <v>805</v>
      </c>
      <c r="E435" s="950">
        <v>13790</v>
      </c>
      <c r="F435" s="950">
        <v>13940</v>
      </c>
      <c r="G435" s="945"/>
      <c r="H435" s="942"/>
      <c r="I435" s="942"/>
      <c r="J435" s="943"/>
      <c r="K435" s="943"/>
      <c r="L435" s="4"/>
    </row>
    <row r="436" spans="2:12">
      <c r="B436" s="165"/>
      <c r="C436" s="652">
        <v>81200</v>
      </c>
      <c r="D436" s="653" t="s">
        <v>806</v>
      </c>
      <c r="E436" s="950">
        <v>10306</v>
      </c>
      <c r="F436" s="950">
        <v>10456</v>
      </c>
      <c r="G436" s="945"/>
      <c r="H436" s="942"/>
      <c r="I436" s="942"/>
      <c r="J436" s="943"/>
      <c r="K436" s="943"/>
      <c r="L436" s="4"/>
    </row>
    <row r="437" spans="2:12">
      <c r="B437" s="165"/>
      <c r="C437" s="652">
        <v>512201</v>
      </c>
      <c r="D437" s="653" t="s">
        <v>807</v>
      </c>
      <c r="E437" s="950">
        <v>11002</v>
      </c>
      <c r="F437" s="950">
        <v>11152</v>
      </c>
      <c r="G437" s="945"/>
      <c r="H437" s="942"/>
      <c r="I437" s="942"/>
      <c r="J437" s="943"/>
      <c r="K437" s="943"/>
      <c r="L437" s="4"/>
    </row>
    <row r="438" spans="2:12">
      <c r="B438" s="165"/>
      <c r="C438" s="652">
        <v>411504</v>
      </c>
      <c r="D438" s="653" t="s">
        <v>808</v>
      </c>
      <c r="E438" s="950">
        <v>12184</v>
      </c>
      <c r="F438" s="950">
        <v>12334</v>
      </c>
      <c r="G438" s="945"/>
      <c r="H438" s="942"/>
      <c r="I438" s="942"/>
      <c r="J438" s="943"/>
      <c r="K438" s="943"/>
      <c r="L438" s="4"/>
    </row>
    <row r="439" spans="2:12">
      <c r="B439" s="165"/>
      <c r="C439" s="652">
        <v>500304</v>
      </c>
      <c r="D439" s="653" t="s">
        <v>809</v>
      </c>
      <c r="E439" s="950">
        <v>18590</v>
      </c>
      <c r="F439" s="950">
        <v>18740</v>
      </c>
      <c r="G439" s="945"/>
      <c r="H439" s="942"/>
      <c r="I439" s="942"/>
      <c r="J439" s="943"/>
      <c r="K439" s="943"/>
      <c r="L439" s="4"/>
    </row>
    <row r="440" spans="2:12">
      <c r="B440" s="165"/>
      <c r="C440" s="652">
        <v>300000</v>
      </c>
      <c r="D440" s="653" t="s">
        <v>810</v>
      </c>
      <c r="E440" s="950">
        <v>13877</v>
      </c>
      <c r="F440" s="950">
        <v>14027</v>
      </c>
      <c r="G440" s="945"/>
      <c r="H440" s="942"/>
      <c r="I440" s="942"/>
      <c r="J440" s="943"/>
      <c r="K440" s="943"/>
      <c r="L440" s="4"/>
    </row>
    <row r="441" spans="2:12">
      <c r="B441" s="165"/>
      <c r="C441" s="652">
        <v>181101</v>
      </c>
      <c r="D441" s="653" t="s">
        <v>811</v>
      </c>
      <c r="E441" s="950">
        <v>10344</v>
      </c>
      <c r="F441" s="950">
        <v>10494</v>
      </c>
      <c r="G441" s="945"/>
      <c r="H441" s="942"/>
      <c r="I441" s="942"/>
      <c r="J441" s="943"/>
      <c r="K441" s="943"/>
      <c r="L441" s="4"/>
    </row>
    <row r="442" spans="2:12">
      <c r="B442" s="165"/>
      <c r="C442" s="652">
        <v>280211</v>
      </c>
      <c r="D442" s="653" t="s">
        <v>812</v>
      </c>
      <c r="E442" s="950">
        <v>16417</v>
      </c>
      <c r="F442" s="950">
        <v>16567</v>
      </c>
      <c r="G442" s="945"/>
      <c r="H442" s="942"/>
      <c r="I442" s="942"/>
      <c r="J442" s="943"/>
      <c r="K442" s="943"/>
      <c r="L442" s="4"/>
    </row>
    <row r="443" spans="2:12">
      <c r="B443" s="165"/>
      <c r="C443" s="652">
        <v>550101</v>
      </c>
      <c r="D443" s="653" t="s">
        <v>813</v>
      </c>
      <c r="E443" s="950">
        <v>11363</v>
      </c>
      <c r="F443" s="950">
        <v>11363</v>
      </c>
      <c r="G443" s="945"/>
      <c r="H443" s="942"/>
      <c r="I443" s="942"/>
      <c r="J443" s="943"/>
      <c r="K443" s="943"/>
      <c r="L443" s="4"/>
    </row>
    <row r="444" spans="2:12">
      <c r="B444" s="165"/>
      <c r="C444" s="652">
        <v>512300</v>
      </c>
      <c r="D444" s="653" t="s">
        <v>814</v>
      </c>
      <c r="E444" s="950">
        <v>14303</v>
      </c>
      <c r="F444" s="950">
        <v>14453</v>
      </c>
      <c r="G444" s="945"/>
      <c r="H444" s="942"/>
      <c r="I444" s="942"/>
      <c r="J444" s="943"/>
      <c r="K444" s="943"/>
      <c r="L444" s="4"/>
    </row>
    <row r="445" spans="2:12">
      <c r="B445" s="165"/>
      <c r="C445" s="652">
        <v>42400</v>
      </c>
      <c r="D445" s="653" t="s">
        <v>815</v>
      </c>
      <c r="E445" s="950">
        <v>11326</v>
      </c>
      <c r="F445" s="950">
        <v>11476</v>
      </c>
      <c r="G445" s="945"/>
      <c r="H445" s="942"/>
      <c r="I445" s="942"/>
      <c r="J445" s="943"/>
      <c r="K445" s="943"/>
      <c r="L445" s="4"/>
    </row>
    <row r="446" spans="2:12">
      <c r="B446" s="165"/>
      <c r="C446" s="652">
        <v>251400</v>
      </c>
      <c r="D446" s="653" t="s">
        <v>816</v>
      </c>
      <c r="E446" s="950">
        <v>11429</v>
      </c>
      <c r="F446" s="950">
        <v>11579</v>
      </c>
      <c r="G446" s="945"/>
      <c r="H446" s="942"/>
      <c r="I446" s="942"/>
      <c r="J446" s="943"/>
      <c r="K446" s="943"/>
      <c r="L446" s="4"/>
    </row>
    <row r="447" spans="2:12">
      <c r="B447" s="165"/>
      <c r="C447" s="652">
        <v>471400</v>
      </c>
      <c r="D447" s="653" t="s">
        <v>817</v>
      </c>
      <c r="E447" s="950">
        <v>12140</v>
      </c>
      <c r="F447" s="950">
        <v>12290</v>
      </c>
      <c r="G447" s="945"/>
      <c r="H447" s="942"/>
      <c r="I447" s="942"/>
      <c r="J447" s="943"/>
      <c r="K447" s="943"/>
      <c r="L447" s="4"/>
    </row>
    <row r="448" spans="2:12">
      <c r="B448" s="165"/>
      <c r="C448" s="652">
        <v>421201</v>
      </c>
      <c r="D448" s="653" t="s">
        <v>818</v>
      </c>
      <c r="E448" s="950">
        <v>12482</v>
      </c>
      <c r="F448" s="950">
        <v>12632</v>
      </c>
      <c r="G448" s="945"/>
      <c r="H448" s="942"/>
      <c r="I448" s="942"/>
      <c r="J448" s="943"/>
      <c r="K448" s="943"/>
      <c r="L448" s="4"/>
    </row>
    <row r="449" spans="2:12">
      <c r="B449" s="165"/>
      <c r="C449" s="652">
        <v>621201</v>
      </c>
      <c r="D449" s="653" t="s">
        <v>819</v>
      </c>
      <c r="E449" s="950">
        <v>18921</v>
      </c>
      <c r="F449" s="950">
        <v>19071</v>
      </c>
      <c r="G449" s="945"/>
      <c r="H449" s="942"/>
      <c r="I449" s="942"/>
      <c r="J449" s="943"/>
      <c r="K449" s="943"/>
      <c r="L449" s="4"/>
    </row>
    <row r="450" spans="2:12">
      <c r="B450" s="165"/>
      <c r="C450" s="652">
        <v>271201</v>
      </c>
      <c r="D450" s="653" t="s">
        <v>820</v>
      </c>
      <c r="E450" s="950">
        <v>12847</v>
      </c>
      <c r="F450" s="950">
        <v>12997</v>
      </c>
      <c r="G450" s="945"/>
      <c r="H450" s="942"/>
      <c r="I450" s="942"/>
      <c r="J450" s="943"/>
      <c r="K450" s="943"/>
      <c r="L450" s="4"/>
    </row>
    <row r="451" spans="2:12">
      <c r="B451" s="165"/>
      <c r="C451" s="652">
        <v>142301</v>
      </c>
      <c r="D451" s="653" t="s">
        <v>821</v>
      </c>
      <c r="E451" s="950">
        <v>10873</v>
      </c>
      <c r="F451" s="950">
        <v>11023</v>
      </c>
      <c r="G451" s="945"/>
      <c r="H451" s="942"/>
      <c r="I451" s="942"/>
      <c r="J451" s="943"/>
      <c r="K451" s="943"/>
      <c r="L451" s="4"/>
    </row>
    <row r="452" spans="2:12">
      <c r="B452" s="165"/>
      <c r="C452" s="652">
        <v>412901</v>
      </c>
      <c r="D452" s="653" t="s">
        <v>822</v>
      </c>
      <c r="E452" s="950">
        <v>11342</v>
      </c>
      <c r="F452" s="950">
        <v>11492</v>
      </c>
      <c r="G452" s="945"/>
      <c r="H452" s="942"/>
      <c r="I452" s="942"/>
      <c r="J452" s="943"/>
      <c r="K452" s="943"/>
      <c r="L452" s="4"/>
    </row>
    <row r="453" spans="2:12">
      <c r="B453" s="165"/>
      <c r="C453" s="652">
        <v>661401</v>
      </c>
      <c r="D453" s="653" t="s">
        <v>823</v>
      </c>
      <c r="E453" s="950">
        <v>18296</v>
      </c>
      <c r="F453" s="950">
        <v>18296</v>
      </c>
      <c r="G453" s="945"/>
      <c r="H453" s="942"/>
      <c r="I453" s="942"/>
      <c r="J453" s="943"/>
      <c r="K453" s="943"/>
      <c r="L453" s="4"/>
    </row>
    <row r="454" spans="2:12">
      <c r="B454" s="165"/>
      <c r="C454" s="652">
        <v>461300</v>
      </c>
      <c r="D454" s="653" t="s">
        <v>824</v>
      </c>
      <c r="E454" s="950">
        <v>12620</v>
      </c>
      <c r="F454" s="950">
        <v>12770</v>
      </c>
      <c r="G454" s="945"/>
      <c r="H454" s="942"/>
      <c r="I454" s="942"/>
      <c r="J454" s="943"/>
      <c r="K454" s="943"/>
      <c r="L454" s="4"/>
    </row>
    <row r="455" spans="2:12">
      <c r="B455" s="165"/>
      <c r="C455" s="652">
        <v>471601</v>
      </c>
      <c r="D455" s="653" t="s">
        <v>825</v>
      </c>
      <c r="E455" s="950">
        <v>11831</v>
      </c>
      <c r="F455" s="950">
        <v>11981</v>
      </c>
      <c r="G455" s="945"/>
      <c r="H455" s="942"/>
      <c r="I455" s="942"/>
      <c r="J455" s="943"/>
      <c r="K455" s="943"/>
      <c r="L455" s="4"/>
    </row>
    <row r="456" spans="2:12">
      <c r="B456" s="165"/>
      <c r="C456" s="652">
        <v>600601</v>
      </c>
      <c r="D456" s="653" t="s">
        <v>826</v>
      </c>
      <c r="E456" s="950">
        <v>11874</v>
      </c>
      <c r="F456" s="950">
        <v>12024</v>
      </c>
      <c r="G456" s="945"/>
      <c r="H456" s="942"/>
      <c r="I456" s="942"/>
      <c r="J456" s="943"/>
      <c r="K456" s="943"/>
      <c r="L456" s="4"/>
    </row>
    <row r="457" spans="2:12">
      <c r="B457" s="165"/>
      <c r="C457" s="652">
        <v>81501</v>
      </c>
      <c r="D457" s="653" t="s">
        <v>827</v>
      </c>
      <c r="E457" s="950">
        <v>12208</v>
      </c>
      <c r="F457" s="950">
        <v>12358</v>
      </c>
      <c r="G457" s="945"/>
      <c r="H457" s="942"/>
      <c r="I457" s="942"/>
      <c r="J457" s="943"/>
      <c r="K457" s="943"/>
      <c r="L457" s="4"/>
    </row>
    <row r="458" spans="2:12">
      <c r="B458" s="165"/>
      <c r="C458" s="652">
        <v>280506</v>
      </c>
      <c r="D458" s="653" t="s">
        <v>828</v>
      </c>
      <c r="E458" s="950">
        <v>22883</v>
      </c>
      <c r="F458" s="950">
        <v>23033</v>
      </c>
      <c r="G458" s="945"/>
      <c r="H458" s="942"/>
      <c r="I458" s="942"/>
      <c r="J458" s="943"/>
      <c r="K458" s="943"/>
      <c r="L458" s="4"/>
    </row>
    <row r="459" spans="2:12">
      <c r="B459" s="165"/>
      <c r="C459" s="652">
        <v>581002</v>
      </c>
      <c r="D459" s="653" t="s">
        <v>829</v>
      </c>
      <c r="E459" s="950">
        <v>33281</v>
      </c>
      <c r="F459" s="950">
        <v>33431</v>
      </c>
      <c r="G459" s="945"/>
      <c r="H459" s="942"/>
      <c r="I459" s="942"/>
      <c r="J459" s="943"/>
      <c r="K459" s="943"/>
      <c r="L459" s="4"/>
    </row>
    <row r="460" spans="2:12">
      <c r="B460" s="165"/>
      <c r="C460" s="652">
        <v>650901</v>
      </c>
      <c r="D460" s="653" t="s">
        <v>830</v>
      </c>
      <c r="E460" s="950">
        <v>11005</v>
      </c>
      <c r="F460" s="950">
        <v>11155</v>
      </c>
      <c r="G460" s="945"/>
      <c r="H460" s="942"/>
      <c r="I460" s="946"/>
      <c r="J460" s="943"/>
      <c r="K460" s="943"/>
      <c r="L460" s="4"/>
    </row>
    <row r="461" spans="2:12">
      <c r="B461" s="165"/>
      <c r="C461" s="652">
        <v>61601</v>
      </c>
      <c r="D461" s="653" t="s">
        <v>831</v>
      </c>
      <c r="E461" s="950">
        <v>12176</v>
      </c>
      <c r="F461" s="950">
        <v>12326</v>
      </c>
      <c r="G461" s="945"/>
      <c r="H461" s="942"/>
      <c r="I461" s="942"/>
      <c r="J461" s="943"/>
      <c r="K461" s="943"/>
      <c r="L461" s="4"/>
    </row>
    <row r="462" spans="2:12">
      <c r="B462" s="165"/>
      <c r="C462" s="652">
        <v>512501</v>
      </c>
      <c r="D462" s="653" t="s">
        <v>832</v>
      </c>
      <c r="E462" s="950">
        <v>10959</v>
      </c>
      <c r="F462" s="950">
        <v>11109</v>
      </c>
      <c r="G462" s="945"/>
      <c r="H462" s="942"/>
      <c r="I462" s="942"/>
      <c r="J462" s="943"/>
      <c r="K462" s="943"/>
      <c r="L462" s="4"/>
    </row>
    <row r="463" spans="2:12">
      <c r="B463" s="165"/>
      <c r="C463" s="652">
        <v>580224</v>
      </c>
      <c r="D463" s="653" t="s">
        <v>833</v>
      </c>
      <c r="E463" s="950">
        <v>13164</v>
      </c>
      <c r="F463" s="950">
        <v>13314</v>
      </c>
      <c r="G463" s="945"/>
      <c r="H463" s="942"/>
      <c r="I463" s="942"/>
      <c r="J463" s="943"/>
      <c r="K463" s="943"/>
      <c r="L463" s="4"/>
    </row>
    <row r="464" spans="2:12">
      <c r="B464" s="165"/>
      <c r="C464" s="652">
        <v>181201</v>
      </c>
      <c r="D464" s="653" t="s">
        <v>834</v>
      </c>
      <c r="E464" s="950">
        <v>11032</v>
      </c>
      <c r="F464" s="950">
        <v>11182</v>
      </c>
      <c r="G464" s="945"/>
      <c r="H464" s="942"/>
      <c r="I464" s="942"/>
      <c r="J464" s="943"/>
      <c r="K464" s="943"/>
      <c r="L464" s="4"/>
    </row>
    <row r="465" spans="2:12">
      <c r="B465" s="165"/>
      <c r="C465" s="652">
        <v>131201</v>
      </c>
      <c r="D465" s="653" t="s">
        <v>835</v>
      </c>
      <c r="E465" s="950">
        <v>15921</v>
      </c>
      <c r="F465" s="950">
        <v>16071</v>
      </c>
      <c r="G465" s="945"/>
      <c r="H465" s="942"/>
      <c r="I465" s="942"/>
      <c r="J465" s="943"/>
      <c r="K465" s="943"/>
      <c r="L465" s="4"/>
    </row>
    <row r="466" spans="2:12">
      <c r="B466" s="165"/>
      <c r="C466" s="652">
        <v>500308</v>
      </c>
      <c r="D466" s="653" t="s">
        <v>836</v>
      </c>
      <c r="E466" s="950">
        <v>15208</v>
      </c>
      <c r="F466" s="950">
        <v>15358</v>
      </c>
      <c r="G466" s="945"/>
      <c r="H466" s="942"/>
      <c r="I466" s="942"/>
      <c r="J466" s="943"/>
      <c r="K466" s="943"/>
      <c r="L466" s="4"/>
    </row>
    <row r="467" spans="2:12">
      <c r="B467" s="165"/>
      <c r="C467" s="652">
        <v>661500</v>
      </c>
      <c r="D467" s="653" t="s">
        <v>837</v>
      </c>
      <c r="E467" s="950">
        <v>16780</v>
      </c>
      <c r="F467" s="950">
        <v>16930</v>
      </c>
      <c r="G467" s="945"/>
      <c r="H467" s="942"/>
      <c r="I467" s="942"/>
      <c r="J467" s="943"/>
      <c r="K467" s="943"/>
      <c r="L467" s="4"/>
    </row>
    <row r="468" spans="2:12">
      <c r="B468" s="165"/>
      <c r="C468" s="652">
        <v>661601</v>
      </c>
      <c r="D468" s="653" t="s">
        <v>838</v>
      </c>
      <c r="E468" s="950">
        <v>16537</v>
      </c>
      <c r="F468" s="950">
        <v>16687</v>
      </c>
      <c r="G468" s="945"/>
      <c r="H468" s="942"/>
      <c r="I468" s="942"/>
      <c r="J468" s="943"/>
      <c r="K468" s="943"/>
      <c r="L468" s="4"/>
    </row>
    <row r="469" spans="2:12">
      <c r="B469" s="165"/>
      <c r="C469" s="652">
        <v>181302</v>
      </c>
      <c r="D469" s="653" t="s">
        <v>839</v>
      </c>
      <c r="E469" s="950">
        <v>12178</v>
      </c>
      <c r="F469" s="950">
        <v>12328</v>
      </c>
      <c r="G469" s="945"/>
      <c r="H469" s="942"/>
      <c r="I469" s="942"/>
      <c r="J469" s="943"/>
      <c r="K469" s="943"/>
      <c r="L469" s="4"/>
    </row>
    <row r="470" spans="2:12">
      <c r="B470" s="165"/>
      <c r="C470" s="652">
        <v>261201</v>
      </c>
      <c r="D470" s="653" t="s">
        <v>840</v>
      </c>
      <c r="E470" s="950">
        <v>12696</v>
      </c>
      <c r="F470" s="950">
        <v>12846</v>
      </c>
      <c r="G470" s="945"/>
      <c r="H470" s="942"/>
      <c r="I470" s="942"/>
      <c r="J470" s="943"/>
      <c r="K470" s="943"/>
      <c r="L470" s="4"/>
    </row>
    <row r="471" spans="2:12">
      <c r="B471" s="165"/>
      <c r="C471" s="652">
        <v>680601</v>
      </c>
      <c r="D471" s="653" t="s">
        <v>841</v>
      </c>
      <c r="E471" s="950">
        <v>11904</v>
      </c>
      <c r="F471" s="950">
        <v>12054</v>
      </c>
      <c r="G471" s="945"/>
      <c r="H471" s="942"/>
      <c r="I471" s="942"/>
      <c r="J471" s="943"/>
      <c r="K471" s="943"/>
      <c r="L471" s="4"/>
    </row>
    <row r="472" spans="2:12">
      <c r="B472" s="165"/>
      <c r="C472" s="652">
        <v>671201</v>
      </c>
      <c r="D472" s="653" t="s">
        <v>842</v>
      </c>
      <c r="E472" s="950">
        <v>11391</v>
      </c>
      <c r="F472" s="950">
        <v>11541</v>
      </c>
      <c r="G472" s="945"/>
      <c r="H472" s="942"/>
      <c r="I472" s="942"/>
      <c r="J472" s="943"/>
      <c r="K472" s="943"/>
      <c r="L472" s="4"/>
    </row>
    <row r="473" spans="2:12">
      <c r="B473" s="165"/>
      <c r="C473" s="652">
        <v>91101</v>
      </c>
      <c r="D473" s="653" t="s">
        <v>843</v>
      </c>
      <c r="E473" s="950">
        <v>12199</v>
      </c>
      <c r="F473" s="950">
        <v>12349</v>
      </c>
      <c r="G473" s="945"/>
      <c r="H473" s="942"/>
      <c r="I473" s="942"/>
      <c r="J473" s="943"/>
      <c r="K473" s="943"/>
      <c r="L473" s="4"/>
    </row>
    <row r="474" spans="2:12">
      <c r="B474" s="165"/>
      <c r="C474" s="652">
        <v>431301</v>
      </c>
      <c r="D474" s="653" t="s">
        <v>844</v>
      </c>
      <c r="E474" s="950">
        <v>11726</v>
      </c>
      <c r="F474" s="950">
        <v>11876</v>
      </c>
      <c r="G474" s="945"/>
      <c r="H474" s="942"/>
      <c r="I474" s="942"/>
      <c r="J474" s="943"/>
      <c r="K474" s="943"/>
      <c r="L474" s="4"/>
    </row>
    <row r="475" spans="2:12">
      <c r="B475" s="165"/>
      <c r="C475" s="652">
        <v>462001</v>
      </c>
      <c r="D475" s="653" t="s">
        <v>845</v>
      </c>
      <c r="E475" s="950">
        <v>12576</v>
      </c>
      <c r="F475" s="950">
        <v>12726</v>
      </c>
      <c r="G475" s="945"/>
      <c r="H475" s="942"/>
      <c r="I475" s="942"/>
      <c r="J475" s="943"/>
      <c r="K475" s="943"/>
      <c r="L475" s="4"/>
    </row>
    <row r="476" spans="2:12">
      <c r="B476" s="165"/>
      <c r="C476" s="652">
        <v>440401</v>
      </c>
      <c r="D476" s="653" t="s">
        <v>846</v>
      </c>
      <c r="E476" s="950">
        <v>11920</v>
      </c>
      <c r="F476" s="950">
        <v>12070</v>
      </c>
      <c r="G476" s="945"/>
      <c r="H476" s="942"/>
      <c r="I476" s="942"/>
      <c r="J476" s="943"/>
      <c r="K476" s="943"/>
      <c r="L476" s="4"/>
    </row>
    <row r="477" spans="2:12">
      <c r="B477" s="165"/>
      <c r="C477" s="652">
        <v>131301</v>
      </c>
      <c r="D477" s="653" t="s">
        <v>847</v>
      </c>
      <c r="E477" s="950">
        <v>14915</v>
      </c>
      <c r="F477" s="950">
        <v>15065</v>
      </c>
      <c r="G477" s="945"/>
      <c r="H477" s="942"/>
      <c r="I477" s="942"/>
      <c r="J477" s="943"/>
      <c r="K477" s="943"/>
      <c r="L477" s="4"/>
    </row>
    <row r="478" spans="2:12">
      <c r="B478" s="165"/>
      <c r="C478" s="652">
        <v>60601</v>
      </c>
      <c r="D478" s="653" t="s">
        <v>848</v>
      </c>
      <c r="E478" s="950">
        <v>11939</v>
      </c>
      <c r="F478" s="950">
        <v>12089</v>
      </c>
      <c r="G478" s="945"/>
      <c r="H478" s="942"/>
      <c r="I478" s="942"/>
      <c r="J478" s="943"/>
      <c r="K478" s="943"/>
      <c r="L478" s="4"/>
    </row>
    <row r="479" spans="2:12">
      <c r="B479" s="165"/>
      <c r="C479" s="652">
        <v>261401</v>
      </c>
      <c r="D479" s="653" t="s">
        <v>849</v>
      </c>
      <c r="E479" s="950">
        <v>13072</v>
      </c>
      <c r="F479" s="950">
        <v>13222</v>
      </c>
      <c r="G479" s="945"/>
      <c r="H479" s="942"/>
      <c r="I479" s="942"/>
      <c r="J479" s="943"/>
      <c r="K479" s="943"/>
      <c r="L479" s="4"/>
    </row>
    <row r="480" spans="2:12">
      <c r="B480" s="165"/>
      <c r="C480" s="652">
        <v>280518</v>
      </c>
      <c r="D480" s="653" t="s">
        <v>850</v>
      </c>
      <c r="E480" s="950">
        <v>16054</v>
      </c>
      <c r="F480" s="950">
        <v>16204</v>
      </c>
      <c r="G480" s="945"/>
      <c r="H480" s="942"/>
      <c r="I480" s="942"/>
      <c r="J480" s="943"/>
      <c r="K480" s="943"/>
      <c r="L480" s="4"/>
    </row>
    <row r="481" spans="2:12">
      <c r="B481" s="165"/>
      <c r="C481" s="652">
        <v>280504</v>
      </c>
      <c r="D481" s="653" t="s">
        <v>851</v>
      </c>
      <c r="E481" s="950">
        <v>18292</v>
      </c>
      <c r="F481" s="950">
        <v>18442</v>
      </c>
      <c r="G481" s="945"/>
      <c r="H481" s="942"/>
      <c r="I481" s="942"/>
      <c r="J481" s="943"/>
      <c r="K481" s="943"/>
      <c r="L481" s="4"/>
    </row>
    <row r="482" spans="2:12">
      <c r="B482" s="165"/>
      <c r="C482" s="652">
        <v>91200</v>
      </c>
      <c r="D482" s="653" t="s">
        <v>852</v>
      </c>
      <c r="E482" s="950">
        <v>13954</v>
      </c>
      <c r="F482" s="950">
        <v>14104</v>
      </c>
      <c r="G482" s="945"/>
      <c r="H482" s="942"/>
      <c r="I482" s="942"/>
      <c r="J482" s="943"/>
      <c r="K482" s="943"/>
      <c r="L482" s="4"/>
    </row>
    <row r="483" spans="2:12">
      <c r="B483" s="165"/>
      <c r="C483" s="652">
        <v>660809</v>
      </c>
      <c r="D483" s="653" t="s">
        <v>853</v>
      </c>
      <c r="E483" s="950">
        <v>16908</v>
      </c>
      <c r="F483" s="950">
        <v>17058</v>
      </c>
      <c r="G483" s="945"/>
      <c r="H483" s="942"/>
      <c r="I483" s="942"/>
      <c r="J483" s="943"/>
      <c r="K483" s="943"/>
      <c r="L483" s="4"/>
    </row>
    <row r="484" spans="2:12">
      <c r="B484" s="165"/>
      <c r="C484" s="652">
        <v>660802</v>
      </c>
      <c r="D484" s="653" t="s">
        <v>854</v>
      </c>
      <c r="E484" s="950">
        <v>46683</v>
      </c>
      <c r="F484" s="950">
        <v>46833</v>
      </c>
      <c r="G484" s="945"/>
      <c r="H484" s="942"/>
      <c r="I484" s="942"/>
      <c r="J484" s="943"/>
      <c r="K484" s="943"/>
      <c r="L484" s="4"/>
    </row>
    <row r="485" spans="2:12">
      <c r="B485" s="165"/>
      <c r="C485" s="652">
        <v>211103</v>
      </c>
      <c r="D485" s="653" t="s">
        <v>855</v>
      </c>
      <c r="E485" s="950">
        <v>12040</v>
      </c>
      <c r="F485" s="950">
        <v>12190</v>
      </c>
      <c r="G485" s="945"/>
      <c r="H485" s="942"/>
      <c r="I485" s="942"/>
      <c r="J485" s="943"/>
      <c r="K485" s="943"/>
      <c r="L485" s="4"/>
    </row>
    <row r="486" spans="2:12">
      <c r="B486" s="165"/>
      <c r="C486" s="652">
        <v>51101</v>
      </c>
      <c r="D486" s="653" t="s">
        <v>856</v>
      </c>
      <c r="E486" s="950">
        <v>11215</v>
      </c>
      <c r="F486" s="950">
        <v>11365</v>
      </c>
      <c r="G486" s="945"/>
      <c r="H486" s="942"/>
      <c r="I486" s="942"/>
      <c r="J486" s="943"/>
      <c r="K486" s="943"/>
      <c r="L486" s="4"/>
    </row>
    <row r="487" spans="2:12">
      <c r="B487" s="165"/>
      <c r="C487" s="652">
        <v>661904</v>
      </c>
      <c r="D487" s="653" t="s">
        <v>857</v>
      </c>
      <c r="E487" s="950">
        <v>13742</v>
      </c>
      <c r="F487" s="950">
        <v>13892</v>
      </c>
      <c r="G487" s="945"/>
      <c r="H487" s="942"/>
      <c r="I487" s="942"/>
      <c r="J487" s="943"/>
      <c r="K487" s="943"/>
      <c r="L487" s="4"/>
    </row>
    <row r="488" spans="2:12">
      <c r="B488" s="165"/>
      <c r="C488" s="652">
        <v>580206</v>
      </c>
      <c r="D488" s="653" t="s">
        <v>858</v>
      </c>
      <c r="E488" s="950">
        <v>21549</v>
      </c>
      <c r="F488" s="950">
        <v>21699</v>
      </c>
      <c r="G488" s="945"/>
      <c r="H488" s="942"/>
      <c r="I488" s="942"/>
      <c r="J488" s="943"/>
      <c r="K488" s="943"/>
      <c r="L488" s="4"/>
    </row>
    <row r="489" spans="2:12">
      <c r="B489" s="165"/>
      <c r="C489" s="652">
        <v>441800</v>
      </c>
      <c r="D489" s="653" t="s">
        <v>859</v>
      </c>
      <c r="E489" s="950">
        <v>12254</v>
      </c>
      <c r="F489" s="950">
        <v>12404</v>
      </c>
      <c r="G489" s="945"/>
      <c r="H489" s="942"/>
      <c r="I489" s="942"/>
      <c r="J489" s="943"/>
      <c r="K489" s="943"/>
      <c r="L489" s="4"/>
    </row>
    <row r="490" spans="2:12">
      <c r="B490" s="165"/>
      <c r="C490" s="652">
        <v>280404</v>
      </c>
      <c r="D490" s="653" t="s">
        <v>860</v>
      </c>
      <c r="E490" s="950">
        <v>20378</v>
      </c>
      <c r="F490" s="950">
        <v>20528</v>
      </c>
      <c r="G490" s="945"/>
      <c r="H490" s="942"/>
      <c r="I490" s="942"/>
      <c r="J490" s="943"/>
      <c r="K490" s="943"/>
      <c r="L490" s="4"/>
    </row>
    <row r="491" spans="2:12">
      <c r="B491" s="165"/>
      <c r="C491" s="652">
        <v>42901</v>
      </c>
      <c r="D491" s="653" t="s">
        <v>861</v>
      </c>
      <c r="E491" s="950">
        <v>10408</v>
      </c>
      <c r="F491" s="950">
        <v>10558</v>
      </c>
      <c r="G491" s="945"/>
      <c r="H491" s="942"/>
      <c r="I491" s="942"/>
      <c r="J491" s="943"/>
      <c r="K491" s="943"/>
      <c r="L491" s="4"/>
    </row>
    <row r="492" spans="2:12">
      <c r="B492" s="165"/>
      <c r="C492" s="652">
        <v>512902</v>
      </c>
      <c r="D492" s="653" t="s">
        <v>862</v>
      </c>
      <c r="E492" s="950">
        <v>11740</v>
      </c>
      <c r="F492" s="950">
        <v>11890</v>
      </c>
      <c r="G492" s="945"/>
      <c r="H492" s="942"/>
      <c r="I492" s="942"/>
      <c r="J492" s="943"/>
      <c r="K492" s="943"/>
      <c r="L492" s="4"/>
    </row>
    <row r="493" spans="2:12">
      <c r="B493" s="165"/>
      <c r="C493" s="652">
        <v>131500</v>
      </c>
      <c r="D493" s="653" t="s">
        <v>863</v>
      </c>
      <c r="E493" s="950">
        <v>12874</v>
      </c>
      <c r="F493" s="950">
        <v>13024</v>
      </c>
      <c r="G493" s="945"/>
      <c r="H493" s="942"/>
      <c r="I493" s="942"/>
      <c r="J493" s="943"/>
      <c r="K493" s="943"/>
      <c r="L493" s="4"/>
    </row>
    <row r="494" spans="2:12">
      <c r="B494" s="165"/>
      <c r="C494" s="652">
        <v>572301</v>
      </c>
      <c r="D494" s="653" t="s">
        <v>864</v>
      </c>
      <c r="E494" s="950">
        <v>10976</v>
      </c>
      <c r="F494" s="950">
        <v>11126</v>
      </c>
      <c r="G494" s="945"/>
      <c r="H494" s="942"/>
      <c r="I494" s="942"/>
      <c r="J494" s="943"/>
      <c r="K494" s="943"/>
      <c r="L494" s="4"/>
    </row>
    <row r="495" spans="2:12">
      <c r="B495" s="165"/>
      <c r="C495" s="652">
        <v>461801</v>
      </c>
      <c r="D495" s="653" t="s">
        <v>865</v>
      </c>
      <c r="E495" s="950">
        <v>11930</v>
      </c>
      <c r="F495" s="950">
        <v>12080</v>
      </c>
      <c r="G495" s="945"/>
      <c r="H495" s="942"/>
      <c r="I495" s="942"/>
      <c r="J495" s="943"/>
      <c r="K495" s="943"/>
      <c r="L495" s="4"/>
    </row>
    <row r="496" spans="2:12">
      <c r="B496" s="165"/>
      <c r="C496" s="652">
        <v>641401</v>
      </c>
      <c r="D496" s="653" t="s">
        <v>866</v>
      </c>
      <c r="E496" s="950">
        <v>24316</v>
      </c>
      <c r="F496" s="950">
        <v>24466</v>
      </c>
      <c r="G496" s="945"/>
      <c r="H496" s="942"/>
      <c r="I496" s="942"/>
      <c r="J496" s="943"/>
      <c r="K496" s="943"/>
      <c r="L496" s="4"/>
    </row>
    <row r="497" spans="2:12">
      <c r="B497" s="165"/>
      <c r="C497" s="652">
        <v>480503</v>
      </c>
      <c r="D497" s="653" t="s">
        <v>867</v>
      </c>
      <c r="E497" s="950">
        <v>17238</v>
      </c>
      <c r="F497" s="950">
        <v>17388</v>
      </c>
      <c r="G497" s="945"/>
      <c r="H497" s="942"/>
      <c r="I497" s="942"/>
      <c r="J497" s="943"/>
      <c r="K497" s="943"/>
      <c r="L497" s="4"/>
    </row>
    <row r="498" spans="2:12">
      <c r="B498" s="165"/>
      <c r="C498" s="652">
        <v>630902</v>
      </c>
      <c r="D498" s="653" t="s">
        <v>868</v>
      </c>
      <c r="E498" s="950">
        <v>9888</v>
      </c>
      <c r="F498" s="950">
        <v>10038</v>
      </c>
      <c r="G498" s="945"/>
      <c r="H498" s="942"/>
      <c r="I498" s="942"/>
      <c r="J498" s="943"/>
      <c r="K498" s="943"/>
      <c r="L498" s="4"/>
    </row>
    <row r="499" spans="2:12">
      <c r="B499" s="165"/>
      <c r="C499" s="652">
        <v>580903</v>
      </c>
      <c r="D499" s="653" t="s">
        <v>869</v>
      </c>
      <c r="E499" s="950">
        <v>47273</v>
      </c>
      <c r="F499" s="950">
        <v>47423</v>
      </c>
      <c r="G499" s="945"/>
      <c r="H499" s="942"/>
      <c r="I499" s="942"/>
      <c r="J499" s="943"/>
      <c r="K499" s="943"/>
      <c r="L499" s="4"/>
    </row>
    <row r="500" spans="2:12">
      <c r="B500" s="165"/>
      <c r="C500" s="652">
        <v>500401</v>
      </c>
      <c r="D500" s="653" t="s">
        <v>870</v>
      </c>
      <c r="E500" s="950">
        <v>17269</v>
      </c>
      <c r="F500" s="950">
        <v>17419</v>
      </c>
      <c r="G500" s="945"/>
      <c r="H500" s="942"/>
      <c r="I500" s="942"/>
      <c r="J500" s="943"/>
      <c r="K500" s="943"/>
      <c r="L500" s="4"/>
    </row>
    <row r="501" spans="2:12">
      <c r="B501" s="165"/>
      <c r="C501" s="652">
        <v>43001</v>
      </c>
      <c r="D501" s="653" t="s">
        <v>871</v>
      </c>
      <c r="E501" s="950">
        <v>11070</v>
      </c>
      <c r="F501" s="950">
        <v>11220</v>
      </c>
      <c r="G501" s="945"/>
      <c r="H501" s="942"/>
      <c r="I501" s="942"/>
      <c r="J501" s="943"/>
      <c r="K501" s="943"/>
      <c r="L501" s="4"/>
    </row>
    <row r="502" spans="2:12">
      <c r="B502" s="165"/>
      <c r="C502" s="652">
        <v>10402</v>
      </c>
      <c r="D502" s="653" t="s">
        <v>872</v>
      </c>
      <c r="E502" s="950">
        <v>13639</v>
      </c>
      <c r="F502" s="950">
        <v>13789</v>
      </c>
      <c r="G502" s="945"/>
      <c r="H502" s="942"/>
      <c r="I502" s="942"/>
      <c r="J502" s="943"/>
      <c r="K502" s="943"/>
      <c r="L502" s="4"/>
    </row>
    <row r="503" spans="2:12">
      <c r="B503" s="165"/>
      <c r="C503" s="652">
        <v>651503</v>
      </c>
      <c r="D503" s="653" t="s">
        <v>873</v>
      </c>
      <c r="E503" s="950">
        <v>11266</v>
      </c>
      <c r="F503" s="950">
        <v>11416</v>
      </c>
      <c r="G503" s="945"/>
      <c r="H503" s="942"/>
      <c r="I503" s="942"/>
      <c r="J503" s="943"/>
      <c r="K503" s="943"/>
      <c r="L503" s="4"/>
    </row>
    <row r="504" spans="2:12">
      <c r="B504" s="165"/>
      <c r="C504" s="652">
        <v>131701</v>
      </c>
      <c r="D504" s="653" t="s">
        <v>874</v>
      </c>
      <c r="E504" s="950">
        <v>13552</v>
      </c>
      <c r="F504" s="950">
        <v>13702</v>
      </c>
      <c r="G504" s="945"/>
      <c r="H504" s="942"/>
      <c r="I504" s="942"/>
      <c r="J504" s="943"/>
      <c r="K504" s="943"/>
      <c r="L504" s="4"/>
    </row>
    <row r="505" spans="2:12">
      <c r="B505" s="165"/>
      <c r="C505" s="652">
        <v>411701</v>
      </c>
      <c r="D505" s="653" t="s">
        <v>875</v>
      </c>
      <c r="E505" s="950">
        <v>15148</v>
      </c>
      <c r="F505" s="950">
        <v>15298</v>
      </c>
      <c r="G505" s="945"/>
      <c r="H505" s="942"/>
      <c r="I505" s="942"/>
      <c r="J505" s="943"/>
      <c r="K505" s="943"/>
      <c r="L505" s="4"/>
    </row>
    <row r="506" spans="2:12">
      <c r="B506" s="165"/>
      <c r="C506" s="652">
        <v>580901</v>
      </c>
      <c r="D506" s="653" t="s">
        <v>876</v>
      </c>
      <c r="E506" s="950">
        <v>36764</v>
      </c>
      <c r="F506" s="950">
        <v>36914</v>
      </c>
      <c r="G506" s="945"/>
      <c r="H506" s="942"/>
      <c r="I506" s="942"/>
      <c r="J506" s="943"/>
      <c r="K506" s="943"/>
      <c r="L506" s="4"/>
    </row>
    <row r="507" spans="2:12">
      <c r="B507" s="165"/>
      <c r="C507" s="652">
        <v>491200</v>
      </c>
      <c r="D507" s="653" t="s">
        <v>877</v>
      </c>
      <c r="E507" s="950">
        <v>9234</v>
      </c>
      <c r="F507" s="950">
        <v>9384</v>
      </c>
      <c r="G507" s="945"/>
      <c r="H507" s="942"/>
      <c r="I507" s="942"/>
      <c r="J507" s="943"/>
      <c r="K507" s="943"/>
      <c r="L507" s="4"/>
    </row>
    <row r="508" spans="2:12">
      <c r="B508" s="165"/>
      <c r="C508" s="652">
        <v>131801</v>
      </c>
      <c r="D508" s="653" t="s">
        <v>878</v>
      </c>
      <c r="E508" s="950">
        <v>17031</v>
      </c>
      <c r="F508" s="950">
        <v>17181</v>
      </c>
      <c r="G508" s="945"/>
      <c r="H508" s="942"/>
      <c r="I508" s="942"/>
      <c r="J508" s="943"/>
      <c r="K508" s="943"/>
      <c r="L508" s="4"/>
    </row>
    <row r="509" spans="2:12">
      <c r="B509" s="165"/>
      <c r="C509" s="652">
        <v>472001</v>
      </c>
      <c r="D509" s="653" t="s">
        <v>879</v>
      </c>
      <c r="E509" s="950">
        <v>11266</v>
      </c>
      <c r="F509" s="950">
        <v>11416</v>
      </c>
      <c r="G509" s="945"/>
      <c r="H509" s="942"/>
      <c r="I509" s="942"/>
      <c r="J509" s="943"/>
      <c r="K509" s="943"/>
      <c r="L509" s="4"/>
    </row>
    <row r="510" spans="2:12">
      <c r="B510" s="165"/>
      <c r="C510" s="652">
        <v>62401</v>
      </c>
      <c r="D510" s="653" t="s">
        <v>880</v>
      </c>
      <c r="E510" s="950">
        <v>16291</v>
      </c>
      <c r="F510" s="950">
        <v>16441</v>
      </c>
      <c r="G510" s="945"/>
      <c r="H510" s="942"/>
      <c r="I510" s="942"/>
      <c r="J510" s="943"/>
      <c r="K510" s="943"/>
      <c r="L510" s="4"/>
    </row>
    <row r="511" spans="2:12">
      <c r="B511" s="165"/>
      <c r="C511" s="652">
        <v>580602</v>
      </c>
      <c r="D511" s="653" t="s">
        <v>881</v>
      </c>
      <c r="E511" s="950">
        <v>16426</v>
      </c>
      <c r="F511" s="950">
        <v>16576</v>
      </c>
      <c r="G511" s="945"/>
      <c r="H511" s="942"/>
      <c r="I511" s="942"/>
      <c r="J511" s="943"/>
      <c r="K511" s="943"/>
      <c r="L511" s="4"/>
    </row>
    <row r="512" spans="2:12">
      <c r="B512" s="165"/>
      <c r="C512" s="652">
        <v>261600</v>
      </c>
      <c r="D512" s="653" t="s">
        <v>882</v>
      </c>
      <c r="E512" s="950">
        <v>12440</v>
      </c>
      <c r="F512" s="950">
        <v>12590</v>
      </c>
      <c r="G512" s="945"/>
      <c r="H512" s="942"/>
      <c r="I512" s="942"/>
      <c r="J512" s="943"/>
      <c r="K512" s="943"/>
      <c r="L512" s="4"/>
    </row>
    <row r="513" spans="2:12">
      <c r="B513" s="165"/>
      <c r="C513" s="652">
        <v>280221</v>
      </c>
      <c r="D513" s="653" t="s">
        <v>883</v>
      </c>
      <c r="E513" s="950">
        <v>19117</v>
      </c>
      <c r="F513" s="950">
        <v>19267</v>
      </c>
      <c r="G513" s="945"/>
      <c r="H513" s="942"/>
      <c r="I513" s="942"/>
      <c r="J513" s="943"/>
      <c r="K513" s="943"/>
      <c r="L513" s="4"/>
    </row>
    <row r="514" spans="2:12">
      <c r="B514" s="165"/>
      <c r="C514" s="652">
        <v>580209</v>
      </c>
      <c r="D514" s="653" t="s">
        <v>884</v>
      </c>
      <c r="E514" s="950">
        <v>13164</v>
      </c>
      <c r="F514" s="950">
        <v>13314</v>
      </c>
      <c r="G514" s="945"/>
      <c r="H514" s="942"/>
      <c r="I514" s="942"/>
      <c r="J514" s="943"/>
      <c r="K514" s="943"/>
      <c r="L514" s="4"/>
    </row>
    <row r="515" spans="2:12">
      <c r="B515" s="165"/>
      <c r="C515" s="652">
        <v>411800</v>
      </c>
      <c r="D515" s="653" t="s">
        <v>885</v>
      </c>
      <c r="E515" s="950">
        <v>11763</v>
      </c>
      <c r="F515" s="950">
        <v>11913</v>
      </c>
      <c r="G515" s="945"/>
      <c r="H515" s="942"/>
      <c r="I515" s="942"/>
      <c r="J515" s="943"/>
      <c r="K515" s="943"/>
      <c r="L515" s="4"/>
    </row>
    <row r="516" spans="2:12">
      <c r="B516" s="165"/>
      <c r="C516" s="652">
        <v>560603</v>
      </c>
      <c r="D516" s="653" t="s">
        <v>886</v>
      </c>
      <c r="E516" s="950">
        <v>14917</v>
      </c>
      <c r="F516" s="950">
        <v>15067</v>
      </c>
      <c r="G516" s="945"/>
      <c r="H516" s="942"/>
      <c r="I516" s="942"/>
      <c r="J516" s="943"/>
      <c r="K516" s="943"/>
      <c r="L516" s="4"/>
    </row>
    <row r="517" spans="2:12">
      <c r="B517" s="165"/>
      <c r="C517" s="652">
        <v>620901</v>
      </c>
      <c r="D517" s="653" t="s">
        <v>887</v>
      </c>
      <c r="E517" s="950">
        <v>17939</v>
      </c>
      <c r="F517" s="950">
        <v>18089</v>
      </c>
      <c r="G517" s="945"/>
      <c r="H517" s="942"/>
      <c r="I517" s="942"/>
      <c r="J517" s="943"/>
      <c r="K517" s="943"/>
      <c r="L517" s="4"/>
    </row>
    <row r="518" spans="2:12">
      <c r="B518" s="165"/>
      <c r="C518" s="652">
        <v>280208</v>
      </c>
      <c r="D518" s="653" t="s">
        <v>888</v>
      </c>
      <c r="E518" s="950">
        <v>16925</v>
      </c>
      <c r="F518" s="950">
        <v>16925</v>
      </c>
      <c r="G518" s="945"/>
      <c r="H518" s="942"/>
      <c r="I518" s="942"/>
      <c r="J518" s="943"/>
      <c r="K518" s="943"/>
      <c r="L518" s="4"/>
    </row>
    <row r="519" spans="2:12">
      <c r="B519" s="165"/>
      <c r="C519" s="652">
        <v>591301</v>
      </c>
      <c r="D519" s="653" t="s">
        <v>889</v>
      </c>
      <c r="E519" s="950">
        <v>18176</v>
      </c>
      <c r="F519" s="950">
        <v>18326</v>
      </c>
      <c r="G519" s="945"/>
      <c r="H519" s="942"/>
      <c r="I519" s="942"/>
      <c r="J519" s="943"/>
      <c r="K519" s="943"/>
      <c r="L519" s="4"/>
    </row>
    <row r="520" spans="2:12">
      <c r="B520" s="165"/>
      <c r="C520" s="652">
        <v>280403</v>
      </c>
      <c r="D520" s="653" t="s">
        <v>890</v>
      </c>
      <c r="E520" s="950">
        <v>21248</v>
      </c>
      <c r="F520" s="950">
        <v>21398</v>
      </c>
      <c r="G520" s="945"/>
      <c r="H520" s="942"/>
      <c r="I520" s="942"/>
      <c r="J520" s="943"/>
      <c r="K520" s="943"/>
      <c r="L520" s="4"/>
    </row>
    <row r="521" spans="2:12">
      <c r="B521" s="165"/>
      <c r="C521" s="652">
        <v>530515</v>
      </c>
      <c r="D521" s="653" t="s">
        <v>891</v>
      </c>
      <c r="E521" s="950">
        <v>9339</v>
      </c>
      <c r="F521" s="950">
        <v>9489</v>
      </c>
      <c r="G521" s="945"/>
      <c r="H521" s="942"/>
      <c r="I521" s="942"/>
      <c r="J521" s="943"/>
      <c r="K521" s="943"/>
      <c r="L521" s="4"/>
    </row>
    <row r="522" spans="2:12">
      <c r="B522" s="165"/>
      <c r="C522" s="652">
        <v>121502</v>
      </c>
      <c r="D522" s="653" t="s">
        <v>892</v>
      </c>
      <c r="E522" s="950">
        <v>17313</v>
      </c>
      <c r="F522" s="950">
        <v>17463</v>
      </c>
      <c r="G522" s="945"/>
      <c r="H522" s="942"/>
      <c r="I522" s="942"/>
      <c r="J522" s="943"/>
      <c r="K522" s="943"/>
      <c r="L522" s="4"/>
    </row>
    <row r="523" spans="2:12">
      <c r="B523" s="165"/>
      <c r="C523" s="652">
        <v>401201</v>
      </c>
      <c r="D523" s="653" t="s">
        <v>893</v>
      </c>
      <c r="E523" s="950">
        <v>10557</v>
      </c>
      <c r="F523" s="950">
        <v>10707</v>
      </c>
      <c r="G523" s="945"/>
      <c r="H523" s="942"/>
      <c r="I523" s="942"/>
      <c r="J523" s="943"/>
      <c r="K523" s="943"/>
      <c r="L523" s="4"/>
    </row>
    <row r="524" spans="2:12">
      <c r="B524" s="165"/>
      <c r="C524" s="652">
        <v>261701</v>
      </c>
      <c r="D524" s="653" t="s">
        <v>894</v>
      </c>
      <c r="E524" s="950">
        <v>12680</v>
      </c>
      <c r="F524" s="950">
        <v>12830</v>
      </c>
      <c r="G524" s="945"/>
      <c r="H524" s="942"/>
      <c r="I524" s="942"/>
      <c r="J524" s="943"/>
      <c r="K524" s="943"/>
      <c r="L524" s="4"/>
    </row>
    <row r="525" spans="2:12">
      <c r="B525" s="165"/>
      <c r="C525" s="652">
        <v>661800</v>
      </c>
      <c r="D525" s="653" t="s">
        <v>895</v>
      </c>
      <c r="E525" s="950">
        <v>19267</v>
      </c>
      <c r="F525" s="950">
        <v>19417</v>
      </c>
      <c r="G525" s="945"/>
      <c r="H525" s="942"/>
      <c r="I525" s="942"/>
      <c r="J525" s="943"/>
      <c r="K525" s="943"/>
      <c r="L525" s="4"/>
    </row>
    <row r="526" spans="2:12">
      <c r="B526" s="165"/>
      <c r="C526" s="652">
        <v>661901</v>
      </c>
      <c r="D526" s="653" t="s">
        <v>896</v>
      </c>
      <c r="E526" s="950">
        <v>18707</v>
      </c>
      <c r="F526" s="950">
        <v>18857</v>
      </c>
      <c r="G526" s="945"/>
      <c r="H526" s="942"/>
      <c r="I526" s="942"/>
      <c r="J526" s="943"/>
      <c r="K526" s="943"/>
      <c r="L526" s="4"/>
    </row>
    <row r="527" spans="2:12">
      <c r="B527" s="165"/>
      <c r="C527" s="652">
        <v>580205</v>
      </c>
      <c r="D527" s="653" t="s">
        <v>897</v>
      </c>
      <c r="E527" s="950">
        <v>13601</v>
      </c>
      <c r="F527" s="950">
        <v>13751</v>
      </c>
      <c r="G527" s="945"/>
      <c r="H527" s="942"/>
      <c r="I527" s="942"/>
      <c r="J527" s="943"/>
      <c r="K527" s="943"/>
      <c r="L527" s="4"/>
    </row>
    <row r="528" spans="2:12">
      <c r="B528" s="165"/>
      <c r="C528" s="652">
        <v>221001</v>
      </c>
      <c r="D528" s="653" t="s">
        <v>898</v>
      </c>
      <c r="E528" s="950">
        <v>10454</v>
      </c>
      <c r="F528" s="950">
        <v>10604</v>
      </c>
      <c r="G528" s="945"/>
      <c r="H528" s="942"/>
      <c r="I528" s="942"/>
      <c r="J528" s="943"/>
      <c r="K528" s="943"/>
      <c r="L528" s="4"/>
    </row>
    <row r="529" spans="2:12">
      <c r="B529" s="165"/>
      <c r="C529" s="652">
        <v>580305</v>
      </c>
      <c r="D529" s="653" t="s">
        <v>899</v>
      </c>
      <c r="E529" s="950">
        <v>25075</v>
      </c>
      <c r="F529" s="950">
        <v>25225</v>
      </c>
      <c r="G529" s="945"/>
      <c r="H529" s="942"/>
      <c r="I529" s="942"/>
      <c r="J529" s="943"/>
      <c r="K529" s="943"/>
      <c r="L529" s="4"/>
    </row>
    <row r="530" spans="2:12">
      <c r="B530" s="165"/>
      <c r="C530" s="652">
        <v>580910</v>
      </c>
      <c r="D530" s="653" t="s">
        <v>900</v>
      </c>
      <c r="E530" s="950">
        <v>15631</v>
      </c>
      <c r="F530" s="950">
        <v>15781</v>
      </c>
      <c r="G530" s="945"/>
      <c r="H530" s="942"/>
      <c r="I530" s="942"/>
      <c r="J530" s="943"/>
      <c r="K530" s="943"/>
      <c r="L530" s="4"/>
    </row>
    <row r="531" spans="2:12">
      <c r="B531" s="165"/>
      <c r="C531" s="652">
        <v>43200</v>
      </c>
      <c r="D531" s="653" t="s">
        <v>901</v>
      </c>
      <c r="E531" s="950">
        <v>11582</v>
      </c>
      <c r="F531" s="950">
        <v>12082</v>
      </c>
      <c r="G531" s="945"/>
      <c r="H531" s="942"/>
      <c r="I531" s="942"/>
      <c r="J531" s="943"/>
      <c r="K531" s="943"/>
      <c r="L531" s="4"/>
    </row>
    <row r="532" spans="2:12">
      <c r="B532" s="165"/>
      <c r="C532" s="652">
        <v>641501</v>
      </c>
      <c r="D532" s="653" t="s">
        <v>902</v>
      </c>
      <c r="E532" s="950">
        <v>13432</v>
      </c>
      <c r="F532" s="950">
        <v>13582</v>
      </c>
      <c r="G532" s="945"/>
      <c r="H532" s="942"/>
      <c r="I532" s="942"/>
      <c r="J532" s="943"/>
      <c r="K532" s="943"/>
      <c r="L532" s="4"/>
    </row>
    <row r="533" spans="2:12">
      <c r="B533" s="165"/>
      <c r="C533" s="652">
        <v>161201</v>
      </c>
      <c r="D533" s="653" t="s">
        <v>903</v>
      </c>
      <c r="E533" s="950">
        <v>13926</v>
      </c>
      <c r="F533" s="950">
        <v>14076</v>
      </c>
      <c r="G533" s="945"/>
      <c r="H533" s="942"/>
      <c r="I533" s="942"/>
      <c r="J533" s="943"/>
      <c r="K533" s="943"/>
      <c r="L533" s="4"/>
    </row>
    <row r="534" spans="2:12">
      <c r="B534" s="165"/>
      <c r="C534" s="652">
        <v>461901</v>
      </c>
      <c r="D534" s="653" t="s">
        <v>904</v>
      </c>
      <c r="E534" s="950">
        <v>13261</v>
      </c>
      <c r="F534" s="950">
        <v>13411</v>
      </c>
      <c r="G534" s="945"/>
      <c r="H534" s="942"/>
      <c r="I534" s="942"/>
      <c r="J534" s="943"/>
      <c r="K534" s="943"/>
      <c r="L534" s="4"/>
    </row>
    <row r="535" spans="2:12">
      <c r="B535" s="165"/>
      <c r="C535" s="652">
        <v>91402</v>
      </c>
      <c r="D535" s="653" t="s">
        <v>905</v>
      </c>
      <c r="E535" s="950">
        <v>11683</v>
      </c>
      <c r="F535" s="950">
        <v>11833</v>
      </c>
      <c r="G535" s="945"/>
      <c r="H535" s="942"/>
      <c r="I535" s="942"/>
      <c r="J535" s="943"/>
      <c r="K535" s="943"/>
      <c r="L535" s="4"/>
    </row>
    <row r="536" spans="2:12">
      <c r="B536" s="165"/>
      <c r="C536" s="652">
        <v>161401</v>
      </c>
      <c r="D536" s="653" t="s">
        <v>906</v>
      </c>
      <c r="E536" s="950">
        <v>14349</v>
      </c>
      <c r="F536" s="950">
        <v>14499</v>
      </c>
      <c r="G536" s="945"/>
      <c r="H536" s="942"/>
      <c r="I536" s="942"/>
      <c r="J536" s="943"/>
      <c r="K536" s="943"/>
      <c r="L536" s="4"/>
    </row>
    <row r="537" spans="2:12">
      <c r="B537" s="165"/>
      <c r="C537" s="652">
        <v>521800</v>
      </c>
      <c r="D537" s="653" t="s">
        <v>907</v>
      </c>
      <c r="E537" s="950">
        <v>10882</v>
      </c>
      <c r="F537" s="950">
        <v>11032</v>
      </c>
      <c r="G537" s="945"/>
      <c r="H537" s="942"/>
      <c r="I537" s="942"/>
      <c r="J537" s="943"/>
      <c r="K537" s="943"/>
      <c r="L537" s="4"/>
    </row>
    <row r="538" spans="2:12">
      <c r="B538" s="165"/>
      <c r="C538" s="652">
        <v>621601</v>
      </c>
      <c r="D538" s="653" t="s">
        <v>908</v>
      </c>
      <c r="E538" s="950">
        <v>12172</v>
      </c>
      <c r="F538" s="950">
        <v>12322</v>
      </c>
      <c r="G538" s="945"/>
      <c r="H538" s="942"/>
      <c r="I538" s="942"/>
      <c r="J538" s="943"/>
      <c r="K538" s="943"/>
      <c r="L538" s="4"/>
    </row>
    <row r="539" spans="2:12">
      <c r="B539" s="165"/>
      <c r="C539" s="652">
        <v>411603</v>
      </c>
      <c r="D539" s="653" t="s">
        <v>909</v>
      </c>
      <c r="E539" s="950">
        <v>11306</v>
      </c>
      <c r="F539" s="950">
        <v>11456</v>
      </c>
      <c r="G539" s="945"/>
      <c r="H539" s="942"/>
      <c r="I539" s="942"/>
      <c r="J539" s="943"/>
      <c r="K539" s="943"/>
      <c r="L539" s="4"/>
    </row>
    <row r="540" spans="2:12">
      <c r="B540" s="165"/>
      <c r="C540" s="652">
        <v>580504</v>
      </c>
      <c r="D540" s="653" t="s">
        <v>910</v>
      </c>
      <c r="E540" s="950">
        <v>16810</v>
      </c>
      <c r="F540" s="950">
        <v>16960</v>
      </c>
      <c r="G540" s="945"/>
      <c r="H540" s="942"/>
      <c r="I540" s="942"/>
      <c r="J540" s="943"/>
      <c r="K540" s="943"/>
      <c r="L540" s="4"/>
    </row>
    <row r="541" spans="2:12">
      <c r="B541" s="165"/>
      <c r="C541" s="652">
        <v>662001</v>
      </c>
      <c r="D541" s="653" t="s">
        <v>911</v>
      </c>
      <c r="E541" s="950">
        <v>22498</v>
      </c>
      <c r="F541" s="950">
        <v>22648</v>
      </c>
      <c r="G541" s="945"/>
      <c r="H541" s="942"/>
      <c r="I541" s="942"/>
      <c r="J541" s="943"/>
      <c r="K541" s="943"/>
      <c r="L541" s="4"/>
    </row>
    <row r="542" spans="2:12">
      <c r="B542" s="165"/>
      <c r="C542" s="652">
        <v>530501</v>
      </c>
      <c r="D542" s="653" t="s">
        <v>912</v>
      </c>
      <c r="E542" s="950">
        <v>14212</v>
      </c>
      <c r="F542" s="950">
        <v>14362</v>
      </c>
      <c r="G542" s="945"/>
      <c r="H542" s="942"/>
      <c r="I542" s="942"/>
      <c r="J542" s="943"/>
      <c r="K542" s="943"/>
      <c r="L542" s="4"/>
    </row>
    <row r="543" spans="2:12">
      <c r="B543" s="165"/>
      <c r="C543" s="652">
        <v>530600</v>
      </c>
      <c r="D543" s="653" t="s">
        <v>913</v>
      </c>
      <c r="E543" s="950">
        <v>12015</v>
      </c>
      <c r="F543" s="950">
        <v>12015</v>
      </c>
      <c r="G543" s="945"/>
      <c r="H543" s="942"/>
      <c r="I543" s="942"/>
      <c r="J543" s="943"/>
      <c r="K543" s="943"/>
      <c r="L543" s="4"/>
    </row>
    <row r="544" spans="2:12">
      <c r="B544" s="165"/>
      <c r="C544" s="652">
        <v>470901</v>
      </c>
      <c r="D544" s="653" t="s">
        <v>914</v>
      </c>
      <c r="E544" s="950">
        <v>12916</v>
      </c>
      <c r="F544" s="950">
        <v>13066</v>
      </c>
      <c r="G544" s="945"/>
      <c r="H544" s="942"/>
      <c r="I544" s="942"/>
      <c r="J544" s="943"/>
      <c r="K544" s="943"/>
      <c r="L544" s="4"/>
    </row>
    <row r="545" spans="2:12">
      <c r="B545" s="165"/>
      <c r="C545" s="652">
        <v>491501</v>
      </c>
      <c r="D545" s="653" t="s">
        <v>915</v>
      </c>
      <c r="E545" s="950">
        <v>12519</v>
      </c>
      <c r="F545" s="950">
        <v>12669</v>
      </c>
      <c r="G545" s="945"/>
      <c r="H545" s="942"/>
      <c r="I545" s="942"/>
      <c r="J545" s="943"/>
      <c r="K545" s="943"/>
      <c r="L545" s="4"/>
    </row>
    <row r="546" spans="2:12">
      <c r="B546" s="165"/>
      <c r="C546" s="652">
        <v>541201</v>
      </c>
      <c r="D546" s="653" t="s">
        <v>916</v>
      </c>
      <c r="E546" s="950">
        <v>12497</v>
      </c>
      <c r="F546" s="950">
        <v>12647</v>
      </c>
      <c r="G546" s="945"/>
      <c r="H546" s="942"/>
      <c r="I546" s="942"/>
      <c r="J546" s="943"/>
      <c r="K546" s="943"/>
      <c r="L546" s="4"/>
    </row>
    <row r="547" spans="2:12">
      <c r="B547" s="165"/>
      <c r="C547" s="652">
        <v>151401</v>
      </c>
      <c r="D547" s="653" t="s">
        <v>917</v>
      </c>
      <c r="E547" s="950">
        <v>15718</v>
      </c>
      <c r="F547" s="950">
        <v>15868</v>
      </c>
      <c r="G547" s="945"/>
      <c r="H547" s="942"/>
      <c r="I547" s="942"/>
      <c r="J547" s="943"/>
      <c r="K547" s="943"/>
      <c r="L547" s="4"/>
    </row>
    <row r="548" spans="2:12">
      <c r="B548" s="165"/>
      <c r="C548" s="652">
        <v>521701</v>
      </c>
      <c r="D548" s="653" t="s">
        <v>918</v>
      </c>
      <c r="E548" s="950">
        <v>11822</v>
      </c>
      <c r="F548" s="950">
        <v>11972</v>
      </c>
      <c r="G548" s="945"/>
      <c r="H548" s="942"/>
      <c r="I548" s="942"/>
      <c r="J548" s="943"/>
      <c r="K548" s="943"/>
      <c r="L548" s="4"/>
    </row>
    <row r="549" spans="2:12">
      <c r="B549" s="165"/>
      <c r="C549" s="652">
        <v>22401</v>
      </c>
      <c r="D549" s="653" t="s">
        <v>919</v>
      </c>
      <c r="E549" s="950">
        <v>12318</v>
      </c>
      <c r="F549" s="950">
        <v>12468</v>
      </c>
      <c r="G549" s="945"/>
      <c r="H549" s="942"/>
      <c r="I549" s="942"/>
      <c r="J549" s="943"/>
      <c r="K549" s="943"/>
      <c r="L549" s="4"/>
    </row>
    <row r="550" spans="2:12">
      <c r="B550" s="165"/>
      <c r="C550" s="652">
        <v>530202</v>
      </c>
      <c r="D550" s="653" t="s">
        <v>920</v>
      </c>
      <c r="E550" s="950">
        <v>11363</v>
      </c>
      <c r="F550" s="950">
        <v>11513</v>
      </c>
      <c r="G550" s="945"/>
      <c r="H550" s="942"/>
      <c r="I550" s="942"/>
      <c r="J550" s="943"/>
      <c r="K550" s="943"/>
      <c r="L550" s="4"/>
    </row>
    <row r="551" spans="2:12">
      <c r="B551" s="165"/>
      <c r="C551" s="652">
        <v>280206</v>
      </c>
      <c r="D551" s="653" t="s">
        <v>921</v>
      </c>
      <c r="E551" s="950">
        <v>16010</v>
      </c>
      <c r="F551" s="950">
        <v>16160</v>
      </c>
      <c r="G551" s="945"/>
      <c r="H551" s="942"/>
      <c r="I551" s="942"/>
      <c r="J551" s="943"/>
      <c r="K551" s="943"/>
      <c r="L551" s="4"/>
    </row>
    <row r="552" spans="2:12">
      <c r="B552" s="165"/>
      <c r="C552" s="652">
        <v>560701</v>
      </c>
      <c r="D552" s="653" t="s">
        <v>922</v>
      </c>
      <c r="E552" s="950">
        <v>11366</v>
      </c>
      <c r="F552" s="950">
        <v>11516</v>
      </c>
      <c r="G552" s="945"/>
      <c r="H552" s="942"/>
      <c r="I552" s="942"/>
      <c r="J552" s="943"/>
      <c r="K552" s="943"/>
      <c r="L552" s="4"/>
    </row>
    <row r="553" spans="2:12">
      <c r="B553" s="165"/>
      <c r="C553" s="652">
        <v>280252</v>
      </c>
      <c r="D553" s="653" t="s">
        <v>923</v>
      </c>
      <c r="E553" s="950">
        <v>12872</v>
      </c>
      <c r="F553" s="950">
        <v>13022</v>
      </c>
      <c r="G553" s="945"/>
      <c r="H553" s="942"/>
      <c r="I553" s="942"/>
      <c r="J553" s="943"/>
      <c r="K553" s="943"/>
      <c r="L553" s="4"/>
    </row>
    <row r="554" spans="2:12">
      <c r="B554" s="165"/>
      <c r="C554" s="652">
        <v>541401</v>
      </c>
      <c r="D554" s="653" t="s">
        <v>924</v>
      </c>
      <c r="E554" s="950">
        <v>14504</v>
      </c>
      <c r="F554" s="950">
        <v>14654</v>
      </c>
      <c r="G554" s="945"/>
      <c r="H554" s="942"/>
      <c r="I554" s="942"/>
      <c r="J554" s="943"/>
      <c r="K554" s="943"/>
      <c r="L554" s="4"/>
    </row>
    <row r="555" spans="2:12">
      <c r="B555" s="165"/>
      <c r="C555" s="652">
        <v>580701</v>
      </c>
      <c r="D555" s="653" t="s">
        <v>925</v>
      </c>
      <c r="E555" s="950">
        <v>28363</v>
      </c>
      <c r="F555" s="950">
        <v>28513</v>
      </c>
      <c r="G555" s="945"/>
      <c r="H555" s="942"/>
      <c r="I555" s="942"/>
      <c r="J555" s="943"/>
      <c r="K555" s="943"/>
      <c r="L555" s="4"/>
    </row>
    <row r="556" spans="2:12">
      <c r="B556" s="165"/>
      <c r="C556" s="652">
        <v>520302</v>
      </c>
      <c r="D556" s="653" t="s">
        <v>926</v>
      </c>
      <c r="E556" s="950">
        <v>11269</v>
      </c>
      <c r="F556" s="950">
        <v>11419</v>
      </c>
      <c r="G556" s="945"/>
      <c r="H556" s="942"/>
      <c r="I556" s="942"/>
      <c r="J556" s="943"/>
      <c r="K556" s="943"/>
      <c r="L556" s="4"/>
    </row>
    <row r="557" spans="2:12">
      <c r="B557" s="165"/>
      <c r="C557" s="652">
        <v>82001</v>
      </c>
      <c r="D557" s="653" t="s">
        <v>927</v>
      </c>
      <c r="E557" s="950">
        <v>11062</v>
      </c>
      <c r="F557" s="950">
        <v>11212</v>
      </c>
      <c r="G557" s="945"/>
      <c r="H557" s="942"/>
      <c r="I557" s="942"/>
      <c r="J557" s="943"/>
      <c r="K557" s="943"/>
      <c r="L557" s="4"/>
    </row>
    <row r="558" spans="2:12">
      <c r="B558" s="165"/>
      <c r="C558" s="652">
        <v>62601</v>
      </c>
      <c r="D558" s="653" t="s">
        <v>928</v>
      </c>
      <c r="E558" s="950">
        <v>10546</v>
      </c>
      <c r="F558" s="950">
        <v>10696</v>
      </c>
      <c r="G558" s="945"/>
      <c r="H558" s="942"/>
      <c r="I558" s="942"/>
      <c r="J558" s="943"/>
      <c r="K558" s="943"/>
      <c r="L558" s="4"/>
    </row>
    <row r="559" spans="2:12">
      <c r="B559" s="165"/>
      <c r="C559" s="652">
        <v>412000</v>
      </c>
      <c r="D559" s="653" t="s">
        <v>929</v>
      </c>
      <c r="E559" s="950">
        <v>10001</v>
      </c>
      <c r="F559" s="950">
        <v>10151</v>
      </c>
      <c r="G559" s="945"/>
      <c r="H559" s="942"/>
      <c r="I559" s="942"/>
      <c r="J559" s="943"/>
      <c r="K559" s="943"/>
      <c r="L559" s="4"/>
    </row>
    <row r="560" spans="2:12">
      <c r="B560" s="165"/>
      <c r="C560" s="652">
        <v>580601</v>
      </c>
      <c r="D560" s="653" t="s">
        <v>930</v>
      </c>
      <c r="E560" s="950">
        <v>16076</v>
      </c>
      <c r="F560" s="950">
        <v>16226</v>
      </c>
      <c r="G560" s="945"/>
      <c r="H560" s="942"/>
      <c r="I560" s="942"/>
      <c r="J560" s="943"/>
      <c r="K560" s="943"/>
      <c r="L560" s="4"/>
    </row>
    <row r="561" spans="2:12">
      <c r="B561" s="165"/>
      <c r="C561" s="652">
        <v>121601</v>
      </c>
      <c r="D561" s="653" t="s">
        <v>931</v>
      </c>
      <c r="E561" s="950">
        <v>11987</v>
      </c>
      <c r="F561" s="950">
        <v>12137</v>
      </c>
      <c r="G561" s="945"/>
      <c r="H561" s="942"/>
      <c r="I561" s="942"/>
      <c r="J561" s="943"/>
      <c r="K561" s="943"/>
      <c r="L561" s="4"/>
    </row>
    <row r="562" spans="2:12">
      <c r="B562" s="165"/>
      <c r="C562" s="652">
        <v>61501</v>
      </c>
      <c r="D562" s="653" t="s">
        <v>932</v>
      </c>
      <c r="E562" s="950">
        <v>11573</v>
      </c>
      <c r="F562" s="950">
        <v>11723</v>
      </c>
      <c r="G562" s="945"/>
      <c r="H562" s="942"/>
      <c r="I562" s="942"/>
      <c r="J562" s="943"/>
      <c r="K562" s="943"/>
      <c r="L562" s="4"/>
    </row>
    <row r="563" spans="2:12">
      <c r="B563" s="165"/>
      <c r="C563" s="652">
        <v>421601</v>
      </c>
      <c r="D563" s="653" t="s">
        <v>933</v>
      </c>
      <c r="E563" s="950">
        <v>12687</v>
      </c>
      <c r="F563" s="950">
        <v>12837</v>
      </c>
      <c r="G563" s="945"/>
      <c r="H563" s="942"/>
      <c r="I563" s="942"/>
      <c r="J563" s="943"/>
      <c r="K563" s="943"/>
      <c r="L563" s="4"/>
    </row>
    <row r="564" spans="2:12">
      <c r="B564" s="165"/>
      <c r="C564" s="652">
        <v>580801</v>
      </c>
      <c r="D564" s="653" t="s">
        <v>934</v>
      </c>
      <c r="E564" s="950">
        <v>14319</v>
      </c>
      <c r="F564" s="950">
        <v>14469</v>
      </c>
      <c r="G564" s="945"/>
      <c r="H564" s="942"/>
      <c r="I564" s="942"/>
      <c r="J564" s="943"/>
      <c r="K564" s="943"/>
      <c r="L564" s="4"/>
    </row>
    <row r="565" spans="2:12">
      <c r="B565" s="165"/>
      <c r="C565" s="652">
        <v>651201</v>
      </c>
      <c r="D565" s="653" t="s">
        <v>935</v>
      </c>
      <c r="E565" s="950">
        <v>12973</v>
      </c>
      <c r="F565" s="950">
        <v>13123</v>
      </c>
      <c r="G565" s="945"/>
      <c r="H565" s="942"/>
      <c r="I565" s="942"/>
      <c r="J565" s="943"/>
      <c r="K565" s="943"/>
      <c r="L565" s="4"/>
    </row>
    <row r="566" spans="2:12">
      <c r="B566" s="165"/>
      <c r="C566" s="652">
        <v>420702</v>
      </c>
      <c r="D566" s="653" t="s">
        <v>936</v>
      </c>
      <c r="E566" s="950">
        <v>12110</v>
      </c>
      <c r="F566" s="950">
        <v>12260</v>
      </c>
      <c r="G566" s="945"/>
      <c r="H566" s="942"/>
      <c r="I566" s="942"/>
      <c r="J566" s="943"/>
      <c r="K566" s="943"/>
      <c r="L566" s="4"/>
    </row>
    <row r="567" spans="2:12">
      <c r="B567" s="165"/>
      <c r="C567" s="652">
        <v>662101</v>
      </c>
      <c r="D567" s="653" t="s">
        <v>937</v>
      </c>
      <c r="E567" s="950">
        <v>17175</v>
      </c>
      <c r="F567" s="950">
        <v>17325</v>
      </c>
      <c r="G567" s="945"/>
      <c r="H567" s="942"/>
      <c r="I567" s="942"/>
      <c r="J567" s="943"/>
      <c r="K567" s="943"/>
      <c r="L567" s="4"/>
    </row>
    <row r="568" spans="2:12">
      <c r="B568" s="165"/>
      <c r="C568" s="652">
        <v>10601</v>
      </c>
      <c r="D568" s="653" t="s">
        <v>938</v>
      </c>
      <c r="E568" s="950">
        <v>12487</v>
      </c>
      <c r="F568" s="950">
        <v>12637</v>
      </c>
      <c r="G568" s="945"/>
      <c r="H568" s="942"/>
      <c r="I568" s="942"/>
      <c r="J568" s="943"/>
      <c r="K568" s="943"/>
      <c r="L568" s="4"/>
    </row>
    <row r="569" spans="2:12">
      <c r="B569" s="165"/>
      <c r="C569" s="652">
        <v>580235</v>
      </c>
      <c r="D569" s="653" t="s">
        <v>939</v>
      </c>
      <c r="E569" s="950">
        <v>16301</v>
      </c>
      <c r="F569" s="950">
        <v>16451</v>
      </c>
      <c r="G569" s="945"/>
      <c r="H569" s="942"/>
      <c r="I569" s="942"/>
      <c r="J569" s="943"/>
      <c r="K569" s="943"/>
      <c r="L569" s="4"/>
    </row>
    <row r="570" spans="2:12">
      <c r="B570" s="165"/>
      <c r="C570" s="652">
        <v>521401</v>
      </c>
      <c r="D570" s="653" t="s">
        <v>940</v>
      </c>
      <c r="E570" s="950">
        <v>11017</v>
      </c>
      <c r="F570" s="950">
        <v>11167</v>
      </c>
      <c r="G570" s="945"/>
      <c r="H570" s="942"/>
      <c r="I570" s="942"/>
      <c r="J570" s="943"/>
      <c r="K570" s="943"/>
      <c r="L570" s="4"/>
    </row>
    <row r="571" spans="2:12">
      <c r="B571" s="165"/>
      <c r="C571" s="652">
        <v>580413</v>
      </c>
      <c r="D571" s="653" t="s">
        <v>941</v>
      </c>
      <c r="E571" s="950">
        <v>16108</v>
      </c>
      <c r="F571" s="950">
        <v>16258</v>
      </c>
      <c r="G571" s="945"/>
      <c r="H571" s="942"/>
      <c r="I571" s="942"/>
      <c r="J571" s="943"/>
      <c r="K571" s="943"/>
      <c r="L571" s="4"/>
    </row>
    <row r="572" spans="2:12">
      <c r="B572" s="165"/>
      <c r="C572" s="652">
        <v>220101</v>
      </c>
      <c r="D572" s="653" t="s">
        <v>942</v>
      </c>
      <c r="E572" s="950">
        <v>9533</v>
      </c>
      <c r="F572" s="950">
        <v>9683</v>
      </c>
      <c r="G572" s="945"/>
      <c r="H572" s="942"/>
      <c r="I572" s="942"/>
      <c r="J572" s="943"/>
      <c r="K572" s="943"/>
      <c r="L572" s="4"/>
    </row>
    <row r="573" spans="2:12">
      <c r="B573" s="165"/>
      <c r="C573" s="652">
        <v>121702</v>
      </c>
      <c r="D573" s="653" t="s">
        <v>943</v>
      </c>
      <c r="E573" s="950">
        <v>13731</v>
      </c>
      <c r="F573" s="950">
        <v>13881</v>
      </c>
      <c r="G573" s="945"/>
      <c r="H573" s="942"/>
      <c r="I573" s="942"/>
      <c r="J573" s="943"/>
      <c r="K573" s="943"/>
      <c r="L573" s="4"/>
    </row>
    <row r="574" spans="2:12">
      <c r="B574" s="165"/>
      <c r="C574" s="652">
        <v>231101</v>
      </c>
      <c r="D574" s="653" t="s">
        <v>944</v>
      </c>
      <c r="E574" s="950">
        <v>13863</v>
      </c>
      <c r="F574" s="950">
        <v>14013</v>
      </c>
      <c r="G574" s="945"/>
      <c r="H574" s="942"/>
      <c r="I574" s="942"/>
      <c r="J574" s="943"/>
      <c r="K574" s="943"/>
      <c r="L574" s="4"/>
    </row>
    <row r="575" spans="2:12">
      <c r="B575" s="165"/>
      <c r="C575" s="652">
        <v>500301</v>
      </c>
      <c r="D575" s="653" t="s">
        <v>945</v>
      </c>
      <c r="E575" s="950">
        <v>15853</v>
      </c>
      <c r="F575" s="950">
        <v>16003</v>
      </c>
      <c r="G575" s="945"/>
      <c r="H575" s="942"/>
      <c r="I575" s="942"/>
      <c r="J575" s="943"/>
      <c r="K575" s="943"/>
      <c r="L575" s="4"/>
    </row>
    <row r="576" spans="2:12">
      <c r="B576" s="165"/>
      <c r="C576" s="652">
        <v>560501</v>
      </c>
      <c r="D576" s="653" t="s">
        <v>946</v>
      </c>
      <c r="E576" s="950">
        <v>13924</v>
      </c>
      <c r="F576" s="950">
        <v>14074</v>
      </c>
      <c r="G576" s="945"/>
      <c r="H576" s="942"/>
      <c r="I576" s="942"/>
      <c r="J576" s="943"/>
      <c r="K576" s="943"/>
      <c r="L576" s="4"/>
    </row>
    <row r="577" spans="2:12">
      <c r="B577" s="165"/>
      <c r="C577" s="652">
        <v>580906</v>
      </c>
      <c r="D577" s="653" t="s">
        <v>947</v>
      </c>
      <c r="E577" s="950">
        <v>23764</v>
      </c>
      <c r="F577" s="950">
        <v>23914</v>
      </c>
      <c r="G577" s="945"/>
      <c r="H577" s="942"/>
      <c r="I577" s="942"/>
      <c r="J577" s="943"/>
      <c r="K577" s="943"/>
      <c r="L577" s="4"/>
    </row>
    <row r="578" spans="2:12">
      <c r="B578" s="165"/>
      <c r="C578" s="652">
        <v>50701</v>
      </c>
      <c r="D578" s="653" t="s">
        <v>948</v>
      </c>
      <c r="E578" s="950">
        <v>13769</v>
      </c>
      <c r="F578" s="950">
        <v>13919</v>
      </c>
      <c r="G578" s="945"/>
      <c r="H578" s="942"/>
      <c r="I578" s="942"/>
      <c r="J578" s="943"/>
      <c r="K578" s="943"/>
      <c r="L578" s="4"/>
    </row>
    <row r="579" spans="2:12">
      <c r="B579" s="165"/>
      <c r="C579" s="652">
        <v>581005</v>
      </c>
      <c r="D579" s="653" t="s">
        <v>949</v>
      </c>
      <c r="E579" s="950">
        <v>17750</v>
      </c>
      <c r="F579" s="950">
        <v>17900</v>
      </c>
      <c r="G579" s="945"/>
      <c r="H579" s="942"/>
      <c r="I579" s="942"/>
      <c r="J579" s="943"/>
      <c r="K579" s="943"/>
      <c r="L579" s="4"/>
    </row>
    <row r="580" spans="2:12">
      <c r="B580" s="165"/>
      <c r="C580" s="652">
        <v>60201</v>
      </c>
      <c r="D580" s="653" t="s">
        <v>950</v>
      </c>
      <c r="E580" s="950">
        <v>10552</v>
      </c>
      <c r="F580" s="950">
        <v>10702</v>
      </c>
      <c r="G580" s="945"/>
      <c r="H580" s="942"/>
      <c r="I580" s="942"/>
      <c r="J580" s="943"/>
      <c r="K580" s="943"/>
      <c r="L580" s="4"/>
    </row>
    <row r="581" spans="2:12">
      <c r="B581" s="165"/>
      <c r="C581" s="652">
        <v>131602</v>
      </c>
      <c r="D581" s="653" t="s">
        <v>951</v>
      </c>
      <c r="E581" s="950">
        <v>16368</v>
      </c>
      <c r="F581" s="950">
        <v>16518</v>
      </c>
      <c r="G581" s="945"/>
      <c r="H581" s="942"/>
      <c r="I581" s="942"/>
      <c r="J581" s="943"/>
      <c r="K581" s="943"/>
      <c r="L581" s="4"/>
    </row>
    <row r="582" spans="2:12">
      <c r="B582" s="165"/>
      <c r="C582" s="652">
        <v>261001</v>
      </c>
      <c r="D582" s="653" t="s">
        <v>952</v>
      </c>
      <c r="E582" s="950">
        <v>10883</v>
      </c>
      <c r="F582" s="950">
        <v>11033</v>
      </c>
      <c r="G582" s="945"/>
      <c r="H582" s="942"/>
      <c r="I582" s="942"/>
      <c r="J582" s="943"/>
      <c r="K582" s="943"/>
      <c r="L582" s="4"/>
    </row>
    <row r="583" spans="2:12">
      <c r="B583" s="165"/>
      <c r="C583" s="652">
        <v>600801</v>
      </c>
      <c r="D583" s="653" t="s">
        <v>953</v>
      </c>
      <c r="E583" s="950">
        <v>11158</v>
      </c>
      <c r="F583" s="950">
        <v>11308</v>
      </c>
      <c r="G583" s="945"/>
      <c r="H583" s="942"/>
      <c r="I583" s="942"/>
      <c r="J583" s="943"/>
      <c r="K583" s="943"/>
      <c r="L583" s="4"/>
    </row>
    <row r="584" spans="2:12">
      <c r="B584" s="165"/>
      <c r="C584" s="652">
        <v>580304</v>
      </c>
      <c r="D584" s="653" t="s">
        <v>954</v>
      </c>
      <c r="E584" s="950">
        <v>21775</v>
      </c>
      <c r="F584" s="950">
        <v>21775</v>
      </c>
      <c r="G584" s="945"/>
      <c r="H584" s="942"/>
      <c r="I584" s="942"/>
      <c r="J584" s="943"/>
      <c r="K584" s="943"/>
      <c r="L584" s="4"/>
    </row>
    <row r="585" spans="2:12">
      <c r="B585" s="165"/>
      <c r="C585" s="652">
        <v>141101</v>
      </c>
      <c r="D585" s="653" t="s">
        <v>955</v>
      </c>
      <c r="E585" s="950">
        <v>11697</v>
      </c>
      <c r="F585" s="950">
        <v>11847</v>
      </c>
      <c r="G585" s="945"/>
      <c r="H585" s="942"/>
      <c r="I585" s="942"/>
      <c r="J585" s="943"/>
      <c r="K585" s="943"/>
      <c r="L585" s="4"/>
    </row>
    <row r="586" spans="2:12">
      <c r="B586" s="165"/>
      <c r="C586" s="652">
        <v>161801</v>
      </c>
      <c r="D586" s="653" t="s">
        <v>956</v>
      </c>
      <c r="E586" s="950">
        <v>14236</v>
      </c>
      <c r="F586" s="950">
        <v>14386</v>
      </c>
      <c r="G586" s="945"/>
      <c r="H586" s="942"/>
      <c r="I586" s="942"/>
      <c r="J586" s="943"/>
      <c r="K586" s="943"/>
      <c r="L586" s="4"/>
    </row>
    <row r="587" spans="2:12">
      <c r="B587" s="165"/>
      <c r="C587" s="652">
        <v>121701</v>
      </c>
      <c r="D587" s="653" t="s">
        <v>957</v>
      </c>
      <c r="E587" s="950">
        <v>14265</v>
      </c>
      <c r="F587" s="950">
        <v>14415</v>
      </c>
      <c r="G587" s="945"/>
      <c r="H587" s="942"/>
      <c r="I587" s="942"/>
      <c r="J587" s="943"/>
      <c r="K587" s="943"/>
      <c r="L587" s="4"/>
    </row>
    <row r="588" spans="2:12">
      <c r="B588" s="165"/>
      <c r="C588" s="652">
        <v>401001</v>
      </c>
      <c r="D588" s="653" t="s">
        <v>958</v>
      </c>
      <c r="E588" s="950">
        <v>10139</v>
      </c>
      <c r="F588" s="950">
        <v>10289</v>
      </c>
      <c r="G588" s="945"/>
      <c r="H588" s="942"/>
      <c r="I588" s="942"/>
      <c r="J588" s="943"/>
      <c r="K588" s="943"/>
      <c r="L588" s="4"/>
    </row>
    <row r="589" spans="2:12">
      <c r="B589" s="165"/>
      <c r="C589" s="652">
        <v>522001</v>
      </c>
      <c r="D589" s="653" t="s">
        <v>959</v>
      </c>
      <c r="E589" s="950">
        <v>9619</v>
      </c>
      <c r="F589" s="950">
        <v>9769</v>
      </c>
      <c r="G589" s="945"/>
      <c r="H589" s="942"/>
      <c r="I589" s="942"/>
      <c r="J589" s="943"/>
      <c r="K589" s="943"/>
      <c r="L589" s="4"/>
    </row>
    <row r="590" spans="2:12">
      <c r="B590" s="165"/>
      <c r="C590" s="652">
        <v>251501</v>
      </c>
      <c r="D590" s="653" t="s">
        <v>960</v>
      </c>
      <c r="E590" s="950">
        <v>10988</v>
      </c>
      <c r="F590" s="950">
        <v>11138</v>
      </c>
      <c r="G590" s="945"/>
      <c r="H590" s="942"/>
      <c r="I590" s="942"/>
      <c r="J590" s="943"/>
      <c r="K590" s="943"/>
      <c r="L590" s="4"/>
    </row>
    <row r="591" spans="2:12">
      <c r="B591" s="165"/>
      <c r="C591" s="652">
        <v>591502</v>
      </c>
      <c r="D591" s="653" t="s">
        <v>961</v>
      </c>
      <c r="E591" s="950">
        <v>15358</v>
      </c>
      <c r="F591" s="950">
        <v>15508</v>
      </c>
      <c r="G591" s="945"/>
      <c r="H591" s="942"/>
      <c r="I591" s="942"/>
      <c r="J591" s="943"/>
      <c r="K591" s="943"/>
      <c r="L591" s="4"/>
    </row>
    <row r="592" spans="2:12">
      <c r="B592" s="165"/>
      <c r="C592" s="652">
        <v>30601</v>
      </c>
      <c r="D592" s="653" t="s">
        <v>962</v>
      </c>
      <c r="E592" s="950">
        <v>12506</v>
      </c>
      <c r="F592" s="950">
        <v>12656</v>
      </c>
      <c r="G592" s="945"/>
      <c r="H592" s="942"/>
      <c r="I592" s="942"/>
      <c r="J592" s="943"/>
      <c r="K592" s="943"/>
      <c r="L592" s="4"/>
    </row>
    <row r="593" spans="2:12">
      <c r="B593" s="165"/>
      <c r="C593" s="652">
        <v>140207</v>
      </c>
      <c r="D593" s="653" t="s">
        <v>963</v>
      </c>
      <c r="E593" s="950">
        <v>12304</v>
      </c>
      <c r="F593" s="950">
        <v>12454</v>
      </c>
      <c r="G593" s="945"/>
      <c r="H593" s="942"/>
      <c r="I593" s="942"/>
      <c r="J593" s="943"/>
      <c r="K593" s="943"/>
      <c r="L593" s="4"/>
    </row>
    <row r="594" spans="2:12">
      <c r="B594" s="165"/>
      <c r="C594" s="652">
        <v>280502</v>
      </c>
      <c r="D594" s="653" t="s">
        <v>964</v>
      </c>
      <c r="E594" s="950">
        <v>20613</v>
      </c>
      <c r="F594" s="950">
        <v>20763</v>
      </c>
      <c r="G594" s="945"/>
      <c r="H594" s="942"/>
      <c r="I594" s="942"/>
      <c r="J594" s="943"/>
      <c r="K594" s="943"/>
      <c r="L594" s="4"/>
    </row>
    <row r="595" spans="2:12">
      <c r="B595" s="165"/>
      <c r="C595" s="652">
        <v>421800</v>
      </c>
      <c r="D595" s="653" t="s">
        <v>965</v>
      </c>
      <c r="E595" s="950">
        <v>12280</v>
      </c>
      <c r="F595" s="950">
        <v>12430</v>
      </c>
      <c r="G595" s="945"/>
      <c r="H595" s="942"/>
      <c r="I595" s="942"/>
      <c r="J595" s="943"/>
      <c r="K595" s="943"/>
      <c r="L595" s="4"/>
    </row>
    <row r="596" spans="2:12">
      <c r="B596" s="165"/>
      <c r="C596" s="652">
        <v>100501</v>
      </c>
      <c r="D596" s="653" t="s">
        <v>966</v>
      </c>
      <c r="E596" s="950">
        <v>13972</v>
      </c>
      <c r="F596" s="950">
        <v>14122</v>
      </c>
      <c r="G596" s="945"/>
      <c r="H596" s="942"/>
      <c r="I596" s="942"/>
      <c r="J596" s="943"/>
      <c r="K596" s="943"/>
      <c r="L596" s="4"/>
    </row>
    <row r="597" spans="2:12">
      <c r="B597" s="165"/>
      <c r="C597" s="652">
        <v>220701</v>
      </c>
      <c r="D597" s="653" t="s">
        <v>967</v>
      </c>
      <c r="E597" s="950">
        <v>12377</v>
      </c>
      <c r="F597" s="950">
        <v>12527</v>
      </c>
      <c r="G597" s="945"/>
      <c r="H597" s="942"/>
      <c r="I597" s="942"/>
      <c r="J597" s="943"/>
      <c r="K597" s="943"/>
      <c r="L597" s="4"/>
    </row>
    <row r="598" spans="2:12">
      <c r="B598" s="165"/>
      <c r="C598" s="652">
        <v>580201</v>
      </c>
      <c r="D598" s="653" t="s">
        <v>968</v>
      </c>
      <c r="E598" s="950">
        <v>16237</v>
      </c>
      <c r="F598" s="950">
        <v>16387</v>
      </c>
      <c r="G598" s="945"/>
      <c r="H598" s="942"/>
      <c r="I598" s="942"/>
      <c r="J598" s="943"/>
      <c r="K598" s="943"/>
      <c r="L598" s="4"/>
    </row>
    <row r="599" spans="2:12">
      <c r="B599" s="165"/>
      <c r="C599" s="652">
        <v>151501</v>
      </c>
      <c r="D599" s="653" t="s">
        <v>969</v>
      </c>
      <c r="E599" s="950">
        <v>13805</v>
      </c>
      <c r="F599" s="950">
        <v>13955</v>
      </c>
      <c r="G599" s="945"/>
      <c r="H599" s="942"/>
      <c r="I599" s="942"/>
      <c r="J599" s="943"/>
      <c r="K599" s="943"/>
      <c r="L599" s="4"/>
    </row>
    <row r="600" spans="2:12">
      <c r="B600" s="165"/>
      <c r="C600" s="652">
        <v>600903</v>
      </c>
      <c r="D600" s="653" t="s">
        <v>970</v>
      </c>
      <c r="E600" s="950">
        <v>9801</v>
      </c>
      <c r="F600" s="950">
        <v>9951</v>
      </c>
      <c r="G600" s="945"/>
      <c r="H600" s="942"/>
      <c r="I600" s="942"/>
      <c r="J600" s="943"/>
      <c r="K600" s="943"/>
      <c r="L600" s="4"/>
    </row>
    <row r="601" spans="2:12">
      <c r="B601" s="165"/>
      <c r="C601" s="652">
        <v>142500</v>
      </c>
      <c r="D601" s="653" t="s">
        <v>971</v>
      </c>
      <c r="E601" s="950">
        <v>10401</v>
      </c>
      <c r="F601" s="950">
        <v>10551</v>
      </c>
      <c r="G601" s="945"/>
      <c r="H601" s="942"/>
      <c r="I601" s="942"/>
      <c r="J601" s="943"/>
      <c r="K601" s="943"/>
      <c r="L601" s="4"/>
    </row>
    <row r="602" spans="2:12">
      <c r="B602" s="165"/>
      <c r="C602" s="652">
        <v>211901</v>
      </c>
      <c r="D602" s="653" t="s">
        <v>972</v>
      </c>
      <c r="E602" s="950">
        <v>20493</v>
      </c>
      <c r="F602" s="950">
        <v>20643</v>
      </c>
      <c r="G602" s="945"/>
      <c r="H602" s="942"/>
      <c r="I602" s="942"/>
      <c r="J602" s="943"/>
      <c r="K602" s="943"/>
      <c r="L602" s="4"/>
    </row>
    <row r="603" spans="2:12">
      <c r="B603" s="165"/>
      <c r="C603" s="652">
        <v>591201</v>
      </c>
      <c r="D603" s="653" t="s">
        <v>973</v>
      </c>
      <c r="E603" s="950">
        <v>18674</v>
      </c>
      <c r="F603" s="950">
        <v>18824</v>
      </c>
      <c r="G603" s="945"/>
      <c r="H603" s="942"/>
      <c r="I603" s="942"/>
      <c r="J603" s="943"/>
      <c r="K603" s="943"/>
      <c r="L603" s="4"/>
    </row>
    <row r="604" spans="2:12">
      <c r="B604" s="165"/>
      <c r="C604" s="652">
        <v>491700</v>
      </c>
      <c r="D604" s="653" t="s">
        <v>974</v>
      </c>
      <c r="E604" s="950">
        <v>15986</v>
      </c>
      <c r="F604" s="950">
        <v>15986</v>
      </c>
      <c r="G604" s="945"/>
      <c r="H604" s="942"/>
      <c r="I604" s="942"/>
      <c r="J604" s="943"/>
      <c r="K604" s="943"/>
      <c r="L604" s="4"/>
    </row>
    <row r="605" spans="2:12">
      <c r="B605" s="165"/>
      <c r="C605" s="652">
        <v>611001</v>
      </c>
      <c r="D605" s="653" t="s">
        <v>975</v>
      </c>
      <c r="E605" s="950">
        <v>10577</v>
      </c>
      <c r="F605" s="950">
        <v>10727</v>
      </c>
      <c r="G605" s="945"/>
      <c r="H605" s="942"/>
      <c r="I605" s="942"/>
      <c r="J605" s="943"/>
      <c r="K605" s="943"/>
      <c r="L605" s="4"/>
    </row>
    <row r="606" spans="2:12">
      <c r="B606" s="165"/>
      <c r="C606" s="652">
        <v>580913</v>
      </c>
      <c r="D606" s="653" t="s">
        <v>976</v>
      </c>
      <c r="E606" s="950">
        <v>28550</v>
      </c>
      <c r="F606" s="950">
        <v>28700</v>
      </c>
      <c r="G606" s="945"/>
      <c r="H606" s="942"/>
      <c r="I606" s="942"/>
      <c r="J606" s="943"/>
      <c r="K606" s="943"/>
      <c r="L606" s="4"/>
    </row>
    <row r="607" spans="2:12">
      <c r="B607" s="165"/>
      <c r="C607" s="652">
        <v>660302</v>
      </c>
      <c r="D607" s="653" t="s">
        <v>977</v>
      </c>
      <c r="E607" s="950">
        <v>20359</v>
      </c>
      <c r="F607" s="950">
        <v>20509</v>
      </c>
      <c r="G607" s="945"/>
      <c r="H607" s="942"/>
      <c r="I607" s="942"/>
      <c r="J607" s="943"/>
      <c r="K607" s="943"/>
      <c r="L607" s="4"/>
    </row>
    <row r="608" spans="2:12">
      <c r="B608" s="165"/>
      <c r="C608" s="652">
        <v>421902</v>
      </c>
      <c r="D608" s="653" t="s">
        <v>978</v>
      </c>
      <c r="E608" s="950">
        <v>10386</v>
      </c>
      <c r="F608" s="950">
        <v>10536</v>
      </c>
      <c r="G608" s="945"/>
      <c r="H608" s="942"/>
      <c r="I608" s="942"/>
      <c r="J608" s="943"/>
      <c r="K608" s="943"/>
      <c r="L608" s="4"/>
    </row>
    <row r="609" spans="2:12">
      <c r="B609" s="165"/>
      <c r="C609" s="652">
        <v>160101</v>
      </c>
      <c r="D609" s="653" t="s">
        <v>979</v>
      </c>
      <c r="E609" s="950">
        <v>11811</v>
      </c>
      <c r="F609" s="950">
        <v>11961</v>
      </c>
      <c r="G609" s="945"/>
      <c r="H609" s="942"/>
      <c r="I609" s="942"/>
      <c r="J609" s="943"/>
      <c r="K609" s="943"/>
      <c r="L609" s="4"/>
    </row>
    <row r="610" spans="2:12">
      <c r="B610" s="165"/>
      <c r="C610" s="652">
        <v>441903</v>
      </c>
      <c r="D610" s="653" t="s">
        <v>980</v>
      </c>
      <c r="E610" s="950">
        <v>17820</v>
      </c>
      <c r="F610" s="950">
        <v>17970</v>
      </c>
      <c r="G610" s="945"/>
      <c r="H610" s="942"/>
      <c r="I610" s="942"/>
      <c r="J610" s="943"/>
      <c r="K610" s="943"/>
      <c r="L610" s="4"/>
    </row>
    <row r="611" spans="2:12">
      <c r="B611" s="165"/>
      <c r="C611" s="652">
        <v>660401</v>
      </c>
      <c r="D611" s="653" t="s">
        <v>981</v>
      </c>
      <c r="E611" s="950">
        <v>16799</v>
      </c>
      <c r="F611" s="950">
        <v>16949</v>
      </c>
      <c r="G611" s="945"/>
      <c r="H611" s="942"/>
      <c r="I611" s="942"/>
      <c r="J611" s="943"/>
      <c r="K611" s="943"/>
      <c r="L611" s="4"/>
    </row>
    <row r="612" spans="2:12">
      <c r="B612" s="165"/>
      <c r="C612" s="652">
        <v>81003</v>
      </c>
      <c r="D612" s="653" t="s">
        <v>982</v>
      </c>
      <c r="E612" s="950">
        <v>11743</v>
      </c>
      <c r="F612" s="950">
        <v>11893</v>
      </c>
      <c r="G612" s="945"/>
      <c r="H612" s="942"/>
      <c r="I612" s="942"/>
      <c r="J612" s="943"/>
      <c r="K612" s="943"/>
      <c r="L612" s="4"/>
    </row>
    <row r="613" spans="2:12">
      <c r="B613" s="165"/>
      <c r="C613" s="652">
        <v>51901</v>
      </c>
      <c r="D613" s="653" t="s">
        <v>983</v>
      </c>
      <c r="E613" s="950">
        <v>12409</v>
      </c>
      <c r="F613" s="950">
        <v>12559</v>
      </c>
      <c r="G613" s="945"/>
      <c r="H613" s="942"/>
      <c r="I613" s="942"/>
      <c r="J613" s="943"/>
      <c r="K613" s="943"/>
      <c r="L613" s="4"/>
    </row>
    <row r="614" spans="2:12">
      <c r="B614" s="165"/>
      <c r="C614" s="652">
        <v>280202</v>
      </c>
      <c r="D614" s="653" t="s">
        <v>984</v>
      </c>
      <c r="E614" s="950">
        <v>20214</v>
      </c>
      <c r="F614" s="950">
        <v>20364</v>
      </c>
      <c r="G614" s="945"/>
      <c r="H614" s="942"/>
      <c r="I614" s="942"/>
      <c r="J614" s="943"/>
      <c r="K614" s="943"/>
      <c r="L614" s="4"/>
    </row>
    <row r="615" spans="2:12">
      <c r="B615" s="165"/>
      <c r="C615" s="652">
        <v>31501</v>
      </c>
      <c r="D615" s="653" t="s">
        <v>985</v>
      </c>
      <c r="E615" s="950">
        <v>11398</v>
      </c>
      <c r="F615" s="950">
        <v>11548</v>
      </c>
      <c r="G615" s="945"/>
      <c r="H615" s="942"/>
      <c r="I615" s="942"/>
      <c r="J615" s="943"/>
      <c r="K615" s="943"/>
      <c r="L615" s="4"/>
    </row>
    <row r="616" spans="2:12">
      <c r="B616" s="165"/>
      <c r="C616" s="652">
        <v>412300</v>
      </c>
      <c r="D616" s="653" t="s">
        <v>986</v>
      </c>
      <c r="E616" s="950">
        <v>9280</v>
      </c>
      <c r="F616" s="950">
        <v>9280</v>
      </c>
      <c r="G616" s="945"/>
      <c r="H616" s="942"/>
      <c r="I616" s="942"/>
      <c r="J616" s="943"/>
      <c r="K616" s="943"/>
      <c r="L616" s="4"/>
    </row>
    <row r="617" spans="2:12">
      <c r="B617" s="165"/>
      <c r="C617" s="652">
        <v>660805</v>
      </c>
      <c r="D617" s="653" t="s">
        <v>987</v>
      </c>
      <c r="E617" s="950">
        <v>21333</v>
      </c>
      <c r="F617" s="950">
        <v>21483</v>
      </c>
      <c r="G617" s="945"/>
      <c r="H617" s="942"/>
      <c r="I617" s="942"/>
      <c r="J617" s="943"/>
      <c r="K617" s="943"/>
      <c r="L617" s="4"/>
    </row>
    <row r="618" spans="2:12">
      <c r="B618" s="165"/>
      <c r="C618" s="652">
        <v>441301</v>
      </c>
      <c r="D618" s="653" t="s">
        <v>988</v>
      </c>
      <c r="E618" s="950">
        <v>11572</v>
      </c>
      <c r="F618" s="950">
        <v>11722</v>
      </c>
      <c r="G618" s="945"/>
      <c r="H618" s="942"/>
      <c r="I618" s="942"/>
      <c r="J618" s="943"/>
      <c r="K618" s="943"/>
      <c r="L618" s="4"/>
    </row>
    <row r="619" spans="2:12">
      <c r="B619" s="165"/>
      <c r="C619" s="652">
        <v>280213</v>
      </c>
      <c r="D619" s="653" t="s">
        <v>989</v>
      </c>
      <c r="E619" s="950">
        <v>15837</v>
      </c>
      <c r="F619" s="950">
        <v>15987</v>
      </c>
      <c r="G619" s="945"/>
      <c r="H619" s="942"/>
      <c r="I619" s="942"/>
      <c r="J619" s="943"/>
      <c r="K619" s="943"/>
      <c r="L619" s="4"/>
    </row>
    <row r="620" spans="2:12">
      <c r="B620" s="165"/>
      <c r="C620" s="652">
        <v>280224</v>
      </c>
      <c r="D620" s="653" t="s">
        <v>990</v>
      </c>
      <c r="E620" s="950">
        <v>20394</v>
      </c>
      <c r="F620" s="950">
        <v>20544</v>
      </c>
      <c r="G620" s="945"/>
      <c r="H620" s="942"/>
      <c r="I620" s="942"/>
      <c r="J620" s="943"/>
      <c r="K620" s="943"/>
      <c r="L620" s="4"/>
    </row>
    <row r="621" spans="2:12">
      <c r="B621" s="165"/>
      <c r="C621" s="652">
        <v>280230</v>
      </c>
      <c r="D621" s="653" t="s">
        <v>991</v>
      </c>
      <c r="E621" s="950">
        <v>19277</v>
      </c>
      <c r="F621" s="950">
        <v>19277</v>
      </c>
      <c r="G621" s="945"/>
      <c r="H621" s="942"/>
      <c r="I621" s="942"/>
      <c r="J621" s="943"/>
      <c r="K621" s="943"/>
      <c r="L621" s="4"/>
    </row>
    <row r="622" spans="2:12">
      <c r="B622" s="165"/>
      <c r="C622" s="652">
        <v>280251</v>
      </c>
      <c r="D622" s="653" t="s">
        <v>992</v>
      </c>
      <c r="E622" s="950">
        <v>15208</v>
      </c>
      <c r="F622" s="950">
        <v>15358</v>
      </c>
      <c r="G622" s="945"/>
      <c r="H622" s="942"/>
      <c r="I622" s="942"/>
      <c r="J622" s="943"/>
      <c r="K622" s="943"/>
      <c r="L622" s="4"/>
    </row>
    <row r="623" spans="2:12">
      <c r="B623" s="165"/>
      <c r="C623" s="652">
        <v>211701</v>
      </c>
      <c r="D623" s="653" t="s">
        <v>993</v>
      </c>
      <c r="E623" s="950">
        <v>12341</v>
      </c>
      <c r="F623" s="950">
        <v>12491</v>
      </c>
      <c r="G623" s="945"/>
      <c r="H623" s="942"/>
      <c r="I623" s="942"/>
      <c r="J623" s="943"/>
      <c r="K623" s="943"/>
      <c r="L623" s="4"/>
    </row>
    <row r="624" spans="2:12">
      <c r="B624" s="165"/>
      <c r="C624" s="652">
        <v>31601</v>
      </c>
      <c r="D624" s="653" t="s">
        <v>994</v>
      </c>
      <c r="E624" s="950">
        <v>12516</v>
      </c>
      <c r="F624" s="950">
        <v>12666</v>
      </c>
      <c r="G624" s="945"/>
      <c r="H624" s="942"/>
      <c r="I624" s="942"/>
      <c r="J624" s="943"/>
      <c r="K624" s="943"/>
      <c r="L624" s="4"/>
    </row>
    <row r="625" spans="2:12">
      <c r="B625" s="165"/>
      <c r="C625" s="652">
        <v>431701</v>
      </c>
      <c r="D625" s="653" t="s">
        <v>995</v>
      </c>
      <c r="E625" s="950">
        <v>9868</v>
      </c>
      <c r="F625" s="950">
        <v>10018</v>
      </c>
      <c r="G625" s="945"/>
      <c r="H625" s="942"/>
      <c r="I625" s="942"/>
      <c r="J625" s="943"/>
      <c r="K625" s="943"/>
      <c r="L625" s="4"/>
    </row>
    <row r="626" spans="2:12">
      <c r="B626" s="165"/>
      <c r="C626" s="652">
        <v>11003</v>
      </c>
      <c r="D626" s="653" t="s">
        <v>996</v>
      </c>
      <c r="E626" s="950">
        <v>13092</v>
      </c>
      <c r="F626" s="950">
        <v>13242</v>
      </c>
      <c r="G626" s="945"/>
      <c r="H626" s="942"/>
      <c r="I626" s="942"/>
      <c r="J626" s="943"/>
      <c r="K626" s="943"/>
      <c r="L626" s="4"/>
    </row>
    <row r="627" spans="2:12">
      <c r="B627" s="165"/>
      <c r="C627" s="652">
        <v>580302</v>
      </c>
      <c r="D627" s="653" t="s">
        <v>997</v>
      </c>
      <c r="E627" s="950">
        <v>15631</v>
      </c>
      <c r="F627" s="950">
        <v>15781</v>
      </c>
      <c r="G627" s="945"/>
      <c r="H627" s="942"/>
      <c r="I627" s="942"/>
      <c r="J627" s="943"/>
      <c r="K627" s="943"/>
      <c r="L627" s="4"/>
    </row>
    <row r="628" spans="2:12">
      <c r="B628" s="165"/>
      <c r="C628" s="652">
        <v>621801</v>
      </c>
      <c r="D628" s="653" t="s">
        <v>998</v>
      </c>
      <c r="E628" s="950">
        <v>11347</v>
      </c>
      <c r="F628" s="950">
        <v>11497</v>
      </c>
      <c r="G628" s="945"/>
      <c r="H628" s="942"/>
      <c r="I628" s="942"/>
      <c r="J628" s="943"/>
      <c r="K628" s="943"/>
      <c r="L628" s="4"/>
    </row>
    <row r="629" spans="2:12">
      <c r="B629" s="165"/>
      <c r="C629" s="652">
        <v>121901</v>
      </c>
      <c r="D629" s="653" t="s">
        <v>999</v>
      </c>
      <c r="E629" s="950">
        <v>11068</v>
      </c>
      <c r="F629" s="950">
        <v>11218</v>
      </c>
      <c r="G629" s="945"/>
      <c r="H629" s="942"/>
      <c r="I629" s="942"/>
      <c r="J629" s="943"/>
      <c r="K629" s="943"/>
      <c r="L629" s="4"/>
    </row>
    <row r="630" spans="2:12">
      <c r="B630" s="165"/>
      <c r="C630" s="652">
        <v>280223</v>
      </c>
      <c r="D630" s="653" t="s">
        <v>1000</v>
      </c>
      <c r="E630" s="950">
        <v>13943</v>
      </c>
      <c r="F630" s="950">
        <v>14093</v>
      </c>
      <c r="G630" s="945"/>
      <c r="H630" s="942"/>
      <c r="I630" s="942"/>
      <c r="J630" s="943"/>
      <c r="K630" s="943"/>
      <c r="L630" s="4"/>
    </row>
    <row r="631" spans="2:12">
      <c r="B631" s="165"/>
      <c r="C631" s="652">
        <v>132101</v>
      </c>
      <c r="D631" s="653" t="s">
        <v>1001</v>
      </c>
      <c r="E631" s="950">
        <v>11237</v>
      </c>
      <c r="F631" s="950">
        <v>11387</v>
      </c>
      <c r="G631" s="945"/>
      <c r="H631" s="942"/>
      <c r="I631" s="942"/>
      <c r="J631" s="943"/>
      <c r="K631" s="943"/>
      <c r="L631" s="4"/>
    </row>
    <row r="632" spans="2:12">
      <c r="B632" s="165"/>
      <c r="C632" s="652">
        <v>631201</v>
      </c>
      <c r="D632" s="653" t="s">
        <v>1002</v>
      </c>
      <c r="E632" s="950">
        <v>15186</v>
      </c>
      <c r="F632" s="950">
        <v>15336</v>
      </c>
      <c r="G632" s="945"/>
      <c r="H632" s="942"/>
      <c r="I632" s="942"/>
      <c r="J632" s="943"/>
      <c r="K632" s="943"/>
      <c r="L632" s="4"/>
    </row>
    <row r="633" spans="2:12">
      <c r="B633" s="165"/>
      <c r="C633" s="652">
        <v>671501</v>
      </c>
      <c r="D633" s="653" t="s">
        <v>1003</v>
      </c>
      <c r="E633" s="950">
        <v>11993</v>
      </c>
      <c r="F633" s="950">
        <v>12143</v>
      </c>
      <c r="G633" s="945"/>
      <c r="H633" s="942"/>
      <c r="I633" s="942"/>
      <c r="J633" s="943"/>
      <c r="K633" s="943"/>
      <c r="L633" s="4"/>
    </row>
    <row r="634" spans="2:12">
      <c r="B634" s="165"/>
      <c r="C634" s="652">
        <v>442101</v>
      </c>
      <c r="D634" s="653" t="s">
        <v>1004</v>
      </c>
      <c r="E634" s="950">
        <v>12548</v>
      </c>
      <c r="F634" s="950">
        <v>12698</v>
      </c>
      <c r="G634" s="945"/>
      <c r="H634" s="942"/>
      <c r="I634" s="942"/>
      <c r="J634" s="943"/>
      <c r="K634" s="943"/>
      <c r="L634" s="4"/>
    </row>
    <row r="635" spans="2:12">
      <c r="B635" s="165"/>
      <c r="C635" s="652">
        <v>440102</v>
      </c>
      <c r="D635" s="653" t="s">
        <v>1005</v>
      </c>
      <c r="E635" s="950">
        <v>12281</v>
      </c>
      <c r="F635" s="950">
        <v>12431</v>
      </c>
      <c r="G635" s="945"/>
      <c r="H635" s="942"/>
      <c r="I635" s="942"/>
      <c r="J635" s="943"/>
      <c r="K635" s="943"/>
      <c r="L635" s="4"/>
    </row>
    <row r="636" spans="2:12">
      <c r="B636" s="165"/>
      <c r="C636" s="652">
        <v>522101</v>
      </c>
      <c r="D636" s="653" t="s">
        <v>1006</v>
      </c>
      <c r="E636" s="950">
        <v>13194</v>
      </c>
      <c r="F636" s="950">
        <v>13344</v>
      </c>
      <c r="G636" s="945"/>
      <c r="H636" s="942"/>
      <c r="I636" s="942"/>
      <c r="J636" s="943"/>
      <c r="K636" s="943"/>
      <c r="L636" s="4"/>
    </row>
    <row r="637" spans="2:12">
      <c r="B637" s="165"/>
      <c r="C637" s="652">
        <v>561006</v>
      </c>
      <c r="D637" s="653" t="s">
        <v>1007</v>
      </c>
      <c r="E637" s="950">
        <v>10613</v>
      </c>
      <c r="F637" s="950">
        <v>10763</v>
      </c>
      <c r="G637" s="945"/>
      <c r="H637" s="942"/>
      <c r="I637" s="942"/>
      <c r="J637" s="943"/>
      <c r="K637" s="943"/>
      <c r="L637" s="4"/>
    </row>
    <row r="638" spans="2:12">
      <c r="B638" s="165"/>
      <c r="C638" s="652">
        <v>222000</v>
      </c>
      <c r="D638" s="653" t="s">
        <v>1008</v>
      </c>
      <c r="E638" s="950">
        <v>9335</v>
      </c>
      <c r="F638" s="950">
        <v>9485</v>
      </c>
      <c r="G638" s="945"/>
      <c r="H638" s="942"/>
      <c r="I638" s="942"/>
      <c r="J638" s="943"/>
      <c r="K638" s="943"/>
      <c r="L638" s="4"/>
    </row>
    <row r="639" spans="2:12">
      <c r="B639" s="165"/>
      <c r="C639" s="652">
        <v>411902</v>
      </c>
      <c r="D639" s="653" t="s">
        <v>1009</v>
      </c>
      <c r="E639" s="950">
        <v>11250</v>
      </c>
      <c r="F639" s="950">
        <v>11400</v>
      </c>
      <c r="G639" s="945"/>
      <c r="H639" s="942"/>
      <c r="I639" s="942"/>
      <c r="J639" s="943"/>
      <c r="K639" s="943"/>
      <c r="L639" s="4"/>
    </row>
    <row r="640" spans="2:12">
      <c r="B640" s="165"/>
      <c r="C640" s="652">
        <v>11200</v>
      </c>
      <c r="D640" s="653" t="s">
        <v>1010</v>
      </c>
      <c r="E640" s="950">
        <v>9754</v>
      </c>
      <c r="F640" s="950">
        <v>9904</v>
      </c>
      <c r="G640" s="945"/>
      <c r="H640" s="942"/>
      <c r="I640" s="942"/>
      <c r="J640" s="943"/>
      <c r="K640" s="943"/>
      <c r="L640" s="4"/>
    </row>
    <row r="641" spans="2:12">
      <c r="B641" s="165"/>
      <c r="C641" s="652">
        <v>550301</v>
      </c>
      <c r="D641" s="653" t="s">
        <v>1011</v>
      </c>
      <c r="E641" s="950">
        <v>10839</v>
      </c>
      <c r="F641" s="950">
        <v>10989</v>
      </c>
      <c r="G641" s="945"/>
      <c r="H641" s="942"/>
      <c r="I641" s="942"/>
      <c r="J641" s="943"/>
      <c r="K641" s="943"/>
      <c r="L641" s="4"/>
    </row>
    <row r="642" spans="2:12">
      <c r="B642" s="165"/>
      <c r="C642" s="652">
        <v>600101</v>
      </c>
      <c r="D642" s="653" t="s">
        <v>1012</v>
      </c>
      <c r="E642" s="950">
        <v>9413</v>
      </c>
      <c r="F642" s="950">
        <v>9563</v>
      </c>
      <c r="G642" s="945"/>
      <c r="H642" s="942"/>
      <c r="I642" s="942"/>
      <c r="J642" s="943"/>
      <c r="K642" s="943"/>
      <c r="L642" s="4"/>
    </row>
    <row r="643" spans="2:12">
      <c r="B643" s="165"/>
      <c r="C643" s="652">
        <v>573002</v>
      </c>
      <c r="D643" s="653" t="s">
        <v>1013</v>
      </c>
      <c r="E643" s="950">
        <v>11119</v>
      </c>
      <c r="F643" s="950">
        <v>11269</v>
      </c>
      <c r="G643" s="945"/>
      <c r="H643" s="942"/>
      <c r="I643" s="942"/>
      <c r="J643" s="943"/>
      <c r="K643" s="943"/>
      <c r="L643" s="4"/>
    </row>
    <row r="644" spans="2:12">
      <c r="B644" s="165"/>
      <c r="C644" s="652">
        <v>650801</v>
      </c>
      <c r="D644" s="653" t="s">
        <v>1014</v>
      </c>
      <c r="E644" s="950">
        <v>11384</v>
      </c>
      <c r="F644" s="950">
        <v>11534</v>
      </c>
      <c r="G644" s="945"/>
      <c r="H644" s="942"/>
      <c r="I644" s="942"/>
      <c r="J644" s="943"/>
      <c r="K644" s="943"/>
      <c r="L644" s="4"/>
    </row>
    <row r="645" spans="2:12">
      <c r="B645" s="165"/>
      <c r="C645" s="652">
        <v>261901</v>
      </c>
      <c r="D645" s="653" t="s">
        <v>1015</v>
      </c>
      <c r="E645" s="950">
        <v>11222</v>
      </c>
      <c r="F645" s="950">
        <v>11372</v>
      </c>
      <c r="G645" s="945"/>
      <c r="H645" s="942"/>
      <c r="I645" s="942"/>
      <c r="J645" s="943"/>
      <c r="K645" s="943"/>
      <c r="L645" s="4"/>
    </row>
    <row r="646" spans="2:12">
      <c r="B646" s="165"/>
      <c r="C646" s="652">
        <v>50301</v>
      </c>
      <c r="D646" s="653" t="s">
        <v>1016</v>
      </c>
      <c r="E646" s="950">
        <v>12170</v>
      </c>
      <c r="F646" s="950">
        <v>12320</v>
      </c>
      <c r="G646" s="945"/>
      <c r="H646" s="942"/>
      <c r="I646" s="942"/>
      <c r="J646" s="943"/>
      <c r="K646" s="943"/>
      <c r="L646" s="4"/>
    </row>
    <row r="647" spans="2:12">
      <c r="B647" s="165"/>
      <c r="C647" s="652">
        <v>200901</v>
      </c>
      <c r="D647" s="653" t="s">
        <v>1017</v>
      </c>
      <c r="E647" s="950">
        <v>22173</v>
      </c>
      <c r="F647" s="950">
        <v>22323</v>
      </c>
      <c r="G647" s="945"/>
      <c r="H647" s="942"/>
      <c r="I647" s="942"/>
      <c r="J647" s="943"/>
      <c r="K647" s="943"/>
      <c r="L647" s="4"/>
    </row>
    <row r="648" spans="2:12">
      <c r="B648" s="165"/>
      <c r="C648" s="652">
        <v>22601</v>
      </c>
      <c r="D648" s="653" t="s">
        <v>1018</v>
      </c>
      <c r="E648" s="950">
        <v>12021</v>
      </c>
      <c r="F648" s="950">
        <v>12171</v>
      </c>
      <c r="G648" s="945"/>
      <c r="H648" s="942"/>
      <c r="I648" s="942"/>
      <c r="J648" s="943"/>
      <c r="K648" s="943"/>
      <c r="L648" s="4"/>
    </row>
    <row r="649" spans="2:12">
      <c r="B649" s="165"/>
      <c r="C649" s="652">
        <v>580102</v>
      </c>
      <c r="D649" s="653" t="s">
        <v>1019</v>
      </c>
      <c r="E649" s="950">
        <v>15199</v>
      </c>
      <c r="F649" s="950">
        <v>15349</v>
      </c>
      <c r="G649" s="945"/>
      <c r="H649" s="942"/>
      <c r="I649" s="942"/>
      <c r="J649" s="943"/>
      <c r="K649" s="943"/>
      <c r="L649" s="4"/>
    </row>
    <row r="650" spans="2:12">
      <c r="B650" s="165"/>
      <c r="C650" s="652">
        <v>210302</v>
      </c>
      <c r="D650" s="653" t="s">
        <v>1020</v>
      </c>
      <c r="E650" s="950">
        <v>12073</v>
      </c>
      <c r="F650" s="950">
        <v>12223</v>
      </c>
      <c r="G650" s="945"/>
      <c r="H650" s="942"/>
      <c r="I650" s="942"/>
      <c r="J650" s="943"/>
      <c r="K650" s="943"/>
      <c r="L650" s="4"/>
    </row>
    <row r="651" spans="2:12">
      <c r="B651" s="165"/>
      <c r="C651" s="652">
        <v>420101</v>
      </c>
      <c r="D651" s="653" t="s">
        <v>1021</v>
      </c>
      <c r="E651" s="950">
        <v>10549</v>
      </c>
      <c r="F651" s="950">
        <v>10699</v>
      </c>
      <c r="G651" s="945"/>
      <c r="H651" s="942"/>
      <c r="I651" s="942"/>
      <c r="J651" s="943"/>
      <c r="K651" s="943"/>
      <c r="L651" s="4"/>
    </row>
    <row r="652" spans="2:12">
      <c r="B652" s="165"/>
      <c r="C652" s="652">
        <v>280227</v>
      </c>
      <c r="D652" s="653" t="s">
        <v>1022</v>
      </c>
      <c r="E652" s="950">
        <v>17109</v>
      </c>
      <c r="F652" s="950">
        <v>17259</v>
      </c>
      <c r="G652" s="945"/>
      <c r="H652" s="942"/>
      <c r="I652" s="942"/>
      <c r="J652" s="943"/>
      <c r="K652" s="943"/>
      <c r="L652" s="4"/>
    </row>
    <row r="653" spans="2:12">
      <c r="B653" s="165"/>
      <c r="C653" s="652">
        <v>260803</v>
      </c>
      <c r="D653" s="653" t="s">
        <v>1023</v>
      </c>
      <c r="E653" s="950">
        <v>10763</v>
      </c>
      <c r="F653" s="950">
        <v>10913</v>
      </c>
      <c r="G653" s="945"/>
      <c r="H653" s="942"/>
      <c r="I653" s="942"/>
      <c r="J653" s="943"/>
      <c r="K653" s="943"/>
      <c r="L653" s="4"/>
    </row>
    <row r="654" spans="2:12">
      <c r="B654" s="165"/>
      <c r="C654" s="652">
        <v>580509</v>
      </c>
      <c r="D654" s="653" t="s">
        <v>1024</v>
      </c>
      <c r="E654" s="950">
        <v>14149</v>
      </c>
      <c r="F654" s="950">
        <v>14299</v>
      </c>
      <c r="G654" s="945"/>
      <c r="H654" s="942"/>
      <c r="I654" s="942"/>
      <c r="J654" s="943"/>
      <c r="K654" s="943"/>
      <c r="L654" s="4"/>
    </row>
    <row r="655" spans="2:12">
      <c r="B655" s="165"/>
      <c r="C655" s="652">
        <v>142801</v>
      </c>
      <c r="D655" s="653" t="s">
        <v>1025</v>
      </c>
      <c r="E655" s="950">
        <v>10529</v>
      </c>
      <c r="F655" s="950">
        <v>10679</v>
      </c>
      <c r="G655" s="945"/>
      <c r="H655" s="942"/>
      <c r="I655" s="942"/>
      <c r="J655" s="943"/>
      <c r="K655" s="943"/>
      <c r="L655" s="4"/>
    </row>
    <row r="656" spans="2:12">
      <c r="B656" s="165"/>
      <c r="C656" s="652">
        <v>40204</v>
      </c>
      <c r="D656" s="653" t="s">
        <v>1026</v>
      </c>
      <c r="E656" s="950">
        <v>13973</v>
      </c>
      <c r="F656" s="950">
        <v>14123</v>
      </c>
      <c r="G656" s="945"/>
      <c r="H656" s="942"/>
      <c r="I656" s="942"/>
      <c r="J656" s="943"/>
      <c r="K656" s="943"/>
      <c r="L656" s="4"/>
    </row>
    <row r="657" spans="2:12">
      <c r="B657" s="165"/>
      <c r="C657" s="652">
        <v>280401</v>
      </c>
      <c r="D657" s="653" t="s">
        <v>1027</v>
      </c>
      <c r="E657" s="950">
        <v>18287</v>
      </c>
      <c r="F657" s="950">
        <v>18787</v>
      </c>
      <c r="G657" s="945"/>
      <c r="H657" s="942"/>
      <c r="I657" s="942"/>
      <c r="J657" s="943"/>
      <c r="K657" s="943"/>
      <c r="L657" s="4"/>
    </row>
    <row r="658" spans="2:12">
      <c r="B658" s="165"/>
      <c r="C658" s="652">
        <v>62901</v>
      </c>
      <c r="D658" s="653" t="s">
        <v>1028</v>
      </c>
      <c r="E658" s="950">
        <v>12241</v>
      </c>
      <c r="F658" s="950">
        <v>12391</v>
      </c>
      <c r="G658" s="945"/>
      <c r="H658" s="942"/>
      <c r="I658" s="942"/>
      <c r="J658" s="943"/>
      <c r="K658" s="943"/>
      <c r="L658" s="4"/>
    </row>
    <row r="659" spans="2:12">
      <c r="B659" s="165"/>
      <c r="C659" s="652">
        <v>580902</v>
      </c>
      <c r="D659" s="653" t="s">
        <v>1029</v>
      </c>
      <c r="E659" s="950">
        <v>18704</v>
      </c>
      <c r="F659" s="950">
        <v>18854</v>
      </c>
      <c r="G659" s="945"/>
      <c r="H659" s="942"/>
      <c r="I659" s="942"/>
      <c r="J659" s="943"/>
      <c r="K659" s="943"/>
      <c r="L659" s="4"/>
    </row>
    <row r="660" spans="2:12">
      <c r="B660" s="165"/>
      <c r="C660" s="652">
        <v>420701</v>
      </c>
      <c r="D660" s="653" t="s">
        <v>1030</v>
      </c>
      <c r="E660" s="950">
        <v>10985</v>
      </c>
      <c r="F660" s="950">
        <v>11135</v>
      </c>
      <c r="G660" s="945"/>
      <c r="H660" s="942"/>
      <c r="I660" s="942"/>
      <c r="J660" s="943"/>
      <c r="K660" s="943"/>
      <c r="L660" s="4"/>
    </row>
    <row r="661" spans="2:12">
      <c r="B661" s="165"/>
      <c r="C661" s="652">
        <v>412801</v>
      </c>
      <c r="D661" s="653" t="s">
        <v>1031</v>
      </c>
      <c r="E661" s="950">
        <v>12288</v>
      </c>
      <c r="F661" s="950">
        <v>12438</v>
      </c>
      <c r="G661" s="945"/>
      <c r="H661" s="942"/>
      <c r="I661" s="942"/>
      <c r="J661" s="943"/>
      <c r="K661" s="943"/>
      <c r="L661" s="4"/>
    </row>
    <row r="662" spans="2:12">
      <c r="B662" s="165"/>
      <c r="C662" s="652">
        <v>151601</v>
      </c>
      <c r="D662" s="653" t="s">
        <v>1032</v>
      </c>
      <c r="E662" s="950">
        <v>13941</v>
      </c>
      <c r="F662" s="950">
        <v>14091</v>
      </c>
      <c r="G662" s="945"/>
      <c r="H662" s="942"/>
      <c r="I662" s="942"/>
      <c r="J662" s="943"/>
      <c r="K662" s="943"/>
      <c r="L662" s="4"/>
    </row>
    <row r="663" spans="2:12">
      <c r="B663" s="165"/>
      <c r="C663" s="652">
        <v>262001</v>
      </c>
      <c r="D663" s="653" t="s">
        <v>1033</v>
      </c>
      <c r="E663" s="950">
        <v>15609</v>
      </c>
      <c r="F663" s="950">
        <v>15759</v>
      </c>
      <c r="G663" s="945"/>
      <c r="H663" s="942"/>
      <c r="I663" s="942"/>
      <c r="J663" s="943"/>
      <c r="K663" s="943"/>
      <c r="L663" s="4"/>
    </row>
    <row r="664" spans="2:12">
      <c r="B664" s="165"/>
      <c r="C664" s="652">
        <v>170301</v>
      </c>
      <c r="D664" s="653" t="s">
        <v>1034</v>
      </c>
      <c r="E664" s="950">
        <v>18785</v>
      </c>
      <c r="F664" s="950">
        <v>18935</v>
      </c>
      <c r="G664" s="945"/>
      <c r="H664" s="942"/>
      <c r="I664" s="942"/>
      <c r="J664" s="943"/>
      <c r="K664" s="943"/>
      <c r="L664" s="4"/>
    </row>
    <row r="665" spans="2:12">
      <c r="B665" s="165"/>
      <c r="C665" s="652">
        <v>662200</v>
      </c>
      <c r="D665" s="653" t="s">
        <v>1035</v>
      </c>
      <c r="E665" s="950">
        <v>19793</v>
      </c>
      <c r="F665" s="950">
        <v>19943</v>
      </c>
      <c r="G665" s="945"/>
      <c r="H665" s="942"/>
      <c r="I665" s="942"/>
      <c r="J665" s="943"/>
      <c r="K665" s="943"/>
      <c r="L665" s="4"/>
    </row>
    <row r="666" spans="2:12">
      <c r="B666" s="165"/>
      <c r="C666" s="652">
        <v>641701</v>
      </c>
      <c r="D666" s="653" t="s">
        <v>1036</v>
      </c>
      <c r="E666" s="950">
        <v>12586</v>
      </c>
      <c r="F666" s="950">
        <v>12736</v>
      </c>
      <c r="G666" s="945"/>
      <c r="H666" s="942"/>
      <c r="I666" s="942"/>
      <c r="J666" s="943"/>
      <c r="K666" s="943"/>
      <c r="L666" s="4"/>
    </row>
    <row r="667" spans="2:12">
      <c r="B667" s="165"/>
      <c r="C667" s="652">
        <v>412902</v>
      </c>
      <c r="D667" s="653" t="s">
        <v>1037</v>
      </c>
      <c r="E667" s="950">
        <v>10236</v>
      </c>
      <c r="F667" s="950">
        <v>10386</v>
      </c>
      <c r="G667" s="945"/>
      <c r="H667" s="942"/>
      <c r="I667" s="942"/>
      <c r="J667" s="943"/>
      <c r="K667" s="943"/>
      <c r="L667" s="4"/>
    </row>
    <row r="668" spans="2:12">
      <c r="B668" s="165"/>
      <c r="C668" s="652">
        <v>22101</v>
      </c>
      <c r="D668" s="653" t="s">
        <v>1038</v>
      </c>
      <c r="E668" s="950">
        <v>11254</v>
      </c>
      <c r="F668" s="950">
        <v>11404</v>
      </c>
      <c r="G668" s="945"/>
      <c r="H668" s="942"/>
      <c r="I668" s="942"/>
      <c r="J668" s="943"/>
      <c r="K668" s="943"/>
      <c r="L668" s="4"/>
    </row>
    <row r="669" spans="2:12">
      <c r="B669" s="165"/>
      <c r="C669" s="652">
        <v>31401</v>
      </c>
      <c r="D669" s="653" t="s">
        <v>1039</v>
      </c>
      <c r="E669" s="950">
        <v>11674</v>
      </c>
      <c r="F669" s="950">
        <v>11824</v>
      </c>
      <c r="G669" s="945"/>
      <c r="H669" s="942"/>
      <c r="I669" s="942"/>
      <c r="J669" s="943"/>
      <c r="K669" s="943"/>
      <c r="L669" s="4"/>
    </row>
    <row r="670" spans="2:12">
      <c r="B670" s="165"/>
      <c r="C670" s="652">
        <v>580232</v>
      </c>
      <c r="D670" s="653" t="s">
        <v>1040</v>
      </c>
      <c r="E670" s="950">
        <v>14519</v>
      </c>
      <c r="F670" s="950">
        <v>14669</v>
      </c>
      <c r="G670" s="945"/>
      <c r="H670" s="942"/>
      <c r="I670" s="942"/>
      <c r="J670" s="943"/>
      <c r="K670" s="943"/>
      <c r="L670" s="4"/>
    </row>
    <row r="671" spans="2:12">
      <c r="B671" s="165"/>
      <c r="C671" s="652">
        <v>651402</v>
      </c>
      <c r="D671" s="653" t="s">
        <v>1041</v>
      </c>
      <c r="E671" s="950">
        <v>12463</v>
      </c>
      <c r="F671" s="950">
        <v>12613</v>
      </c>
      <c r="G671" s="945"/>
      <c r="H671" s="942"/>
      <c r="I671" s="942"/>
      <c r="J671" s="943"/>
      <c r="K671" s="943"/>
      <c r="L671" s="4"/>
    </row>
    <row r="672" spans="2:12">
      <c r="B672" s="165"/>
      <c r="C672" s="652">
        <v>140203</v>
      </c>
      <c r="D672" s="653" t="s">
        <v>1042</v>
      </c>
      <c r="E672" s="950">
        <v>11254</v>
      </c>
      <c r="F672" s="950">
        <v>11404</v>
      </c>
      <c r="G672" s="945"/>
      <c r="H672" s="942"/>
      <c r="I672" s="942"/>
      <c r="J672" s="943"/>
      <c r="K672" s="943"/>
      <c r="L672" s="4"/>
    </row>
    <row r="673" spans="2:12">
      <c r="B673" s="165"/>
      <c r="C673" s="652">
        <v>151701</v>
      </c>
      <c r="D673" s="653" t="s">
        <v>1043</v>
      </c>
      <c r="E673" s="950">
        <v>15705</v>
      </c>
      <c r="F673" s="950">
        <v>15855</v>
      </c>
      <c r="G673" s="945"/>
      <c r="H673" s="942"/>
      <c r="I673" s="942"/>
      <c r="J673" s="943"/>
      <c r="K673" s="943"/>
      <c r="L673" s="4"/>
    </row>
    <row r="674" spans="2:12">
      <c r="B674" s="165"/>
      <c r="C674" s="652">
        <v>401501</v>
      </c>
      <c r="D674" s="653" t="s">
        <v>1044</v>
      </c>
      <c r="E674" s="950">
        <v>10736</v>
      </c>
      <c r="F674" s="950">
        <v>10886</v>
      </c>
      <c r="G674" s="945"/>
      <c r="H674" s="942"/>
      <c r="I674" s="942"/>
      <c r="J674" s="943"/>
      <c r="K674" s="943"/>
      <c r="L674" s="4"/>
    </row>
    <row r="675" spans="2:12">
      <c r="B675" s="165"/>
      <c r="C675" s="652">
        <v>191401</v>
      </c>
      <c r="D675" s="653" t="s">
        <v>1045</v>
      </c>
      <c r="E675" s="950">
        <v>19188</v>
      </c>
      <c r="F675" s="950">
        <v>19338</v>
      </c>
      <c r="G675" s="945"/>
      <c r="H675" s="942"/>
      <c r="I675" s="942"/>
      <c r="J675" s="943"/>
      <c r="K675" s="943"/>
      <c r="L675" s="4"/>
    </row>
    <row r="676" spans="2:12">
      <c r="B676" s="165"/>
      <c r="C676" s="652">
        <v>31701</v>
      </c>
      <c r="D676" s="653" t="s">
        <v>1046</v>
      </c>
      <c r="E676" s="950">
        <v>10465</v>
      </c>
      <c r="F676" s="950">
        <v>10615</v>
      </c>
      <c r="G676" s="945"/>
      <c r="H676" s="942"/>
      <c r="I676" s="942"/>
      <c r="J676" s="943"/>
      <c r="K676" s="943"/>
      <c r="L676" s="4"/>
    </row>
    <row r="677" spans="2:12">
      <c r="B677" s="165"/>
      <c r="C677" s="652">
        <v>472506</v>
      </c>
      <c r="D677" s="653" t="s">
        <v>1047</v>
      </c>
      <c r="E677" s="950">
        <v>12702</v>
      </c>
      <c r="F677" s="950">
        <v>12852</v>
      </c>
      <c r="G677" s="945"/>
      <c r="H677" s="942"/>
      <c r="I677" s="942"/>
      <c r="J677" s="943"/>
      <c r="K677" s="943"/>
      <c r="L677" s="4"/>
    </row>
    <row r="678" spans="2:12">
      <c r="B678" s="165"/>
      <c r="C678" s="652">
        <v>580109</v>
      </c>
      <c r="D678" s="653" t="s">
        <v>1048</v>
      </c>
      <c r="E678" s="950">
        <v>17016</v>
      </c>
      <c r="F678" s="950">
        <v>17166</v>
      </c>
      <c r="G678" s="945"/>
      <c r="H678" s="942"/>
      <c r="I678" s="942"/>
      <c r="J678" s="943"/>
      <c r="K678" s="943"/>
      <c r="L678" s="4"/>
    </row>
    <row r="679" spans="2:12">
      <c r="B679" s="165"/>
      <c r="C679" s="652">
        <v>490804</v>
      </c>
      <c r="D679" s="653" t="s">
        <v>1049</v>
      </c>
      <c r="E679" s="950">
        <v>11593</v>
      </c>
      <c r="F679" s="950">
        <v>11743</v>
      </c>
      <c r="G679" s="945"/>
      <c r="H679" s="942"/>
      <c r="I679" s="942"/>
      <c r="J679" s="943"/>
      <c r="K679" s="943"/>
      <c r="L679" s="4"/>
    </row>
    <row r="680" spans="2:12">
      <c r="B680" s="165"/>
      <c r="C680" s="652">
        <v>671002</v>
      </c>
      <c r="D680" s="653" t="s">
        <v>1050</v>
      </c>
      <c r="E680" s="950">
        <v>15726</v>
      </c>
      <c r="F680" s="950">
        <v>15876</v>
      </c>
      <c r="G680" s="945"/>
      <c r="H680" s="942"/>
      <c r="I680" s="942"/>
      <c r="J680" s="943"/>
      <c r="K680" s="943"/>
      <c r="L680" s="4"/>
    </row>
    <row r="681" spans="2:12">
      <c r="B681" s="165"/>
      <c r="C681" s="652">
        <v>662300</v>
      </c>
      <c r="D681" s="653" t="s">
        <v>1051</v>
      </c>
      <c r="E681" s="950">
        <v>14873</v>
      </c>
      <c r="F681" s="950">
        <v>14523</v>
      </c>
      <c r="G681" s="945"/>
      <c r="H681" s="942"/>
      <c r="I681" s="942"/>
      <c r="J681" s="943"/>
      <c r="K681" s="943"/>
      <c r="L681" s="4"/>
    </row>
    <row r="682" spans="2:12">
      <c r="B682" s="165"/>
      <c r="C682" s="652">
        <v>241701</v>
      </c>
      <c r="D682" s="653" t="s">
        <v>1052</v>
      </c>
      <c r="E682" s="950">
        <v>11044</v>
      </c>
      <c r="F682" s="950">
        <v>11194</v>
      </c>
      <c r="G682" s="945"/>
      <c r="H682" s="942"/>
      <c r="I682" s="942"/>
      <c r="J682" s="943"/>
      <c r="K682" s="943"/>
      <c r="L682" s="4"/>
    </row>
    <row r="683" spans="2:12">
      <c r="B683" s="165"/>
      <c r="C683" s="652">
        <v>43501</v>
      </c>
      <c r="D683" s="653" t="s">
        <v>1053</v>
      </c>
      <c r="E683" s="950">
        <v>11756</v>
      </c>
      <c r="F683" s="950">
        <v>11906</v>
      </c>
      <c r="G683" s="945"/>
      <c r="H683" s="942"/>
      <c r="I683" s="942"/>
      <c r="J683" s="943"/>
      <c r="K683" s="943"/>
      <c r="L683" s="4"/>
    </row>
    <row r="684" spans="2:12">
      <c r="B684" s="165"/>
      <c r="C684" s="652">
        <v>662402</v>
      </c>
      <c r="D684" s="653" t="s">
        <v>1054</v>
      </c>
      <c r="E684" s="950">
        <v>17093</v>
      </c>
      <c r="F684" s="950">
        <v>17243</v>
      </c>
      <c r="G684" s="945"/>
      <c r="H684" s="942"/>
      <c r="I684" s="942"/>
      <c r="J684" s="943"/>
      <c r="K684" s="943"/>
      <c r="L684" s="4"/>
    </row>
    <row r="685" spans="2:12">
      <c r="B685" s="165"/>
      <c r="C685" s="165"/>
      <c r="D685" s="165"/>
      <c r="E685" s="947"/>
      <c r="F685" s="947"/>
    </row>
  </sheetData>
  <sheetProtection password="CA09" sheet="1" objects="1" scenarios="1" selectLockedCells="1" selectUnlockedCells="1"/>
  <sortState ref="H6:K684">
    <sortCondition ref="I6:I684"/>
  </sortState>
  <printOptions horizontalCentered="1"/>
  <pageMargins left="0.75" right="0.75" top="0.51" bottom="0.78" header="0" footer="0.5"/>
  <pageSetup scale="96" fitToHeight="12" orientation="portrait" r:id="rId1"/>
  <headerFooter alignWithMargins="0">
    <oddFooter>&amp;C&amp;"Calibri,Regular"&amp;11Page &amp;P of &amp;N</oddFooter>
  </headerFooter>
  <rowBreaks count="13" manualBreakCount="13">
    <brk id="55" max="16383" man="1"/>
    <brk id="105" max="16383" man="1"/>
    <brk id="155" max="16383" man="1"/>
    <brk id="205" max="16383" man="1"/>
    <brk id="255" max="16383" man="1"/>
    <brk id="305" max="16383" man="1"/>
    <brk id="355" max="16383" man="1"/>
    <brk id="405" max="16383" man="1"/>
    <brk id="455" max="16383" man="1"/>
    <brk id="505" max="16383" man="1"/>
    <brk id="555" max="16383" man="1"/>
    <brk id="605" max="16383" man="1"/>
    <brk id="6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3366"/>
    <pageSetUpPr fitToPage="1"/>
  </sheetPr>
  <dimension ref="C1:H59"/>
  <sheetViews>
    <sheetView showGridLines="0" zoomScale="110" zoomScaleNormal="110" zoomScaleSheetLayoutView="100" workbookViewId="0">
      <selection activeCell="D11" sqref="D11:E11"/>
    </sheetView>
  </sheetViews>
  <sheetFormatPr defaultColWidth="8.88671875" defaultRowHeight="15"/>
  <cols>
    <col min="1" max="1" width="3.33203125" style="1" customWidth="1"/>
    <col min="2" max="2" width="3.5546875" style="1" customWidth="1"/>
    <col min="3" max="3" width="25.88671875" style="1" customWidth="1"/>
    <col min="4" max="4" width="32.5546875" style="1" customWidth="1"/>
    <col min="5" max="5" width="34.88671875" style="1" customWidth="1"/>
    <col min="6" max="6" width="20.6640625" style="1" customWidth="1"/>
    <col min="7" max="16384" width="8.88671875" style="1"/>
  </cols>
  <sheetData>
    <row r="1" spans="3:7" ht="9" customHeight="1"/>
    <row r="2" spans="3:7" ht="9.75" customHeight="1">
      <c r="C2" s="69"/>
      <c r="D2" s="69"/>
      <c r="E2" s="69"/>
    </row>
    <row r="3" spans="3:7">
      <c r="C3" s="69"/>
      <c r="D3" s="69"/>
      <c r="E3" s="69"/>
    </row>
    <row r="4" spans="3:7">
      <c r="C4" s="69"/>
      <c r="D4" s="69"/>
      <c r="E4" s="69"/>
    </row>
    <row r="5" spans="3:7">
      <c r="C5" s="69"/>
      <c r="D5" s="69"/>
      <c r="E5" s="69"/>
    </row>
    <row r="6" spans="3:7">
      <c r="C6" s="69"/>
      <c r="D6" s="69"/>
      <c r="E6" s="69"/>
    </row>
    <row r="7" spans="3:7" ht="27.75" customHeight="1">
      <c r="C7" s="966" t="s">
        <v>370</v>
      </c>
      <c r="D7" s="966"/>
      <c r="E7" s="966"/>
    </row>
    <row r="9" spans="3:7" ht="45.75" customHeight="1">
      <c r="C9" s="967" t="str">
        <f>IF(D11=CONTROL!B801,"",D11)</f>
        <v/>
      </c>
      <c r="D9" s="967"/>
      <c r="E9" s="967"/>
    </row>
    <row r="10" spans="3:7" ht="21" customHeight="1">
      <c r="C10" s="837" t="s">
        <v>1209</v>
      </c>
      <c r="D10" s="834"/>
      <c r="E10" s="861"/>
      <c r="F10" s="834"/>
      <c r="G10" s="834"/>
    </row>
    <row r="11" spans="3:7">
      <c r="C11" s="838" t="s">
        <v>1205</v>
      </c>
      <c r="D11" s="968" t="s">
        <v>1226</v>
      </c>
      <c r="E11" s="969"/>
      <c r="F11" s="834"/>
      <c r="G11" s="834"/>
    </row>
    <row r="12" spans="3:7" ht="30" customHeight="1">
      <c r="C12" s="836" t="s">
        <v>1207</v>
      </c>
      <c r="F12" s="834"/>
      <c r="G12" s="834"/>
    </row>
    <row r="13" spans="3:7">
      <c r="C13" s="839" t="s">
        <v>114</v>
      </c>
      <c r="D13" s="964" t="s">
        <v>1057</v>
      </c>
      <c r="E13" s="964"/>
      <c r="F13" s="835"/>
      <c r="G13" s="834"/>
    </row>
    <row r="14" spans="3:7">
      <c r="C14" s="839" t="s">
        <v>117</v>
      </c>
      <c r="D14" s="964" t="s">
        <v>1058</v>
      </c>
      <c r="E14" s="964"/>
      <c r="F14" s="835"/>
      <c r="G14" s="834"/>
    </row>
    <row r="15" spans="3:7">
      <c r="C15" s="839" t="s">
        <v>115</v>
      </c>
      <c r="D15" s="964" t="s">
        <v>1059</v>
      </c>
      <c r="E15" s="964"/>
      <c r="F15" s="69"/>
      <c r="G15" s="834"/>
    </row>
    <row r="16" spans="3:7">
      <c r="C16" s="839" t="s">
        <v>116</v>
      </c>
      <c r="D16" s="965" t="s">
        <v>1060</v>
      </c>
      <c r="E16" s="965"/>
      <c r="F16" s="69"/>
      <c r="G16" s="834"/>
    </row>
    <row r="17" spans="3:8" ht="30" customHeight="1">
      <c r="C17" s="836" t="s">
        <v>1208</v>
      </c>
      <c r="D17" s="82"/>
      <c r="E17" s="69"/>
      <c r="F17" s="69"/>
      <c r="G17" s="834"/>
    </row>
    <row r="18" spans="3:8">
      <c r="C18" s="840" t="s">
        <v>189</v>
      </c>
      <c r="D18" s="841" t="s">
        <v>1206</v>
      </c>
      <c r="E18" s="69"/>
      <c r="F18" s="69"/>
      <c r="H18" s="834"/>
    </row>
    <row r="19" spans="3:8">
      <c r="C19" s="839" t="s">
        <v>190</v>
      </c>
      <c r="D19" s="860" t="str">
        <f>IFERROR(IF(INDEX(Table2[[#All],[YrOpen]],MATCH(D11,Table2[[#All],[SCHOOLS]],0))=VALUE(LEFT(AcadYr1,4)),"Planning Year",PriorPeriod),"")</f>
        <v>2015-16</v>
      </c>
      <c r="E19" s="69"/>
      <c r="F19" s="69"/>
    </row>
    <row r="20" spans="3:8">
      <c r="C20" s="97"/>
      <c r="D20" s="835"/>
      <c r="E20" s="69"/>
    </row>
    <row r="21" spans="3:8">
      <c r="C21" s="69"/>
      <c r="D21" s="69"/>
      <c r="E21" s="69"/>
    </row>
    <row r="50" spans="4:4">
      <c r="D50" s="834"/>
    </row>
    <row r="51" spans="4:4">
      <c r="D51" s="834"/>
    </row>
    <row r="52" spans="4:4">
      <c r="D52" s="834"/>
    </row>
    <row r="53" spans="4:4">
      <c r="D53" s="834"/>
    </row>
    <row r="54" spans="4:4">
      <c r="D54" s="834"/>
    </row>
    <row r="55" spans="4:4">
      <c r="D55" s="834"/>
    </row>
    <row r="56" spans="4:4">
      <c r="D56" s="834"/>
    </row>
    <row r="57" spans="4:4">
      <c r="D57" s="834"/>
    </row>
    <row r="58" spans="4:4">
      <c r="D58" s="834"/>
    </row>
    <row r="59" spans="4:4">
      <c r="D59" s="834"/>
    </row>
  </sheetData>
  <sheetProtection password="CA09" sheet="1" objects="1" scenarios="1" selectLockedCells="1"/>
  <sortState ref="D27:D31">
    <sortCondition ref="D27"/>
  </sortState>
  <customSheetViews>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7">
    <mergeCell ref="D13:E13"/>
    <mergeCell ref="D14:E14"/>
    <mergeCell ref="D15:E15"/>
    <mergeCell ref="D16:E16"/>
    <mergeCell ref="C7:E7"/>
    <mergeCell ref="C9:E9"/>
    <mergeCell ref="D11:E11"/>
  </mergeCells>
  <phoneticPr fontId="4" type="noConversion"/>
  <conditionalFormatting sqref="C9">
    <cfRule type="expression" dxfId="115" priority="50">
      <formula>$C$9="Select School or Merged EdCorp from drop-down list→"</formula>
    </cfRule>
  </conditionalFormatting>
  <conditionalFormatting sqref="D14">
    <cfRule type="expression" dxfId="114" priority="43">
      <formula>$D$14="enter title"</formula>
    </cfRule>
  </conditionalFormatting>
  <conditionalFormatting sqref="D15">
    <cfRule type="expression" dxfId="113" priority="44">
      <formula>$D$15="enter email address"</formula>
    </cfRule>
  </conditionalFormatting>
  <conditionalFormatting sqref="D16">
    <cfRule type="expression" dxfId="112" priority="45">
      <formula>$D$16="enter phone number"</formula>
    </cfRule>
  </conditionalFormatting>
  <conditionalFormatting sqref="D18">
    <cfRule type="cellIs" dxfId="111" priority="46" operator="equal">
      <formula>"Select from drop-down list →"</formula>
    </cfRule>
  </conditionalFormatting>
  <conditionalFormatting sqref="D13">
    <cfRule type="expression" dxfId="110" priority="5">
      <formula>$D$13="enter name"</formula>
    </cfRule>
  </conditionalFormatting>
  <conditionalFormatting sqref="D11">
    <cfRule type="expression" dxfId="109" priority="3">
      <formula>$D$11="Select from drop-down list →"</formula>
    </cfRule>
  </conditionalFormatting>
  <dataValidations count="2">
    <dataValidation type="list" showInputMessage="1" showErrorMessage="1" promptTitle="Current Academic Year" prompt="Select the current academic year." sqref="D18">
      <formula1>DVList_AcadYr</formula1>
    </dataValidation>
    <dataValidation type="custom" showInputMessage="1" showErrorMessage="1" errorTitle="Invalid Email Address" error="Email address missing necessary element(s) (e.g. &quot;@&quot; or &quot;.com&quot;)_x000a__x000a_Please re-enter!" sqref="D15">
      <formula1>AND( FIND(".",D15),FIND("@",D15))</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CONTROL!$B$801:$B$945</xm:f>
          </x14:formula1>
          <xm:sqref>D11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3366"/>
  </sheetPr>
  <dimension ref="A1:S72"/>
  <sheetViews>
    <sheetView showGridLines="0" zoomScale="90" zoomScaleNormal="90" zoomScaleSheetLayoutView="100" workbookViewId="0">
      <selection activeCell="E8" sqref="E8"/>
    </sheetView>
  </sheetViews>
  <sheetFormatPr defaultColWidth="11.88671875" defaultRowHeight="15"/>
  <cols>
    <col min="1" max="1" width="4.6640625" style="1" customWidth="1"/>
    <col min="2" max="2" width="21.5546875" style="1" customWidth="1"/>
    <col min="3" max="3" width="44.109375" style="1" customWidth="1"/>
    <col min="4" max="4" width="2.33203125" style="1" customWidth="1"/>
    <col min="5" max="5" width="13.88671875" style="1" bestFit="1" customWidth="1"/>
    <col min="6" max="6" width="2.33203125" style="1" customWidth="1"/>
    <col min="7" max="14" width="12.6640625" style="1" customWidth="1"/>
    <col min="15" max="15" width="2.33203125" style="1" customWidth="1"/>
    <col min="16" max="19" width="12.6640625" style="1" customWidth="1"/>
    <col min="20" max="20" width="2.6640625" style="1" customWidth="1"/>
    <col min="21" max="21" width="15.6640625" style="1" customWidth="1"/>
    <col min="22" max="16384" width="11.88671875" style="1"/>
  </cols>
  <sheetData>
    <row r="1" spans="1:19" ht="9" customHeight="1">
      <c r="A1" s="473"/>
      <c r="B1" s="473"/>
      <c r="C1" s="473"/>
      <c r="D1" s="473"/>
      <c r="E1" s="473"/>
      <c r="F1" s="473"/>
    </row>
    <row r="2" spans="1:19" ht="18">
      <c r="A2" s="473"/>
      <c r="C2" s="474"/>
      <c r="D2" s="171"/>
      <c r="E2" s="480" t="str">
        <f>IF(School="",Mssg1,School)</f>
        <v>Please enter school name on tab - "1) Name of School"</v>
      </c>
      <c r="F2" s="171"/>
      <c r="G2" s="518"/>
      <c r="H2" s="518"/>
      <c r="I2" s="518"/>
      <c r="J2" s="518"/>
      <c r="K2" s="518"/>
      <c r="L2" s="518"/>
      <c r="M2" s="518"/>
      <c r="N2" s="518"/>
      <c r="O2" s="518"/>
      <c r="P2" s="518"/>
      <c r="Q2" s="518"/>
      <c r="R2" s="518"/>
      <c r="S2" s="518"/>
    </row>
    <row r="3" spans="1:19" ht="18">
      <c r="A3" s="473"/>
      <c r="D3" s="518"/>
      <c r="E3" s="480" t="str">
        <f>IF(CONTROL!J12=0,Mssg2,AcadYr1)</f>
        <v>2016-17</v>
      </c>
      <c r="F3" s="518"/>
      <c r="G3" s="518"/>
      <c r="H3" s="518"/>
      <c r="I3" s="518"/>
      <c r="J3" s="518"/>
      <c r="K3" s="518"/>
      <c r="L3" s="518"/>
      <c r="M3" s="518"/>
      <c r="N3" s="518"/>
      <c r="O3" s="518"/>
      <c r="P3" s="518"/>
      <c r="Q3" s="518"/>
      <c r="R3" s="518"/>
      <c r="S3" s="518"/>
    </row>
    <row r="4" spans="1:19" ht="6.75" customHeight="1" thickBot="1">
      <c r="A4" s="473"/>
      <c r="B4" s="532"/>
      <c r="C4" s="475"/>
      <c r="D4" s="475"/>
      <c r="E4" s="475"/>
      <c r="F4" s="475"/>
      <c r="H4" s="343"/>
      <c r="Q4" s="519"/>
    </row>
    <row r="5" spans="1:19" ht="18.600000000000001" thickBot="1">
      <c r="A5" s="473"/>
      <c r="B5" s="544"/>
      <c r="C5" s="540"/>
      <c r="D5" s="540"/>
      <c r="E5" s="545" t="s">
        <v>343</v>
      </c>
      <c r="F5" s="540"/>
      <c r="G5" s="541"/>
      <c r="H5" s="541"/>
      <c r="I5" s="541"/>
      <c r="J5" s="541"/>
      <c r="K5" s="541"/>
      <c r="L5" s="541"/>
      <c r="M5" s="541"/>
      <c r="N5" s="541"/>
      <c r="O5" s="541"/>
      <c r="P5" s="541"/>
      <c r="Q5" s="542"/>
      <c r="R5" s="541"/>
      <c r="S5" s="543"/>
    </row>
    <row r="6" spans="1:19" ht="8.1" customHeight="1">
      <c r="A6" s="520"/>
      <c r="B6" s="547"/>
      <c r="C6" s="548"/>
      <c r="D6" s="548"/>
      <c r="E6" s="548"/>
      <c r="F6" s="548"/>
      <c r="G6" s="531"/>
      <c r="H6" s="531"/>
      <c r="I6" s="531"/>
      <c r="J6" s="531"/>
      <c r="K6" s="531"/>
      <c r="L6" s="531"/>
      <c r="M6" s="531"/>
      <c r="N6" s="531"/>
      <c r="O6" s="531"/>
      <c r="P6" s="531"/>
      <c r="Q6" s="531"/>
      <c r="R6" s="531"/>
      <c r="S6" s="549"/>
    </row>
    <row r="7" spans="1:19" ht="18">
      <c r="A7" s="520"/>
      <c r="B7" s="529" t="s">
        <v>342</v>
      </c>
      <c r="C7" s="604"/>
      <c r="D7" s="551"/>
      <c r="E7" s="522" t="s">
        <v>341</v>
      </c>
      <c r="F7" s="551"/>
      <c r="G7" s="521">
        <v>1</v>
      </c>
      <c r="H7" s="521">
        <v>2</v>
      </c>
      <c r="I7" s="521">
        <v>3</v>
      </c>
      <c r="J7" s="521">
        <v>4</v>
      </c>
      <c r="K7" s="521">
        <v>5</v>
      </c>
      <c r="L7" s="521">
        <v>6</v>
      </c>
      <c r="M7" s="521">
        <v>7</v>
      </c>
      <c r="N7" s="521">
        <v>8</v>
      </c>
      <c r="O7" s="551"/>
      <c r="P7" s="521">
        <v>9</v>
      </c>
      <c r="Q7" s="521">
        <v>10</v>
      </c>
      <c r="R7" s="521">
        <v>11</v>
      </c>
      <c r="S7" s="530">
        <v>12</v>
      </c>
    </row>
    <row r="8" spans="1:19">
      <c r="A8" s="520"/>
      <c r="B8" s="529" t="s">
        <v>365</v>
      </c>
      <c r="C8" s="481"/>
      <c r="D8" s="551"/>
      <c r="E8" s="574"/>
      <c r="F8" s="551"/>
      <c r="G8" s="574"/>
      <c r="H8" s="574"/>
      <c r="I8" s="574"/>
      <c r="J8" s="574"/>
      <c r="K8" s="659"/>
      <c r="L8" s="659"/>
      <c r="M8" s="574"/>
      <c r="N8" s="574"/>
      <c r="O8" s="551"/>
      <c r="P8" s="574"/>
      <c r="Q8" s="574"/>
      <c r="R8" s="574"/>
      <c r="S8" s="575"/>
    </row>
    <row r="9" spans="1:19" ht="15.6" thickBot="1">
      <c r="A9" s="520"/>
      <c r="B9" s="605" t="str">
        <f>"TOTAL ENROLLMENT = "&amp;IF(SUM(E8:S8)&lt;&gt;0,SUM(E8:S8),"")</f>
        <v xml:space="preserve">TOTAL ENROLLMENT = </v>
      </c>
      <c r="C9" s="203"/>
      <c r="D9" s="203"/>
      <c r="E9" s="203"/>
      <c r="F9" s="203"/>
      <c r="G9" s="203"/>
      <c r="H9" s="203"/>
      <c r="I9" s="203"/>
      <c r="J9" s="203"/>
      <c r="K9" s="203"/>
      <c r="L9" s="203"/>
      <c r="M9" s="203"/>
      <c r="N9" s="203"/>
      <c r="O9" s="203"/>
      <c r="P9" s="203"/>
      <c r="Q9" s="203"/>
      <c r="R9" s="203"/>
      <c r="S9" s="194"/>
    </row>
    <row r="10" spans="1:19" ht="15.6" thickBot="1">
      <c r="A10" s="520"/>
      <c r="B10" s="493"/>
      <c r="C10" s="493"/>
      <c r="D10" s="97"/>
      <c r="E10" s="533"/>
      <c r="F10" s="477"/>
      <c r="G10" s="533"/>
      <c r="H10" s="533"/>
      <c r="I10" s="533"/>
      <c r="J10" s="533"/>
      <c r="K10" s="533"/>
      <c r="L10" s="533"/>
      <c r="M10" s="533"/>
      <c r="N10" s="533"/>
      <c r="O10" s="320"/>
      <c r="P10" s="533"/>
      <c r="Q10" s="533"/>
      <c r="R10" s="533"/>
      <c r="S10" s="533"/>
    </row>
    <row r="11" spans="1:19" ht="18.600000000000001" thickBot="1">
      <c r="B11" s="544"/>
      <c r="C11" s="540"/>
      <c r="D11" s="540"/>
      <c r="E11" s="545" t="s">
        <v>344</v>
      </c>
      <c r="F11" s="540"/>
      <c r="G11" s="541"/>
      <c r="H11" s="541"/>
      <c r="I11" s="541"/>
      <c r="J11" s="541"/>
      <c r="K11" s="541"/>
      <c r="L11" s="541"/>
      <c r="M11" s="541"/>
      <c r="N11" s="541"/>
      <c r="O11" s="541"/>
      <c r="P11" s="541"/>
      <c r="Q11" s="542"/>
      <c r="R11" s="541"/>
      <c r="S11" s="543"/>
    </row>
    <row r="12" spans="1:19" ht="8.1" customHeight="1">
      <c r="B12" s="672"/>
      <c r="C12" s="554"/>
      <c r="D12" s="554" t="s">
        <v>155</v>
      </c>
      <c r="E12" s="555"/>
      <c r="F12" s="554"/>
      <c r="G12" s="556"/>
      <c r="H12" s="556"/>
      <c r="I12" s="556"/>
      <c r="J12" s="556"/>
      <c r="K12" s="556"/>
      <c r="L12" s="556"/>
      <c r="M12" s="556"/>
      <c r="N12" s="556"/>
      <c r="O12" s="556"/>
      <c r="P12" s="556"/>
      <c r="Q12" s="557"/>
      <c r="R12" s="556"/>
      <c r="S12" s="552"/>
    </row>
    <row r="13" spans="1:19" ht="31.2">
      <c r="B13" s="583"/>
      <c r="C13" s="546"/>
      <c r="D13" s="476"/>
      <c r="E13" s="673" t="s">
        <v>332</v>
      </c>
      <c r="F13" s="69"/>
      <c r="G13" s="584" t="s">
        <v>352</v>
      </c>
      <c r="H13" s="674"/>
      <c r="I13" s="674"/>
      <c r="J13" s="674"/>
      <c r="K13" s="674"/>
      <c r="L13" s="674"/>
      <c r="M13" s="674"/>
      <c r="N13" s="558"/>
      <c r="O13" s="69"/>
      <c r="P13" s="584" t="s">
        <v>353</v>
      </c>
      <c r="Q13" s="675"/>
      <c r="R13" s="675"/>
      <c r="S13" s="559"/>
    </row>
    <row r="14" spans="1:19" ht="15.6">
      <c r="B14" s="676"/>
      <c r="C14" s="550"/>
      <c r="D14" s="476"/>
      <c r="E14" s="673" t="s">
        <v>331</v>
      </c>
      <c r="F14" s="69"/>
      <c r="G14" s="677" t="s">
        <v>327</v>
      </c>
      <c r="H14" s="678"/>
      <c r="I14" s="677" t="s">
        <v>328</v>
      </c>
      <c r="J14" s="678"/>
      <c r="K14" s="677" t="s">
        <v>329</v>
      </c>
      <c r="L14" s="678"/>
      <c r="M14" s="677" t="s">
        <v>330</v>
      </c>
      <c r="N14" s="678"/>
      <c r="O14" s="69"/>
      <c r="P14" s="679" t="s">
        <v>327</v>
      </c>
      <c r="Q14" s="679" t="s">
        <v>328</v>
      </c>
      <c r="R14" s="679" t="s">
        <v>329</v>
      </c>
      <c r="S14" s="680" t="s">
        <v>330</v>
      </c>
    </row>
    <row r="15" spans="1:19" ht="15.6">
      <c r="B15" s="553"/>
      <c r="C15" s="495"/>
      <c r="D15" s="476"/>
      <c r="E15" s="673"/>
      <c r="F15" s="69"/>
      <c r="G15" s="681" t="s">
        <v>349</v>
      </c>
      <c r="H15" s="682" t="s">
        <v>350</v>
      </c>
      <c r="I15" s="681" t="s">
        <v>349</v>
      </c>
      <c r="J15" s="682" t="s">
        <v>350</v>
      </c>
      <c r="K15" s="681" t="s">
        <v>349</v>
      </c>
      <c r="L15" s="682" t="s">
        <v>350</v>
      </c>
      <c r="M15" s="681" t="s">
        <v>349</v>
      </c>
      <c r="N15" s="682" t="s">
        <v>350</v>
      </c>
      <c r="O15" s="69"/>
      <c r="P15" s="681" t="s">
        <v>311</v>
      </c>
      <c r="Q15" s="681" t="s">
        <v>311</v>
      </c>
      <c r="R15" s="681" t="s">
        <v>311</v>
      </c>
      <c r="S15" s="683" t="s">
        <v>311</v>
      </c>
    </row>
    <row r="16" spans="1:19">
      <c r="B16" s="684" t="s">
        <v>333</v>
      </c>
      <c r="C16" s="481"/>
      <c r="D16" s="477"/>
      <c r="E16" s="685">
        <f>COUNTIF(E22:E71,"&gt;0")</f>
        <v>0</v>
      </c>
      <c r="F16" s="535"/>
      <c r="G16" s="685">
        <f>COUNTIF(G22:G71,"&gt;0")</f>
        <v>0</v>
      </c>
      <c r="H16" s="685">
        <f t="shared" ref="H16:S16" si="0">COUNTIF(H22:H71,"&gt;0")</f>
        <v>0</v>
      </c>
      <c r="I16" s="685">
        <f t="shared" si="0"/>
        <v>0</v>
      </c>
      <c r="J16" s="685">
        <f t="shared" si="0"/>
        <v>0</v>
      </c>
      <c r="K16" s="685">
        <f t="shared" si="0"/>
        <v>0</v>
      </c>
      <c r="L16" s="685">
        <f t="shared" si="0"/>
        <v>0</v>
      </c>
      <c r="M16" s="685">
        <f t="shared" si="0"/>
        <v>0</v>
      </c>
      <c r="N16" s="685">
        <f t="shared" si="0"/>
        <v>0</v>
      </c>
      <c r="O16" s="69"/>
      <c r="P16" s="685">
        <f t="shared" si="0"/>
        <v>0</v>
      </c>
      <c r="Q16" s="685">
        <f t="shared" si="0"/>
        <v>0</v>
      </c>
      <c r="R16" s="685">
        <f t="shared" si="0"/>
        <v>0</v>
      </c>
      <c r="S16" s="686">
        <f t="shared" si="0"/>
        <v>0</v>
      </c>
    </row>
    <row r="17" spans="1:19">
      <c r="B17" s="684" t="s">
        <v>337</v>
      </c>
      <c r="C17" s="481"/>
      <c r="D17" s="477"/>
      <c r="E17" s="685">
        <f>SUM(E22:E71)</f>
        <v>0</v>
      </c>
      <c r="F17" s="535"/>
      <c r="G17" s="685">
        <f>SUM(G22:G71)</f>
        <v>0</v>
      </c>
      <c r="H17" s="685">
        <f t="shared" ref="H17:S17" si="1">SUM(H22:H71)</f>
        <v>0</v>
      </c>
      <c r="I17" s="685">
        <f t="shared" si="1"/>
        <v>0</v>
      </c>
      <c r="J17" s="685">
        <f t="shared" si="1"/>
        <v>0</v>
      </c>
      <c r="K17" s="685">
        <f t="shared" si="1"/>
        <v>0</v>
      </c>
      <c r="L17" s="685">
        <f t="shared" si="1"/>
        <v>0</v>
      </c>
      <c r="M17" s="685">
        <f t="shared" si="1"/>
        <v>0</v>
      </c>
      <c r="N17" s="685">
        <f t="shared" si="1"/>
        <v>0</v>
      </c>
      <c r="O17" s="69"/>
      <c r="P17" s="685">
        <f t="shared" si="1"/>
        <v>0</v>
      </c>
      <c r="Q17" s="685">
        <f t="shared" si="1"/>
        <v>0</v>
      </c>
      <c r="R17" s="685">
        <f t="shared" si="1"/>
        <v>0</v>
      </c>
      <c r="S17" s="686">
        <f t="shared" si="1"/>
        <v>0</v>
      </c>
    </row>
    <row r="18" spans="1:19" ht="46.5" customHeight="1">
      <c r="B18" s="687"/>
      <c r="C18" s="478"/>
      <c r="D18" s="477"/>
      <c r="E18" s="69"/>
      <c r="F18" s="496"/>
      <c r="G18" s="970" t="s">
        <v>1236</v>
      </c>
      <c r="H18" s="971"/>
      <c r="I18" s="971"/>
      <c r="J18" s="971"/>
      <c r="K18" s="971"/>
      <c r="L18" s="971"/>
      <c r="M18" s="971"/>
      <c r="N18" s="972"/>
      <c r="O18" s="69"/>
      <c r="P18" s="688"/>
      <c r="Q18" s="688"/>
      <c r="R18" s="688"/>
      <c r="S18" s="536"/>
    </row>
    <row r="19" spans="1:19" ht="15.75" customHeight="1">
      <c r="B19" s="587"/>
      <c r="C19" s="585"/>
      <c r="D19" s="69"/>
      <c r="E19" s="673" t="s">
        <v>332</v>
      </c>
      <c r="F19" s="537"/>
      <c r="G19" s="599" t="s">
        <v>354</v>
      </c>
      <c r="H19" s="689"/>
      <c r="I19" s="600"/>
      <c r="J19" s="689"/>
      <c r="K19" s="600"/>
      <c r="L19" s="689"/>
      <c r="M19" s="600"/>
      <c r="N19" s="689"/>
      <c r="O19" s="69"/>
      <c r="P19" s="689" t="s">
        <v>345</v>
      </c>
      <c r="Q19" s="689"/>
      <c r="R19" s="689"/>
      <c r="S19" s="690"/>
    </row>
    <row r="20" spans="1:19">
      <c r="B20" s="588"/>
      <c r="C20" s="586"/>
      <c r="D20" s="69"/>
      <c r="E20" s="691" t="str">
        <f>PriorPeriod</f>
        <v>2015-16</v>
      </c>
      <c r="F20" s="538"/>
      <c r="G20" s="677" t="s">
        <v>327</v>
      </c>
      <c r="H20" s="678"/>
      <c r="I20" s="677" t="s">
        <v>328</v>
      </c>
      <c r="J20" s="678"/>
      <c r="K20" s="677" t="s">
        <v>329</v>
      </c>
      <c r="L20" s="678"/>
      <c r="M20" s="677" t="s">
        <v>330</v>
      </c>
      <c r="N20" s="678"/>
      <c r="O20" s="69"/>
      <c r="P20" s="679" t="s">
        <v>327</v>
      </c>
      <c r="Q20" s="679" t="s">
        <v>328</v>
      </c>
      <c r="R20" s="679" t="s">
        <v>329</v>
      </c>
      <c r="S20" s="680" t="s">
        <v>330</v>
      </c>
    </row>
    <row r="21" spans="1:19" ht="45">
      <c r="B21" s="692" t="s">
        <v>168</v>
      </c>
      <c r="C21" s="693" t="s">
        <v>167</v>
      </c>
      <c r="D21" s="151"/>
      <c r="E21" s="681" t="s">
        <v>326</v>
      </c>
      <c r="F21" s="539"/>
      <c r="G21" s="681" t="s">
        <v>325</v>
      </c>
      <c r="H21" s="681" t="s">
        <v>338</v>
      </c>
      <c r="I21" s="681" t="s">
        <v>325</v>
      </c>
      <c r="J21" s="681" t="s">
        <v>338</v>
      </c>
      <c r="K21" s="681" t="s">
        <v>325</v>
      </c>
      <c r="L21" s="681" t="s">
        <v>338</v>
      </c>
      <c r="M21" s="681" t="s">
        <v>325</v>
      </c>
      <c r="N21" s="681" t="s">
        <v>338</v>
      </c>
      <c r="O21" s="69"/>
      <c r="P21" s="681" t="s">
        <v>326</v>
      </c>
      <c r="Q21" s="681" t="s">
        <v>326</v>
      </c>
      <c r="R21" s="681" t="s">
        <v>326</v>
      </c>
      <c r="S21" s="683" t="s">
        <v>326</v>
      </c>
    </row>
    <row r="22" spans="1:19">
      <c r="A22" s="479">
        <v>1</v>
      </c>
      <c r="B22" s="951" t="s">
        <v>158</v>
      </c>
      <c r="C22" s="660" t="s">
        <v>1203</v>
      </c>
      <c r="D22" s="151"/>
      <c r="E22" s="695"/>
      <c r="F22" s="534"/>
      <c r="G22" s="695"/>
      <c r="H22" s="695"/>
      <c r="I22" s="695"/>
      <c r="J22" s="695"/>
      <c r="K22" s="695"/>
      <c r="L22" s="695"/>
      <c r="M22" s="695"/>
      <c r="N22" s="695"/>
      <c r="O22" s="69"/>
      <c r="P22" s="695"/>
      <c r="Q22" s="695"/>
      <c r="R22" s="695"/>
      <c r="S22" s="696"/>
    </row>
    <row r="23" spans="1:19">
      <c r="A23" s="479">
        <v>2</v>
      </c>
      <c r="B23" s="951" t="s">
        <v>242</v>
      </c>
      <c r="C23" s="660" t="s">
        <v>1203</v>
      </c>
      <c r="D23" s="151"/>
      <c r="E23" s="695"/>
      <c r="F23" s="534"/>
      <c r="G23" s="695"/>
      <c r="H23" s="695"/>
      <c r="I23" s="695"/>
      <c r="J23" s="695"/>
      <c r="K23" s="695"/>
      <c r="L23" s="695"/>
      <c r="M23" s="695"/>
      <c r="N23" s="695"/>
      <c r="O23" s="69"/>
      <c r="P23" s="695"/>
      <c r="Q23" s="695"/>
      <c r="R23" s="695"/>
      <c r="S23" s="696"/>
    </row>
    <row r="24" spans="1:19">
      <c r="A24" s="479" t="str">
        <f>IF(OR(C23=CONTROL!$B$109,ISBLANK(C23)),"",3)</f>
        <v/>
      </c>
      <c r="B24" s="694" t="s">
        <v>243</v>
      </c>
      <c r="C24" s="660" t="s">
        <v>1203</v>
      </c>
      <c r="D24" s="151"/>
      <c r="E24" s="695"/>
      <c r="F24" s="534"/>
      <c r="G24" s="695"/>
      <c r="H24" s="695"/>
      <c r="I24" s="695"/>
      <c r="J24" s="695"/>
      <c r="K24" s="695"/>
      <c r="L24" s="695"/>
      <c r="M24" s="695"/>
      <c r="N24" s="695"/>
      <c r="O24" s="69"/>
      <c r="P24" s="695"/>
      <c r="Q24" s="695"/>
      <c r="R24" s="695"/>
      <c r="S24" s="696"/>
    </row>
    <row r="25" spans="1:19">
      <c r="A25" s="479" t="str">
        <f>IF(OR(A24="",C24=CONTROL!$B$109,ISBLANK(C24)),"",4)</f>
        <v/>
      </c>
      <c r="B25" s="694" t="s">
        <v>244</v>
      </c>
      <c r="C25" s="660" t="s">
        <v>1203</v>
      </c>
      <c r="D25" s="523"/>
      <c r="E25" s="695"/>
      <c r="F25" s="534"/>
      <c r="G25" s="695"/>
      <c r="H25" s="695"/>
      <c r="I25" s="695"/>
      <c r="J25" s="695"/>
      <c r="K25" s="695"/>
      <c r="L25" s="695"/>
      <c r="M25" s="695"/>
      <c r="N25" s="695"/>
      <c r="O25" s="69"/>
      <c r="P25" s="695"/>
      <c r="Q25" s="695"/>
      <c r="R25" s="695"/>
      <c r="S25" s="696"/>
    </row>
    <row r="26" spans="1:19">
      <c r="A26" s="479" t="str">
        <f>IF(OR(A25="",C25=CONTROL!$B$109,ISBLANK(C25)),"",5)</f>
        <v/>
      </c>
      <c r="B26" s="694" t="s">
        <v>245</v>
      </c>
      <c r="C26" s="660" t="s">
        <v>1203</v>
      </c>
      <c r="D26" s="523"/>
      <c r="E26" s="695"/>
      <c r="F26" s="534"/>
      <c r="G26" s="695"/>
      <c r="H26" s="695"/>
      <c r="I26" s="695"/>
      <c r="J26" s="695"/>
      <c r="K26" s="695"/>
      <c r="L26" s="695"/>
      <c r="M26" s="695"/>
      <c r="N26" s="695"/>
      <c r="O26" s="69"/>
      <c r="P26" s="695"/>
      <c r="Q26" s="695"/>
      <c r="R26" s="695"/>
      <c r="S26" s="696"/>
    </row>
    <row r="27" spans="1:19">
      <c r="A27" s="479" t="str">
        <f>IF(OR(A26="",C26=CONTROL!$B$109,ISBLANK(C26)),"",6)</f>
        <v/>
      </c>
      <c r="B27" s="694" t="s">
        <v>246</v>
      </c>
      <c r="C27" s="660" t="s">
        <v>1203</v>
      </c>
      <c r="D27" s="523"/>
      <c r="E27" s="695"/>
      <c r="F27" s="534"/>
      <c r="G27" s="695"/>
      <c r="H27" s="695"/>
      <c r="I27" s="695"/>
      <c r="J27" s="695"/>
      <c r="K27" s="695"/>
      <c r="L27" s="695"/>
      <c r="M27" s="695"/>
      <c r="N27" s="695"/>
      <c r="O27" s="69"/>
      <c r="P27" s="695"/>
      <c r="Q27" s="695"/>
      <c r="R27" s="695"/>
      <c r="S27" s="696"/>
    </row>
    <row r="28" spans="1:19">
      <c r="A28" s="479" t="str">
        <f>IF(OR(A27="",C27=CONTROL!$B$109,ISBLANK(C27)),"",7)</f>
        <v/>
      </c>
      <c r="B28" s="694" t="s">
        <v>247</v>
      </c>
      <c r="C28" s="660" t="s">
        <v>1203</v>
      </c>
      <c r="D28" s="523"/>
      <c r="E28" s="695"/>
      <c r="F28" s="534"/>
      <c r="G28" s="695"/>
      <c r="H28" s="695"/>
      <c r="I28" s="695"/>
      <c r="J28" s="695"/>
      <c r="K28" s="695"/>
      <c r="L28" s="695"/>
      <c r="M28" s="695"/>
      <c r="N28" s="695"/>
      <c r="O28" s="69"/>
      <c r="P28" s="695"/>
      <c r="Q28" s="695"/>
      <c r="R28" s="695"/>
      <c r="S28" s="696"/>
    </row>
    <row r="29" spans="1:19">
      <c r="A29" s="479" t="str">
        <f>IF(OR(A28="",C28=CONTROL!$B$109,ISBLANK(C28)),"",8)</f>
        <v/>
      </c>
      <c r="B29" s="694" t="s">
        <v>248</v>
      </c>
      <c r="C29" s="660" t="s">
        <v>1203</v>
      </c>
      <c r="D29" s="523"/>
      <c r="E29" s="695"/>
      <c r="F29" s="534"/>
      <c r="G29" s="695"/>
      <c r="H29" s="695"/>
      <c r="I29" s="695"/>
      <c r="J29" s="695"/>
      <c r="K29" s="695"/>
      <c r="L29" s="695"/>
      <c r="M29" s="695"/>
      <c r="N29" s="695"/>
      <c r="O29" s="69"/>
      <c r="P29" s="695"/>
      <c r="Q29" s="695"/>
      <c r="R29" s="695"/>
      <c r="S29" s="696"/>
    </row>
    <row r="30" spans="1:19">
      <c r="A30" s="479" t="str">
        <f>IF(OR(A29="",C29=CONTROL!$B$109,ISBLANK(C29)),"",9)</f>
        <v/>
      </c>
      <c r="B30" s="694" t="s">
        <v>249</v>
      </c>
      <c r="C30" s="660" t="s">
        <v>1203</v>
      </c>
      <c r="D30" s="523"/>
      <c r="E30" s="695"/>
      <c r="F30" s="534"/>
      <c r="G30" s="695"/>
      <c r="H30" s="695"/>
      <c r="I30" s="695"/>
      <c r="J30" s="695"/>
      <c r="K30" s="695"/>
      <c r="L30" s="695"/>
      <c r="M30" s="695"/>
      <c r="N30" s="695"/>
      <c r="O30" s="69"/>
      <c r="P30" s="695"/>
      <c r="Q30" s="695"/>
      <c r="R30" s="695"/>
      <c r="S30" s="696"/>
    </row>
    <row r="31" spans="1:19">
      <c r="A31" s="479" t="str">
        <f>IF(OR(A30="",C30=CONTROL!$B$109,ISBLANK(C30)),"",10)</f>
        <v/>
      </c>
      <c r="B31" s="694" t="s">
        <v>250</v>
      </c>
      <c r="C31" s="660" t="s">
        <v>1203</v>
      </c>
      <c r="D31" s="523"/>
      <c r="E31" s="695"/>
      <c r="F31" s="534"/>
      <c r="G31" s="695"/>
      <c r="H31" s="695"/>
      <c r="I31" s="695"/>
      <c r="J31" s="695"/>
      <c r="K31" s="695"/>
      <c r="L31" s="695"/>
      <c r="M31" s="695"/>
      <c r="N31" s="695"/>
      <c r="O31" s="69"/>
      <c r="P31" s="695"/>
      <c r="Q31" s="695"/>
      <c r="R31" s="695"/>
      <c r="S31" s="696"/>
    </row>
    <row r="32" spans="1:19">
      <c r="A32" s="479" t="str">
        <f>IF(OR(A31="",C31=CONTROL!$B$109,ISBLANK(C31)),"",11)</f>
        <v/>
      </c>
      <c r="B32" s="694" t="s">
        <v>251</v>
      </c>
      <c r="C32" s="660" t="s">
        <v>1203</v>
      </c>
      <c r="D32" s="523"/>
      <c r="E32" s="695"/>
      <c r="F32" s="534"/>
      <c r="G32" s="695"/>
      <c r="H32" s="695"/>
      <c r="I32" s="695"/>
      <c r="J32" s="695"/>
      <c r="K32" s="695"/>
      <c r="L32" s="695"/>
      <c r="M32" s="695"/>
      <c r="N32" s="695"/>
      <c r="O32" s="69"/>
      <c r="P32" s="695"/>
      <c r="Q32" s="695"/>
      <c r="R32" s="695"/>
      <c r="S32" s="696"/>
    </row>
    <row r="33" spans="1:19">
      <c r="A33" s="479" t="str">
        <f>IF(OR(A32="",C32=CONTROL!$B$109,ISBLANK(C32)),"",12)</f>
        <v/>
      </c>
      <c r="B33" s="694" t="s">
        <v>252</v>
      </c>
      <c r="C33" s="660" t="s">
        <v>1203</v>
      </c>
      <c r="D33" s="523"/>
      <c r="E33" s="695"/>
      <c r="F33" s="534"/>
      <c r="G33" s="695"/>
      <c r="H33" s="695"/>
      <c r="I33" s="695"/>
      <c r="J33" s="695"/>
      <c r="K33" s="695"/>
      <c r="L33" s="695"/>
      <c r="M33" s="695"/>
      <c r="N33" s="695"/>
      <c r="O33" s="69"/>
      <c r="P33" s="695"/>
      <c r="Q33" s="695"/>
      <c r="R33" s="695"/>
      <c r="S33" s="696"/>
    </row>
    <row r="34" spans="1:19">
      <c r="A34" s="479" t="str">
        <f>IF(OR(A33="",C33=CONTROL!$B$109,ISBLANK(C33)),"",13)</f>
        <v/>
      </c>
      <c r="B34" s="694" t="s">
        <v>253</v>
      </c>
      <c r="C34" s="660" t="s">
        <v>1203</v>
      </c>
      <c r="D34" s="523"/>
      <c r="E34" s="695"/>
      <c r="F34" s="534"/>
      <c r="G34" s="695"/>
      <c r="H34" s="695"/>
      <c r="I34" s="695"/>
      <c r="J34" s="695"/>
      <c r="K34" s="695"/>
      <c r="L34" s="695"/>
      <c r="M34" s="695"/>
      <c r="N34" s="695"/>
      <c r="O34" s="69"/>
      <c r="P34" s="695"/>
      <c r="Q34" s="695"/>
      <c r="R34" s="695"/>
      <c r="S34" s="696"/>
    </row>
    <row r="35" spans="1:19">
      <c r="A35" s="479" t="str">
        <f>IF(OR(A34="",C34=CONTROL!$B$109,ISBLANK(C34)),"",14)</f>
        <v/>
      </c>
      <c r="B35" s="694" t="s">
        <v>254</v>
      </c>
      <c r="C35" s="660" t="s">
        <v>1203</v>
      </c>
      <c r="D35" s="523"/>
      <c r="E35" s="695"/>
      <c r="F35" s="534"/>
      <c r="G35" s="695"/>
      <c r="H35" s="695"/>
      <c r="I35" s="695"/>
      <c r="J35" s="695"/>
      <c r="K35" s="695"/>
      <c r="L35" s="695"/>
      <c r="M35" s="695"/>
      <c r="N35" s="695"/>
      <c r="O35" s="69"/>
      <c r="P35" s="695"/>
      <c r="Q35" s="695"/>
      <c r="R35" s="695"/>
      <c r="S35" s="696"/>
    </row>
    <row r="36" spans="1:19">
      <c r="A36" s="479" t="str">
        <f>IF(OR(A35="",C35=CONTROL!$B$109,ISBLANK(C35)),"",15)</f>
        <v/>
      </c>
      <c r="B36" s="694" t="s">
        <v>255</v>
      </c>
      <c r="C36" s="660" t="s">
        <v>1203</v>
      </c>
      <c r="D36" s="523"/>
      <c r="E36" s="695"/>
      <c r="F36" s="534"/>
      <c r="G36" s="695"/>
      <c r="H36" s="695"/>
      <c r="I36" s="695"/>
      <c r="J36" s="695"/>
      <c r="K36" s="695"/>
      <c r="L36" s="695"/>
      <c r="M36" s="695"/>
      <c r="N36" s="695"/>
      <c r="O36" s="69"/>
      <c r="P36" s="695"/>
      <c r="Q36" s="695"/>
      <c r="R36" s="695"/>
      <c r="S36" s="696"/>
    </row>
    <row r="37" spans="1:19">
      <c r="A37" s="479" t="str">
        <f>IF(OR(A36="",C36=CONTROL!$B$109,ISBLANK(C36)),"",16)</f>
        <v/>
      </c>
      <c r="B37" s="694" t="s">
        <v>256</v>
      </c>
      <c r="C37" s="660" t="s">
        <v>1203</v>
      </c>
      <c r="D37" s="523"/>
      <c r="E37" s="695"/>
      <c r="F37" s="534"/>
      <c r="G37" s="695"/>
      <c r="H37" s="695"/>
      <c r="I37" s="695"/>
      <c r="J37" s="695"/>
      <c r="K37" s="695"/>
      <c r="L37" s="695"/>
      <c r="M37" s="695"/>
      <c r="N37" s="695"/>
      <c r="O37" s="69"/>
      <c r="P37" s="695"/>
      <c r="Q37" s="695"/>
      <c r="R37" s="695"/>
      <c r="S37" s="696"/>
    </row>
    <row r="38" spans="1:19">
      <c r="A38" s="479" t="str">
        <f>IF(OR(A37="",C37=CONTROL!$B$109,ISBLANK(C37)),"",17)</f>
        <v/>
      </c>
      <c r="B38" s="694" t="s">
        <v>257</v>
      </c>
      <c r="C38" s="660" t="s">
        <v>1203</v>
      </c>
      <c r="D38" s="523"/>
      <c r="E38" s="695"/>
      <c r="F38" s="534"/>
      <c r="G38" s="695"/>
      <c r="H38" s="695"/>
      <c r="I38" s="695"/>
      <c r="J38" s="695"/>
      <c r="K38" s="695"/>
      <c r="L38" s="695"/>
      <c r="M38" s="695"/>
      <c r="N38" s="695"/>
      <c r="O38" s="69"/>
      <c r="P38" s="695"/>
      <c r="Q38" s="695"/>
      <c r="R38" s="695"/>
      <c r="S38" s="696"/>
    </row>
    <row r="39" spans="1:19">
      <c r="A39" s="479" t="str">
        <f>IF(OR(A38="",C38=CONTROL!$B$109,ISBLANK(C38)),"",18)</f>
        <v/>
      </c>
      <c r="B39" s="694" t="s">
        <v>258</v>
      </c>
      <c r="C39" s="660" t="s">
        <v>1203</v>
      </c>
      <c r="D39" s="523"/>
      <c r="E39" s="695"/>
      <c r="F39" s="534"/>
      <c r="G39" s="695"/>
      <c r="H39" s="695"/>
      <c r="I39" s="695"/>
      <c r="J39" s="695"/>
      <c r="K39" s="695"/>
      <c r="L39" s="695"/>
      <c r="M39" s="695"/>
      <c r="N39" s="695"/>
      <c r="O39" s="69"/>
      <c r="P39" s="695"/>
      <c r="Q39" s="695"/>
      <c r="R39" s="695"/>
      <c r="S39" s="696"/>
    </row>
    <row r="40" spans="1:19">
      <c r="A40" s="479" t="str">
        <f>IF(OR(A39="",C39=CONTROL!$B$109,ISBLANK(C39)),"",19)</f>
        <v/>
      </c>
      <c r="B40" s="694" t="s">
        <v>259</v>
      </c>
      <c r="C40" s="660" t="s">
        <v>1203</v>
      </c>
      <c r="D40" s="523"/>
      <c r="E40" s="695"/>
      <c r="F40" s="534"/>
      <c r="G40" s="695"/>
      <c r="H40" s="695"/>
      <c r="I40" s="695"/>
      <c r="J40" s="695"/>
      <c r="K40" s="695"/>
      <c r="L40" s="695"/>
      <c r="M40" s="695"/>
      <c r="N40" s="695"/>
      <c r="O40" s="69"/>
      <c r="P40" s="695"/>
      <c r="Q40" s="695"/>
      <c r="R40" s="695"/>
      <c r="S40" s="696"/>
    </row>
    <row r="41" spans="1:19">
      <c r="A41" s="479" t="str">
        <f>IF(OR(A40="",C40=CONTROL!$B$109,ISBLANK(C40)),"",20)</f>
        <v/>
      </c>
      <c r="B41" s="694" t="s">
        <v>260</v>
      </c>
      <c r="C41" s="660" t="s">
        <v>1203</v>
      </c>
      <c r="D41" s="523"/>
      <c r="E41" s="695"/>
      <c r="F41" s="534"/>
      <c r="G41" s="695"/>
      <c r="H41" s="695"/>
      <c r="I41" s="695"/>
      <c r="J41" s="695"/>
      <c r="K41" s="695"/>
      <c r="L41" s="695"/>
      <c r="M41" s="695"/>
      <c r="N41" s="695"/>
      <c r="O41" s="69"/>
      <c r="P41" s="695"/>
      <c r="Q41" s="695"/>
      <c r="R41" s="695"/>
      <c r="S41" s="696"/>
    </row>
    <row r="42" spans="1:19">
      <c r="A42" s="479" t="str">
        <f>IF(OR(A41="",C41=CONTROL!$B$109,ISBLANK(C41)),"",21)</f>
        <v/>
      </c>
      <c r="B42" s="694" t="s">
        <v>261</v>
      </c>
      <c r="C42" s="660" t="s">
        <v>1203</v>
      </c>
      <c r="D42" s="523"/>
      <c r="E42" s="695"/>
      <c r="F42" s="534"/>
      <c r="G42" s="695"/>
      <c r="H42" s="695"/>
      <c r="I42" s="695"/>
      <c r="J42" s="695"/>
      <c r="K42" s="695"/>
      <c r="L42" s="695"/>
      <c r="M42" s="695"/>
      <c r="N42" s="695"/>
      <c r="O42" s="69"/>
      <c r="P42" s="695"/>
      <c r="Q42" s="695"/>
      <c r="R42" s="695"/>
      <c r="S42" s="696"/>
    </row>
    <row r="43" spans="1:19">
      <c r="A43" s="479" t="str">
        <f>IF(OR(A42="",C42=CONTROL!$B$109,ISBLANK(C42)),"",22)</f>
        <v/>
      </c>
      <c r="B43" s="694" t="s">
        <v>262</v>
      </c>
      <c r="C43" s="660" t="s">
        <v>1203</v>
      </c>
      <c r="D43" s="523"/>
      <c r="E43" s="695"/>
      <c r="F43" s="534"/>
      <c r="G43" s="695"/>
      <c r="H43" s="695"/>
      <c r="I43" s="695"/>
      <c r="J43" s="695"/>
      <c r="K43" s="695"/>
      <c r="L43" s="695"/>
      <c r="M43" s="695"/>
      <c r="N43" s="695"/>
      <c r="O43" s="69"/>
      <c r="P43" s="695"/>
      <c r="Q43" s="695"/>
      <c r="R43" s="695"/>
      <c r="S43" s="696"/>
    </row>
    <row r="44" spans="1:19">
      <c r="A44" s="479" t="str">
        <f>IF(OR(A43="",C43=CONTROL!$B$109,ISBLANK(C43)),"",23)</f>
        <v/>
      </c>
      <c r="B44" s="694" t="s">
        <v>263</v>
      </c>
      <c r="C44" s="660" t="s">
        <v>1203</v>
      </c>
      <c r="D44" s="523"/>
      <c r="E44" s="695"/>
      <c r="F44" s="534"/>
      <c r="G44" s="695"/>
      <c r="H44" s="695"/>
      <c r="I44" s="695"/>
      <c r="J44" s="695"/>
      <c r="K44" s="695"/>
      <c r="L44" s="695"/>
      <c r="M44" s="695"/>
      <c r="N44" s="695"/>
      <c r="O44" s="69"/>
      <c r="P44" s="695"/>
      <c r="Q44" s="695"/>
      <c r="R44" s="695"/>
      <c r="S44" s="696"/>
    </row>
    <row r="45" spans="1:19">
      <c r="A45" s="479" t="str">
        <f>IF(OR(A44="",C44=CONTROL!$B$109,ISBLANK(C44)),"",24)</f>
        <v/>
      </c>
      <c r="B45" s="694" t="s">
        <v>264</v>
      </c>
      <c r="C45" s="660" t="s">
        <v>1203</v>
      </c>
      <c r="D45" s="523"/>
      <c r="E45" s="695"/>
      <c r="F45" s="534"/>
      <c r="G45" s="695"/>
      <c r="H45" s="695"/>
      <c r="I45" s="695"/>
      <c r="J45" s="695"/>
      <c r="K45" s="695"/>
      <c r="L45" s="695"/>
      <c r="M45" s="695"/>
      <c r="N45" s="695"/>
      <c r="O45" s="69"/>
      <c r="P45" s="695"/>
      <c r="Q45" s="695"/>
      <c r="R45" s="695"/>
      <c r="S45" s="696"/>
    </row>
    <row r="46" spans="1:19">
      <c r="A46" s="479" t="str">
        <f>IF(OR(A45="",C45=CONTROL!$B$109,ISBLANK(C45)),"",25)</f>
        <v/>
      </c>
      <c r="B46" s="694" t="s">
        <v>265</v>
      </c>
      <c r="C46" s="660" t="s">
        <v>1203</v>
      </c>
      <c r="D46" s="523"/>
      <c r="E46" s="695"/>
      <c r="F46" s="534"/>
      <c r="G46" s="695"/>
      <c r="H46" s="695"/>
      <c r="I46" s="695"/>
      <c r="J46" s="695"/>
      <c r="K46" s="695"/>
      <c r="L46" s="695"/>
      <c r="M46" s="695"/>
      <c r="N46" s="695"/>
      <c r="O46" s="69"/>
      <c r="P46" s="695"/>
      <c r="Q46" s="695"/>
      <c r="R46" s="695"/>
      <c r="S46" s="696"/>
    </row>
    <row r="47" spans="1:19">
      <c r="A47" s="479" t="str">
        <f>IF(OR(A46="",C46=CONTROL!$B$109,ISBLANK(C46)),"",26)</f>
        <v/>
      </c>
      <c r="B47" s="694" t="s">
        <v>266</v>
      </c>
      <c r="C47" s="660" t="s">
        <v>1203</v>
      </c>
      <c r="D47" s="523"/>
      <c r="E47" s="695"/>
      <c r="F47" s="534"/>
      <c r="G47" s="695"/>
      <c r="H47" s="695"/>
      <c r="I47" s="695"/>
      <c r="J47" s="695"/>
      <c r="K47" s="695"/>
      <c r="L47" s="695"/>
      <c r="M47" s="695"/>
      <c r="N47" s="695"/>
      <c r="O47" s="69"/>
      <c r="P47" s="695"/>
      <c r="Q47" s="695"/>
      <c r="R47" s="695"/>
      <c r="S47" s="696"/>
    </row>
    <row r="48" spans="1:19">
      <c r="A48" s="479" t="str">
        <f>IF(OR(A47="",C47=CONTROL!$B$109,ISBLANK(C47)),"",27)</f>
        <v/>
      </c>
      <c r="B48" s="694" t="s">
        <v>267</v>
      </c>
      <c r="C48" s="660" t="s">
        <v>1203</v>
      </c>
      <c r="D48" s="523"/>
      <c r="E48" s="695"/>
      <c r="F48" s="534"/>
      <c r="G48" s="695"/>
      <c r="H48" s="695"/>
      <c r="I48" s="695"/>
      <c r="J48" s="695"/>
      <c r="K48" s="695"/>
      <c r="L48" s="695"/>
      <c r="M48" s="695"/>
      <c r="N48" s="695"/>
      <c r="O48" s="69"/>
      <c r="P48" s="695"/>
      <c r="Q48" s="695"/>
      <c r="R48" s="695"/>
      <c r="S48" s="696"/>
    </row>
    <row r="49" spans="1:19">
      <c r="A49" s="479" t="str">
        <f>IF(OR(A48="",C48=CONTROL!$B$109,ISBLANK(C48)),"",28)</f>
        <v/>
      </c>
      <c r="B49" s="694" t="s">
        <v>268</v>
      </c>
      <c r="C49" s="660" t="s">
        <v>1203</v>
      </c>
      <c r="D49" s="523"/>
      <c r="E49" s="695"/>
      <c r="F49" s="534"/>
      <c r="G49" s="695"/>
      <c r="H49" s="695"/>
      <c r="I49" s="695"/>
      <c r="J49" s="695"/>
      <c r="K49" s="695"/>
      <c r="L49" s="695"/>
      <c r="M49" s="695"/>
      <c r="N49" s="695"/>
      <c r="O49" s="69"/>
      <c r="P49" s="695"/>
      <c r="Q49" s="695"/>
      <c r="R49" s="695"/>
      <c r="S49" s="696"/>
    </row>
    <row r="50" spans="1:19">
      <c r="A50" s="479" t="str">
        <f>IF(OR(A49="",C49=CONTROL!$B$109,ISBLANK(C49)),"",29)</f>
        <v/>
      </c>
      <c r="B50" s="694" t="s">
        <v>269</v>
      </c>
      <c r="C50" s="660" t="s">
        <v>1203</v>
      </c>
      <c r="D50" s="523"/>
      <c r="E50" s="695"/>
      <c r="F50" s="534"/>
      <c r="G50" s="695"/>
      <c r="H50" s="695"/>
      <c r="I50" s="695"/>
      <c r="J50" s="695"/>
      <c r="K50" s="695"/>
      <c r="L50" s="695"/>
      <c r="M50" s="695"/>
      <c r="N50" s="695"/>
      <c r="O50" s="69"/>
      <c r="P50" s="695"/>
      <c r="Q50" s="695"/>
      <c r="R50" s="695"/>
      <c r="S50" s="696"/>
    </row>
    <row r="51" spans="1:19">
      <c r="A51" s="479" t="str">
        <f>IF(OR(A50="",C50=CONTROL!$B$109,ISBLANK(C50)),"",30)</f>
        <v/>
      </c>
      <c r="B51" s="694" t="s">
        <v>270</v>
      </c>
      <c r="C51" s="660" t="s">
        <v>1203</v>
      </c>
      <c r="D51" s="523"/>
      <c r="E51" s="695"/>
      <c r="F51" s="534"/>
      <c r="G51" s="695"/>
      <c r="H51" s="695"/>
      <c r="I51" s="695"/>
      <c r="J51" s="695"/>
      <c r="K51" s="695"/>
      <c r="L51" s="695"/>
      <c r="M51" s="695"/>
      <c r="N51" s="695"/>
      <c r="O51" s="69"/>
      <c r="P51" s="695"/>
      <c r="Q51" s="695"/>
      <c r="R51" s="695"/>
      <c r="S51" s="696"/>
    </row>
    <row r="52" spans="1:19">
      <c r="A52" s="479" t="str">
        <f>IF(OR(A51="",C51=CONTROL!$B$109,ISBLANK(C51)),"",31)</f>
        <v/>
      </c>
      <c r="B52" s="694" t="s">
        <v>271</v>
      </c>
      <c r="C52" s="660" t="s">
        <v>1203</v>
      </c>
      <c r="D52" s="523"/>
      <c r="E52" s="695"/>
      <c r="F52" s="534"/>
      <c r="G52" s="695"/>
      <c r="H52" s="695"/>
      <c r="I52" s="695"/>
      <c r="J52" s="695"/>
      <c r="K52" s="695"/>
      <c r="L52" s="695"/>
      <c r="M52" s="695"/>
      <c r="N52" s="695"/>
      <c r="O52" s="69"/>
      <c r="P52" s="695"/>
      <c r="Q52" s="695"/>
      <c r="R52" s="695"/>
      <c r="S52" s="696"/>
    </row>
    <row r="53" spans="1:19">
      <c r="A53" s="479" t="str">
        <f>IF(OR(A52="",C52=CONTROL!$B$109,ISBLANK(C52)),"",32)</f>
        <v/>
      </c>
      <c r="B53" s="694" t="s">
        <v>272</v>
      </c>
      <c r="C53" s="660" t="s">
        <v>1203</v>
      </c>
      <c r="D53" s="523"/>
      <c r="E53" s="695"/>
      <c r="F53" s="534"/>
      <c r="G53" s="695"/>
      <c r="H53" s="695"/>
      <c r="I53" s="695"/>
      <c r="J53" s="695"/>
      <c r="K53" s="695"/>
      <c r="L53" s="695"/>
      <c r="M53" s="695"/>
      <c r="N53" s="695"/>
      <c r="O53" s="69"/>
      <c r="P53" s="695"/>
      <c r="Q53" s="695"/>
      <c r="R53" s="695"/>
      <c r="S53" s="696"/>
    </row>
    <row r="54" spans="1:19">
      <c r="A54" s="479" t="str">
        <f>IF(OR(A53="",C53=CONTROL!$B$109,ISBLANK(C53)),"",33)</f>
        <v/>
      </c>
      <c r="B54" s="694" t="s">
        <v>273</v>
      </c>
      <c r="C54" s="660" t="s">
        <v>1203</v>
      </c>
      <c r="D54" s="523"/>
      <c r="E54" s="695"/>
      <c r="F54" s="534"/>
      <c r="G54" s="695"/>
      <c r="H54" s="695"/>
      <c r="I54" s="695"/>
      <c r="J54" s="695"/>
      <c r="K54" s="695"/>
      <c r="L54" s="695"/>
      <c r="M54" s="695"/>
      <c r="N54" s="695"/>
      <c r="O54" s="69"/>
      <c r="P54" s="695"/>
      <c r="Q54" s="695"/>
      <c r="R54" s="695"/>
      <c r="S54" s="696"/>
    </row>
    <row r="55" spans="1:19">
      <c r="A55" s="479" t="str">
        <f>IF(OR(A54="",C54=CONTROL!$B$109,ISBLANK(C54)),"",34)</f>
        <v/>
      </c>
      <c r="B55" s="694" t="s">
        <v>274</v>
      </c>
      <c r="C55" s="660" t="s">
        <v>1203</v>
      </c>
      <c r="D55" s="523"/>
      <c r="E55" s="695"/>
      <c r="F55" s="534"/>
      <c r="G55" s="695"/>
      <c r="H55" s="695"/>
      <c r="I55" s="695"/>
      <c r="J55" s="695"/>
      <c r="K55" s="695"/>
      <c r="L55" s="695"/>
      <c r="M55" s="695"/>
      <c r="N55" s="695"/>
      <c r="O55" s="69"/>
      <c r="P55" s="695"/>
      <c r="Q55" s="695"/>
      <c r="R55" s="695"/>
      <c r="S55" s="696"/>
    </row>
    <row r="56" spans="1:19">
      <c r="A56" s="479" t="str">
        <f>IF(OR(A55="",C55=CONTROL!$B$109,ISBLANK(C55)),"",35)</f>
        <v/>
      </c>
      <c r="B56" s="694" t="s">
        <v>275</v>
      </c>
      <c r="C56" s="660" t="s">
        <v>1203</v>
      </c>
      <c r="D56" s="523"/>
      <c r="E56" s="695"/>
      <c r="F56" s="534"/>
      <c r="G56" s="695"/>
      <c r="H56" s="695"/>
      <c r="I56" s="695"/>
      <c r="J56" s="695"/>
      <c r="K56" s="695"/>
      <c r="L56" s="695"/>
      <c r="M56" s="695"/>
      <c r="N56" s="695"/>
      <c r="O56" s="69"/>
      <c r="P56" s="695"/>
      <c r="Q56" s="695"/>
      <c r="R56" s="695"/>
      <c r="S56" s="696"/>
    </row>
    <row r="57" spans="1:19">
      <c r="A57" s="479" t="str">
        <f>IF(OR(A56="",C56=CONTROL!$B$109,ISBLANK(C56)),"",36)</f>
        <v/>
      </c>
      <c r="B57" s="694" t="s">
        <v>276</v>
      </c>
      <c r="C57" s="660" t="s">
        <v>1203</v>
      </c>
      <c r="D57" s="523"/>
      <c r="E57" s="695"/>
      <c r="F57" s="534"/>
      <c r="G57" s="695"/>
      <c r="H57" s="695"/>
      <c r="I57" s="695"/>
      <c r="J57" s="695"/>
      <c r="K57" s="695"/>
      <c r="L57" s="695"/>
      <c r="M57" s="695"/>
      <c r="N57" s="695"/>
      <c r="O57" s="69"/>
      <c r="P57" s="695"/>
      <c r="Q57" s="695"/>
      <c r="R57" s="695"/>
      <c r="S57" s="696"/>
    </row>
    <row r="58" spans="1:19">
      <c r="A58" s="479" t="str">
        <f>IF(OR(A57="",C57=CONTROL!$B$109,ISBLANK(C57)),"",37)</f>
        <v/>
      </c>
      <c r="B58" s="694" t="s">
        <v>277</v>
      </c>
      <c r="C58" s="660" t="s">
        <v>1203</v>
      </c>
      <c r="D58" s="523"/>
      <c r="E58" s="695"/>
      <c r="F58" s="534"/>
      <c r="G58" s="695"/>
      <c r="H58" s="695"/>
      <c r="I58" s="695"/>
      <c r="J58" s="695"/>
      <c r="K58" s="695"/>
      <c r="L58" s="695"/>
      <c r="M58" s="695"/>
      <c r="N58" s="695"/>
      <c r="O58" s="69"/>
      <c r="P58" s="695"/>
      <c r="Q58" s="695"/>
      <c r="R58" s="695"/>
      <c r="S58" s="696"/>
    </row>
    <row r="59" spans="1:19">
      <c r="A59" s="479" t="str">
        <f>IF(OR(A58="",C58=CONTROL!$B$109,ISBLANK(C58)),"",38)</f>
        <v/>
      </c>
      <c r="B59" s="694" t="s">
        <v>278</v>
      </c>
      <c r="C59" s="660" t="s">
        <v>1203</v>
      </c>
      <c r="D59" s="523"/>
      <c r="E59" s="695"/>
      <c r="F59" s="534"/>
      <c r="G59" s="695"/>
      <c r="H59" s="695"/>
      <c r="I59" s="695"/>
      <c r="J59" s="695"/>
      <c r="K59" s="695"/>
      <c r="L59" s="695"/>
      <c r="M59" s="695"/>
      <c r="N59" s="695"/>
      <c r="O59" s="69"/>
      <c r="P59" s="695"/>
      <c r="Q59" s="695"/>
      <c r="R59" s="695"/>
      <c r="S59" s="696"/>
    </row>
    <row r="60" spans="1:19">
      <c r="A60" s="479" t="str">
        <f>IF(OR(A59="",C59=CONTROL!$B$109,ISBLANK(C59)),"",39)</f>
        <v/>
      </c>
      <c r="B60" s="694" t="s">
        <v>279</v>
      </c>
      <c r="C60" s="660" t="s">
        <v>1203</v>
      </c>
      <c r="D60" s="523"/>
      <c r="E60" s="695"/>
      <c r="F60" s="534"/>
      <c r="G60" s="695"/>
      <c r="H60" s="695"/>
      <c r="I60" s="695"/>
      <c r="J60" s="695"/>
      <c r="K60" s="695"/>
      <c r="L60" s="695"/>
      <c r="M60" s="695"/>
      <c r="N60" s="695"/>
      <c r="O60" s="69"/>
      <c r="P60" s="695"/>
      <c r="Q60" s="695"/>
      <c r="R60" s="695"/>
      <c r="S60" s="696"/>
    </row>
    <row r="61" spans="1:19">
      <c r="A61" s="479" t="str">
        <f>IF(OR(A60="",C60=CONTROL!$B$109,ISBLANK(C60)),"",40)</f>
        <v/>
      </c>
      <c r="B61" s="694" t="s">
        <v>280</v>
      </c>
      <c r="C61" s="660" t="s">
        <v>1203</v>
      </c>
      <c r="D61" s="523"/>
      <c r="E61" s="695"/>
      <c r="F61" s="534"/>
      <c r="G61" s="695"/>
      <c r="H61" s="695"/>
      <c r="I61" s="695"/>
      <c r="J61" s="695"/>
      <c r="K61" s="695"/>
      <c r="L61" s="695"/>
      <c r="M61" s="695"/>
      <c r="N61" s="695"/>
      <c r="O61" s="69"/>
      <c r="P61" s="695"/>
      <c r="Q61" s="695"/>
      <c r="R61" s="695"/>
      <c r="S61" s="696"/>
    </row>
    <row r="62" spans="1:19">
      <c r="A62" s="479" t="str">
        <f>IF(OR(A61="",C61=CONTROL!$B$109,ISBLANK(C61)),"",41)</f>
        <v/>
      </c>
      <c r="B62" s="694" t="s">
        <v>281</v>
      </c>
      <c r="C62" s="660" t="s">
        <v>1203</v>
      </c>
      <c r="D62" s="523"/>
      <c r="E62" s="695"/>
      <c r="F62" s="534"/>
      <c r="G62" s="695"/>
      <c r="H62" s="695"/>
      <c r="I62" s="695"/>
      <c r="J62" s="695"/>
      <c r="K62" s="695"/>
      <c r="L62" s="695"/>
      <c r="M62" s="695"/>
      <c r="N62" s="695"/>
      <c r="O62" s="69"/>
      <c r="P62" s="695"/>
      <c r="Q62" s="695"/>
      <c r="R62" s="695"/>
      <c r="S62" s="696"/>
    </row>
    <row r="63" spans="1:19">
      <c r="A63" s="479" t="str">
        <f>IF(OR(A62="",C62=CONTROL!$B$109,ISBLANK(C62)),"",42)</f>
        <v/>
      </c>
      <c r="B63" s="694" t="s">
        <v>282</v>
      </c>
      <c r="C63" s="660" t="s">
        <v>1203</v>
      </c>
      <c r="D63" s="523"/>
      <c r="E63" s="695"/>
      <c r="F63" s="534"/>
      <c r="G63" s="695"/>
      <c r="H63" s="695"/>
      <c r="I63" s="695"/>
      <c r="J63" s="695"/>
      <c r="K63" s="695"/>
      <c r="L63" s="695"/>
      <c r="M63" s="695"/>
      <c r="N63" s="695"/>
      <c r="O63" s="69"/>
      <c r="P63" s="695"/>
      <c r="Q63" s="695"/>
      <c r="R63" s="695"/>
      <c r="S63" s="696"/>
    </row>
    <row r="64" spans="1:19">
      <c r="A64" s="479" t="str">
        <f>IF(OR(A63="",C63=CONTROL!$B$109,ISBLANK(C63)),"",43)</f>
        <v/>
      </c>
      <c r="B64" s="694" t="s">
        <v>283</v>
      </c>
      <c r="C64" s="660" t="s">
        <v>1203</v>
      </c>
      <c r="D64" s="523"/>
      <c r="E64" s="695"/>
      <c r="F64" s="534"/>
      <c r="G64" s="695"/>
      <c r="H64" s="695"/>
      <c r="I64" s="695"/>
      <c r="J64" s="695"/>
      <c r="K64" s="695"/>
      <c r="L64" s="695"/>
      <c r="M64" s="695"/>
      <c r="N64" s="695"/>
      <c r="O64" s="69"/>
      <c r="P64" s="695"/>
      <c r="Q64" s="695"/>
      <c r="R64" s="695"/>
      <c r="S64" s="696"/>
    </row>
    <row r="65" spans="1:19">
      <c r="A65" s="479" t="str">
        <f>IF(OR(A64="",C64=CONTROL!$B$109,ISBLANK(C64)),"",44)</f>
        <v/>
      </c>
      <c r="B65" s="694" t="s">
        <v>284</v>
      </c>
      <c r="C65" s="660" t="s">
        <v>1203</v>
      </c>
      <c r="D65" s="523"/>
      <c r="E65" s="695"/>
      <c r="F65" s="523"/>
      <c r="G65" s="695"/>
      <c r="H65" s="695"/>
      <c r="I65" s="695"/>
      <c r="J65" s="695"/>
      <c r="K65" s="695"/>
      <c r="L65" s="695"/>
      <c r="M65" s="695"/>
      <c r="N65" s="695"/>
      <c r="O65" s="523"/>
      <c r="P65" s="695"/>
      <c r="Q65" s="695"/>
      <c r="R65" s="695"/>
      <c r="S65" s="696"/>
    </row>
    <row r="66" spans="1:19">
      <c r="A66" s="479" t="str">
        <f>IF(OR(A65="",C65=CONTROL!$B$109,ISBLANK(C65)),"",45)</f>
        <v/>
      </c>
      <c r="B66" s="694" t="s">
        <v>285</v>
      </c>
      <c r="C66" s="660" t="s">
        <v>1203</v>
      </c>
      <c r="D66" s="523"/>
      <c r="E66" s="695"/>
      <c r="F66" s="523"/>
      <c r="G66" s="695"/>
      <c r="H66" s="695"/>
      <c r="I66" s="695"/>
      <c r="J66" s="695"/>
      <c r="K66" s="695"/>
      <c r="L66" s="695"/>
      <c r="M66" s="695"/>
      <c r="N66" s="695"/>
      <c r="O66" s="523"/>
      <c r="P66" s="695"/>
      <c r="Q66" s="695"/>
      <c r="R66" s="695"/>
      <c r="S66" s="696"/>
    </row>
    <row r="67" spans="1:19">
      <c r="A67" s="479" t="str">
        <f>IF(OR(A66="",C66=CONTROL!$B$109,ISBLANK(C66)),"",46)</f>
        <v/>
      </c>
      <c r="B67" s="694" t="s">
        <v>286</v>
      </c>
      <c r="C67" s="660" t="s">
        <v>1203</v>
      </c>
      <c r="D67" s="523"/>
      <c r="E67" s="695"/>
      <c r="F67" s="534"/>
      <c r="G67" s="695"/>
      <c r="H67" s="695"/>
      <c r="I67" s="695"/>
      <c r="J67" s="695"/>
      <c r="K67" s="695"/>
      <c r="L67" s="695"/>
      <c r="M67" s="695"/>
      <c r="N67" s="695"/>
      <c r="O67" s="69"/>
      <c r="P67" s="695"/>
      <c r="Q67" s="695"/>
      <c r="R67" s="695"/>
      <c r="S67" s="696"/>
    </row>
    <row r="68" spans="1:19">
      <c r="A68" s="479" t="str">
        <f>IF(OR(A67="",C67=CONTROL!$B$109,ISBLANK(C67)),"",47)</f>
        <v/>
      </c>
      <c r="B68" s="694" t="s">
        <v>287</v>
      </c>
      <c r="C68" s="660" t="s">
        <v>1203</v>
      </c>
      <c r="D68" s="523"/>
      <c r="E68" s="695"/>
      <c r="F68" s="534"/>
      <c r="G68" s="695"/>
      <c r="H68" s="695"/>
      <c r="I68" s="695"/>
      <c r="J68" s="695"/>
      <c r="K68" s="695"/>
      <c r="L68" s="695"/>
      <c r="M68" s="695"/>
      <c r="N68" s="695"/>
      <c r="O68" s="69"/>
      <c r="P68" s="695"/>
      <c r="Q68" s="695"/>
      <c r="R68" s="695"/>
      <c r="S68" s="696"/>
    </row>
    <row r="69" spans="1:19">
      <c r="A69" s="479" t="str">
        <f>IF(OR(A68="",C68=CONTROL!$B$109,ISBLANK(C68)),"",48)</f>
        <v/>
      </c>
      <c r="B69" s="694" t="s">
        <v>288</v>
      </c>
      <c r="C69" s="660" t="s">
        <v>1203</v>
      </c>
      <c r="D69" s="523"/>
      <c r="E69" s="695"/>
      <c r="F69" s="534"/>
      <c r="G69" s="695"/>
      <c r="H69" s="695"/>
      <c r="I69" s="695"/>
      <c r="J69" s="695"/>
      <c r="K69" s="695"/>
      <c r="L69" s="695"/>
      <c r="M69" s="695"/>
      <c r="N69" s="695"/>
      <c r="O69" s="69"/>
      <c r="P69" s="695"/>
      <c r="Q69" s="695"/>
      <c r="R69" s="695"/>
      <c r="S69" s="696"/>
    </row>
    <row r="70" spans="1:19">
      <c r="A70" s="479" t="str">
        <f>IF(OR(A69="",C69=CONTROL!$B$109,ISBLANK(C69)),"",49)</f>
        <v/>
      </c>
      <c r="B70" s="694" t="s">
        <v>289</v>
      </c>
      <c r="C70" s="660" t="s">
        <v>1203</v>
      </c>
      <c r="D70" s="523"/>
      <c r="E70" s="695"/>
      <c r="F70" s="534"/>
      <c r="G70" s="695"/>
      <c r="H70" s="695"/>
      <c r="I70" s="695"/>
      <c r="J70" s="695"/>
      <c r="K70" s="695"/>
      <c r="L70" s="695"/>
      <c r="M70" s="695"/>
      <c r="N70" s="695"/>
      <c r="O70" s="69"/>
      <c r="P70" s="695"/>
      <c r="Q70" s="695"/>
      <c r="R70" s="695"/>
      <c r="S70" s="696"/>
    </row>
    <row r="71" spans="1:19" ht="15.6" thickBot="1">
      <c r="A71" s="479" t="str">
        <f>IF(OR(A70="",C70=CONTROL!$B$109,ISBLANK(C70)),"",50)</f>
        <v/>
      </c>
      <c r="B71" s="697" t="s">
        <v>290</v>
      </c>
      <c r="C71" s="833" t="s">
        <v>1203</v>
      </c>
      <c r="D71" s="699"/>
      <c r="E71" s="698"/>
      <c r="F71" s="700"/>
      <c r="G71" s="698"/>
      <c r="H71" s="698"/>
      <c r="I71" s="698"/>
      <c r="J71" s="698"/>
      <c r="K71" s="698"/>
      <c r="L71" s="698"/>
      <c r="M71" s="698"/>
      <c r="N71" s="698"/>
      <c r="O71" s="701"/>
      <c r="P71" s="698"/>
      <c r="Q71" s="698"/>
      <c r="R71" s="698"/>
      <c r="S71" s="702"/>
    </row>
    <row r="72" spans="1:19">
      <c r="D72" s="69"/>
      <c r="F72" s="69"/>
      <c r="O72" s="69"/>
    </row>
  </sheetData>
  <sheetProtection password="CA09" sheet="1" objects="1" scenarios="1"/>
  <mergeCells count="1">
    <mergeCell ref="G18:N18"/>
  </mergeCells>
  <conditionalFormatting sqref="E3:S3">
    <cfRule type="expression" dxfId="108" priority="43">
      <formula>$E$3=Mssg2</formula>
    </cfRule>
  </conditionalFormatting>
  <conditionalFormatting sqref="C22:C71">
    <cfRule type="expression" dxfId="107" priority="32">
      <formula>AND(ISNUMBER($A22)=FALSE,$C22&lt;&gt;"(Select from drop-down list) →")</formula>
    </cfRule>
  </conditionalFormatting>
  <conditionalFormatting sqref="C22:C71">
    <cfRule type="expression" dxfId="106" priority="28">
      <formula>IF(C22&lt;&gt;"(Select from drop-down list) →",COUNTIF($C$22:$C$71,C22)&gt;1,"")</formula>
    </cfRule>
  </conditionalFormatting>
  <conditionalFormatting sqref="P24:S71 E25:N64 E67:N71 E65:E66 G65:N66 E24:H24">
    <cfRule type="expression" dxfId="105" priority="27">
      <formula>OR(LEN($A24)=0,LEN($C24)=0,$C24="(Select from drop-down list)")</formula>
    </cfRule>
  </conditionalFormatting>
  <conditionalFormatting sqref="I11:I12 I4:I5">
    <cfRule type="expression" dxfId="104" priority="31">
      <formula>cow</formula>
    </cfRule>
  </conditionalFormatting>
  <conditionalFormatting sqref="P22:S23 G25:N50 E22:H23 G23:H24">
    <cfRule type="expression" dxfId="103" priority="20">
      <formula>OR($C22="(Select from drop-down list)",LEN($C22)=0)</formula>
    </cfRule>
  </conditionalFormatting>
  <conditionalFormatting sqref="E2:S2">
    <cfRule type="expression" dxfId="102" priority="54">
      <formula>$E$2=Mssg1</formula>
    </cfRule>
  </conditionalFormatting>
  <conditionalFormatting sqref="E24:E50">
    <cfRule type="expression" dxfId="101" priority="19">
      <formula>OR($C24="(Select from drop-down list)",LEN($C24)=0)</formula>
    </cfRule>
  </conditionalFormatting>
  <conditionalFormatting sqref="B25:S72 B24:H24 O24:S24 C22:C25">
    <cfRule type="expression" dxfId="100" priority="33">
      <formula>ISNUMBER($A22)=FALSE</formula>
    </cfRule>
  </conditionalFormatting>
  <conditionalFormatting sqref="I24">
    <cfRule type="expression" dxfId="99" priority="17">
      <formula>OR(LEN($A24)=0,LEN($C24)=0,$C24="(Select from drop-down list)")</formula>
    </cfRule>
  </conditionalFormatting>
  <conditionalFormatting sqref="I22:I24">
    <cfRule type="expression" dxfId="98" priority="16">
      <formula>OR($C22="(Select from drop-down list)",LEN($C22)=0)</formula>
    </cfRule>
  </conditionalFormatting>
  <conditionalFormatting sqref="I24">
    <cfRule type="expression" dxfId="97" priority="18">
      <formula>ISNUMBER($A24)=FALSE</formula>
    </cfRule>
  </conditionalFormatting>
  <conditionalFormatting sqref="K24">
    <cfRule type="expression" dxfId="96" priority="14">
      <formula>OR(LEN($A24)=0,LEN($C24)=0,$C24="(Select from drop-down list)")</formula>
    </cfRule>
  </conditionalFormatting>
  <conditionalFormatting sqref="K22:K24">
    <cfRule type="expression" dxfId="95" priority="13">
      <formula>OR($C22="(Select from drop-down list)",LEN($C22)=0)</formula>
    </cfRule>
  </conditionalFormatting>
  <conditionalFormatting sqref="K24">
    <cfRule type="expression" dxfId="94" priority="15">
      <formula>ISNUMBER($A24)=FALSE</formula>
    </cfRule>
  </conditionalFormatting>
  <conditionalFormatting sqref="M24">
    <cfRule type="expression" dxfId="93" priority="11">
      <formula>OR(LEN($A24)=0,LEN($C24)=0,$C24="(Select from drop-down list)")</formula>
    </cfRule>
  </conditionalFormatting>
  <conditionalFormatting sqref="M22:M24">
    <cfRule type="expression" dxfId="92" priority="10">
      <formula>OR($C22="(Select from drop-down list)",LEN($C22)=0)</formula>
    </cfRule>
  </conditionalFormatting>
  <conditionalFormatting sqref="M24">
    <cfRule type="expression" dxfId="91" priority="12">
      <formula>ISNUMBER($A24)=FALSE</formula>
    </cfRule>
  </conditionalFormatting>
  <conditionalFormatting sqref="J24">
    <cfRule type="expression" dxfId="90" priority="8">
      <formula>OR(LEN($A24)=0,LEN($C24)=0,$C24="(Select from drop-down list)")</formula>
    </cfRule>
  </conditionalFormatting>
  <conditionalFormatting sqref="J22:J24">
    <cfRule type="expression" dxfId="89" priority="7">
      <formula>OR($C22="(Select from drop-down list)",LEN($C22)=0)</formula>
    </cfRule>
  </conditionalFormatting>
  <conditionalFormatting sqref="J24">
    <cfRule type="expression" dxfId="88" priority="9">
      <formula>ISNUMBER($A24)=FALSE</formula>
    </cfRule>
  </conditionalFormatting>
  <conditionalFormatting sqref="L24">
    <cfRule type="expression" dxfId="87" priority="5">
      <formula>OR(LEN($A24)=0,LEN($C24)=0,$C24="(Select from drop-down list)")</formula>
    </cfRule>
  </conditionalFormatting>
  <conditionalFormatting sqref="L22:L24">
    <cfRule type="expression" dxfId="86" priority="4">
      <formula>OR($C22="(Select from drop-down list)",LEN($C22)=0)</formula>
    </cfRule>
  </conditionalFormatting>
  <conditionalFormatting sqref="L24">
    <cfRule type="expression" dxfId="85" priority="6">
      <formula>ISNUMBER($A24)=FALSE</formula>
    </cfRule>
  </conditionalFormatting>
  <conditionalFormatting sqref="N24">
    <cfRule type="expression" dxfId="84" priority="2">
      <formula>OR(LEN($A24)=0,LEN($C24)=0,$C24="(Select from drop-down list)")</formula>
    </cfRule>
  </conditionalFormatting>
  <conditionalFormatting sqref="N22:N24">
    <cfRule type="expression" dxfId="83" priority="1">
      <formula>OR($C22="(Select from drop-down list)",LEN($C22)=0)</formula>
    </cfRule>
  </conditionalFormatting>
  <conditionalFormatting sqref="N24">
    <cfRule type="expression" dxfId="82" priority="3">
      <formula>ISNUMBER($A24)=FALSE</formula>
    </cfRule>
  </conditionalFormatting>
  <dataValidations count="5">
    <dataValidation type="custom" showInputMessage="1" showErrorMessage="1" errorTitle="District Name Selection" error="Please select &quot;District Name&quot; in column C from drop-down list before entering enrollment data." sqref="E22:N71">
      <formula1>AND($C22&lt;&gt;"(Select from drop-down list)",ISBLANK($C22)&lt;&gt;TRUE)</formula1>
    </dataValidation>
    <dataValidation type="whole" showInputMessage="1" showErrorMessage="1" errorTitle="SCHOOL DISTRICTS" error="Please enter a number between 1 &amp; 50." sqref="D16:D18">
      <formula1>1</formula1>
      <formula2>50</formula2>
    </dataValidation>
    <dataValidation showInputMessage="1" showErrorMessage="1" errorTitle="SCHOOL DISTRICTS" error="Please enter a number between 1 &amp; 50." sqref="P16:S18 G18 F16:F18 E16:E17 G16:N17"/>
    <dataValidation type="list" allowBlank="1" showInputMessage="1" showErrorMessage="1" sqref="C22:C71">
      <formula1>UnusedDistrictList</formula1>
    </dataValidation>
    <dataValidation type="whole" showInputMessage="1" showErrorMessage="1" sqref="D13:D15">
      <formula1>0</formula1>
      <formula2>50</formula2>
    </dataValidation>
  </dataValidations>
  <printOptions horizontalCentered="1"/>
  <pageMargins left="0.49" right="0.45" top="0.31" bottom="0.28000000000000003" header="0.3" footer="0.3"/>
  <pageSetup scale="53" orientation="landscape" r:id="rId1"/>
  <headerFooter>
    <oddFooter>&amp;CPage &amp;P of &amp;N&amp;R&amp;F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3"/>
  </sheetPr>
  <dimension ref="A1:U80"/>
  <sheetViews>
    <sheetView showGridLines="0" zoomScale="90" zoomScaleNormal="90" zoomScaleSheetLayoutView="70" workbookViewId="0">
      <selection activeCell="D13" sqref="D13"/>
    </sheetView>
  </sheetViews>
  <sheetFormatPr defaultColWidth="8.88671875" defaultRowHeight="13.2"/>
  <cols>
    <col min="1" max="1" width="5.33203125" customWidth="1"/>
    <col min="2" max="2" width="40.6640625" customWidth="1"/>
    <col min="3" max="3" width="2" customWidth="1"/>
    <col min="4" max="4" width="14" bestFit="1" customWidth="1"/>
    <col min="5" max="5" width="2" customWidth="1"/>
    <col min="6" max="13" width="15.33203125" bestFit="1" customWidth="1"/>
    <col min="14" max="14" width="2" customWidth="1"/>
    <col min="15" max="18" width="14" bestFit="1" customWidth="1"/>
    <col min="19" max="19" width="2" customWidth="1"/>
    <col min="20" max="20" width="46.5546875" customWidth="1"/>
    <col min="21" max="21" width="1.6640625" customWidth="1"/>
    <col min="22" max="26" width="15.6640625" customWidth="1"/>
    <col min="27" max="27" width="2.6640625" customWidth="1"/>
    <col min="28" max="28" width="15.44140625" bestFit="1" customWidth="1"/>
    <col min="29" max="32" width="14.44140625" customWidth="1"/>
    <col min="257" max="257" width="2.44140625" customWidth="1"/>
    <col min="258" max="258" width="40.6640625" customWidth="1"/>
    <col min="259" max="259" width="2.6640625" customWidth="1"/>
    <col min="260" max="260" width="14" bestFit="1" customWidth="1"/>
    <col min="261" max="261" width="2" customWidth="1"/>
    <col min="262" max="269" width="15.33203125" bestFit="1" customWidth="1"/>
    <col min="270" max="270" width="2.6640625" customWidth="1"/>
    <col min="271" max="274" width="14" bestFit="1" customWidth="1"/>
    <col min="275" max="275" width="2.6640625" customWidth="1"/>
    <col min="276" max="276" width="62.109375" bestFit="1" customWidth="1"/>
    <col min="277" max="277" width="1.6640625" customWidth="1"/>
    <col min="278" max="282" width="15.6640625" customWidth="1"/>
    <col min="283" max="283" width="2.6640625" customWidth="1"/>
    <col min="284" max="284" width="15.44140625" bestFit="1" customWidth="1"/>
    <col min="285" max="288" width="14.44140625" customWidth="1"/>
    <col min="513" max="513" width="2.44140625" customWidth="1"/>
    <col min="514" max="514" width="40.6640625" customWidth="1"/>
    <col min="515" max="515" width="2.6640625" customWidth="1"/>
    <col min="516" max="516" width="14" bestFit="1" customWidth="1"/>
    <col min="517" max="517" width="2" customWidth="1"/>
    <col min="518" max="525" width="15.33203125" bestFit="1" customWidth="1"/>
    <col min="526" max="526" width="2.6640625" customWidth="1"/>
    <col min="527" max="530" width="14" bestFit="1" customWidth="1"/>
    <col min="531" max="531" width="2.6640625" customWidth="1"/>
    <col min="532" max="532" width="62.109375" bestFit="1" customWidth="1"/>
    <col min="533" max="533" width="1.6640625" customWidth="1"/>
    <col min="534" max="538" width="15.6640625" customWidth="1"/>
    <col min="539" max="539" width="2.6640625" customWidth="1"/>
    <col min="540" max="540" width="15.44140625" bestFit="1" customWidth="1"/>
    <col min="541" max="544" width="14.44140625" customWidth="1"/>
    <col min="769" max="769" width="2.44140625" customWidth="1"/>
    <col min="770" max="770" width="40.6640625" customWidth="1"/>
    <col min="771" max="771" width="2.6640625" customWidth="1"/>
    <col min="772" max="772" width="14" bestFit="1" customWidth="1"/>
    <col min="773" max="773" width="2" customWidth="1"/>
    <col min="774" max="781" width="15.33203125" bestFit="1" customWidth="1"/>
    <col min="782" max="782" width="2.6640625" customWidth="1"/>
    <col min="783" max="786" width="14" bestFit="1" customWidth="1"/>
    <col min="787" max="787" width="2.6640625" customWidth="1"/>
    <col min="788" max="788" width="62.109375" bestFit="1" customWidth="1"/>
    <col min="789" max="789" width="1.6640625" customWidth="1"/>
    <col min="790" max="794" width="15.6640625" customWidth="1"/>
    <col min="795" max="795" width="2.6640625" customWidth="1"/>
    <col min="796" max="796" width="15.44140625" bestFit="1" customWidth="1"/>
    <col min="797" max="800" width="14.44140625" customWidth="1"/>
    <col min="1025" max="1025" width="2.44140625" customWidth="1"/>
    <col min="1026" max="1026" width="40.6640625" customWidth="1"/>
    <col min="1027" max="1027" width="2.6640625" customWidth="1"/>
    <col min="1028" max="1028" width="14" bestFit="1" customWidth="1"/>
    <col min="1029" max="1029" width="2" customWidth="1"/>
    <col min="1030" max="1037" width="15.33203125" bestFit="1" customWidth="1"/>
    <col min="1038" max="1038" width="2.6640625" customWidth="1"/>
    <col min="1039" max="1042" width="14" bestFit="1" customWidth="1"/>
    <col min="1043" max="1043" width="2.6640625" customWidth="1"/>
    <col min="1044" max="1044" width="62.109375" bestFit="1" customWidth="1"/>
    <col min="1045" max="1045" width="1.6640625" customWidth="1"/>
    <col min="1046" max="1050" width="15.6640625" customWidth="1"/>
    <col min="1051" max="1051" width="2.6640625" customWidth="1"/>
    <col min="1052" max="1052" width="15.44140625" bestFit="1" customWidth="1"/>
    <col min="1053" max="1056" width="14.44140625" customWidth="1"/>
    <col min="1281" max="1281" width="2.44140625" customWidth="1"/>
    <col min="1282" max="1282" width="40.6640625" customWidth="1"/>
    <col min="1283" max="1283" width="2.6640625" customWidth="1"/>
    <col min="1284" max="1284" width="14" bestFit="1" customWidth="1"/>
    <col min="1285" max="1285" width="2" customWidth="1"/>
    <col min="1286" max="1293" width="15.33203125" bestFit="1" customWidth="1"/>
    <col min="1294" max="1294" width="2.6640625" customWidth="1"/>
    <col min="1295" max="1298" width="14" bestFit="1" customWidth="1"/>
    <col min="1299" max="1299" width="2.6640625" customWidth="1"/>
    <col min="1300" max="1300" width="62.109375" bestFit="1" customWidth="1"/>
    <col min="1301" max="1301" width="1.6640625" customWidth="1"/>
    <col min="1302" max="1306" width="15.6640625" customWidth="1"/>
    <col min="1307" max="1307" width="2.6640625" customWidth="1"/>
    <col min="1308" max="1308" width="15.44140625" bestFit="1" customWidth="1"/>
    <col min="1309" max="1312" width="14.44140625" customWidth="1"/>
    <col min="1537" max="1537" width="2.44140625" customWidth="1"/>
    <col min="1538" max="1538" width="40.6640625" customWidth="1"/>
    <col min="1539" max="1539" width="2.6640625" customWidth="1"/>
    <col min="1540" max="1540" width="14" bestFit="1" customWidth="1"/>
    <col min="1541" max="1541" width="2" customWidth="1"/>
    <col min="1542" max="1549" width="15.33203125" bestFit="1" customWidth="1"/>
    <col min="1550" max="1550" width="2.6640625" customWidth="1"/>
    <col min="1551" max="1554" width="14" bestFit="1" customWidth="1"/>
    <col min="1555" max="1555" width="2.6640625" customWidth="1"/>
    <col min="1556" max="1556" width="62.109375" bestFit="1" customWidth="1"/>
    <col min="1557" max="1557" width="1.6640625" customWidth="1"/>
    <col min="1558" max="1562" width="15.6640625" customWidth="1"/>
    <col min="1563" max="1563" width="2.6640625" customWidth="1"/>
    <col min="1564" max="1564" width="15.44140625" bestFit="1" customWidth="1"/>
    <col min="1565" max="1568" width="14.44140625" customWidth="1"/>
    <col min="1793" max="1793" width="2.44140625" customWidth="1"/>
    <col min="1794" max="1794" width="40.6640625" customWidth="1"/>
    <col min="1795" max="1795" width="2.6640625" customWidth="1"/>
    <col min="1796" max="1796" width="14" bestFit="1" customWidth="1"/>
    <col min="1797" max="1797" width="2" customWidth="1"/>
    <col min="1798" max="1805" width="15.33203125" bestFit="1" customWidth="1"/>
    <col min="1806" max="1806" width="2.6640625" customWidth="1"/>
    <col min="1807" max="1810" width="14" bestFit="1" customWidth="1"/>
    <col min="1811" max="1811" width="2.6640625" customWidth="1"/>
    <col min="1812" max="1812" width="62.109375" bestFit="1" customWidth="1"/>
    <col min="1813" max="1813" width="1.6640625" customWidth="1"/>
    <col min="1814" max="1818" width="15.6640625" customWidth="1"/>
    <col min="1819" max="1819" width="2.6640625" customWidth="1"/>
    <col min="1820" max="1820" width="15.44140625" bestFit="1" customWidth="1"/>
    <col min="1821" max="1824" width="14.44140625" customWidth="1"/>
    <col min="2049" max="2049" width="2.44140625" customWidth="1"/>
    <col min="2050" max="2050" width="40.6640625" customWidth="1"/>
    <col min="2051" max="2051" width="2.6640625" customWidth="1"/>
    <col min="2052" max="2052" width="14" bestFit="1" customWidth="1"/>
    <col min="2053" max="2053" width="2" customWidth="1"/>
    <col min="2054" max="2061" width="15.33203125" bestFit="1" customWidth="1"/>
    <col min="2062" max="2062" width="2.6640625" customWidth="1"/>
    <col min="2063" max="2066" width="14" bestFit="1" customWidth="1"/>
    <col min="2067" max="2067" width="2.6640625" customWidth="1"/>
    <col min="2068" max="2068" width="62.109375" bestFit="1" customWidth="1"/>
    <col min="2069" max="2069" width="1.6640625" customWidth="1"/>
    <col min="2070" max="2074" width="15.6640625" customWidth="1"/>
    <col min="2075" max="2075" width="2.6640625" customWidth="1"/>
    <col min="2076" max="2076" width="15.44140625" bestFit="1" customWidth="1"/>
    <col min="2077" max="2080" width="14.44140625" customWidth="1"/>
    <col min="2305" max="2305" width="2.44140625" customWidth="1"/>
    <col min="2306" max="2306" width="40.6640625" customWidth="1"/>
    <col min="2307" max="2307" width="2.6640625" customWidth="1"/>
    <col min="2308" max="2308" width="14" bestFit="1" customWidth="1"/>
    <col min="2309" max="2309" width="2" customWidth="1"/>
    <col min="2310" max="2317" width="15.33203125" bestFit="1" customWidth="1"/>
    <col min="2318" max="2318" width="2.6640625" customWidth="1"/>
    <col min="2319" max="2322" width="14" bestFit="1" customWidth="1"/>
    <col min="2323" max="2323" width="2.6640625" customWidth="1"/>
    <col min="2324" max="2324" width="62.109375" bestFit="1" customWidth="1"/>
    <col min="2325" max="2325" width="1.6640625" customWidth="1"/>
    <col min="2326" max="2330" width="15.6640625" customWidth="1"/>
    <col min="2331" max="2331" width="2.6640625" customWidth="1"/>
    <col min="2332" max="2332" width="15.44140625" bestFit="1" customWidth="1"/>
    <col min="2333" max="2336" width="14.44140625" customWidth="1"/>
    <col min="2561" max="2561" width="2.44140625" customWidth="1"/>
    <col min="2562" max="2562" width="40.6640625" customWidth="1"/>
    <col min="2563" max="2563" width="2.6640625" customWidth="1"/>
    <col min="2564" max="2564" width="14" bestFit="1" customWidth="1"/>
    <col min="2565" max="2565" width="2" customWidth="1"/>
    <col min="2566" max="2573" width="15.33203125" bestFit="1" customWidth="1"/>
    <col min="2574" max="2574" width="2.6640625" customWidth="1"/>
    <col min="2575" max="2578" width="14" bestFit="1" customWidth="1"/>
    <col min="2579" max="2579" width="2.6640625" customWidth="1"/>
    <col min="2580" max="2580" width="62.109375" bestFit="1" customWidth="1"/>
    <col min="2581" max="2581" width="1.6640625" customWidth="1"/>
    <col min="2582" max="2586" width="15.6640625" customWidth="1"/>
    <col min="2587" max="2587" width="2.6640625" customWidth="1"/>
    <col min="2588" max="2588" width="15.44140625" bestFit="1" customWidth="1"/>
    <col min="2589" max="2592" width="14.44140625" customWidth="1"/>
    <col min="2817" max="2817" width="2.44140625" customWidth="1"/>
    <col min="2818" max="2818" width="40.6640625" customWidth="1"/>
    <col min="2819" max="2819" width="2.6640625" customWidth="1"/>
    <col min="2820" max="2820" width="14" bestFit="1" customWidth="1"/>
    <col min="2821" max="2821" width="2" customWidth="1"/>
    <col min="2822" max="2829" width="15.33203125" bestFit="1" customWidth="1"/>
    <col min="2830" max="2830" width="2.6640625" customWidth="1"/>
    <col min="2831" max="2834" width="14" bestFit="1" customWidth="1"/>
    <col min="2835" max="2835" width="2.6640625" customWidth="1"/>
    <col min="2836" max="2836" width="62.109375" bestFit="1" customWidth="1"/>
    <col min="2837" max="2837" width="1.6640625" customWidth="1"/>
    <col min="2838" max="2842" width="15.6640625" customWidth="1"/>
    <col min="2843" max="2843" width="2.6640625" customWidth="1"/>
    <col min="2844" max="2844" width="15.44140625" bestFit="1" customWidth="1"/>
    <col min="2845" max="2848" width="14.44140625" customWidth="1"/>
    <col min="3073" max="3073" width="2.44140625" customWidth="1"/>
    <col min="3074" max="3074" width="40.6640625" customWidth="1"/>
    <col min="3075" max="3075" width="2.6640625" customWidth="1"/>
    <col min="3076" max="3076" width="14" bestFit="1" customWidth="1"/>
    <col min="3077" max="3077" width="2" customWidth="1"/>
    <col min="3078" max="3085" width="15.33203125" bestFit="1" customWidth="1"/>
    <col min="3086" max="3086" width="2.6640625" customWidth="1"/>
    <col min="3087" max="3090" width="14" bestFit="1" customWidth="1"/>
    <col min="3091" max="3091" width="2.6640625" customWidth="1"/>
    <col min="3092" max="3092" width="62.109375" bestFit="1" customWidth="1"/>
    <col min="3093" max="3093" width="1.6640625" customWidth="1"/>
    <col min="3094" max="3098" width="15.6640625" customWidth="1"/>
    <col min="3099" max="3099" width="2.6640625" customWidth="1"/>
    <col min="3100" max="3100" width="15.44140625" bestFit="1" customWidth="1"/>
    <col min="3101" max="3104" width="14.44140625" customWidth="1"/>
    <col min="3329" max="3329" width="2.44140625" customWidth="1"/>
    <col min="3330" max="3330" width="40.6640625" customWidth="1"/>
    <col min="3331" max="3331" width="2.6640625" customWidth="1"/>
    <col min="3332" max="3332" width="14" bestFit="1" customWidth="1"/>
    <col min="3333" max="3333" width="2" customWidth="1"/>
    <col min="3334" max="3341" width="15.33203125" bestFit="1" customWidth="1"/>
    <col min="3342" max="3342" width="2.6640625" customWidth="1"/>
    <col min="3343" max="3346" width="14" bestFit="1" customWidth="1"/>
    <col min="3347" max="3347" width="2.6640625" customWidth="1"/>
    <col min="3348" max="3348" width="62.109375" bestFit="1" customWidth="1"/>
    <col min="3349" max="3349" width="1.6640625" customWidth="1"/>
    <col min="3350" max="3354" width="15.6640625" customWidth="1"/>
    <col min="3355" max="3355" width="2.6640625" customWidth="1"/>
    <col min="3356" max="3356" width="15.44140625" bestFit="1" customWidth="1"/>
    <col min="3357" max="3360" width="14.44140625" customWidth="1"/>
    <col min="3585" max="3585" width="2.44140625" customWidth="1"/>
    <col min="3586" max="3586" width="40.6640625" customWidth="1"/>
    <col min="3587" max="3587" width="2.6640625" customWidth="1"/>
    <col min="3588" max="3588" width="14" bestFit="1" customWidth="1"/>
    <col min="3589" max="3589" width="2" customWidth="1"/>
    <col min="3590" max="3597" width="15.33203125" bestFit="1" customWidth="1"/>
    <col min="3598" max="3598" width="2.6640625" customWidth="1"/>
    <col min="3599" max="3602" width="14" bestFit="1" customWidth="1"/>
    <col min="3603" max="3603" width="2.6640625" customWidth="1"/>
    <col min="3604" max="3604" width="62.109375" bestFit="1" customWidth="1"/>
    <col min="3605" max="3605" width="1.6640625" customWidth="1"/>
    <col min="3606" max="3610" width="15.6640625" customWidth="1"/>
    <col min="3611" max="3611" width="2.6640625" customWidth="1"/>
    <col min="3612" max="3612" width="15.44140625" bestFit="1" customWidth="1"/>
    <col min="3613" max="3616" width="14.44140625" customWidth="1"/>
    <col min="3841" max="3841" width="2.44140625" customWidth="1"/>
    <col min="3842" max="3842" width="40.6640625" customWidth="1"/>
    <col min="3843" max="3843" width="2.6640625" customWidth="1"/>
    <col min="3844" max="3844" width="14" bestFit="1" customWidth="1"/>
    <col min="3845" max="3845" width="2" customWidth="1"/>
    <col min="3846" max="3853" width="15.33203125" bestFit="1" customWidth="1"/>
    <col min="3854" max="3854" width="2.6640625" customWidth="1"/>
    <col min="3855" max="3858" width="14" bestFit="1" customWidth="1"/>
    <col min="3859" max="3859" width="2.6640625" customWidth="1"/>
    <col min="3860" max="3860" width="62.109375" bestFit="1" customWidth="1"/>
    <col min="3861" max="3861" width="1.6640625" customWidth="1"/>
    <col min="3862" max="3866" width="15.6640625" customWidth="1"/>
    <col min="3867" max="3867" width="2.6640625" customWidth="1"/>
    <col min="3868" max="3868" width="15.44140625" bestFit="1" customWidth="1"/>
    <col min="3869" max="3872" width="14.44140625" customWidth="1"/>
    <col min="4097" max="4097" width="2.44140625" customWidth="1"/>
    <col min="4098" max="4098" width="40.6640625" customWidth="1"/>
    <col min="4099" max="4099" width="2.6640625" customWidth="1"/>
    <col min="4100" max="4100" width="14" bestFit="1" customWidth="1"/>
    <col min="4101" max="4101" width="2" customWidth="1"/>
    <col min="4102" max="4109" width="15.33203125" bestFit="1" customWidth="1"/>
    <col min="4110" max="4110" width="2.6640625" customWidth="1"/>
    <col min="4111" max="4114" width="14" bestFit="1" customWidth="1"/>
    <col min="4115" max="4115" width="2.6640625" customWidth="1"/>
    <col min="4116" max="4116" width="62.109375" bestFit="1" customWidth="1"/>
    <col min="4117" max="4117" width="1.6640625" customWidth="1"/>
    <col min="4118" max="4122" width="15.6640625" customWidth="1"/>
    <col min="4123" max="4123" width="2.6640625" customWidth="1"/>
    <col min="4124" max="4124" width="15.44140625" bestFit="1" customWidth="1"/>
    <col min="4125" max="4128" width="14.44140625" customWidth="1"/>
    <col min="4353" max="4353" width="2.44140625" customWidth="1"/>
    <col min="4354" max="4354" width="40.6640625" customWidth="1"/>
    <col min="4355" max="4355" width="2.6640625" customWidth="1"/>
    <col min="4356" max="4356" width="14" bestFit="1" customWidth="1"/>
    <col min="4357" max="4357" width="2" customWidth="1"/>
    <col min="4358" max="4365" width="15.33203125" bestFit="1" customWidth="1"/>
    <col min="4366" max="4366" width="2.6640625" customWidth="1"/>
    <col min="4367" max="4370" width="14" bestFit="1" customWidth="1"/>
    <col min="4371" max="4371" width="2.6640625" customWidth="1"/>
    <col min="4372" max="4372" width="62.109375" bestFit="1" customWidth="1"/>
    <col min="4373" max="4373" width="1.6640625" customWidth="1"/>
    <col min="4374" max="4378" width="15.6640625" customWidth="1"/>
    <col min="4379" max="4379" width="2.6640625" customWidth="1"/>
    <col min="4380" max="4380" width="15.44140625" bestFit="1" customWidth="1"/>
    <col min="4381" max="4384" width="14.44140625" customWidth="1"/>
    <col min="4609" max="4609" width="2.44140625" customWidth="1"/>
    <col min="4610" max="4610" width="40.6640625" customWidth="1"/>
    <col min="4611" max="4611" width="2.6640625" customWidth="1"/>
    <col min="4612" max="4612" width="14" bestFit="1" customWidth="1"/>
    <col min="4613" max="4613" width="2" customWidth="1"/>
    <col min="4614" max="4621" width="15.33203125" bestFit="1" customWidth="1"/>
    <col min="4622" max="4622" width="2.6640625" customWidth="1"/>
    <col min="4623" max="4626" width="14" bestFit="1" customWidth="1"/>
    <col min="4627" max="4627" width="2.6640625" customWidth="1"/>
    <col min="4628" max="4628" width="62.109375" bestFit="1" customWidth="1"/>
    <col min="4629" max="4629" width="1.6640625" customWidth="1"/>
    <col min="4630" max="4634" width="15.6640625" customWidth="1"/>
    <col min="4635" max="4635" width="2.6640625" customWidth="1"/>
    <col min="4636" max="4636" width="15.44140625" bestFit="1" customWidth="1"/>
    <col min="4637" max="4640" width="14.44140625" customWidth="1"/>
    <col min="4865" max="4865" width="2.44140625" customWidth="1"/>
    <col min="4866" max="4866" width="40.6640625" customWidth="1"/>
    <col min="4867" max="4867" width="2.6640625" customWidth="1"/>
    <col min="4868" max="4868" width="14" bestFit="1" customWidth="1"/>
    <col min="4869" max="4869" width="2" customWidth="1"/>
    <col min="4870" max="4877" width="15.33203125" bestFit="1" customWidth="1"/>
    <col min="4878" max="4878" width="2.6640625" customWidth="1"/>
    <col min="4879" max="4882" width="14" bestFit="1" customWidth="1"/>
    <col min="4883" max="4883" width="2.6640625" customWidth="1"/>
    <col min="4884" max="4884" width="62.109375" bestFit="1" customWidth="1"/>
    <col min="4885" max="4885" width="1.6640625" customWidth="1"/>
    <col min="4886" max="4890" width="15.6640625" customWidth="1"/>
    <col min="4891" max="4891" width="2.6640625" customWidth="1"/>
    <col min="4892" max="4892" width="15.44140625" bestFit="1" customWidth="1"/>
    <col min="4893" max="4896" width="14.44140625" customWidth="1"/>
    <col min="5121" max="5121" width="2.44140625" customWidth="1"/>
    <col min="5122" max="5122" width="40.6640625" customWidth="1"/>
    <col min="5123" max="5123" width="2.6640625" customWidth="1"/>
    <col min="5124" max="5124" width="14" bestFit="1" customWidth="1"/>
    <col min="5125" max="5125" width="2" customWidth="1"/>
    <col min="5126" max="5133" width="15.33203125" bestFit="1" customWidth="1"/>
    <col min="5134" max="5134" width="2.6640625" customWidth="1"/>
    <col min="5135" max="5138" width="14" bestFit="1" customWidth="1"/>
    <col min="5139" max="5139" width="2.6640625" customWidth="1"/>
    <col min="5140" max="5140" width="62.109375" bestFit="1" customWidth="1"/>
    <col min="5141" max="5141" width="1.6640625" customWidth="1"/>
    <col min="5142" max="5146" width="15.6640625" customWidth="1"/>
    <col min="5147" max="5147" width="2.6640625" customWidth="1"/>
    <col min="5148" max="5148" width="15.44140625" bestFit="1" customWidth="1"/>
    <col min="5149" max="5152" width="14.44140625" customWidth="1"/>
    <col min="5377" max="5377" width="2.44140625" customWidth="1"/>
    <col min="5378" max="5378" width="40.6640625" customWidth="1"/>
    <col min="5379" max="5379" width="2.6640625" customWidth="1"/>
    <col min="5380" max="5380" width="14" bestFit="1" customWidth="1"/>
    <col min="5381" max="5381" width="2" customWidth="1"/>
    <col min="5382" max="5389" width="15.33203125" bestFit="1" customWidth="1"/>
    <col min="5390" max="5390" width="2.6640625" customWidth="1"/>
    <col min="5391" max="5394" width="14" bestFit="1" customWidth="1"/>
    <col min="5395" max="5395" width="2.6640625" customWidth="1"/>
    <col min="5396" max="5396" width="62.109375" bestFit="1" customWidth="1"/>
    <col min="5397" max="5397" width="1.6640625" customWidth="1"/>
    <col min="5398" max="5402" width="15.6640625" customWidth="1"/>
    <col min="5403" max="5403" width="2.6640625" customWidth="1"/>
    <col min="5404" max="5404" width="15.44140625" bestFit="1" customWidth="1"/>
    <col min="5405" max="5408" width="14.44140625" customWidth="1"/>
    <col min="5633" max="5633" width="2.44140625" customWidth="1"/>
    <col min="5634" max="5634" width="40.6640625" customWidth="1"/>
    <col min="5635" max="5635" width="2.6640625" customWidth="1"/>
    <col min="5636" max="5636" width="14" bestFit="1" customWidth="1"/>
    <col min="5637" max="5637" width="2" customWidth="1"/>
    <col min="5638" max="5645" width="15.33203125" bestFit="1" customWidth="1"/>
    <col min="5646" max="5646" width="2.6640625" customWidth="1"/>
    <col min="5647" max="5650" width="14" bestFit="1" customWidth="1"/>
    <col min="5651" max="5651" width="2.6640625" customWidth="1"/>
    <col min="5652" max="5652" width="62.109375" bestFit="1" customWidth="1"/>
    <col min="5653" max="5653" width="1.6640625" customWidth="1"/>
    <col min="5654" max="5658" width="15.6640625" customWidth="1"/>
    <col min="5659" max="5659" width="2.6640625" customWidth="1"/>
    <col min="5660" max="5660" width="15.44140625" bestFit="1" customWidth="1"/>
    <col min="5661" max="5664" width="14.44140625" customWidth="1"/>
    <col min="5889" max="5889" width="2.44140625" customWidth="1"/>
    <col min="5890" max="5890" width="40.6640625" customWidth="1"/>
    <col min="5891" max="5891" width="2.6640625" customWidth="1"/>
    <col min="5892" max="5892" width="14" bestFit="1" customWidth="1"/>
    <col min="5893" max="5893" width="2" customWidth="1"/>
    <col min="5894" max="5901" width="15.33203125" bestFit="1" customWidth="1"/>
    <col min="5902" max="5902" width="2.6640625" customWidth="1"/>
    <col min="5903" max="5906" width="14" bestFit="1" customWidth="1"/>
    <col min="5907" max="5907" width="2.6640625" customWidth="1"/>
    <col min="5908" max="5908" width="62.109375" bestFit="1" customWidth="1"/>
    <col min="5909" max="5909" width="1.6640625" customWidth="1"/>
    <col min="5910" max="5914" width="15.6640625" customWidth="1"/>
    <col min="5915" max="5915" width="2.6640625" customWidth="1"/>
    <col min="5916" max="5916" width="15.44140625" bestFit="1" customWidth="1"/>
    <col min="5917" max="5920" width="14.44140625" customWidth="1"/>
    <col min="6145" max="6145" width="2.44140625" customWidth="1"/>
    <col min="6146" max="6146" width="40.6640625" customWidth="1"/>
    <col min="6147" max="6147" width="2.6640625" customWidth="1"/>
    <col min="6148" max="6148" width="14" bestFit="1" customWidth="1"/>
    <col min="6149" max="6149" width="2" customWidth="1"/>
    <col min="6150" max="6157" width="15.33203125" bestFit="1" customWidth="1"/>
    <col min="6158" max="6158" width="2.6640625" customWidth="1"/>
    <col min="6159" max="6162" width="14" bestFit="1" customWidth="1"/>
    <col min="6163" max="6163" width="2.6640625" customWidth="1"/>
    <col min="6164" max="6164" width="62.109375" bestFit="1" customWidth="1"/>
    <col min="6165" max="6165" width="1.6640625" customWidth="1"/>
    <col min="6166" max="6170" width="15.6640625" customWidth="1"/>
    <col min="6171" max="6171" width="2.6640625" customWidth="1"/>
    <col min="6172" max="6172" width="15.44140625" bestFit="1" customWidth="1"/>
    <col min="6173" max="6176" width="14.44140625" customWidth="1"/>
    <col min="6401" max="6401" width="2.44140625" customWidth="1"/>
    <col min="6402" max="6402" width="40.6640625" customWidth="1"/>
    <col min="6403" max="6403" width="2.6640625" customWidth="1"/>
    <col min="6404" max="6404" width="14" bestFit="1" customWidth="1"/>
    <col min="6405" max="6405" width="2" customWidth="1"/>
    <col min="6406" max="6413" width="15.33203125" bestFit="1" customWidth="1"/>
    <col min="6414" max="6414" width="2.6640625" customWidth="1"/>
    <col min="6415" max="6418" width="14" bestFit="1" customWidth="1"/>
    <col min="6419" max="6419" width="2.6640625" customWidth="1"/>
    <col min="6420" max="6420" width="62.109375" bestFit="1" customWidth="1"/>
    <col min="6421" max="6421" width="1.6640625" customWidth="1"/>
    <col min="6422" max="6426" width="15.6640625" customWidth="1"/>
    <col min="6427" max="6427" width="2.6640625" customWidth="1"/>
    <col min="6428" max="6428" width="15.44140625" bestFit="1" customWidth="1"/>
    <col min="6429" max="6432" width="14.44140625" customWidth="1"/>
    <col min="6657" max="6657" width="2.44140625" customWidth="1"/>
    <col min="6658" max="6658" width="40.6640625" customWidth="1"/>
    <col min="6659" max="6659" width="2.6640625" customWidth="1"/>
    <col min="6660" max="6660" width="14" bestFit="1" customWidth="1"/>
    <col min="6661" max="6661" width="2" customWidth="1"/>
    <col min="6662" max="6669" width="15.33203125" bestFit="1" customWidth="1"/>
    <col min="6670" max="6670" width="2.6640625" customWidth="1"/>
    <col min="6671" max="6674" width="14" bestFit="1" customWidth="1"/>
    <col min="6675" max="6675" width="2.6640625" customWidth="1"/>
    <col min="6676" max="6676" width="62.109375" bestFit="1" customWidth="1"/>
    <col min="6677" max="6677" width="1.6640625" customWidth="1"/>
    <col min="6678" max="6682" width="15.6640625" customWidth="1"/>
    <col min="6683" max="6683" width="2.6640625" customWidth="1"/>
    <col min="6684" max="6684" width="15.44140625" bestFit="1" customWidth="1"/>
    <col min="6685" max="6688" width="14.44140625" customWidth="1"/>
    <col min="6913" max="6913" width="2.44140625" customWidth="1"/>
    <col min="6914" max="6914" width="40.6640625" customWidth="1"/>
    <col min="6915" max="6915" width="2.6640625" customWidth="1"/>
    <col min="6916" max="6916" width="14" bestFit="1" customWidth="1"/>
    <col min="6917" max="6917" width="2" customWidth="1"/>
    <col min="6918" max="6925" width="15.33203125" bestFit="1" customWidth="1"/>
    <col min="6926" max="6926" width="2.6640625" customWidth="1"/>
    <col min="6927" max="6930" width="14" bestFit="1" customWidth="1"/>
    <col min="6931" max="6931" width="2.6640625" customWidth="1"/>
    <col min="6932" max="6932" width="62.109375" bestFit="1" customWidth="1"/>
    <col min="6933" max="6933" width="1.6640625" customWidth="1"/>
    <col min="6934" max="6938" width="15.6640625" customWidth="1"/>
    <col min="6939" max="6939" width="2.6640625" customWidth="1"/>
    <col min="6940" max="6940" width="15.44140625" bestFit="1" customWidth="1"/>
    <col min="6941" max="6944" width="14.44140625" customWidth="1"/>
    <col min="7169" max="7169" width="2.44140625" customWidth="1"/>
    <col min="7170" max="7170" width="40.6640625" customWidth="1"/>
    <col min="7171" max="7171" width="2.6640625" customWidth="1"/>
    <col min="7172" max="7172" width="14" bestFit="1" customWidth="1"/>
    <col min="7173" max="7173" width="2" customWidth="1"/>
    <col min="7174" max="7181" width="15.33203125" bestFit="1" customWidth="1"/>
    <col min="7182" max="7182" width="2.6640625" customWidth="1"/>
    <col min="7183" max="7186" width="14" bestFit="1" customWidth="1"/>
    <col min="7187" max="7187" width="2.6640625" customWidth="1"/>
    <col min="7188" max="7188" width="62.109375" bestFit="1" customWidth="1"/>
    <col min="7189" max="7189" width="1.6640625" customWidth="1"/>
    <col min="7190" max="7194" width="15.6640625" customWidth="1"/>
    <col min="7195" max="7195" width="2.6640625" customWidth="1"/>
    <col min="7196" max="7196" width="15.44140625" bestFit="1" customWidth="1"/>
    <col min="7197" max="7200" width="14.44140625" customWidth="1"/>
    <col min="7425" max="7425" width="2.44140625" customWidth="1"/>
    <col min="7426" max="7426" width="40.6640625" customWidth="1"/>
    <col min="7427" max="7427" width="2.6640625" customWidth="1"/>
    <col min="7428" max="7428" width="14" bestFit="1" customWidth="1"/>
    <col min="7429" max="7429" width="2" customWidth="1"/>
    <col min="7430" max="7437" width="15.33203125" bestFit="1" customWidth="1"/>
    <col min="7438" max="7438" width="2.6640625" customWidth="1"/>
    <col min="7439" max="7442" width="14" bestFit="1" customWidth="1"/>
    <col min="7443" max="7443" width="2.6640625" customWidth="1"/>
    <col min="7444" max="7444" width="62.109375" bestFit="1" customWidth="1"/>
    <col min="7445" max="7445" width="1.6640625" customWidth="1"/>
    <col min="7446" max="7450" width="15.6640625" customWidth="1"/>
    <col min="7451" max="7451" width="2.6640625" customWidth="1"/>
    <col min="7452" max="7452" width="15.44140625" bestFit="1" customWidth="1"/>
    <col min="7453" max="7456" width="14.44140625" customWidth="1"/>
    <col min="7681" max="7681" width="2.44140625" customWidth="1"/>
    <col min="7682" max="7682" width="40.6640625" customWidth="1"/>
    <col min="7683" max="7683" width="2.6640625" customWidth="1"/>
    <col min="7684" max="7684" width="14" bestFit="1" customWidth="1"/>
    <col min="7685" max="7685" width="2" customWidth="1"/>
    <col min="7686" max="7693" width="15.33203125" bestFit="1" customWidth="1"/>
    <col min="7694" max="7694" width="2.6640625" customWidth="1"/>
    <col min="7695" max="7698" width="14" bestFit="1" customWidth="1"/>
    <col min="7699" max="7699" width="2.6640625" customWidth="1"/>
    <col min="7700" max="7700" width="62.109375" bestFit="1" customWidth="1"/>
    <col min="7701" max="7701" width="1.6640625" customWidth="1"/>
    <col min="7702" max="7706" width="15.6640625" customWidth="1"/>
    <col min="7707" max="7707" width="2.6640625" customWidth="1"/>
    <col min="7708" max="7708" width="15.44140625" bestFit="1" customWidth="1"/>
    <col min="7709" max="7712" width="14.44140625" customWidth="1"/>
    <col min="7937" max="7937" width="2.44140625" customWidth="1"/>
    <col min="7938" max="7938" width="40.6640625" customWidth="1"/>
    <col min="7939" max="7939" width="2.6640625" customWidth="1"/>
    <col min="7940" max="7940" width="14" bestFit="1" customWidth="1"/>
    <col min="7941" max="7941" width="2" customWidth="1"/>
    <col min="7942" max="7949" width="15.33203125" bestFit="1" customWidth="1"/>
    <col min="7950" max="7950" width="2.6640625" customWidth="1"/>
    <col min="7951" max="7954" width="14" bestFit="1" customWidth="1"/>
    <col min="7955" max="7955" width="2.6640625" customWidth="1"/>
    <col min="7956" max="7956" width="62.109375" bestFit="1" customWidth="1"/>
    <col min="7957" max="7957" width="1.6640625" customWidth="1"/>
    <col min="7958" max="7962" width="15.6640625" customWidth="1"/>
    <col min="7963" max="7963" width="2.6640625" customWidth="1"/>
    <col min="7964" max="7964" width="15.44140625" bestFit="1" customWidth="1"/>
    <col min="7965" max="7968" width="14.44140625" customWidth="1"/>
    <col min="8193" max="8193" width="2.44140625" customWidth="1"/>
    <col min="8194" max="8194" width="40.6640625" customWidth="1"/>
    <col min="8195" max="8195" width="2.6640625" customWidth="1"/>
    <col min="8196" max="8196" width="14" bestFit="1" customWidth="1"/>
    <col min="8197" max="8197" width="2" customWidth="1"/>
    <col min="8198" max="8205" width="15.33203125" bestFit="1" customWidth="1"/>
    <col min="8206" max="8206" width="2.6640625" customWidth="1"/>
    <col min="8207" max="8210" width="14" bestFit="1" customWidth="1"/>
    <col min="8211" max="8211" width="2.6640625" customWidth="1"/>
    <col min="8212" max="8212" width="62.109375" bestFit="1" customWidth="1"/>
    <col min="8213" max="8213" width="1.6640625" customWidth="1"/>
    <col min="8214" max="8218" width="15.6640625" customWidth="1"/>
    <col min="8219" max="8219" width="2.6640625" customWidth="1"/>
    <col min="8220" max="8220" width="15.44140625" bestFit="1" customWidth="1"/>
    <col min="8221" max="8224" width="14.44140625" customWidth="1"/>
    <col min="8449" max="8449" width="2.44140625" customWidth="1"/>
    <col min="8450" max="8450" width="40.6640625" customWidth="1"/>
    <col min="8451" max="8451" width="2.6640625" customWidth="1"/>
    <col min="8452" max="8452" width="14" bestFit="1" customWidth="1"/>
    <col min="8453" max="8453" width="2" customWidth="1"/>
    <col min="8454" max="8461" width="15.33203125" bestFit="1" customWidth="1"/>
    <col min="8462" max="8462" width="2.6640625" customWidth="1"/>
    <col min="8463" max="8466" width="14" bestFit="1" customWidth="1"/>
    <col min="8467" max="8467" width="2.6640625" customWidth="1"/>
    <col min="8468" max="8468" width="62.109375" bestFit="1" customWidth="1"/>
    <col min="8469" max="8469" width="1.6640625" customWidth="1"/>
    <col min="8470" max="8474" width="15.6640625" customWidth="1"/>
    <col min="8475" max="8475" width="2.6640625" customWidth="1"/>
    <col min="8476" max="8476" width="15.44140625" bestFit="1" customWidth="1"/>
    <col min="8477" max="8480" width="14.44140625" customWidth="1"/>
    <col min="8705" max="8705" width="2.44140625" customWidth="1"/>
    <col min="8706" max="8706" width="40.6640625" customWidth="1"/>
    <col min="8707" max="8707" width="2.6640625" customWidth="1"/>
    <col min="8708" max="8708" width="14" bestFit="1" customWidth="1"/>
    <col min="8709" max="8709" width="2" customWidth="1"/>
    <col min="8710" max="8717" width="15.33203125" bestFit="1" customWidth="1"/>
    <col min="8718" max="8718" width="2.6640625" customWidth="1"/>
    <col min="8719" max="8722" width="14" bestFit="1" customWidth="1"/>
    <col min="8723" max="8723" width="2.6640625" customWidth="1"/>
    <col min="8724" max="8724" width="62.109375" bestFit="1" customWidth="1"/>
    <col min="8725" max="8725" width="1.6640625" customWidth="1"/>
    <col min="8726" max="8730" width="15.6640625" customWidth="1"/>
    <col min="8731" max="8731" width="2.6640625" customWidth="1"/>
    <col min="8732" max="8732" width="15.44140625" bestFit="1" customWidth="1"/>
    <col min="8733" max="8736" width="14.44140625" customWidth="1"/>
    <col min="8961" max="8961" width="2.44140625" customWidth="1"/>
    <col min="8962" max="8962" width="40.6640625" customWidth="1"/>
    <col min="8963" max="8963" width="2.6640625" customWidth="1"/>
    <col min="8964" max="8964" width="14" bestFit="1" customWidth="1"/>
    <col min="8965" max="8965" width="2" customWidth="1"/>
    <col min="8966" max="8973" width="15.33203125" bestFit="1" customWidth="1"/>
    <col min="8974" max="8974" width="2.6640625" customWidth="1"/>
    <col min="8975" max="8978" width="14" bestFit="1" customWidth="1"/>
    <col min="8979" max="8979" width="2.6640625" customWidth="1"/>
    <col min="8980" max="8980" width="62.109375" bestFit="1" customWidth="1"/>
    <col min="8981" max="8981" width="1.6640625" customWidth="1"/>
    <col min="8982" max="8986" width="15.6640625" customWidth="1"/>
    <col min="8987" max="8987" width="2.6640625" customWidth="1"/>
    <col min="8988" max="8988" width="15.44140625" bestFit="1" customWidth="1"/>
    <col min="8989" max="8992" width="14.44140625" customWidth="1"/>
    <col min="9217" max="9217" width="2.44140625" customWidth="1"/>
    <col min="9218" max="9218" width="40.6640625" customWidth="1"/>
    <col min="9219" max="9219" width="2.6640625" customWidth="1"/>
    <col min="9220" max="9220" width="14" bestFit="1" customWidth="1"/>
    <col min="9221" max="9221" width="2" customWidth="1"/>
    <col min="9222" max="9229" width="15.33203125" bestFit="1" customWidth="1"/>
    <col min="9230" max="9230" width="2.6640625" customWidth="1"/>
    <col min="9231" max="9234" width="14" bestFit="1" customWidth="1"/>
    <col min="9235" max="9235" width="2.6640625" customWidth="1"/>
    <col min="9236" max="9236" width="62.109375" bestFit="1" customWidth="1"/>
    <col min="9237" max="9237" width="1.6640625" customWidth="1"/>
    <col min="9238" max="9242" width="15.6640625" customWidth="1"/>
    <col min="9243" max="9243" width="2.6640625" customWidth="1"/>
    <col min="9244" max="9244" width="15.44140625" bestFit="1" customWidth="1"/>
    <col min="9245" max="9248" width="14.44140625" customWidth="1"/>
    <col min="9473" max="9473" width="2.44140625" customWidth="1"/>
    <col min="9474" max="9474" width="40.6640625" customWidth="1"/>
    <col min="9475" max="9475" width="2.6640625" customWidth="1"/>
    <col min="9476" max="9476" width="14" bestFit="1" customWidth="1"/>
    <col min="9477" max="9477" width="2" customWidth="1"/>
    <col min="9478" max="9485" width="15.33203125" bestFit="1" customWidth="1"/>
    <col min="9486" max="9486" width="2.6640625" customWidth="1"/>
    <col min="9487" max="9490" width="14" bestFit="1" customWidth="1"/>
    <col min="9491" max="9491" width="2.6640625" customWidth="1"/>
    <col min="9492" max="9492" width="62.109375" bestFit="1" customWidth="1"/>
    <col min="9493" max="9493" width="1.6640625" customWidth="1"/>
    <col min="9494" max="9498" width="15.6640625" customWidth="1"/>
    <col min="9499" max="9499" width="2.6640625" customWidth="1"/>
    <col min="9500" max="9500" width="15.44140625" bestFit="1" customWidth="1"/>
    <col min="9501" max="9504" width="14.44140625" customWidth="1"/>
    <col min="9729" max="9729" width="2.44140625" customWidth="1"/>
    <col min="9730" max="9730" width="40.6640625" customWidth="1"/>
    <col min="9731" max="9731" width="2.6640625" customWidth="1"/>
    <col min="9732" max="9732" width="14" bestFit="1" customWidth="1"/>
    <col min="9733" max="9733" width="2" customWidth="1"/>
    <col min="9734" max="9741" width="15.33203125" bestFit="1" customWidth="1"/>
    <col min="9742" max="9742" width="2.6640625" customWidth="1"/>
    <col min="9743" max="9746" width="14" bestFit="1" customWidth="1"/>
    <col min="9747" max="9747" width="2.6640625" customWidth="1"/>
    <col min="9748" max="9748" width="62.109375" bestFit="1" customWidth="1"/>
    <col min="9749" max="9749" width="1.6640625" customWidth="1"/>
    <col min="9750" max="9754" width="15.6640625" customWidth="1"/>
    <col min="9755" max="9755" width="2.6640625" customWidth="1"/>
    <col min="9756" max="9756" width="15.44140625" bestFit="1" customWidth="1"/>
    <col min="9757" max="9760" width="14.44140625" customWidth="1"/>
    <col min="9985" max="9985" width="2.44140625" customWidth="1"/>
    <col min="9986" max="9986" width="40.6640625" customWidth="1"/>
    <col min="9987" max="9987" width="2.6640625" customWidth="1"/>
    <col min="9988" max="9988" width="14" bestFit="1" customWidth="1"/>
    <col min="9989" max="9989" width="2" customWidth="1"/>
    <col min="9990" max="9997" width="15.33203125" bestFit="1" customWidth="1"/>
    <col min="9998" max="9998" width="2.6640625" customWidth="1"/>
    <col min="9999" max="10002" width="14" bestFit="1" customWidth="1"/>
    <col min="10003" max="10003" width="2.6640625" customWidth="1"/>
    <col min="10004" max="10004" width="62.109375" bestFit="1" customWidth="1"/>
    <col min="10005" max="10005" width="1.6640625" customWidth="1"/>
    <col min="10006" max="10010" width="15.6640625" customWidth="1"/>
    <col min="10011" max="10011" width="2.6640625" customWidth="1"/>
    <col min="10012" max="10012" width="15.44140625" bestFit="1" customWidth="1"/>
    <col min="10013" max="10016" width="14.44140625" customWidth="1"/>
    <col min="10241" max="10241" width="2.44140625" customWidth="1"/>
    <col min="10242" max="10242" width="40.6640625" customWidth="1"/>
    <col min="10243" max="10243" width="2.6640625" customWidth="1"/>
    <col min="10244" max="10244" width="14" bestFit="1" customWidth="1"/>
    <col min="10245" max="10245" width="2" customWidth="1"/>
    <col min="10246" max="10253" width="15.33203125" bestFit="1" customWidth="1"/>
    <col min="10254" max="10254" width="2.6640625" customWidth="1"/>
    <col min="10255" max="10258" width="14" bestFit="1" customWidth="1"/>
    <col min="10259" max="10259" width="2.6640625" customWidth="1"/>
    <col min="10260" max="10260" width="62.109375" bestFit="1" customWidth="1"/>
    <col min="10261" max="10261" width="1.6640625" customWidth="1"/>
    <col min="10262" max="10266" width="15.6640625" customWidth="1"/>
    <col min="10267" max="10267" width="2.6640625" customWidth="1"/>
    <col min="10268" max="10268" width="15.44140625" bestFit="1" customWidth="1"/>
    <col min="10269" max="10272" width="14.44140625" customWidth="1"/>
    <col min="10497" max="10497" width="2.44140625" customWidth="1"/>
    <col min="10498" max="10498" width="40.6640625" customWidth="1"/>
    <col min="10499" max="10499" width="2.6640625" customWidth="1"/>
    <col min="10500" max="10500" width="14" bestFit="1" customWidth="1"/>
    <col min="10501" max="10501" width="2" customWidth="1"/>
    <col min="10502" max="10509" width="15.33203125" bestFit="1" customWidth="1"/>
    <col min="10510" max="10510" width="2.6640625" customWidth="1"/>
    <col min="10511" max="10514" width="14" bestFit="1" customWidth="1"/>
    <col min="10515" max="10515" width="2.6640625" customWidth="1"/>
    <col min="10516" max="10516" width="62.109375" bestFit="1" customWidth="1"/>
    <col min="10517" max="10517" width="1.6640625" customWidth="1"/>
    <col min="10518" max="10522" width="15.6640625" customWidth="1"/>
    <col min="10523" max="10523" width="2.6640625" customWidth="1"/>
    <col min="10524" max="10524" width="15.44140625" bestFit="1" customWidth="1"/>
    <col min="10525" max="10528" width="14.44140625" customWidth="1"/>
    <col min="10753" max="10753" width="2.44140625" customWidth="1"/>
    <col min="10754" max="10754" width="40.6640625" customWidth="1"/>
    <col min="10755" max="10755" width="2.6640625" customWidth="1"/>
    <col min="10756" max="10756" width="14" bestFit="1" customWidth="1"/>
    <col min="10757" max="10757" width="2" customWidth="1"/>
    <col min="10758" max="10765" width="15.33203125" bestFit="1" customWidth="1"/>
    <col min="10766" max="10766" width="2.6640625" customWidth="1"/>
    <col min="10767" max="10770" width="14" bestFit="1" customWidth="1"/>
    <col min="10771" max="10771" width="2.6640625" customWidth="1"/>
    <col min="10772" max="10772" width="62.109375" bestFit="1" customWidth="1"/>
    <col min="10773" max="10773" width="1.6640625" customWidth="1"/>
    <col min="10774" max="10778" width="15.6640625" customWidth="1"/>
    <col min="10779" max="10779" width="2.6640625" customWidth="1"/>
    <col min="10780" max="10780" width="15.44140625" bestFit="1" customWidth="1"/>
    <col min="10781" max="10784" width="14.44140625" customWidth="1"/>
    <col min="11009" max="11009" width="2.44140625" customWidth="1"/>
    <col min="11010" max="11010" width="40.6640625" customWidth="1"/>
    <col min="11011" max="11011" width="2.6640625" customWidth="1"/>
    <col min="11012" max="11012" width="14" bestFit="1" customWidth="1"/>
    <col min="11013" max="11013" width="2" customWidth="1"/>
    <col min="11014" max="11021" width="15.33203125" bestFit="1" customWidth="1"/>
    <col min="11022" max="11022" width="2.6640625" customWidth="1"/>
    <col min="11023" max="11026" width="14" bestFit="1" customWidth="1"/>
    <col min="11027" max="11027" width="2.6640625" customWidth="1"/>
    <col min="11028" max="11028" width="62.109375" bestFit="1" customWidth="1"/>
    <col min="11029" max="11029" width="1.6640625" customWidth="1"/>
    <col min="11030" max="11034" width="15.6640625" customWidth="1"/>
    <col min="11035" max="11035" width="2.6640625" customWidth="1"/>
    <col min="11036" max="11036" width="15.44140625" bestFit="1" customWidth="1"/>
    <col min="11037" max="11040" width="14.44140625" customWidth="1"/>
    <col min="11265" max="11265" width="2.44140625" customWidth="1"/>
    <col min="11266" max="11266" width="40.6640625" customWidth="1"/>
    <col min="11267" max="11267" width="2.6640625" customWidth="1"/>
    <col min="11268" max="11268" width="14" bestFit="1" customWidth="1"/>
    <col min="11269" max="11269" width="2" customWidth="1"/>
    <col min="11270" max="11277" width="15.33203125" bestFit="1" customWidth="1"/>
    <col min="11278" max="11278" width="2.6640625" customWidth="1"/>
    <col min="11279" max="11282" width="14" bestFit="1" customWidth="1"/>
    <col min="11283" max="11283" width="2.6640625" customWidth="1"/>
    <col min="11284" max="11284" width="62.109375" bestFit="1" customWidth="1"/>
    <col min="11285" max="11285" width="1.6640625" customWidth="1"/>
    <col min="11286" max="11290" width="15.6640625" customWidth="1"/>
    <col min="11291" max="11291" width="2.6640625" customWidth="1"/>
    <col min="11292" max="11292" width="15.44140625" bestFit="1" customWidth="1"/>
    <col min="11293" max="11296" width="14.44140625" customWidth="1"/>
    <col min="11521" max="11521" width="2.44140625" customWidth="1"/>
    <col min="11522" max="11522" width="40.6640625" customWidth="1"/>
    <col min="11523" max="11523" width="2.6640625" customWidth="1"/>
    <col min="11524" max="11524" width="14" bestFit="1" customWidth="1"/>
    <col min="11525" max="11525" width="2" customWidth="1"/>
    <col min="11526" max="11533" width="15.33203125" bestFit="1" customWidth="1"/>
    <col min="11534" max="11534" width="2.6640625" customWidth="1"/>
    <col min="11535" max="11538" width="14" bestFit="1" customWidth="1"/>
    <col min="11539" max="11539" width="2.6640625" customWidth="1"/>
    <col min="11540" max="11540" width="62.109375" bestFit="1" customWidth="1"/>
    <col min="11541" max="11541" width="1.6640625" customWidth="1"/>
    <col min="11542" max="11546" width="15.6640625" customWidth="1"/>
    <col min="11547" max="11547" width="2.6640625" customWidth="1"/>
    <col min="11548" max="11548" width="15.44140625" bestFit="1" customWidth="1"/>
    <col min="11549" max="11552" width="14.44140625" customWidth="1"/>
    <col min="11777" max="11777" width="2.44140625" customWidth="1"/>
    <col min="11778" max="11778" width="40.6640625" customWidth="1"/>
    <col min="11779" max="11779" width="2.6640625" customWidth="1"/>
    <col min="11780" max="11780" width="14" bestFit="1" customWidth="1"/>
    <col min="11781" max="11781" width="2" customWidth="1"/>
    <col min="11782" max="11789" width="15.33203125" bestFit="1" customWidth="1"/>
    <col min="11790" max="11790" width="2.6640625" customWidth="1"/>
    <col min="11791" max="11794" width="14" bestFit="1" customWidth="1"/>
    <col min="11795" max="11795" width="2.6640625" customWidth="1"/>
    <col min="11796" max="11796" width="62.109375" bestFit="1" customWidth="1"/>
    <col min="11797" max="11797" width="1.6640625" customWidth="1"/>
    <col min="11798" max="11802" width="15.6640625" customWidth="1"/>
    <col min="11803" max="11803" width="2.6640625" customWidth="1"/>
    <col min="11804" max="11804" width="15.44140625" bestFit="1" customWidth="1"/>
    <col min="11805" max="11808" width="14.44140625" customWidth="1"/>
    <col min="12033" max="12033" width="2.44140625" customWidth="1"/>
    <col min="12034" max="12034" width="40.6640625" customWidth="1"/>
    <col min="12035" max="12035" width="2.6640625" customWidth="1"/>
    <col min="12036" max="12036" width="14" bestFit="1" customWidth="1"/>
    <col min="12037" max="12037" width="2" customWidth="1"/>
    <col min="12038" max="12045" width="15.33203125" bestFit="1" customWidth="1"/>
    <col min="12046" max="12046" width="2.6640625" customWidth="1"/>
    <col min="12047" max="12050" width="14" bestFit="1" customWidth="1"/>
    <col min="12051" max="12051" width="2.6640625" customWidth="1"/>
    <col min="12052" max="12052" width="62.109375" bestFit="1" customWidth="1"/>
    <col min="12053" max="12053" width="1.6640625" customWidth="1"/>
    <col min="12054" max="12058" width="15.6640625" customWidth="1"/>
    <col min="12059" max="12059" width="2.6640625" customWidth="1"/>
    <col min="12060" max="12060" width="15.44140625" bestFit="1" customWidth="1"/>
    <col min="12061" max="12064" width="14.44140625" customWidth="1"/>
    <col min="12289" max="12289" width="2.44140625" customWidth="1"/>
    <col min="12290" max="12290" width="40.6640625" customWidth="1"/>
    <col min="12291" max="12291" width="2.6640625" customWidth="1"/>
    <col min="12292" max="12292" width="14" bestFit="1" customWidth="1"/>
    <col min="12293" max="12293" width="2" customWidth="1"/>
    <col min="12294" max="12301" width="15.33203125" bestFit="1" customWidth="1"/>
    <col min="12302" max="12302" width="2.6640625" customWidth="1"/>
    <col min="12303" max="12306" width="14" bestFit="1" customWidth="1"/>
    <col min="12307" max="12307" width="2.6640625" customWidth="1"/>
    <col min="12308" max="12308" width="62.109375" bestFit="1" customWidth="1"/>
    <col min="12309" max="12309" width="1.6640625" customWidth="1"/>
    <col min="12310" max="12314" width="15.6640625" customWidth="1"/>
    <col min="12315" max="12315" width="2.6640625" customWidth="1"/>
    <col min="12316" max="12316" width="15.44140625" bestFit="1" customWidth="1"/>
    <col min="12317" max="12320" width="14.44140625" customWidth="1"/>
    <col min="12545" max="12545" width="2.44140625" customWidth="1"/>
    <col min="12546" max="12546" width="40.6640625" customWidth="1"/>
    <col min="12547" max="12547" width="2.6640625" customWidth="1"/>
    <col min="12548" max="12548" width="14" bestFit="1" customWidth="1"/>
    <col min="12549" max="12549" width="2" customWidth="1"/>
    <col min="12550" max="12557" width="15.33203125" bestFit="1" customWidth="1"/>
    <col min="12558" max="12558" width="2.6640625" customWidth="1"/>
    <col min="12559" max="12562" width="14" bestFit="1" customWidth="1"/>
    <col min="12563" max="12563" width="2.6640625" customWidth="1"/>
    <col min="12564" max="12564" width="62.109375" bestFit="1" customWidth="1"/>
    <col min="12565" max="12565" width="1.6640625" customWidth="1"/>
    <col min="12566" max="12570" width="15.6640625" customWidth="1"/>
    <col min="12571" max="12571" width="2.6640625" customWidth="1"/>
    <col min="12572" max="12572" width="15.44140625" bestFit="1" customWidth="1"/>
    <col min="12573" max="12576" width="14.44140625" customWidth="1"/>
    <col min="12801" max="12801" width="2.44140625" customWidth="1"/>
    <col min="12802" max="12802" width="40.6640625" customWidth="1"/>
    <col min="12803" max="12803" width="2.6640625" customWidth="1"/>
    <col min="12804" max="12804" width="14" bestFit="1" customWidth="1"/>
    <col min="12805" max="12805" width="2" customWidth="1"/>
    <col min="12806" max="12813" width="15.33203125" bestFit="1" customWidth="1"/>
    <col min="12814" max="12814" width="2.6640625" customWidth="1"/>
    <col min="12815" max="12818" width="14" bestFit="1" customWidth="1"/>
    <col min="12819" max="12819" width="2.6640625" customWidth="1"/>
    <col min="12820" max="12820" width="62.109375" bestFit="1" customWidth="1"/>
    <col min="12821" max="12821" width="1.6640625" customWidth="1"/>
    <col min="12822" max="12826" width="15.6640625" customWidth="1"/>
    <col min="12827" max="12827" width="2.6640625" customWidth="1"/>
    <col min="12828" max="12828" width="15.44140625" bestFit="1" customWidth="1"/>
    <col min="12829" max="12832" width="14.44140625" customWidth="1"/>
    <col min="13057" max="13057" width="2.44140625" customWidth="1"/>
    <col min="13058" max="13058" width="40.6640625" customWidth="1"/>
    <col min="13059" max="13059" width="2.6640625" customWidth="1"/>
    <col min="13060" max="13060" width="14" bestFit="1" customWidth="1"/>
    <col min="13061" max="13061" width="2" customWidth="1"/>
    <col min="13062" max="13069" width="15.33203125" bestFit="1" customWidth="1"/>
    <col min="13070" max="13070" width="2.6640625" customWidth="1"/>
    <col min="13071" max="13074" width="14" bestFit="1" customWidth="1"/>
    <col min="13075" max="13075" width="2.6640625" customWidth="1"/>
    <col min="13076" max="13076" width="62.109375" bestFit="1" customWidth="1"/>
    <col min="13077" max="13077" width="1.6640625" customWidth="1"/>
    <col min="13078" max="13082" width="15.6640625" customWidth="1"/>
    <col min="13083" max="13083" width="2.6640625" customWidth="1"/>
    <col min="13084" max="13084" width="15.44140625" bestFit="1" customWidth="1"/>
    <col min="13085" max="13088" width="14.44140625" customWidth="1"/>
    <col min="13313" max="13313" width="2.44140625" customWidth="1"/>
    <col min="13314" max="13314" width="40.6640625" customWidth="1"/>
    <col min="13315" max="13315" width="2.6640625" customWidth="1"/>
    <col min="13316" max="13316" width="14" bestFit="1" customWidth="1"/>
    <col min="13317" max="13317" width="2" customWidth="1"/>
    <col min="13318" max="13325" width="15.33203125" bestFit="1" customWidth="1"/>
    <col min="13326" max="13326" width="2.6640625" customWidth="1"/>
    <col min="13327" max="13330" width="14" bestFit="1" customWidth="1"/>
    <col min="13331" max="13331" width="2.6640625" customWidth="1"/>
    <col min="13332" max="13332" width="62.109375" bestFit="1" customWidth="1"/>
    <col min="13333" max="13333" width="1.6640625" customWidth="1"/>
    <col min="13334" max="13338" width="15.6640625" customWidth="1"/>
    <col min="13339" max="13339" width="2.6640625" customWidth="1"/>
    <col min="13340" max="13340" width="15.44140625" bestFit="1" customWidth="1"/>
    <col min="13341" max="13344" width="14.44140625" customWidth="1"/>
    <col min="13569" max="13569" width="2.44140625" customWidth="1"/>
    <col min="13570" max="13570" width="40.6640625" customWidth="1"/>
    <col min="13571" max="13571" width="2.6640625" customWidth="1"/>
    <col min="13572" max="13572" width="14" bestFit="1" customWidth="1"/>
    <col min="13573" max="13573" width="2" customWidth="1"/>
    <col min="13574" max="13581" width="15.33203125" bestFit="1" customWidth="1"/>
    <col min="13582" max="13582" width="2.6640625" customWidth="1"/>
    <col min="13583" max="13586" width="14" bestFit="1" customWidth="1"/>
    <col min="13587" max="13587" width="2.6640625" customWidth="1"/>
    <col min="13588" max="13588" width="62.109375" bestFit="1" customWidth="1"/>
    <col min="13589" max="13589" width="1.6640625" customWidth="1"/>
    <col min="13590" max="13594" width="15.6640625" customWidth="1"/>
    <col min="13595" max="13595" width="2.6640625" customWidth="1"/>
    <col min="13596" max="13596" width="15.44140625" bestFit="1" customWidth="1"/>
    <col min="13597" max="13600" width="14.44140625" customWidth="1"/>
    <col min="13825" max="13825" width="2.44140625" customWidth="1"/>
    <col min="13826" max="13826" width="40.6640625" customWidth="1"/>
    <col min="13827" max="13827" width="2.6640625" customWidth="1"/>
    <col min="13828" max="13828" width="14" bestFit="1" customWidth="1"/>
    <col min="13829" max="13829" width="2" customWidth="1"/>
    <col min="13830" max="13837" width="15.33203125" bestFit="1" customWidth="1"/>
    <col min="13838" max="13838" width="2.6640625" customWidth="1"/>
    <col min="13839" max="13842" width="14" bestFit="1" customWidth="1"/>
    <col min="13843" max="13843" width="2.6640625" customWidth="1"/>
    <col min="13844" max="13844" width="62.109375" bestFit="1" customWidth="1"/>
    <col min="13845" max="13845" width="1.6640625" customWidth="1"/>
    <col min="13846" max="13850" width="15.6640625" customWidth="1"/>
    <col min="13851" max="13851" width="2.6640625" customWidth="1"/>
    <col min="13852" max="13852" width="15.44140625" bestFit="1" customWidth="1"/>
    <col min="13853" max="13856" width="14.44140625" customWidth="1"/>
    <col min="14081" max="14081" width="2.44140625" customWidth="1"/>
    <col min="14082" max="14082" width="40.6640625" customWidth="1"/>
    <col min="14083" max="14083" width="2.6640625" customWidth="1"/>
    <col min="14084" max="14084" width="14" bestFit="1" customWidth="1"/>
    <col min="14085" max="14085" width="2" customWidth="1"/>
    <col min="14086" max="14093" width="15.33203125" bestFit="1" customWidth="1"/>
    <col min="14094" max="14094" width="2.6640625" customWidth="1"/>
    <col min="14095" max="14098" width="14" bestFit="1" customWidth="1"/>
    <col min="14099" max="14099" width="2.6640625" customWidth="1"/>
    <col min="14100" max="14100" width="62.109375" bestFit="1" customWidth="1"/>
    <col min="14101" max="14101" width="1.6640625" customWidth="1"/>
    <col min="14102" max="14106" width="15.6640625" customWidth="1"/>
    <col min="14107" max="14107" width="2.6640625" customWidth="1"/>
    <col min="14108" max="14108" width="15.44140625" bestFit="1" customWidth="1"/>
    <col min="14109" max="14112" width="14.44140625" customWidth="1"/>
    <col min="14337" max="14337" width="2.44140625" customWidth="1"/>
    <col min="14338" max="14338" width="40.6640625" customWidth="1"/>
    <col min="14339" max="14339" width="2.6640625" customWidth="1"/>
    <col min="14340" max="14340" width="14" bestFit="1" customWidth="1"/>
    <col min="14341" max="14341" width="2" customWidth="1"/>
    <col min="14342" max="14349" width="15.33203125" bestFit="1" customWidth="1"/>
    <col min="14350" max="14350" width="2.6640625" customWidth="1"/>
    <col min="14351" max="14354" width="14" bestFit="1" customWidth="1"/>
    <col min="14355" max="14355" width="2.6640625" customWidth="1"/>
    <col min="14356" max="14356" width="62.109375" bestFit="1" customWidth="1"/>
    <col min="14357" max="14357" width="1.6640625" customWidth="1"/>
    <col min="14358" max="14362" width="15.6640625" customWidth="1"/>
    <col min="14363" max="14363" width="2.6640625" customWidth="1"/>
    <col min="14364" max="14364" width="15.44140625" bestFit="1" customWidth="1"/>
    <col min="14365" max="14368" width="14.44140625" customWidth="1"/>
    <col min="14593" max="14593" width="2.44140625" customWidth="1"/>
    <col min="14594" max="14594" width="40.6640625" customWidth="1"/>
    <col min="14595" max="14595" width="2.6640625" customWidth="1"/>
    <col min="14596" max="14596" width="14" bestFit="1" customWidth="1"/>
    <col min="14597" max="14597" width="2" customWidth="1"/>
    <col min="14598" max="14605" width="15.33203125" bestFit="1" customWidth="1"/>
    <col min="14606" max="14606" width="2.6640625" customWidth="1"/>
    <col min="14607" max="14610" width="14" bestFit="1" customWidth="1"/>
    <col min="14611" max="14611" width="2.6640625" customWidth="1"/>
    <col min="14612" max="14612" width="62.109375" bestFit="1" customWidth="1"/>
    <col min="14613" max="14613" width="1.6640625" customWidth="1"/>
    <col min="14614" max="14618" width="15.6640625" customWidth="1"/>
    <col min="14619" max="14619" width="2.6640625" customWidth="1"/>
    <col min="14620" max="14620" width="15.44140625" bestFit="1" customWidth="1"/>
    <col min="14621" max="14624" width="14.44140625" customWidth="1"/>
    <col min="14849" max="14849" width="2.44140625" customWidth="1"/>
    <col min="14850" max="14850" width="40.6640625" customWidth="1"/>
    <col min="14851" max="14851" width="2.6640625" customWidth="1"/>
    <col min="14852" max="14852" width="14" bestFit="1" customWidth="1"/>
    <col min="14853" max="14853" width="2" customWidth="1"/>
    <col min="14854" max="14861" width="15.33203125" bestFit="1" customWidth="1"/>
    <col min="14862" max="14862" width="2.6640625" customWidth="1"/>
    <col min="14863" max="14866" width="14" bestFit="1" customWidth="1"/>
    <col min="14867" max="14867" width="2.6640625" customWidth="1"/>
    <col min="14868" max="14868" width="62.109375" bestFit="1" customWidth="1"/>
    <col min="14869" max="14869" width="1.6640625" customWidth="1"/>
    <col min="14870" max="14874" width="15.6640625" customWidth="1"/>
    <col min="14875" max="14875" width="2.6640625" customWidth="1"/>
    <col min="14876" max="14876" width="15.44140625" bestFit="1" customWidth="1"/>
    <col min="14877" max="14880" width="14.44140625" customWidth="1"/>
    <col min="15105" max="15105" width="2.44140625" customWidth="1"/>
    <col min="15106" max="15106" width="40.6640625" customWidth="1"/>
    <col min="15107" max="15107" width="2.6640625" customWidth="1"/>
    <col min="15108" max="15108" width="14" bestFit="1" customWidth="1"/>
    <col min="15109" max="15109" width="2" customWidth="1"/>
    <col min="15110" max="15117" width="15.33203125" bestFit="1" customWidth="1"/>
    <col min="15118" max="15118" width="2.6640625" customWidth="1"/>
    <col min="15119" max="15122" width="14" bestFit="1" customWidth="1"/>
    <col min="15123" max="15123" width="2.6640625" customWidth="1"/>
    <col min="15124" max="15124" width="62.109375" bestFit="1" customWidth="1"/>
    <col min="15125" max="15125" width="1.6640625" customWidth="1"/>
    <col min="15126" max="15130" width="15.6640625" customWidth="1"/>
    <col min="15131" max="15131" width="2.6640625" customWidth="1"/>
    <col min="15132" max="15132" width="15.44140625" bestFit="1" customWidth="1"/>
    <col min="15133" max="15136" width="14.44140625" customWidth="1"/>
    <col min="15361" max="15361" width="2.44140625" customWidth="1"/>
    <col min="15362" max="15362" width="40.6640625" customWidth="1"/>
    <col min="15363" max="15363" width="2.6640625" customWidth="1"/>
    <col min="15364" max="15364" width="14" bestFit="1" customWidth="1"/>
    <col min="15365" max="15365" width="2" customWidth="1"/>
    <col min="15366" max="15373" width="15.33203125" bestFit="1" customWidth="1"/>
    <col min="15374" max="15374" width="2.6640625" customWidth="1"/>
    <col min="15375" max="15378" width="14" bestFit="1" customWidth="1"/>
    <col min="15379" max="15379" width="2.6640625" customWidth="1"/>
    <col min="15380" max="15380" width="62.109375" bestFit="1" customWidth="1"/>
    <col min="15381" max="15381" width="1.6640625" customWidth="1"/>
    <col min="15382" max="15386" width="15.6640625" customWidth="1"/>
    <col min="15387" max="15387" width="2.6640625" customWidth="1"/>
    <col min="15388" max="15388" width="15.44140625" bestFit="1" customWidth="1"/>
    <col min="15389" max="15392" width="14.44140625" customWidth="1"/>
    <col min="15617" max="15617" width="2.44140625" customWidth="1"/>
    <col min="15618" max="15618" width="40.6640625" customWidth="1"/>
    <col min="15619" max="15619" width="2.6640625" customWidth="1"/>
    <col min="15620" max="15620" width="14" bestFit="1" customWidth="1"/>
    <col min="15621" max="15621" width="2" customWidth="1"/>
    <col min="15622" max="15629" width="15.33203125" bestFit="1" customWidth="1"/>
    <col min="15630" max="15630" width="2.6640625" customWidth="1"/>
    <col min="15631" max="15634" width="14" bestFit="1" customWidth="1"/>
    <col min="15635" max="15635" width="2.6640625" customWidth="1"/>
    <col min="15636" max="15636" width="62.109375" bestFit="1" customWidth="1"/>
    <col min="15637" max="15637" width="1.6640625" customWidth="1"/>
    <col min="15638" max="15642" width="15.6640625" customWidth="1"/>
    <col min="15643" max="15643" width="2.6640625" customWidth="1"/>
    <col min="15644" max="15644" width="15.44140625" bestFit="1" customWidth="1"/>
    <col min="15645" max="15648" width="14.44140625" customWidth="1"/>
    <col min="15873" max="15873" width="2.44140625" customWidth="1"/>
    <col min="15874" max="15874" width="40.6640625" customWidth="1"/>
    <col min="15875" max="15875" width="2.6640625" customWidth="1"/>
    <col min="15876" max="15876" width="14" bestFit="1" customWidth="1"/>
    <col min="15877" max="15877" width="2" customWidth="1"/>
    <col min="15878" max="15885" width="15.33203125" bestFit="1" customWidth="1"/>
    <col min="15886" max="15886" width="2.6640625" customWidth="1"/>
    <col min="15887" max="15890" width="14" bestFit="1" customWidth="1"/>
    <col min="15891" max="15891" width="2.6640625" customWidth="1"/>
    <col min="15892" max="15892" width="62.109375" bestFit="1" customWidth="1"/>
    <col min="15893" max="15893" width="1.6640625" customWidth="1"/>
    <col min="15894" max="15898" width="15.6640625" customWidth="1"/>
    <col min="15899" max="15899" width="2.6640625" customWidth="1"/>
    <col min="15900" max="15900" width="15.44140625" bestFit="1" customWidth="1"/>
    <col min="15901" max="15904" width="14.44140625" customWidth="1"/>
    <col min="16129" max="16129" width="2.44140625" customWidth="1"/>
    <col min="16130" max="16130" width="40.6640625" customWidth="1"/>
    <col min="16131" max="16131" width="2.6640625" customWidth="1"/>
    <col min="16132" max="16132" width="14" bestFit="1" customWidth="1"/>
    <col min="16133" max="16133" width="2" customWidth="1"/>
    <col min="16134" max="16141" width="15.33203125" bestFit="1" customWidth="1"/>
    <col min="16142" max="16142" width="2.6640625" customWidth="1"/>
    <col min="16143" max="16146" width="14" bestFit="1" customWidth="1"/>
    <col min="16147" max="16147" width="2.6640625" customWidth="1"/>
    <col min="16148" max="16148" width="62.109375" bestFit="1" customWidth="1"/>
    <col min="16149" max="16149" width="1.6640625" customWidth="1"/>
    <col min="16150" max="16154" width="15.6640625" customWidth="1"/>
    <col min="16155" max="16155" width="2.6640625" customWidth="1"/>
    <col min="16156" max="16156" width="15.44140625" bestFit="1" customWidth="1"/>
    <col min="16157" max="16160" width="14.44140625" customWidth="1"/>
  </cols>
  <sheetData>
    <row r="1" spans="1:21" s="31" customFormat="1" ht="15">
      <c r="A1" s="145"/>
      <c r="B1" s="145"/>
      <c r="C1" s="145"/>
      <c r="D1" s="145"/>
      <c r="E1" s="145"/>
      <c r="F1" s="145"/>
      <c r="G1" s="145"/>
      <c r="H1" s="145"/>
      <c r="I1" s="145"/>
      <c r="J1" s="145"/>
      <c r="K1" s="145"/>
      <c r="L1" s="145"/>
      <c r="M1" s="145"/>
      <c r="N1" s="145"/>
      <c r="O1" s="145"/>
      <c r="P1" s="145"/>
      <c r="Q1" s="145"/>
      <c r="R1" s="145"/>
      <c r="S1" s="145"/>
      <c r="T1" s="456"/>
    </row>
    <row r="2" spans="1:21" s="31" customFormat="1" ht="21">
      <c r="A2" s="608"/>
      <c r="B2" s="176" t="str">
        <f>IF(School="",Mssg1,School)</f>
        <v>Please enter school name on tab - "1) Name of School"</v>
      </c>
      <c r="C2" s="176"/>
      <c r="D2" s="49"/>
      <c r="E2" s="49"/>
      <c r="F2" s="49"/>
      <c r="G2" s="49"/>
      <c r="H2" s="49"/>
      <c r="I2" s="49"/>
      <c r="J2" s="49"/>
      <c r="K2" s="49"/>
      <c r="L2" s="49"/>
      <c r="M2" s="49"/>
      <c r="N2" s="49"/>
      <c r="O2" s="49"/>
      <c r="P2" s="49"/>
      <c r="Q2" s="49"/>
      <c r="R2" s="49"/>
      <c r="S2" s="49"/>
      <c r="T2" s="49"/>
    </row>
    <row r="3" spans="1:21" s="31" customFormat="1" ht="18.75" customHeight="1">
      <c r="A3" s="609"/>
      <c r="B3" s="176" t="str">
        <f>IF(CONTROL!J12=0,Mssg2,AcadYr1)</f>
        <v>2016-17</v>
      </c>
      <c r="C3" s="176"/>
      <c r="D3" s="49"/>
      <c r="E3" s="49"/>
      <c r="F3" s="49"/>
      <c r="G3" s="49"/>
      <c r="H3" s="49"/>
      <c r="I3" s="49"/>
      <c r="J3" s="49"/>
      <c r="K3" s="49"/>
      <c r="L3" s="49"/>
      <c r="M3" s="49"/>
      <c r="N3" s="49"/>
      <c r="O3" s="49"/>
      <c r="P3" s="49"/>
      <c r="Q3" s="49"/>
      <c r="R3" s="49"/>
      <c r="S3" s="49"/>
      <c r="T3" s="49"/>
      <c r="U3" s="150"/>
    </row>
    <row r="4" spans="1:21" s="31" customFormat="1" ht="10.5" customHeight="1">
      <c r="A4" s="609"/>
      <c r="B4" s="610"/>
      <c r="C4" s="610"/>
      <c r="D4" s="49"/>
      <c r="E4" s="49"/>
      <c r="F4" s="49"/>
      <c r="G4" s="49"/>
      <c r="H4" s="49"/>
      <c r="I4" s="49"/>
      <c r="J4" s="49"/>
      <c r="K4" s="49"/>
      <c r="L4" s="49"/>
      <c r="M4" s="49"/>
      <c r="N4" s="49"/>
      <c r="O4" s="49"/>
      <c r="P4" s="49"/>
      <c r="Q4" s="49"/>
      <c r="R4" s="49"/>
      <c r="S4" s="49"/>
      <c r="T4" s="49"/>
    </row>
    <row r="5" spans="1:21" s="31" customFormat="1" ht="9" customHeight="1">
      <c r="A5" s="609"/>
      <c r="B5" s="610"/>
      <c r="C5" s="610"/>
      <c r="D5" s="610"/>
      <c r="E5" s="610"/>
      <c r="F5" s="610"/>
      <c r="G5" s="610"/>
      <c r="H5" s="610"/>
      <c r="I5" s="610"/>
      <c r="J5" s="610"/>
      <c r="K5" s="610"/>
      <c r="L5" s="610"/>
      <c r="M5" s="610"/>
      <c r="N5" s="610"/>
      <c r="O5" s="610"/>
      <c r="P5" s="610"/>
      <c r="Q5" s="610"/>
      <c r="R5" s="610"/>
      <c r="S5" s="610"/>
    </row>
    <row r="6" spans="1:21" s="31" customFormat="1" ht="21">
      <c r="A6" s="609"/>
      <c r="B6" s="562" t="s">
        <v>324</v>
      </c>
      <c r="C6" s="563"/>
      <c r="D6" s="560"/>
      <c r="E6" s="560"/>
      <c r="F6" s="560"/>
      <c r="G6" s="560"/>
      <c r="H6" s="560"/>
      <c r="I6" s="560"/>
      <c r="J6" s="560"/>
      <c r="K6" s="560"/>
      <c r="L6" s="560"/>
      <c r="M6" s="560"/>
      <c r="N6" s="560"/>
      <c r="O6" s="560"/>
      <c r="P6" s="560"/>
      <c r="Q6" s="560"/>
      <c r="R6" s="560"/>
      <c r="S6" s="560"/>
      <c r="T6" s="564"/>
    </row>
    <row r="7" spans="1:21" s="31" customFormat="1" ht="15.75" customHeight="1">
      <c r="A7" s="146"/>
      <c r="B7" s="177"/>
      <c r="C7" s="601"/>
      <c r="D7" s="175"/>
      <c r="E7" s="146"/>
      <c r="F7" s="146"/>
      <c r="G7" s="146"/>
      <c r="H7" s="146"/>
      <c r="I7" s="146"/>
      <c r="J7" s="146"/>
      <c r="K7" s="146"/>
      <c r="L7" s="146"/>
      <c r="M7" s="146"/>
      <c r="N7" s="146"/>
      <c r="O7" s="146"/>
      <c r="P7" s="146"/>
      <c r="Q7" s="146"/>
      <c r="R7" s="146"/>
      <c r="S7" s="146"/>
    </row>
    <row r="8" spans="1:21" s="31" customFormat="1" ht="30">
      <c r="A8" s="146"/>
      <c r="B8" s="893" t="s">
        <v>348</v>
      </c>
      <c r="F8" s="973" t="s">
        <v>1234</v>
      </c>
      <c r="G8" s="976"/>
      <c r="H8" s="976"/>
      <c r="I8" s="976"/>
      <c r="J8" s="976"/>
      <c r="K8" s="976"/>
      <c r="L8" s="976"/>
      <c r="M8" s="975"/>
      <c r="O8" s="973" t="s">
        <v>1235</v>
      </c>
      <c r="P8" s="974"/>
      <c r="Q8" s="974"/>
      <c r="R8" s="975"/>
      <c r="S8"/>
      <c r="T8" s="893" t="s">
        <v>1233</v>
      </c>
    </row>
    <row r="9" spans="1:21" s="31" customFormat="1" ht="15">
      <c r="A9" s="145"/>
      <c r="B9" s="894"/>
      <c r="C9" s="148"/>
      <c r="D9" s="148"/>
      <c r="E9" s="146"/>
      <c r="F9" s="146"/>
      <c r="G9" s="146"/>
      <c r="H9" s="146"/>
      <c r="I9" s="146"/>
      <c r="J9" s="146"/>
      <c r="K9" s="146"/>
      <c r="L9" s="146"/>
      <c r="M9" s="146"/>
      <c r="N9" s="146"/>
      <c r="O9" s="146"/>
      <c r="P9" s="146"/>
      <c r="Q9" s="146"/>
      <c r="R9" s="146"/>
      <c r="S9" s="146"/>
      <c r="T9" s="28"/>
    </row>
    <row r="10" spans="1:21" s="31" customFormat="1" ht="15">
      <c r="A10" s="145"/>
      <c r="B10" s="862" t="s">
        <v>160</v>
      </c>
      <c r="C10" s="148"/>
      <c r="D10" s="862" t="s">
        <v>332</v>
      </c>
      <c r="F10" s="641" t="s">
        <v>346</v>
      </c>
      <c r="G10" s="641"/>
      <c r="H10" s="641"/>
      <c r="I10" s="641"/>
      <c r="J10" s="641"/>
      <c r="K10" s="641"/>
      <c r="L10" s="641"/>
      <c r="M10" s="866"/>
      <c r="N10" s="146"/>
      <c r="O10" s="641" t="s">
        <v>347</v>
      </c>
      <c r="P10" s="868"/>
      <c r="Q10" s="868"/>
      <c r="R10" s="869"/>
      <c r="S10"/>
      <c r="T10" s="561" t="s">
        <v>165</v>
      </c>
    </row>
    <row r="11" spans="1:21" s="31" customFormat="1" ht="15" customHeight="1">
      <c r="A11" s="145"/>
      <c r="B11" s="977"/>
      <c r="C11" s="29"/>
      <c r="D11" s="863" t="str">
        <f>PriorPeriod</f>
        <v>2015-16</v>
      </c>
      <c r="F11" s="640" t="s">
        <v>196</v>
      </c>
      <c r="G11" s="639"/>
      <c r="H11" s="640" t="s">
        <v>197</v>
      </c>
      <c r="I11" s="639"/>
      <c r="J11" s="640" t="s">
        <v>198</v>
      </c>
      <c r="K11" s="639"/>
      <c r="L11" s="640" t="s">
        <v>199</v>
      </c>
      <c r="M11" s="639"/>
      <c r="O11" s="640" t="s">
        <v>196</v>
      </c>
      <c r="P11" s="640" t="s">
        <v>197</v>
      </c>
      <c r="Q11" s="640" t="s">
        <v>198</v>
      </c>
      <c r="R11" s="640" t="s">
        <v>199</v>
      </c>
      <c r="S11"/>
      <c r="T11" s="170"/>
    </row>
    <row r="12" spans="1:21" s="31" customFormat="1" ht="15" customHeight="1">
      <c r="A12" s="145"/>
      <c r="B12" s="978"/>
      <c r="C12" s="29"/>
      <c r="D12" s="864" t="s">
        <v>331</v>
      </c>
      <c r="F12" s="640" t="s">
        <v>349</v>
      </c>
      <c r="G12" s="640" t="s">
        <v>350</v>
      </c>
      <c r="H12" s="640" t="s">
        <v>349</v>
      </c>
      <c r="I12" s="640" t="s">
        <v>350</v>
      </c>
      <c r="J12" s="640" t="s">
        <v>349</v>
      </c>
      <c r="K12" s="640" t="s">
        <v>350</v>
      </c>
      <c r="L12" s="640" t="s">
        <v>349</v>
      </c>
      <c r="M12" s="640" t="s">
        <v>350</v>
      </c>
      <c r="O12" s="642" t="s">
        <v>311</v>
      </c>
      <c r="P12" s="642" t="s">
        <v>311</v>
      </c>
      <c r="Q12" s="642" t="s">
        <v>311</v>
      </c>
      <c r="R12" s="642" t="s">
        <v>311</v>
      </c>
      <c r="S12"/>
      <c r="T12" s="170"/>
    </row>
    <row r="13" spans="1:21" s="31" customFormat="1" ht="15">
      <c r="A13" s="145"/>
      <c r="B13" s="871" t="s">
        <v>110</v>
      </c>
      <c r="C13" s="565"/>
      <c r="D13" s="667"/>
      <c r="F13" s="667"/>
      <c r="G13" s="667"/>
      <c r="H13" s="667"/>
      <c r="I13" s="667"/>
      <c r="J13" s="667"/>
      <c r="K13" s="667"/>
      <c r="L13" s="667"/>
      <c r="M13" s="667"/>
      <c r="O13" s="667"/>
      <c r="P13" s="667"/>
      <c r="Q13" s="667"/>
      <c r="R13" s="667"/>
      <c r="S13"/>
      <c r="T13" s="170"/>
    </row>
    <row r="14" spans="1:21" s="31" customFormat="1" ht="15">
      <c r="A14" s="145"/>
      <c r="B14" s="871" t="s">
        <v>111</v>
      </c>
      <c r="C14" s="565"/>
      <c r="D14" s="667"/>
      <c r="F14" s="667"/>
      <c r="G14" s="667"/>
      <c r="H14" s="667"/>
      <c r="I14" s="667"/>
      <c r="J14" s="667"/>
      <c r="K14" s="667"/>
      <c r="L14" s="667"/>
      <c r="M14" s="667"/>
      <c r="O14" s="667"/>
      <c r="P14" s="667"/>
      <c r="Q14" s="667"/>
      <c r="R14" s="667"/>
      <c r="S14"/>
      <c r="T14" s="170"/>
    </row>
    <row r="15" spans="1:21" s="31" customFormat="1" ht="15">
      <c r="A15" s="145"/>
      <c r="B15" s="871" t="s">
        <v>112</v>
      </c>
      <c r="C15" s="565"/>
      <c r="D15" s="667"/>
      <c r="F15" s="667"/>
      <c r="G15" s="667"/>
      <c r="H15" s="667"/>
      <c r="I15" s="667"/>
      <c r="J15" s="667"/>
      <c r="K15" s="667"/>
      <c r="L15" s="667"/>
      <c r="M15" s="667"/>
      <c r="O15" s="667"/>
      <c r="P15" s="667"/>
      <c r="Q15" s="667"/>
      <c r="R15" s="667"/>
      <c r="S15"/>
      <c r="T15" s="170"/>
    </row>
    <row r="16" spans="1:21" s="31" customFormat="1" ht="15">
      <c r="A16" s="145"/>
      <c r="B16" s="871" t="s">
        <v>98</v>
      </c>
      <c r="C16" s="565"/>
      <c r="D16" s="667"/>
      <c r="F16" s="667"/>
      <c r="G16" s="667"/>
      <c r="H16" s="667"/>
      <c r="I16" s="667"/>
      <c r="J16" s="667"/>
      <c r="K16" s="667"/>
      <c r="L16" s="667"/>
      <c r="M16" s="667"/>
      <c r="O16" s="667"/>
      <c r="P16" s="667"/>
      <c r="Q16" s="667"/>
      <c r="R16" s="667"/>
      <c r="S16"/>
      <c r="T16" s="170"/>
    </row>
    <row r="17" spans="1:20" s="31" customFormat="1" ht="15">
      <c r="A17" s="145"/>
      <c r="B17" s="871" t="s">
        <v>99</v>
      </c>
      <c r="C17" s="565"/>
      <c r="D17" s="667"/>
      <c r="F17" s="667"/>
      <c r="G17" s="667"/>
      <c r="H17" s="667"/>
      <c r="I17" s="667"/>
      <c r="J17" s="667"/>
      <c r="K17" s="667"/>
      <c r="L17" s="667"/>
      <c r="M17" s="667"/>
      <c r="O17" s="667"/>
      <c r="P17" s="667"/>
      <c r="Q17" s="667"/>
      <c r="R17" s="667"/>
      <c r="S17"/>
      <c r="T17" s="170"/>
    </row>
    <row r="18" spans="1:20" s="31" customFormat="1" ht="15">
      <c r="A18" s="145"/>
      <c r="B18" s="871" t="s">
        <v>113</v>
      </c>
      <c r="C18" s="565"/>
      <c r="D18" s="667"/>
      <c r="F18" s="667"/>
      <c r="G18" s="667"/>
      <c r="H18" s="667"/>
      <c r="I18" s="667"/>
      <c r="J18" s="667"/>
      <c r="K18" s="667"/>
      <c r="L18" s="667"/>
      <c r="M18" s="667"/>
      <c r="O18" s="667"/>
      <c r="P18" s="667"/>
      <c r="Q18" s="667"/>
      <c r="R18" s="667"/>
      <c r="S18"/>
      <c r="T18" s="170"/>
    </row>
    <row r="19" spans="1:20" s="31" customFormat="1" ht="15">
      <c r="A19" s="145"/>
      <c r="B19" s="872" t="s">
        <v>75</v>
      </c>
      <c r="C19" s="566"/>
      <c r="D19" s="643">
        <f t="shared" ref="D19" si="0">SUM(D13:D18)</f>
        <v>0</v>
      </c>
      <c r="F19" s="643">
        <f t="shared" ref="F19:M19" si="1">SUM(F13:F18)</f>
        <v>0</v>
      </c>
      <c r="G19" s="643">
        <f t="shared" si="1"/>
        <v>0</v>
      </c>
      <c r="H19" s="643">
        <f t="shared" si="1"/>
        <v>0</v>
      </c>
      <c r="I19" s="643">
        <f t="shared" si="1"/>
        <v>0</v>
      </c>
      <c r="J19" s="643">
        <f t="shared" si="1"/>
        <v>0</v>
      </c>
      <c r="K19" s="643">
        <f t="shared" si="1"/>
        <v>0</v>
      </c>
      <c r="L19" s="643">
        <f t="shared" si="1"/>
        <v>0</v>
      </c>
      <c r="M19" s="643">
        <f t="shared" si="1"/>
        <v>0</v>
      </c>
      <c r="O19" s="643">
        <f t="shared" ref="O19:R19" si="2">SUM(O13:O18)</f>
        <v>0</v>
      </c>
      <c r="P19" s="643">
        <f t="shared" si="2"/>
        <v>0</v>
      </c>
      <c r="Q19" s="643">
        <f t="shared" si="2"/>
        <v>0</v>
      </c>
      <c r="R19" s="643">
        <f t="shared" si="2"/>
        <v>0</v>
      </c>
      <c r="S19" s="173"/>
      <c r="T19" s="170"/>
    </row>
    <row r="20" spans="1:20" s="31" customFormat="1" ht="15" customHeight="1">
      <c r="A20" s="145"/>
      <c r="B20" s="865"/>
      <c r="C20" s="26"/>
      <c r="D20" s="865"/>
      <c r="E20" s="528"/>
      <c r="F20" s="867"/>
      <c r="G20" s="867"/>
      <c r="H20" s="867"/>
      <c r="I20" s="867"/>
      <c r="J20" s="867"/>
      <c r="K20" s="867"/>
      <c r="L20" s="867"/>
      <c r="M20" s="867"/>
      <c r="N20" s="528"/>
      <c r="O20" s="870"/>
      <c r="P20" s="870"/>
      <c r="Q20" s="870"/>
      <c r="R20" s="870"/>
    </row>
    <row r="21" spans="1:20" s="31" customFormat="1" ht="15" customHeight="1">
      <c r="A21" s="145"/>
      <c r="B21" s="862" t="s">
        <v>161</v>
      </c>
      <c r="C21" s="26"/>
      <c r="D21" s="862" t="s">
        <v>332</v>
      </c>
      <c r="E21" s="528"/>
      <c r="F21" s="641" t="s">
        <v>346</v>
      </c>
      <c r="G21" s="641"/>
      <c r="H21" s="641"/>
      <c r="I21" s="641"/>
      <c r="J21" s="641"/>
      <c r="K21" s="641"/>
      <c r="L21" s="641"/>
      <c r="M21" s="866"/>
      <c r="N21" s="146"/>
      <c r="O21" s="641" t="s">
        <v>347</v>
      </c>
      <c r="P21" s="868"/>
      <c r="Q21" s="868"/>
      <c r="R21" s="869"/>
      <c r="T21" s="561" t="s">
        <v>165</v>
      </c>
    </row>
    <row r="22" spans="1:20" s="31" customFormat="1" ht="15" customHeight="1">
      <c r="A22" s="145"/>
      <c r="B22" s="977"/>
      <c r="C22" s="26"/>
      <c r="D22" s="863" t="str">
        <f>PriorPeriod</f>
        <v>2015-16</v>
      </c>
      <c r="E22" s="528"/>
      <c r="F22" s="640" t="s">
        <v>196</v>
      </c>
      <c r="G22" s="639"/>
      <c r="H22" s="640" t="s">
        <v>197</v>
      </c>
      <c r="I22" s="639"/>
      <c r="J22" s="640" t="s">
        <v>198</v>
      </c>
      <c r="K22" s="639"/>
      <c r="L22" s="640" t="s">
        <v>199</v>
      </c>
      <c r="M22" s="639"/>
      <c r="N22" s="528"/>
      <c r="O22" s="640" t="s">
        <v>196</v>
      </c>
      <c r="P22" s="640" t="s">
        <v>197</v>
      </c>
      <c r="Q22" s="640" t="s">
        <v>198</v>
      </c>
      <c r="R22" s="640" t="s">
        <v>199</v>
      </c>
      <c r="S22" s="173"/>
      <c r="T22" s="170"/>
    </row>
    <row r="23" spans="1:20" s="31" customFormat="1" ht="15">
      <c r="A23" s="145"/>
      <c r="B23" s="978"/>
      <c r="C23" s="29"/>
      <c r="D23" s="864" t="s">
        <v>331</v>
      </c>
      <c r="F23" s="640" t="s">
        <v>349</v>
      </c>
      <c r="G23" s="640" t="s">
        <v>350</v>
      </c>
      <c r="H23" s="640" t="s">
        <v>349</v>
      </c>
      <c r="I23" s="640" t="s">
        <v>350</v>
      </c>
      <c r="J23" s="640" t="s">
        <v>349</v>
      </c>
      <c r="K23" s="640" t="s">
        <v>350</v>
      </c>
      <c r="L23" s="640" t="s">
        <v>349</v>
      </c>
      <c r="M23" s="640" t="s">
        <v>350</v>
      </c>
      <c r="O23" s="642" t="s">
        <v>311</v>
      </c>
      <c r="P23" s="642" t="s">
        <v>311</v>
      </c>
      <c r="Q23" s="642" t="s">
        <v>311</v>
      </c>
      <c r="R23" s="642" t="s">
        <v>311</v>
      </c>
      <c r="T23" s="170"/>
    </row>
    <row r="24" spans="1:20" s="31" customFormat="1" ht="15" customHeight="1">
      <c r="A24" s="145"/>
      <c r="B24" s="871" t="s">
        <v>51</v>
      </c>
      <c r="C24" s="29"/>
      <c r="D24" s="667"/>
      <c r="F24" s="667"/>
      <c r="G24" s="667"/>
      <c r="H24" s="667"/>
      <c r="I24" s="667"/>
      <c r="J24" s="667"/>
      <c r="K24" s="667"/>
      <c r="L24" s="667"/>
      <c r="M24" s="667"/>
      <c r="O24" s="667"/>
      <c r="P24" s="667"/>
      <c r="Q24" s="667"/>
      <c r="R24" s="667"/>
      <c r="T24" s="170"/>
    </row>
    <row r="25" spans="1:20" s="31" customFormat="1" ht="15" customHeight="1">
      <c r="A25" s="145"/>
      <c r="B25" s="871" t="s">
        <v>52</v>
      </c>
      <c r="C25" s="29"/>
      <c r="D25" s="667"/>
      <c r="F25" s="667"/>
      <c r="G25" s="667"/>
      <c r="H25" s="667"/>
      <c r="I25" s="667"/>
      <c r="J25" s="667"/>
      <c r="K25" s="667"/>
      <c r="L25" s="667"/>
      <c r="M25" s="667"/>
      <c r="O25" s="667"/>
      <c r="P25" s="667"/>
      <c r="Q25" s="667"/>
      <c r="R25" s="667"/>
      <c r="T25" s="170"/>
    </row>
    <row r="26" spans="1:20" s="31" customFormat="1" ht="15" customHeight="1">
      <c r="A26" s="145"/>
      <c r="B26" s="871" t="s">
        <v>10</v>
      </c>
      <c r="C26" s="29"/>
      <c r="D26" s="667"/>
      <c r="F26" s="667"/>
      <c r="G26" s="667"/>
      <c r="H26" s="667"/>
      <c r="I26" s="667"/>
      <c r="J26" s="667"/>
      <c r="K26" s="667"/>
      <c r="L26" s="667"/>
      <c r="M26" s="667"/>
      <c r="O26" s="667"/>
      <c r="P26" s="667"/>
      <c r="Q26" s="667"/>
      <c r="R26" s="667"/>
      <c r="T26" s="170"/>
    </row>
    <row r="27" spans="1:20" s="31" customFormat="1" ht="15" customHeight="1">
      <c r="A27" s="145"/>
      <c r="B27" s="871" t="s">
        <v>11</v>
      </c>
      <c r="C27" s="29"/>
      <c r="D27" s="667"/>
      <c r="F27" s="667"/>
      <c r="G27" s="667"/>
      <c r="H27" s="667"/>
      <c r="I27" s="667"/>
      <c r="J27" s="667"/>
      <c r="K27" s="667"/>
      <c r="L27" s="667"/>
      <c r="M27" s="667"/>
      <c r="O27" s="667"/>
      <c r="P27" s="667"/>
      <c r="Q27" s="667"/>
      <c r="R27" s="667"/>
      <c r="T27" s="170"/>
    </row>
    <row r="28" spans="1:20" s="31" customFormat="1" ht="15" customHeight="1">
      <c r="A28" s="145"/>
      <c r="B28" s="871" t="s">
        <v>12</v>
      </c>
      <c r="C28" s="29"/>
      <c r="D28" s="667"/>
      <c r="F28" s="667"/>
      <c r="G28" s="667"/>
      <c r="H28" s="667"/>
      <c r="I28" s="667"/>
      <c r="J28" s="667"/>
      <c r="K28" s="667"/>
      <c r="L28" s="667"/>
      <c r="M28" s="667"/>
      <c r="O28" s="667"/>
      <c r="P28" s="667"/>
      <c r="Q28" s="667"/>
      <c r="R28" s="667"/>
      <c r="T28" s="170"/>
    </row>
    <row r="29" spans="1:20" s="31" customFormat="1" ht="15">
      <c r="A29" s="145"/>
      <c r="B29" s="871" t="s">
        <v>13</v>
      </c>
      <c r="C29" s="29"/>
      <c r="D29" s="667"/>
      <c r="F29" s="667"/>
      <c r="G29" s="667"/>
      <c r="H29" s="667"/>
      <c r="I29" s="667"/>
      <c r="J29" s="667"/>
      <c r="K29" s="667"/>
      <c r="L29" s="667"/>
      <c r="M29" s="667"/>
      <c r="O29" s="667"/>
      <c r="P29" s="667"/>
      <c r="Q29" s="667"/>
      <c r="R29" s="667"/>
      <c r="T29" s="170"/>
    </row>
    <row r="30" spans="1:20" s="31" customFormat="1" ht="15" customHeight="1">
      <c r="A30" s="145"/>
      <c r="B30" s="871" t="s">
        <v>73</v>
      </c>
      <c r="C30" s="29"/>
      <c r="D30" s="667"/>
      <c r="F30" s="667"/>
      <c r="G30" s="667"/>
      <c r="H30" s="667"/>
      <c r="I30" s="667"/>
      <c r="J30" s="667"/>
      <c r="K30" s="667"/>
      <c r="L30" s="667"/>
      <c r="M30" s="667"/>
      <c r="O30" s="667"/>
      <c r="P30" s="667"/>
      <c r="Q30" s="667"/>
      <c r="R30" s="667"/>
      <c r="T30" s="170"/>
    </row>
    <row r="31" spans="1:20" s="31" customFormat="1" ht="15" customHeight="1">
      <c r="A31" s="145"/>
      <c r="B31" s="871" t="s">
        <v>29</v>
      </c>
      <c r="C31" s="29"/>
      <c r="D31" s="667"/>
      <c r="F31" s="667"/>
      <c r="G31" s="667"/>
      <c r="H31" s="667"/>
      <c r="I31" s="667"/>
      <c r="J31" s="667"/>
      <c r="K31" s="667"/>
      <c r="L31" s="667"/>
      <c r="M31" s="667"/>
      <c r="O31" s="667"/>
      <c r="P31" s="667"/>
      <c r="Q31" s="667"/>
      <c r="R31" s="667"/>
      <c r="T31" s="170"/>
    </row>
    <row r="32" spans="1:20" s="31" customFormat="1" ht="20.100000000000001" customHeight="1">
      <c r="A32" s="145"/>
      <c r="B32" s="871" t="s">
        <v>78</v>
      </c>
      <c r="C32" s="29"/>
      <c r="D32" s="638">
        <f>SUM(D24:D31)</f>
        <v>0</v>
      </c>
      <c r="F32" s="638">
        <f t="shared" ref="F32:L32" si="3">SUM(F24:F31)</f>
        <v>0</v>
      </c>
      <c r="G32" s="638">
        <f t="shared" si="3"/>
        <v>0</v>
      </c>
      <c r="H32" s="638">
        <f t="shared" si="3"/>
        <v>0</v>
      </c>
      <c r="I32" s="638">
        <f t="shared" si="3"/>
        <v>0</v>
      </c>
      <c r="J32" s="638">
        <f t="shared" si="3"/>
        <v>0</v>
      </c>
      <c r="K32" s="638">
        <f t="shared" si="3"/>
        <v>0</v>
      </c>
      <c r="L32" s="638">
        <f t="shared" si="3"/>
        <v>0</v>
      </c>
      <c r="M32" s="638">
        <f t="shared" ref="M32" si="4">SUM(M24:M31)</f>
        <v>0</v>
      </c>
      <c r="O32" s="638">
        <f t="shared" ref="O32:R32" si="5">SUM(O24:O31)</f>
        <v>0</v>
      </c>
      <c r="P32" s="638">
        <f t="shared" si="5"/>
        <v>0</v>
      </c>
      <c r="Q32" s="638">
        <f t="shared" si="5"/>
        <v>0</v>
      </c>
      <c r="R32" s="638">
        <f t="shared" si="5"/>
        <v>0</v>
      </c>
      <c r="T32" s="170"/>
    </row>
    <row r="33" spans="1:20" s="31" customFormat="1" ht="15">
      <c r="A33" s="145"/>
      <c r="B33" s="865"/>
      <c r="C33" s="26"/>
      <c r="D33" s="865"/>
      <c r="E33" s="528"/>
      <c r="F33" s="867"/>
      <c r="G33" s="867"/>
      <c r="H33" s="867"/>
      <c r="I33" s="867"/>
      <c r="J33" s="867"/>
      <c r="K33" s="867"/>
      <c r="L33" s="867"/>
      <c r="M33" s="867"/>
      <c r="N33" s="528"/>
      <c r="O33" s="870"/>
      <c r="P33" s="870"/>
      <c r="Q33" s="870"/>
      <c r="R33" s="870"/>
      <c r="S33" s="528"/>
      <c r="T33" s="27"/>
    </row>
    <row r="34" spans="1:20" s="31" customFormat="1" ht="15">
      <c r="A34" s="145"/>
      <c r="B34" s="862" t="s">
        <v>162</v>
      </c>
      <c r="C34" s="26"/>
      <c r="D34" s="862" t="s">
        <v>332</v>
      </c>
      <c r="E34" s="528"/>
      <c r="F34" s="641" t="s">
        <v>346</v>
      </c>
      <c r="G34" s="641"/>
      <c r="H34" s="641"/>
      <c r="I34" s="641"/>
      <c r="J34" s="641"/>
      <c r="K34" s="641"/>
      <c r="L34" s="641"/>
      <c r="M34" s="866"/>
      <c r="N34" s="528"/>
      <c r="O34" s="641" t="s">
        <v>347</v>
      </c>
      <c r="P34" s="868"/>
      <c r="Q34" s="868"/>
      <c r="R34" s="869"/>
      <c r="S34" s="528"/>
      <c r="T34" s="561" t="s">
        <v>165</v>
      </c>
    </row>
    <row r="35" spans="1:20" s="31" customFormat="1" ht="15" customHeight="1">
      <c r="A35" s="145"/>
      <c r="B35" s="977"/>
      <c r="C35" s="26"/>
      <c r="D35" s="863" t="str">
        <f>PriorPeriod</f>
        <v>2015-16</v>
      </c>
      <c r="E35" s="528"/>
      <c r="F35" s="640" t="s">
        <v>196</v>
      </c>
      <c r="G35" s="639"/>
      <c r="H35" s="640" t="s">
        <v>197</v>
      </c>
      <c r="I35" s="639"/>
      <c r="J35" s="640" t="s">
        <v>198</v>
      </c>
      <c r="K35" s="639"/>
      <c r="L35" s="640" t="s">
        <v>199</v>
      </c>
      <c r="M35" s="639"/>
      <c r="N35" s="528"/>
      <c r="O35" s="640" t="s">
        <v>196</v>
      </c>
      <c r="P35" s="640" t="s">
        <v>197</v>
      </c>
      <c r="Q35" s="640" t="s">
        <v>198</v>
      </c>
      <c r="R35" s="640" t="s">
        <v>199</v>
      </c>
      <c r="S35" s="528"/>
      <c r="T35" s="170"/>
    </row>
    <row r="36" spans="1:20" s="31" customFormat="1" ht="15">
      <c r="A36" s="145"/>
      <c r="B36" s="978"/>
      <c r="C36" s="29"/>
      <c r="D36" s="864" t="s">
        <v>331</v>
      </c>
      <c r="E36" s="527"/>
      <c r="F36" s="640" t="s">
        <v>349</v>
      </c>
      <c r="G36" s="640" t="s">
        <v>350</v>
      </c>
      <c r="H36" s="640" t="s">
        <v>349</v>
      </c>
      <c r="I36" s="640" t="s">
        <v>350</v>
      </c>
      <c r="J36" s="640" t="s">
        <v>349</v>
      </c>
      <c r="K36" s="640" t="s">
        <v>350</v>
      </c>
      <c r="L36" s="640" t="s">
        <v>349</v>
      </c>
      <c r="M36" s="640" t="s">
        <v>350</v>
      </c>
      <c r="O36" s="642" t="s">
        <v>311</v>
      </c>
      <c r="P36" s="642" t="s">
        <v>311</v>
      </c>
      <c r="Q36" s="642" t="s">
        <v>311</v>
      </c>
      <c r="R36" s="642" t="s">
        <v>311</v>
      </c>
      <c r="S36" s="527"/>
      <c r="T36" s="170"/>
    </row>
    <row r="37" spans="1:20" s="31" customFormat="1" ht="15" customHeight="1">
      <c r="A37" s="145"/>
      <c r="B37" s="871" t="s">
        <v>100</v>
      </c>
      <c r="C37" s="29"/>
      <c r="D37" s="667"/>
      <c r="E37" s="527"/>
      <c r="F37" s="667"/>
      <c r="G37" s="667"/>
      <c r="H37" s="667"/>
      <c r="I37" s="667"/>
      <c r="J37" s="667"/>
      <c r="K37" s="667"/>
      <c r="L37" s="667"/>
      <c r="M37" s="667"/>
      <c r="N37" s="527"/>
      <c r="O37" s="667"/>
      <c r="P37" s="667"/>
      <c r="Q37" s="667"/>
      <c r="R37" s="667"/>
      <c r="S37" s="149"/>
      <c r="T37" s="170"/>
    </row>
    <row r="38" spans="1:20" s="31" customFormat="1" ht="15" customHeight="1">
      <c r="A38" s="145"/>
      <c r="B38" s="871" t="s">
        <v>101</v>
      </c>
      <c r="C38" s="29"/>
      <c r="D38" s="667"/>
      <c r="E38" s="527"/>
      <c r="F38" s="667"/>
      <c r="G38" s="667"/>
      <c r="H38" s="667"/>
      <c r="I38" s="667"/>
      <c r="J38" s="667"/>
      <c r="K38" s="667"/>
      <c r="L38" s="667"/>
      <c r="M38" s="667"/>
      <c r="N38" s="527"/>
      <c r="O38" s="667"/>
      <c r="P38" s="667"/>
      <c r="Q38" s="667"/>
      <c r="R38" s="667"/>
      <c r="S38" s="149"/>
      <c r="T38" s="170"/>
    </row>
    <row r="39" spans="1:20" s="31" customFormat="1" ht="15" customHeight="1">
      <c r="A39" s="145"/>
      <c r="B39" s="871" t="s">
        <v>102</v>
      </c>
      <c r="C39" s="29"/>
      <c r="D39" s="667"/>
      <c r="E39" s="527"/>
      <c r="F39" s="667"/>
      <c r="G39" s="667"/>
      <c r="H39" s="667"/>
      <c r="I39" s="667"/>
      <c r="J39" s="667"/>
      <c r="K39" s="667"/>
      <c r="L39" s="667"/>
      <c r="M39" s="667"/>
      <c r="N39" s="527"/>
      <c r="O39" s="667"/>
      <c r="P39" s="667"/>
      <c r="Q39" s="667"/>
      <c r="R39" s="667"/>
      <c r="S39" s="149"/>
      <c r="T39" s="170"/>
    </row>
    <row r="40" spans="1:20" s="31" customFormat="1" ht="15" customHeight="1">
      <c r="A40" s="145"/>
      <c r="B40" s="871" t="s">
        <v>7</v>
      </c>
      <c r="C40" s="29"/>
      <c r="D40" s="667"/>
      <c r="E40" s="527"/>
      <c r="F40" s="667"/>
      <c r="G40" s="667"/>
      <c r="H40" s="667"/>
      <c r="I40" s="667"/>
      <c r="J40" s="667"/>
      <c r="K40" s="667"/>
      <c r="L40" s="667"/>
      <c r="M40" s="667"/>
      <c r="N40" s="527"/>
      <c r="O40" s="667"/>
      <c r="P40" s="667"/>
      <c r="Q40" s="667"/>
      <c r="R40" s="667"/>
      <c r="S40" s="149"/>
      <c r="T40" s="170"/>
    </row>
    <row r="41" spans="1:20" s="31" customFormat="1" ht="15" customHeight="1">
      <c r="A41" s="145"/>
      <c r="B41" s="871" t="s">
        <v>29</v>
      </c>
      <c r="C41" s="29"/>
      <c r="D41" s="667"/>
      <c r="E41" s="527"/>
      <c r="F41" s="667"/>
      <c r="G41" s="667"/>
      <c r="H41" s="667"/>
      <c r="I41" s="667"/>
      <c r="J41" s="667"/>
      <c r="K41" s="667"/>
      <c r="L41" s="667"/>
      <c r="M41" s="667"/>
      <c r="N41" s="527"/>
      <c r="O41" s="667"/>
      <c r="P41" s="667"/>
      <c r="Q41" s="667"/>
      <c r="R41" s="667"/>
      <c r="S41" s="149"/>
      <c r="T41" s="170"/>
    </row>
    <row r="42" spans="1:20" s="31" customFormat="1" ht="20.100000000000001" customHeight="1">
      <c r="A42" s="145"/>
      <c r="B42" s="872" t="s">
        <v>80</v>
      </c>
      <c r="C42" s="29"/>
      <c r="D42" s="643">
        <f t="shared" ref="D42:M42" si="6">SUM(D37:D41)</f>
        <v>0</v>
      </c>
      <c r="E42" s="527"/>
      <c r="F42" s="643">
        <f t="shared" si="6"/>
        <v>0</v>
      </c>
      <c r="G42" s="643">
        <f t="shared" si="6"/>
        <v>0</v>
      </c>
      <c r="H42" s="643">
        <f t="shared" si="6"/>
        <v>0</v>
      </c>
      <c r="I42" s="643">
        <f t="shared" si="6"/>
        <v>0</v>
      </c>
      <c r="J42" s="643">
        <f t="shared" si="6"/>
        <v>0</v>
      </c>
      <c r="K42" s="643">
        <f t="shared" si="6"/>
        <v>0</v>
      </c>
      <c r="L42" s="643">
        <f t="shared" si="6"/>
        <v>0</v>
      </c>
      <c r="M42" s="643">
        <f t="shared" si="6"/>
        <v>0</v>
      </c>
      <c r="N42" s="527"/>
      <c r="O42" s="643">
        <f t="shared" ref="O42:R42" si="7">SUM(O37:O41)</f>
        <v>0</v>
      </c>
      <c r="P42" s="643">
        <f t="shared" si="7"/>
        <v>0</v>
      </c>
      <c r="Q42" s="643">
        <f t="shared" si="7"/>
        <v>0</v>
      </c>
      <c r="R42" s="643">
        <f t="shared" si="7"/>
        <v>0</v>
      </c>
      <c r="S42" s="149"/>
      <c r="T42" s="170"/>
    </row>
    <row r="43" spans="1:20" s="31" customFormat="1" ht="15">
      <c r="A43" s="145"/>
      <c r="B43" s="865"/>
      <c r="C43" s="26"/>
      <c r="D43" s="865"/>
      <c r="E43" s="528"/>
      <c r="F43" s="867"/>
      <c r="G43" s="867"/>
      <c r="H43" s="867"/>
      <c r="I43" s="867"/>
      <c r="J43" s="867"/>
      <c r="K43" s="867"/>
      <c r="L43" s="867"/>
      <c r="M43" s="867"/>
      <c r="N43" s="528"/>
      <c r="O43" s="870"/>
      <c r="P43" s="870"/>
      <c r="Q43" s="870"/>
      <c r="R43" s="870"/>
      <c r="S43" s="528"/>
      <c r="T43" s="27"/>
    </row>
    <row r="44" spans="1:20" s="31" customFormat="1" ht="20.100000000000001" customHeight="1">
      <c r="A44" s="147"/>
      <c r="B44" s="873" t="s">
        <v>159</v>
      </c>
      <c r="C44" s="29"/>
      <c r="D44" s="643">
        <f>D19+D32+D42</f>
        <v>0</v>
      </c>
      <c r="E44" s="527"/>
      <c r="F44" s="643">
        <f t="shared" ref="F44:M44" si="8">F19+F32+F42</f>
        <v>0</v>
      </c>
      <c r="G44" s="643">
        <f t="shared" si="8"/>
        <v>0</v>
      </c>
      <c r="H44" s="643">
        <f t="shared" si="8"/>
        <v>0</v>
      </c>
      <c r="I44" s="643">
        <f t="shared" si="8"/>
        <v>0</v>
      </c>
      <c r="J44" s="643">
        <f t="shared" si="8"/>
        <v>0</v>
      </c>
      <c r="K44" s="643">
        <f t="shared" si="8"/>
        <v>0</v>
      </c>
      <c r="L44" s="643">
        <f t="shared" si="8"/>
        <v>0</v>
      </c>
      <c r="M44" s="643">
        <f t="shared" si="8"/>
        <v>0</v>
      </c>
      <c r="N44" s="527"/>
      <c r="O44" s="643">
        <f t="shared" ref="O44:Q44" si="9">O19+O32+O42</f>
        <v>0</v>
      </c>
      <c r="P44" s="643">
        <f t="shared" si="9"/>
        <v>0</v>
      </c>
      <c r="Q44" s="643">
        <f t="shared" si="9"/>
        <v>0</v>
      </c>
      <c r="R44" s="643">
        <f>R19+R32+R42</f>
        <v>0</v>
      </c>
      <c r="S44" s="149"/>
      <c r="T44" s="170"/>
    </row>
    <row r="45" spans="1:20" s="31" customFormat="1" ht="15">
      <c r="A45" s="147"/>
      <c r="B45" s="172"/>
      <c r="C45" s="172"/>
      <c r="D45" s="173"/>
      <c r="E45" s="174"/>
      <c r="F45" s="174"/>
      <c r="G45" s="174"/>
      <c r="H45" s="174"/>
      <c r="I45" s="174"/>
      <c r="J45" s="174"/>
      <c r="K45" s="174"/>
      <c r="L45" s="174"/>
      <c r="M45" s="174"/>
      <c r="N45" s="174"/>
      <c r="O45" s="174"/>
      <c r="P45" s="174"/>
      <c r="Q45" s="174"/>
      <c r="R45" s="174"/>
      <c r="S45" s="174"/>
      <c r="T45" s="173"/>
    </row>
    <row r="46" spans="1:20" s="31" customFormat="1">
      <c r="A46"/>
      <c r="B46"/>
      <c r="C46"/>
      <c r="D46"/>
      <c r="E46"/>
      <c r="F46"/>
      <c r="G46"/>
      <c r="H46"/>
      <c r="I46"/>
      <c r="J46"/>
      <c r="K46"/>
      <c r="L46"/>
      <c r="M46"/>
      <c r="N46"/>
      <c r="O46"/>
      <c r="P46"/>
      <c r="Q46"/>
      <c r="R46"/>
      <c r="S46"/>
      <c r="T46"/>
    </row>
    <row r="47" spans="1:20" s="31" customFormat="1">
      <c r="B47"/>
      <c r="C47"/>
      <c r="D47"/>
      <c r="E47"/>
      <c r="F47"/>
      <c r="G47"/>
      <c r="H47"/>
      <c r="I47"/>
      <c r="J47"/>
      <c r="K47"/>
      <c r="L47"/>
      <c r="M47"/>
      <c r="N47"/>
      <c r="O47"/>
      <c r="P47"/>
      <c r="Q47"/>
      <c r="R47"/>
      <c r="S47"/>
      <c r="T47"/>
    </row>
    <row r="48" spans="1:20" s="31" customFormat="1" ht="15" customHeight="1">
      <c r="B48"/>
      <c r="C48"/>
      <c r="D48"/>
      <c r="E48"/>
      <c r="F48"/>
      <c r="G48"/>
      <c r="H48"/>
      <c r="I48"/>
      <c r="J48"/>
      <c r="K48"/>
      <c r="L48"/>
      <c r="M48"/>
      <c r="N48"/>
      <c r="O48"/>
      <c r="P48"/>
      <c r="Q48"/>
      <c r="R48"/>
      <c r="S48"/>
      <c r="T48"/>
    </row>
    <row r="49" spans="2:20" s="31" customFormat="1" ht="15" customHeight="1">
      <c r="B49"/>
      <c r="C49"/>
      <c r="D49"/>
      <c r="E49"/>
      <c r="F49"/>
      <c r="G49"/>
      <c r="H49"/>
      <c r="I49"/>
      <c r="J49"/>
      <c r="K49"/>
      <c r="L49"/>
      <c r="M49"/>
      <c r="N49"/>
      <c r="O49"/>
      <c r="P49"/>
      <c r="Q49"/>
      <c r="R49"/>
      <c r="S49"/>
      <c r="T49"/>
    </row>
    <row r="50" spans="2:20" s="31" customFormat="1" ht="15" customHeight="1">
      <c r="B50"/>
      <c r="C50"/>
      <c r="D50"/>
      <c r="E50"/>
      <c r="F50"/>
      <c r="G50"/>
      <c r="H50"/>
      <c r="I50"/>
      <c r="J50"/>
      <c r="K50"/>
      <c r="L50"/>
      <c r="M50"/>
      <c r="N50"/>
      <c r="O50"/>
      <c r="P50"/>
      <c r="Q50"/>
      <c r="R50"/>
      <c r="S50"/>
      <c r="T50"/>
    </row>
    <row r="51" spans="2:20" s="31" customFormat="1" ht="15" customHeight="1">
      <c r="B51"/>
      <c r="C51"/>
      <c r="D51"/>
      <c r="E51"/>
      <c r="F51"/>
      <c r="G51"/>
      <c r="H51"/>
      <c r="I51"/>
      <c r="J51"/>
      <c r="K51"/>
      <c r="L51"/>
      <c r="M51"/>
      <c r="N51"/>
      <c r="O51"/>
      <c r="P51"/>
      <c r="Q51"/>
      <c r="R51"/>
      <c r="S51"/>
      <c r="T51"/>
    </row>
    <row r="52" spans="2:20" s="31" customFormat="1">
      <c r="B52"/>
      <c r="C52"/>
      <c r="D52"/>
      <c r="E52"/>
      <c r="F52"/>
      <c r="G52"/>
      <c r="H52"/>
      <c r="I52"/>
      <c r="J52"/>
      <c r="K52"/>
      <c r="L52"/>
      <c r="M52"/>
      <c r="N52"/>
      <c r="O52"/>
      <c r="P52"/>
      <c r="Q52"/>
      <c r="R52"/>
      <c r="S52"/>
      <c r="T52"/>
    </row>
    <row r="53" spans="2:20" s="31" customFormat="1">
      <c r="B53"/>
      <c r="C53"/>
      <c r="D53"/>
      <c r="E53"/>
      <c r="F53"/>
      <c r="G53"/>
      <c r="H53"/>
      <c r="I53"/>
      <c r="J53"/>
      <c r="K53"/>
      <c r="L53"/>
      <c r="M53"/>
      <c r="N53"/>
      <c r="O53"/>
      <c r="P53"/>
      <c r="Q53"/>
      <c r="R53"/>
      <c r="S53"/>
      <c r="T53"/>
    </row>
    <row r="54" spans="2:20" s="31" customFormat="1">
      <c r="B54"/>
      <c r="C54"/>
      <c r="D54"/>
      <c r="E54"/>
      <c r="F54"/>
      <c r="G54"/>
      <c r="H54"/>
      <c r="I54"/>
      <c r="J54"/>
      <c r="K54"/>
      <c r="L54"/>
      <c r="M54"/>
      <c r="N54"/>
      <c r="O54"/>
      <c r="P54"/>
      <c r="Q54"/>
      <c r="R54"/>
      <c r="S54"/>
      <c r="T54"/>
    </row>
    <row r="55" spans="2:20" s="31" customFormat="1">
      <c r="B55"/>
      <c r="C55"/>
      <c r="D55"/>
      <c r="E55"/>
      <c r="F55"/>
      <c r="G55"/>
      <c r="H55"/>
      <c r="I55"/>
      <c r="J55"/>
      <c r="K55"/>
      <c r="L55"/>
      <c r="M55"/>
      <c r="N55"/>
      <c r="O55"/>
      <c r="P55"/>
      <c r="Q55"/>
      <c r="R55"/>
      <c r="S55"/>
      <c r="T55"/>
    </row>
    <row r="56" spans="2:20" s="31" customFormat="1">
      <c r="B56"/>
      <c r="C56"/>
      <c r="D56"/>
      <c r="E56"/>
      <c r="F56"/>
      <c r="G56"/>
      <c r="H56"/>
      <c r="I56"/>
      <c r="J56"/>
      <c r="K56"/>
      <c r="L56"/>
      <c r="M56"/>
      <c r="N56"/>
      <c r="O56"/>
      <c r="P56"/>
      <c r="Q56"/>
      <c r="R56"/>
      <c r="S56"/>
      <c r="T56"/>
    </row>
    <row r="57" spans="2:20" s="31" customFormat="1">
      <c r="B57"/>
      <c r="C57"/>
      <c r="D57"/>
      <c r="E57"/>
      <c r="F57"/>
      <c r="G57"/>
      <c r="H57"/>
      <c r="I57"/>
      <c r="J57"/>
      <c r="K57"/>
      <c r="L57"/>
      <c r="M57"/>
      <c r="N57"/>
      <c r="O57"/>
      <c r="P57"/>
      <c r="Q57"/>
      <c r="R57"/>
      <c r="S57"/>
      <c r="T57"/>
    </row>
    <row r="58" spans="2:20" s="31" customFormat="1">
      <c r="B58"/>
      <c r="C58"/>
      <c r="D58"/>
      <c r="E58"/>
      <c r="F58"/>
      <c r="G58"/>
      <c r="H58"/>
      <c r="I58"/>
      <c r="J58"/>
      <c r="K58"/>
      <c r="L58"/>
      <c r="M58"/>
      <c r="N58"/>
      <c r="O58"/>
      <c r="P58"/>
      <c r="Q58"/>
      <c r="R58"/>
      <c r="S58"/>
      <c r="T58"/>
    </row>
    <row r="59" spans="2:20" s="31" customFormat="1">
      <c r="B59"/>
      <c r="C59"/>
      <c r="D59"/>
      <c r="E59"/>
      <c r="F59"/>
      <c r="G59"/>
      <c r="H59"/>
      <c r="I59"/>
      <c r="J59"/>
      <c r="K59"/>
      <c r="L59"/>
      <c r="M59"/>
      <c r="N59"/>
      <c r="O59"/>
      <c r="P59"/>
      <c r="Q59"/>
      <c r="R59"/>
      <c r="S59"/>
      <c r="T59"/>
    </row>
    <row r="60" spans="2:20" s="31" customFormat="1" ht="15" customHeight="1">
      <c r="B60"/>
      <c r="C60"/>
      <c r="D60"/>
      <c r="E60"/>
      <c r="F60"/>
      <c r="G60"/>
      <c r="H60"/>
      <c r="I60"/>
      <c r="J60"/>
      <c r="K60"/>
      <c r="L60"/>
      <c r="M60"/>
      <c r="N60"/>
      <c r="O60"/>
      <c r="P60"/>
      <c r="Q60"/>
      <c r="R60"/>
      <c r="S60"/>
      <c r="T60"/>
    </row>
    <row r="61" spans="2:20" s="31" customFormat="1">
      <c r="B61"/>
      <c r="C61"/>
      <c r="D61"/>
      <c r="E61"/>
      <c r="F61"/>
      <c r="G61"/>
      <c r="H61"/>
      <c r="I61"/>
      <c r="J61"/>
      <c r="K61"/>
      <c r="L61"/>
      <c r="M61"/>
      <c r="N61"/>
      <c r="O61"/>
      <c r="P61"/>
      <c r="Q61"/>
      <c r="R61"/>
      <c r="S61"/>
      <c r="T61"/>
    </row>
    <row r="62" spans="2:20" s="31" customFormat="1">
      <c r="B62"/>
      <c r="C62"/>
      <c r="D62"/>
      <c r="E62"/>
      <c r="F62"/>
      <c r="G62"/>
      <c r="H62"/>
      <c r="I62"/>
      <c r="J62"/>
      <c r="K62"/>
      <c r="L62"/>
      <c r="M62"/>
      <c r="N62"/>
      <c r="O62"/>
      <c r="P62"/>
      <c r="Q62"/>
      <c r="R62"/>
      <c r="S62"/>
      <c r="T62"/>
    </row>
    <row r="63" spans="2:20" s="31" customFormat="1">
      <c r="B63"/>
      <c r="C63"/>
      <c r="D63"/>
      <c r="E63"/>
      <c r="F63"/>
      <c r="G63"/>
      <c r="H63"/>
      <c r="I63"/>
      <c r="J63"/>
      <c r="K63"/>
      <c r="L63"/>
      <c r="M63"/>
      <c r="N63"/>
      <c r="O63"/>
      <c r="P63"/>
      <c r="Q63"/>
      <c r="R63"/>
      <c r="S63"/>
      <c r="T63"/>
    </row>
    <row r="64" spans="2:20" s="31" customFormat="1">
      <c r="B64"/>
      <c r="C64"/>
      <c r="D64"/>
      <c r="E64"/>
      <c r="F64"/>
      <c r="G64"/>
      <c r="H64"/>
      <c r="I64"/>
      <c r="J64"/>
      <c r="K64"/>
      <c r="L64"/>
      <c r="M64"/>
      <c r="N64"/>
      <c r="O64"/>
      <c r="P64"/>
      <c r="Q64"/>
      <c r="R64"/>
      <c r="S64"/>
      <c r="T64"/>
    </row>
    <row r="65" spans="2:20" s="31" customFormat="1">
      <c r="B65"/>
      <c r="C65"/>
      <c r="D65"/>
      <c r="E65"/>
      <c r="F65"/>
      <c r="G65"/>
      <c r="H65"/>
      <c r="I65"/>
      <c r="J65"/>
      <c r="K65"/>
      <c r="L65"/>
      <c r="M65"/>
      <c r="N65"/>
      <c r="O65"/>
      <c r="P65"/>
      <c r="Q65"/>
      <c r="R65"/>
      <c r="S65"/>
      <c r="T65"/>
    </row>
    <row r="66" spans="2:20" s="31" customFormat="1">
      <c r="B66"/>
      <c r="C66"/>
      <c r="D66"/>
      <c r="E66"/>
      <c r="F66"/>
      <c r="G66"/>
      <c r="H66"/>
      <c r="I66"/>
      <c r="J66"/>
      <c r="K66"/>
      <c r="L66"/>
      <c r="M66"/>
      <c r="N66"/>
      <c r="O66"/>
      <c r="P66"/>
      <c r="Q66"/>
      <c r="R66"/>
      <c r="S66"/>
      <c r="T66"/>
    </row>
    <row r="67" spans="2:20" s="31" customFormat="1">
      <c r="B67"/>
      <c r="C67"/>
      <c r="D67"/>
      <c r="E67"/>
      <c r="F67"/>
      <c r="G67"/>
      <c r="H67"/>
      <c r="I67"/>
      <c r="J67"/>
      <c r="K67"/>
      <c r="L67"/>
      <c r="M67"/>
      <c r="N67"/>
      <c r="O67"/>
      <c r="P67"/>
      <c r="Q67"/>
      <c r="R67"/>
      <c r="S67"/>
      <c r="T67"/>
    </row>
    <row r="68" spans="2:20" s="31" customFormat="1">
      <c r="B68"/>
      <c r="C68"/>
      <c r="D68"/>
      <c r="E68"/>
      <c r="F68"/>
      <c r="G68"/>
      <c r="H68"/>
      <c r="I68"/>
      <c r="J68"/>
      <c r="K68"/>
      <c r="L68"/>
      <c r="M68"/>
      <c r="N68"/>
      <c r="O68"/>
      <c r="P68"/>
      <c r="Q68"/>
      <c r="R68"/>
      <c r="S68"/>
      <c r="T68"/>
    </row>
    <row r="69" spans="2:20" s="31" customFormat="1">
      <c r="B69"/>
      <c r="C69"/>
      <c r="D69"/>
      <c r="E69"/>
      <c r="F69"/>
      <c r="G69"/>
      <c r="H69"/>
      <c r="I69"/>
      <c r="J69"/>
      <c r="K69"/>
      <c r="L69"/>
      <c r="M69"/>
      <c r="N69"/>
      <c r="O69"/>
      <c r="P69"/>
      <c r="Q69"/>
      <c r="R69"/>
      <c r="S69"/>
      <c r="T69"/>
    </row>
    <row r="70" spans="2:20" s="31" customFormat="1">
      <c r="B70"/>
      <c r="C70"/>
      <c r="D70"/>
      <c r="E70"/>
      <c r="F70"/>
      <c r="G70"/>
      <c r="H70"/>
      <c r="I70"/>
      <c r="J70"/>
      <c r="K70"/>
      <c r="L70"/>
      <c r="M70"/>
      <c r="N70"/>
      <c r="O70"/>
      <c r="P70"/>
      <c r="Q70"/>
      <c r="R70"/>
      <c r="S70"/>
      <c r="T70"/>
    </row>
    <row r="71" spans="2:20" s="31" customFormat="1">
      <c r="B71"/>
      <c r="C71"/>
      <c r="D71"/>
      <c r="E71"/>
      <c r="F71"/>
      <c r="G71"/>
      <c r="H71"/>
      <c r="I71"/>
      <c r="J71"/>
      <c r="K71"/>
      <c r="L71"/>
      <c r="M71"/>
      <c r="N71"/>
      <c r="O71"/>
      <c r="P71"/>
      <c r="Q71"/>
      <c r="R71"/>
      <c r="S71"/>
      <c r="T71"/>
    </row>
    <row r="72" spans="2:20" s="31" customFormat="1">
      <c r="B72"/>
      <c r="C72"/>
      <c r="D72"/>
      <c r="E72"/>
      <c r="F72"/>
      <c r="G72"/>
      <c r="H72"/>
      <c r="I72"/>
      <c r="J72"/>
      <c r="K72"/>
      <c r="L72"/>
      <c r="M72"/>
      <c r="N72"/>
      <c r="O72"/>
      <c r="P72"/>
      <c r="Q72"/>
      <c r="R72"/>
      <c r="S72"/>
      <c r="T72"/>
    </row>
    <row r="73" spans="2:20" s="31" customFormat="1">
      <c r="B73"/>
      <c r="C73"/>
      <c r="D73"/>
      <c r="E73"/>
      <c r="F73"/>
      <c r="G73"/>
      <c r="H73"/>
      <c r="I73"/>
      <c r="J73"/>
      <c r="K73"/>
      <c r="L73"/>
      <c r="M73"/>
      <c r="N73"/>
      <c r="O73"/>
      <c r="P73"/>
      <c r="Q73"/>
      <c r="R73"/>
      <c r="S73"/>
      <c r="T73"/>
    </row>
    <row r="74" spans="2:20" s="31" customFormat="1">
      <c r="B74"/>
      <c r="C74"/>
      <c r="D74"/>
      <c r="E74"/>
      <c r="F74"/>
      <c r="G74"/>
      <c r="H74"/>
      <c r="I74"/>
      <c r="J74"/>
      <c r="K74"/>
      <c r="L74"/>
      <c r="M74"/>
      <c r="N74"/>
      <c r="O74"/>
      <c r="P74"/>
      <c r="Q74"/>
      <c r="R74"/>
      <c r="S74"/>
      <c r="T74"/>
    </row>
    <row r="75" spans="2:20" s="31" customFormat="1">
      <c r="B75"/>
      <c r="C75"/>
      <c r="D75"/>
      <c r="E75"/>
      <c r="F75"/>
      <c r="G75"/>
      <c r="H75"/>
      <c r="I75"/>
      <c r="J75"/>
      <c r="K75"/>
      <c r="L75"/>
      <c r="M75"/>
      <c r="N75"/>
      <c r="O75"/>
      <c r="P75"/>
      <c r="Q75"/>
      <c r="R75"/>
      <c r="S75"/>
      <c r="T75"/>
    </row>
    <row r="76" spans="2:20" s="31" customFormat="1">
      <c r="B76"/>
      <c r="C76"/>
      <c r="D76"/>
      <c r="E76"/>
      <c r="F76"/>
      <c r="G76"/>
      <c r="H76"/>
      <c r="I76"/>
      <c r="J76"/>
      <c r="K76"/>
      <c r="L76"/>
      <c r="M76"/>
      <c r="N76"/>
      <c r="O76"/>
      <c r="P76"/>
      <c r="Q76"/>
      <c r="R76"/>
      <c r="S76"/>
      <c r="T76"/>
    </row>
    <row r="77" spans="2:20" s="31" customFormat="1">
      <c r="B77"/>
      <c r="C77"/>
      <c r="D77"/>
      <c r="E77"/>
      <c r="F77"/>
      <c r="G77"/>
      <c r="H77"/>
      <c r="I77"/>
      <c r="J77"/>
      <c r="K77"/>
      <c r="L77"/>
      <c r="M77"/>
      <c r="N77"/>
      <c r="O77"/>
      <c r="P77"/>
      <c r="Q77"/>
      <c r="R77"/>
      <c r="S77"/>
      <c r="T77"/>
    </row>
    <row r="78" spans="2:20" s="31" customFormat="1">
      <c r="B78"/>
      <c r="C78"/>
      <c r="D78"/>
      <c r="E78"/>
      <c r="F78"/>
      <c r="G78"/>
      <c r="H78"/>
      <c r="I78"/>
      <c r="J78"/>
      <c r="K78"/>
      <c r="L78"/>
      <c r="M78"/>
      <c r="N78"/>
      <c r="O78"/>
      <c r="P78"/>
      <c r="Q78"/>
      <c r="R78"/>
      <c r="S78"/>
      <c r="T78"/>
    </row>
    <row r="79" spans="2:20" s="31" customFormat="1" ht="15">
      <c r="B79" s="26"/>
      <c r="C79" s="26"/>
      <c r="D79" s="26"/>
      <c r="T79" s="27"/>
    </row>
    <row r="80" spans="2:20" s="31" customFormat="1">
      <c r="T80"/>
    </row>
  </sheetData>
  <sheetProtection password="CA09" sheet="1" objects="1" scenarios="1"/>
  <mergeCells count="5">
    <mergeCell ref="O8:R8"/>
    <mergeCell ref="F8:M8"/>
    <mergeCell ref="B11:B12"/>
    <mergeCell ref="B22:B23"/>
    <mergeCell ref="B35:B36"/>
  </mergeCells>
  <conditionalFormatting sqref="B2:T2">
    <cfRule type="expression" dxfId="81" priority="8">
      <formula>$B$2=Mssg1</formula>
    </cfRule>
  </conditionalFormatting>
  <conditionalFormatting sqref="B3:T3">
    <cfRule type="expression" dxfId="80" priority="1">
      <formula>$B$3=Mssg2</formula>
    </cfRule>
  </conditionalFormatting>
  <printOptions horizontalCentered="1"/>
  <pageMargins left="0.49" right="0.45" top="0.31" bottom="0.28000000000000003" header="0.3" footer="0.3"/>
  <pageSetup paperSize="5" scale="50" fitToHeight="2" orientation="landscape" r:id="rId1"/>
  <headerFooter>
    <oddFooter>&amp;CPage &amp;P of &amp;N&amp;R&amp;F</oddFooter>
  </headerFooter>
  <rowBreaks count="1" manualBreakCount="1">
    <brk id="45" min="1"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3366"/>
  </sheetPr>
  <dimension ref="A1:AB182"/>
  <sheetViews>
    <sheetView zoomScale="80" zoomScaleNormal="80" zoomScaleSheetLayoutView="80" workbookViewId="0">
      <pane xSplit="8" ySplit="13" topLeftCell="I14" activePane="bottomRight" state="frozen"/>
      <selection activeCell="J16" sqref="J16"/>
      <selection pane="topRight" activeCell="J16" sqref="J16"/>
      <selection pane="bottomLeft" activeCell="J16" sqref="J16"/>
      <selection pane="bottomRight" activeCell="I18" sqref="I18"/>
    </sheetView>
  </sheetViews>
  <sheetFormatPr defaultRowHeight="13.2"/>
  <cols>
    <col min="1" max="1" width="5.88671875" style="472" hidden="1" customWidth="1"/>
    <col min="2" max="4" width="2.33203125" customWidth="1"/>
    <col min="5" max="5" width="44.33203125" customWidth="1"/>
    <col min="6" max="6" width="2.109375" customWidth="1"/>
    <col min="7" max="7" width="11.88671875" customWidth="1"/>
    <col min="8" max="8" width="2.6640625" customWidth="1"/>
    <col min="9" max="9" width="16.109375" customWidth="1"/>
    <col min="10" max="21" width="12.6640625" customWidth="1"/>
    <col min="22" max="23" width="13.109375" bestFit="1" customWidth="1"/>
    <col min="24" max="26" width="12.6640625" customWidth="1"/>
    <col min="27" max="27" width="51.33203125" customWidth="1"/>
  </cols>
  <sheetData>
    <row r="1" spans="1:28" ht="14.4" hidden="1" thickBot="1">
      <c r="A1" s="483">
        <v>1</v>
      </c>
      <c r="B1" s="263"/>
      <c r="C1" s="263"/>
      <c r="D1" s="263"/>
      <c r="E1" s="262"/>
      <c r="F1" s="262"/>
      <c r="G1" s="261"/>
      <c r="H1" s="260"/>
      <c r="I1" s="260">
        <v>1</v>
      </c>
      <c r="J1" s="260">
        <f>I1+1</f>
        <v>2</v>
      </c>
      <c r="K1" s="260">
        <f t="shared" ref="K1:AA1" si="0">J1+1</f>
        <v>3</v>
      </c>
      <c r="L1" s="260">
        <f t="shared" si="0"/>
        <v>4</v>
      </c>
      <c r="M1" s="260">
        <f t="shared" si="0"/>
        <v>5</v>
      </c>
      <c r="N1" s="260">
        <f t="shared" si="0"/>
        <v>6</v>
      </c>
      <c r="O1" s="260">
        <f t="shared" si="0"/>
        <v>7</v>
      </c>
      <c r="P1" s="260">
        <f t="shared" si="0"/>
        <v>8</v>
      </c>
      <c r="Q1" s="260">
        <f t="shared" si="0"/>
        <v>9</v>
      </c>
      <c r="R1" s="260">
        <f t="shared" si="0"/>
        <v>10</v>
      </c>
      <c r="S1" s="260">
        <f t="shared" si="0"/>
        <v>11</v>
      </c>
      <c r="T1" s="260">
        <f t="shared" si="0"/>
        <v>12</v>
      </c>
      <c r="U1" s="260">
        <f t="shared" si="0"/>
        <v>13</v>
      </c>
      <c r="V1" s="260">
        <f t="shared" si="0"/>
        <v>14</v>
      </c>
      <c r="W1" s="260">
        <f t="shared" si="0"/>
        <v>15</v>
      </c>
      <c r="X1" s="260">
        <f t="shared" si="0"/>
        <v>16</v>
      </c>
      <c r="Y1" s="260">
        <f t="shared" si="0"/>
        <v>17</v>
      </c>
      <c r="Z1" s="260">
        <f t="shared" si="0"/>
        <v>18</v>
      </c>
      <c r="AA1" s="260">
        <f t="shared" si="0"/>
        <v>19</v>
      </c>
    </row>
    <row r="2" spans="1:28" ht="19.5" customHeight="1" thickTop="1">
      <c r="A2" s="484">
        <f>A1+1</f>
        <v>2</v>
      </c>
      <c r="B2" s="715"/>
      <c r="C2" s="716"/>
      <c r="D2" s="716"/>
      <c r="E2" s="716"/>
      <c r="F2" s="716"/>
      <c r="G2" s="716"/>
      <c r="H2" s="717"/>
      <c r="I2" s="716" t="str">
        <f>IF(School="",Mssg1,School)</f>
        <v>Please enter school name on tab - "1) Name of School"</v>
      </c>
      <c r="J2" s="716"/>
      <c r="K2" s="716"/>
      <c r="L2" s="716"/>
      <c r="M2" s="716"/>
      <c r="N2" s="716"/>
      <c r="O2" s="716"/>
      <c r="P2" s="716"/>
      <c r="Q2" s="716"/>
      <c r="R2" s="716"/>
      <c r="S2" s="716"/>
      <c r="T2" s="716"/>
      <c r="U2" s="718"/>
      <c r="V2" s="264" t="str">
        <f>I2</f>
        <v>Please enter school name on tab - "1) Name of School"</v>
      </c>
      <c r="W2" s="265"/>
      <c r="X2" s="265"/>
      <c r="Y2" s="265"/>
      <c r="Z2" s="266"/>
      <c r="AA2" s="719"/>
      <c r="AB2" s="713"/>
    </row>
    <row r="3" spans="1:28" ht="18">
      <c r="A3" s="484">
        <f t="shared" ref="A3:A66" si="1">A2+1</f>
        <v>3</v>
      </c>
      <c r="B3" s="712"/>
      <c r="C3" s="256"/>
      <c r="D3" s="256"/>
      <c r="E3" s="256"/>
      <c r="F3" s="256"/>
      <c r="G3" s="256"/>
      <c r="H3" s="505"/>
      <c r="I3" s="256" t="s">
        <v>229</v>
      </c>
      <c r="J3" s="256"/>
      <c r="K3" s="256"/>
      <c r="L3" s="256"/>
      <c r="M3" s="256"/>
      <c r="N3" s="256"/>
      <c r="O3" s="256"/>
      <c r="P3" s="256"/>
      <c r="Q3" s="256"/>
      <c r="R3" s="256"/>
      <c r="S3" s="256"/>
      <c r="T3" s="256"/>
      <c r="U3" s="255"/>
      <c r="V3" s="979" t="s">
        <v>229</v>
      </c>
      <c r="W3" s="980"/>
      <c r="X3" s="980"/>
      <c r="Y3" s="980"/>
      <c r="Z3" s="981"/>
      <c r="AA3" s="714"/>
      <c r="AB3" s="713"/>
    </row>
    <row r="4" spans="1:28" ht="18">
      <c r="A4" s="484">
        <f t="shared" si="1"/>
        <v>4</v>
      </c>
      <c r="B4" s="712"/>
      <c r="C4" s="256"/>
      <c r="D4" s="256"/>
      <c r="E4" s="256"/>
      <c r="F4" s="256"/>
      <c r="G4" s="256"/>
      <c r="H4" s="505"/>
      <c r="I4" s="256" t="str">
        <f>IF(CONTROL!J12=0,Mssg2,AcadYr1)</f>
        <v>2016-17</v>
      </c>
      <c r="J4" s="256"/>
      <c r="K4" s="256"/>
      <c r="L4" s="256"/>
      <c r="M4" s="256"/>
      <c r="N4" s="256"/>
      <c r="O4" s="256"/>
      <c r="P4" s="256"/>
      <c r="Q4" s="256"/>
      <c r="R4" s="256"/>
      <c r="S4" s="256"/>
      <c r="T4" s="256"/>
      <c r="U4" s="255"/>
      <c r="V4" s="524" t="str">
        <f>IF(I4=Mssg2,"",I4)</f>
        <v>2016-17</v>
      </c>
      <c r="W4" s="188"/>
      <c r="X4" s="188"/>
      <c r="Y4" s="188"/>
      <c r="Z4" s="525"/>
      <c r="AA4" s="526"/>
      <c r="AB4" s="713"/>
    </row>
    <row r="5" spans="1:28" ht="15">
      <c r="A5" s="578">
        <f t="shared" si="1"/>
        <v>5</v>
      </c>
      <c r="B5" s="720"/>
      <c r="C5" s="252"/>
      <c r="D5" s="252"/>
      <c r="E5" s="251"/>
      <c r="F5" s="251"/>
      <c r="G5" s="67"/>
      <c r="H5" s="506"/>
      <c r="I5" s="250"/>
      <c r="J5" s="249"/>
      <c r="K5" s="249"/>
      <c r="L5" s="249"/>
      <c r="M5" s="249"/>
      <c r="N5" s="249"/>
      <c r="O5" s="249"/>
      <c r="P5" s="249"/>
      <c r="Q5" s="249"/>
      <c r="R5" s="249"/>
      <c r="S5" s="250"/>
      <c r="T5" s="250"/>
      <c r="U5" s="248"/>
      <c r="V5" s="707"/>
      <c r="W5" s="319"/>
      <c r="X5" s="319"/>
      <c r="Y5" s="75"/>
      <c r="Z5" s="708"/>
      <c r="AA5" s="247"/>
      <c r="AB5" s="713"/>
    </row>
    <row r="6" spans="1:28" ht="15">
      <c r="A6" s="484">
        <f t="shared" si="1"/>
        <v>6</v>
      </c>
      <c r="B6" s="626" t="s">
        <v>23</v>
      </c>
      <c r="C6" s="612"/>
      <c r="D6" s="612"/>
      <c r="E6" s="613"/>
      <c r="F6" s="613"/>
      <c r="G6" s="614"/>
      <c r="H6" s="721"/>
      <c r="I6" s="615">
        <f>I65</f>
        <v>0</v>
      </c>
      <c r="J6" s="616">
        <f>J65</f>
        <v>0</v>
      </c>
      <c r="K6" s="615">
        <f>IF(K$18&lt;&gt;0,K65,0)</f>
        <v>0</v>
      </c>
      <c r="L6" s="722">
        <f>IF(K$18&lt;&gt;0,L65,0)</f>
        <v>0</v>
      </c>
      <c r="M6" s="616">
        <f>M65</f>
        <v>0</v>
      </c>
      <c r="N6" s="615">
        <f>IF(N$18&lt;&gt;0,N65,0)</f>
        <v>0</v>
      </c>
      <c r="O6" s="722">
        <f>IF(N$18&lt;&gt;0,O65,0)</f>
        <v>0</v>
      </c>
      <c r="P6" s="616">
        <f>P65</f>
        <v>0</v>
      </c>
      <c r="Q6" s="615">
        <f>IF(Q$18&lt;&gt;0,Q65,0)</f>
        <v>0</v>
      </c>
      <c r="R6" s="722">
        <f>IF(Q$18&lt;&gt;0,R65,0)</f>
        <v>0</v>
      </c>
      <c r="S6" s="616">
        <f>S65</f>
        <v>0</v>
      </c>
      <c r="T6" s="615">
        <f>IF(T$18&lt;&gt;0,T65,0)</f>
        <v>0</v>
      </c>
      <c r="U6" s="723">
        <f>IF(T$18&lt;&gt;0,U65,0)</f>
        <v>0</v>
      </c>
      <c r="V6" s="615">
        <f>V65</f>
        <v>0</v>
      </c>
      <c r="W6" s="615">
        <f>W65</f>
        <v>0</v>
      </c>
      <c r="X6" s="722">
        <f>X65</f>
        <v>0</v>
      </c>
      <c r="Y6" s="616">
        <f>Y65</f>
        <v>0</v>
      </c>
      <c r="Z6" s="622">
        <f>Z65</f>
        <v>0</v>
      </c>
      <c r="AA6" s="246"/>
      <c r="AB6" s="713"/>
    </row>
    <row r="7" spans="1:28" ht="18">
      <c r="A7" s="484">
        <f t="shared" si="1"/>
        <v>7</v>
      </c>
      <c r="B7" s="65" t="s">
        <v>0</v>
      </c>
      <c r="C7" s="603"/>
      <c r="D7" s="66"/>
      <c r="E7" s="69"/>
      <c r="F7" s="69"/>
      <c r="G7" s="59"/>
      <c r="H7" s="242"/>
      <c r="I7" s="71">
        <f>I155</f>
        <v>0</v>
      </c>
      <c r="J7" s="245">
        <f>J155</f>
        <v>0</v>
      </c>
      <c r="K7" s="71">
        <f>IF(K$18&lt;&gt;0,K155,0)</f>
        <v>0</v>
      </c>
      <c r="L7" s="244">
        <f>IF(K$18&lt;&gt;0,L155,0)</f>
        <v>0</v>
      </c>
      <c r="M7" s="245">
        <f>M155</f>
        <v>0</v>
      </c>
      <c r="N7" s="71">
        <f>IF(N$18&lt;&gt;0,N155,0)</f>
        <v>0</v>
      </c>
      <c r="O7" s="244">
        <f>IF(N$18&lt;&gt;0,O155,0)</f>
        <v>0</v>
      </c>
      <c r="P7" s="245">
        <f>P155</f>
        <v>0</v>
      </c>
      <c r="Q7" s="71">
        <f>IF(Q$18&lt;&gt;0,Q155,0)</f>
        <v>0</v>
      </c>
      <c r="R7" s="244">
        <f>IF(Q$18&lt;&gt;0,R155,0)</f>
        <v>0</v>
      </c>
      <c r="S7" s="245">
        <f>S155</f>
        <v>0</v>
      </c>
      <c r="T7" s="71">
        <f>IF(T$18&lt;&gt;0,T155,0)</f>
        <v>0</v>
      </c>
      <c r="U7" s="243">
        <f>IF(T$18&lt;&gt;0,U155,0)</f>
        <v>0</v>
      </c>
      <c r="V7" s="71">
        <f>V155</f>
        <v>0</v>
      </c>
      <c r="W7" s="71">
        <f>W155</f>
        <v>0</v>
      </c>
      <c r="X7" s="244">
        <f>X155</f>
        <v>0</v>
      </c>
      <c r="Y7" s="245">
        <f>Y155</f>
        <v>0</v>
      </c>
      <c r="Z7" s="365">
        <f>Z155</f>
        <v>0</v>
      </c>
      <c r="AA7" s="246"/>
    </row>
    <row r="8" spans="1:28" ht="15">
      <c r="A8" s="484">
        <f t="shared" si="1"/>
        <v>8</v>
      </c>
      <c r="B8" s="65" t="s">
        <v>22</v>
      </c>
      <c r="C8" s="66"/>
      <c r="D8" s="66"/>
      <c r="E8" s="69"/>
      <c r="F8" s="69"/>
      <c r="G8" s="59"/>
      <c r="H8" s="242"/>
      <c r="I8" s="71">
        <f>I6-I7</f>
        <v>0</v>
      </c>
      <c r="J8" s="245">
        <f>J157</f>
        <v>0</v>
      </c>
      <c r="K8" s="71">
        <f>IF(K$18&lt;&gt;0,K157,0)</f>
        <v>0</v>
      </c>
      <c r="L8" s="242">
        <f>IF(K$18&lt;&gt;0,L157,0)</f>
        <v>0</v>
      </c>
      <c r="M8" s="245">
        <f>M157</f>
        <v>0</v>
      </c>
      <c r="N8" s="71">
        <f>IF(N$18&lt;&gt;0,N157,0)</f>
        <v>0</v>
      </c>
      <c r="O8" s="242">
        <f>IF(N$18&lt;&gt;0,O157,0)</f>
        <v>0</v>
      </c>
      <c r="P8" s="245">
        <f>P157</f>
        <v>0</v>
      </c>
      <c r="Q8" s="71">
        <f>IF(Q$18&lt;&gt;0,Q157,0)</f>
        <v>0</v>
      </c>
      <c r="R8" s="242">
        <f>IF(Q$18&lt;&gt;0,R157,0)</f>
        <v>0</v>
      </c>
      <c r="S8" s="245">
        <f>S157</f>
        <v>0</v>
      </c>
      <c r="T8" s="71">
        <f>IF(T$18&lt;&gt;0,T157,0)</f>
        <v>0</v>
      </c>
      <c r="U8" s="72">
        <f>IF(T$18&lt;&gt;0,U157,0)</f>
        <v>0</v>
      </c>
      <c r="V8" s="71">
        <f>V157</f>
        <v>0</v>
      </c>
      <c r="W8" s="71">
        <f>W157</f>
        <v>0</v>
      </c>
      <c r="X8" s="242">
        <f>X157</f>
        <v>0</v>
      </c>
      <c r="Y8" s="245">
        <f>Y157</f>
        <v>0</v>
      </c>
      <c r="Z8" s="365">
        <f>Z157</f>
        <v>0</v>
      </c>
      <c r="AA8" s="246"/>
    </row>
    <row r="9" spans="1:28" ht="15">
      <c r="A9" s="484">
        <f t="shared" si="1"/>
        <v>9</v>
      </c>
      <c r="B9" s="65" t="s">
        <v>230</v>
      </c>
      <c r="C9" s="66"/>
      <c r="D9" s="66"/>
      <c r="E9" s="69"/>
      <c r="F9" s="69"/>
      <c r="G9" s="59"/>
      <c r="H9" s="242"/>
      <c r="I9" s="71">
        <f>I177</f>
        <v>0</v>
      </c>
      <c r="J9" s="245">
        <f>J177</f>
        <v>0</v>
      </c>
      <c r="K9" s="71">
        <f>IF(K$161&lt;&gt;0,K177,0)</f>
        <v>0</v>
      </c>
      <c r="L9" s="244">
        <f>IF(K$161&lt;&gt;0,K177-J9,0)</f>
        <v>0</v>
      </c>
      <c r="M9" s="245">
        <f>M177</f>
        <v>0</v>
      </c>
      <c r="N9" s="71">
        <f>IF(N$161&lt;&gt;0,N177,0)</f>
        <v>0</v>
      </c>
      <c r="O9" s="244">
        <f>IF(N$161&lt;&gt;0,N177-M9,0)</f>
        <v>0</v>
      </c>
      <c r="P9" s="245">
        <f>P177</f>
        <v>0</v>
      </c>
      <c r="Q9" s="71">
        <f>IF(Q$161&lt;&gt;0,Q177,0)</f>
        <v>0</v>
      </c>
      <c r="R9" s="244">
        <f>IF(Q$161&lt;&gt;0,Q177-P9,0)</f>
        <v>0</v>
      </c>
      <c r="S9" s="245">
        <f>S177</f>
        <v>0</v>
      </c>
      <c r="T9" s="71">
        <f>IF(T$161&lt;&gt;0,T177,0)</f>
        <v>0</v>
      </c>
      <c r="U9" s="243">
        <f>IF(T$161&lt;&gt;0,T177-S9,0)</f>
        <v>0</v>
      </c>
      <c r="V9" s="71"/>
      <c r="W9" s="71"/>
      <c r="X9" s="241"/>
      <c r="Y9" s="240"/>
      <c r="Z9" s="365"/>
      <c r="AA9" s="246"/>
    </row>
    <row r="10" spans="1:28" ht="15" hidden="1">
      <c r="A10" s="484">
        <f t="shared" si="1"/>
        <v>10</v>
      </c>
      <c r="B10" s="73" t="s">
        <v>231</v>
      </c>
      <c r="C10" s="74"/>
      <c r="D10" s="74"/>
      <c r="E10" s="75"/>
      <c r="F10" s="75"/>
      <c r="G10" s="76"/>
      <c r="H10" s="237"/>
      <c r="I10" s="576">
        <v>0</v>
      </c>
      <c r="J10" s="239">
        <v>0</v>
      </c>
      <c r="K10" s="238">
        <v>0</v>
      </c>
      <c r="L10" s="237">
        <f>IF(K161&gt;0,K10-J10,0)</f>
        <v>0</v>
      </c>
      <c r="M10" s="239">
        <v>0</v>
      </c>
      <c r="N10" s="238">
        <v>0</v>
      </c>
      <c r="O10" s="237">
        <f>IF(N161&gt;0,N10-M10,0)</f>
        <v>0</v>
      </c>
      <c r="P10" s="239">
        <v>0</v>
      </c>
      <c r="Q10" s="238">
        <v>0</v>
      </c>
      <c r="R10" s="237">
        <f>IF(Q161&gt;0,Q10-P10,0)</f>
        <v>0</v>
      </c>
      <c r="S10" s="239">
        <v>0</v>
      </c>
      <c r="T10" s="238">
        <v>0</v>
      </c>
      <c r="U10" s="80">
        <f>IF(T161&gt;0,T10-S10,0)</f>
        <v>0</v>
      </c>
      <c r="V10" s="78"/>
      <c r="W10" s="78"/>
      <c r="X10" s="237"/>
      <c r="Y10" s="267"/>
      <c r="Z10" s="373"/>
      <c r="AA10" s="246"/>
    </row>
    <row r="11" spans="1:28" ht="15">
      <c r="A11" s="484">
        <f t="shared" si="1"/>
        <v>11</v>
      </c>
      <c r="B11" s="81"/>
      <c r="C11" s="82"/>
      <c r="D11" s="82"/>
      <c r="E11" s="69"/>
      <c r="F11" s="69"/>
      <c r="G11" s="59"/>
      <c r="H11" s="507"/>
      <c r="I11" s="83"/>
      <c r="J11" s="83"/>
      <c r="K11" s="83"/>
      <c r="L11" s="83"/>
      <c r="M11" s="83"/>
      <c r="N11" s="83"/>
      <c r="O11" s="83"/>
      <c r="P11" s="83"/>
      <c r="Q11" s="83"/>
      <c r="R11" s="83"/>
      <c r="S11" s="83"/>
      <c r="T11" s="83"/>
      <c r="U11" s="84"/>
      <c r="V11" s="318"/>
      <c r="W11" s="318"/>
      <c r="X11" s="318"/>
      <c r="Y11" s="318"/>
      <c r="Z11" s="318"/>
      <c r="AA11" s="247"/>
    </row>
    <row r="12" spans="1:28" ht="15" customHeight="1">
      <c r="A12" s="484">
        <f t="shared" si="1"/>
        <v>12</v>
      </c>
      <c r="B12" s="990"/>
      <c r="C12" s="991"/>
      <c r="D12" s="991"/>
      <c r="E12" s="991"/>
      <c r="F12" s="670"/>
      <c r="G12" s="994"/>
      <c r="H12" s="996"/>
      <c r="I12" s="615" t="s">
        <v>232</v>
      </c>
      <c r="J12" s="983" t="s">
        <v>233</v>
      </c>
      <c r="K12" s="984"/>
      <c r="L12" s="984"/>
      <c r="M12" s="983" t="s">
        <v>234</v>
      </c>
      <c r="N12" s="984"/>
      <c r="O12" s="998"/>
      <c r="P12" s="983" t="s">
        <v>235</v>
      </c>
      <c r="Q12" s="984"/>
      <c r="R12" s="998"/>
      <c r="S12" s="983" t="s">
        <v>236</v>
      </c>
      <c r="T12" s="984"/>
      <c r="U12" s="985"/>
      <c r="V12" s="986" t="s">
        <v>237</v>
      </c>
      <c r="W12" s="987"/>
      <c r="X12" s="988"/>
      <c r="Y12" s="987" t="s">
        <v>238</v>
      </c>
      <c r="Z12" s="989"/>
      <c r="AA12" s="247"/>
    </row>
    <row r="13" spans="1:28" ht="49.5" customHeight="1">
      <c r="A13" s="484">
        <f t="shared" si="1"/>
        <v>13</v>
      </c>
      <c r="B13" s="992"/>
      <c r="C13" s="993"/>
      <c r="D13" s="993"/>
      <c r="E13" s="993"/>
      <c r="F13" s="671"/>
      <c r="G13" s="995"/>
      <c r="H13" s="997"/>
      <c r="I13" s="269" t="str">
        <f>PriorPeriod&amp;" Revenue Per Pupil"</f>
        <v>2015-16 Revenue Per Pupil</v>
      </c>
      <c r="J13" s="268" t="s">
        <v>292</v>
      </c>
      <c r="K13" s="269" t="s">
        <v>293</v>
      </c>
      <c r="L13" s="269" t="s">
        <v>239</v>
      </c>
      <c r="M13" s="268" t="s">
        <v>292</v>
      </c>
      <c r="N13" s="269" t="s">
        <v>293</v>
      </c>
      <c r="O13" s="270" t="s">
        <v>239</v>
      </c>
      <c r="P13" s="268" t="s">
        <v>292</v>
      </c>
      <c r="Q13" s="269" t="s">
        <v>293</v>
      </c>
      <c r="R13" s="270" t="s">
        <v>239</v>
      </c>
      <c r="S13" s="268" t="s">
        <v>292</v>
      </c>
      <c r="T13" s="269" t="s">
        <v>293</v>
      </c>
      <c r="U13" s="271" t="s">
        <v>239</v>
      </c>
      <c r="V13" s="268" t="s">
        <v>292</v>
      </c>
      <c r="W13" s="269" t="s">
        <v>293</v>
      </c>
      <c r="X13" s="270" t="s">
        <v>239</v>
      </c>
      <c r="Y13" s="571" t="s">
        <v>294</v>
      </c>
      <c r="Z13" s="572" t="s">
        <v>295</v>
      </c>
      <c r="AA13" s="254" t="s">
        <v>97</v>
      </c>
    </row>
    <row r="14" spans="1:28" ht="15">
      <c r="A14" s="484">
        <f t="shared" si="1"/>
        <v>14</v>
      </c>
      <c r="B14" s="724"/>
      <c r="C14" s="725"/>
      <c r="D14" s="725"/>
      <c r="E14" s="726"/>
      <c r="F14" s="726"/>
      <c r="G14" s="727"/>
      <c r="H14" s="728"/>
      <c r="I14" s="999" t="s">
        <v>1250</v>
      </c>
      <c r="J14" s="1002" t="s">
        <v>1237</v>
      </c>
      <c r="K14" s="1002"/>
      <c r="L14" s="1002"/>
      <c r="M14" s="1002"/>
      <c r="N14" s="1002"/>
      <c r="O14" s="1002"/>
      <c r="P14" s="1002"/>
      <c r="Q14" s="1002"/>
      <c r="R14" s="1002"/>
      <c r="S14" s="1002"/>
      <c r="T14" s="1002"/>
      <c r="U14" s="1003"/>
      <c r="V14" s="710"/>
      <c r="W14" s="709"/>
      <c r="X14" s="709"/>
      <c r="Y14" s="709"/>
      <c r="Z14" s="729"/>
      <c r="AA14" s="273"/>
    </row>
    <row r="15" spans="1:28" ht="15" customHeight="1">
      <c r="A15" s="484">
        <f t="shared" si="1"/>
        <v>15</v>
      </c>
      <c r="B15" s="92" t="s">
        <v>24</v>
      </c>
      <c r="C15" s="93"/>
      <c r="D15" s="93"/>
      <c r="E15" s="94"/>
      <c r="F15" s="94"/>
      <c r="G15" s="57"/>
      <c r="H15" s="241"/>
      <c r="I15" s="1000"/>
      <c r="J15" s="1004"/>
      <c r="K15" s="1004"/>
      <c r="L15" s="1004"/>
      <c r="M15" s="1004"/>
      <c r="N15" s="1004"/>
      <c r="O15" s="1004"/>
      <c r="P15" s="1004"/>
      <c r="Q15" s="1004"/>
      <c r="R15" s="1004"/>
      <c r="S15" s="1004"/>
      <c r="T15" s="1004"/>
      <c r="U15" s="1005"/>
      <c r="V15" s="375"/>
      <c r="W15" s="274"/>
      <c r="X15" s="274"/>
      <c r="Y15" s="274"/>
      <c r="Z15" s="275"/>
      <c r="AA15" s="276"/>
    </row>
    <row r="16" spans="1:28" ht="19.5" customHeight="1">
      <c r="A16" s="484">
        <f t="shared" si="1"/>
        <v>16</v>
      </c>
      <c r="B16" s="92"/>
      <c r="C16" s="93" t="s">
        <v>25</v>
      </c>
      <c r="D16" s="93"/>
      <c r="E16" s="94"/>
      <c r="F16" s="94"/>
      <c r="G16" s="57" t="str">
        <f>PPR_Tbl_Date</f>
        <v>2016-17</v>
      </c>
      <c r="H16" s="241"/>
      <c r="I16" s="1001"/>
      <c r="J16" s="1006"/>
      <c r="K16" s="1006"/>
      <c r="L16" s="1006"/>
      <c r="M16" s="1006"/>
      <c r="N16" s="1006"/>
      <c r="O16" s="1006"/>
      <c r="P16" s="1006"/>
      <c r="Q16" s="1006"/>
      <c r="R16" s="1006"/>
      <c r="S16" s="1006"/>
      <c r="T16" s="1006"/>
      <c r="U16" s="1007"/>
      <c r="V16" s="375"/>
      <c r="W16" s="274"/>
      <c r="X16" s="274"/>
      <c r="Y16" s="274"/>
      <c r="Z16" s="275"/>
      <c r="AA16" s="276"/>
    </row>
    <row r="17" spans="1:27" ht="15">
      <c r="A17" s="484">
        <f t="shared" si="1"/>
        <v>17</v>
      </c>
      <c r="B17" s="96"/>
      <c r="C17" s="50"/>
      <c r="D17" s="93" t="s">
        <v>21</v>
      </c>
      <c r="E17" s="94"/>
      <c r="F17" s="94"/>
      <c r="G17" s="592" t="s">
        <v>118</v>
      </c>
      <c r="H17" s="241"/>
      <c r="I17" s="952" t="s">
        <v>1238</v>
      </c>
      <c r="J17" s="953">
        <v>0.25</v>
      </c>
      <c r="K17" s="921">
        <v>0.25</v>
      </c>
      <c r="L17" s="955"/>
      <c r="M17" s="953">
        <v>0.25</v>
      </c>
      <c r="N17" s="921">
        <v>0.25</v>
      </c>
      <c r="O17" s="957"/>
      <c r="P17" s="953">
        <v>0.25</v>
      </c>
      <c r="Q17" s="921">
        <v>0.25</v>
      </c>
      <c r="R17" s="957"/>
      <c r="S17" s="958">
        <f>1-(J17+M17+P17)</f>
        <v>0.25</v>
      </c>
      <c r="T17" s="922">
        <f>1-(K17+N17+Q17)</f>
        <v>0.25</v>
      </c>
      <c r="U17" s="923"/>
      <c r="V17" s="711"/>
      <c r="W17" s="98"/>
      <c r="X17" s="98"/>
      <c r="Y17" s="98"/>
      <c r="Z17" s="99"/>
      <c r="AA17" s="276"/>
    </row>
    <row r="18" spans="1:27" ht="15">
      <c r="A18" s="484">
        <f t="shared" si="1"/>
        <v>18</v>
      </c>
      <c r="B18" s="96"/>
      <c r="C18" s="50"/>
      <c r="D18" s="589"/>
      <c r="E18" s="321" t="str">
        <f>CONTROL!B52</f>
        <v>-</v>
      </c>
      <c r="F18" s="53"/>
      <c r="G18" s="730">
        <f>CONTROL!C52</f>
        <v>0</v>
      </c>
      <c r="H18" s="241"/>
      <c r="I18" s="954"/>
      <c r="J18" s="731">
        <f>CONTROL!$F52</f>
        <v>0</v>
      </c>
      <c r="K18" s="732">
        <f>CONTROL!L52</f>
        <v>0</v>
      </c>
      <c r="L18" s="956">
        <f t="shared" ref="L18:L33" si="2">IF(K$18&lt;&gt;0,K18-J18,0)</f>
        <v>0</v>
      </c>
      <c r="M18" s="731">
        <f>CONTROL!G52</f>
        <v>0</v>
      </c>
      <c r="N18" s="732">
        <f>CONTROL!M52</f>
        <v>0</v>
      </c>
      <c r="O18" s="956">
        <f t="shared" ref="O18:O33" si="3">IF(N$18&lt;&gt;0,N18-M18,0)</f>
        <v>0</v>
      </c>
      <c r="P18" s="731">
        <f>CONTROL!H52</f>
        <v>0</v>
      </c>
      <c r="Q18" s="732">
        <f>CONTROL!N52</f>
        <v>0</v>
      </c>
      <c r="R18" s="956">
        <f t="shared" ref="R18:R33" si="4">IF(Q$18&lt;&gt;0,Q18-P18,0)</f>
        <v>0</v>
      </c>
      <c r="S18" s="731">
        <f>CONTROL!I52</f>
        <v>0</v>
      </c>
      <c r="T18" s="732">
        <f>CONTROL!O52</f>
        <v>0</v>
      </c>
      <c r="U18" s="734">
        <f t="shared" ref="U18:U33" si="5">IF(T$18&lt;&gt;0,T18-S18,0)</f>
        <v>0</v>
      </c>
      <c r="V18" s="735">
        <f t="shared" ref="V18:V33" si="6">J18+M18+P18+S18</f>
        <v>0</v>
      </c>
      <c r="W18" s="736">
        <f t="shared" ref="W18:W33" si="7">SUM(IF(K$18&lt;&gt;0,K18,J18)+IF(N$18&lt;&gt;0,N18,M18)+IF(Q$18&lt;&gt;0,Q18,P18)+IF(T$18&lt;&gt;0,T18,S18))</f>
        <v>0</v>
      </c>
      <c r="X18" s="733">
        <f t="shared" ref="X18:X33" si="8">W18-V18</f>
        <v>0</v>
      </c>
      <c r="Y18" s="737">
        <f t="shared" ref="Y18:Y33" si="9">V18-I18</f>
        <v>0</v>
      </c>
      <c r="Z18" s="738">
        <f t="shared" ref="Z18:Z33" si="10">W18-I18</f>
        <v>0</v>
      </c>
      <c r="AA18" s="280"/>
    </row>
    <row r="19" spans="1:27" ht="15">
      <c r="A19" s="484">
        <f t="shared" si="1"/>
        <v>19</v>
      </c>
      <c r="B19" s="96"/>
      <c r="C19" s="50"/>
      <c r="D19" s="589"/>
      <c r="E19" s="321" t="str">
        <f>CONTROL!B53</f>
        <v>-</v>
      </c>
      <c r="F19" s="53"/>
      <c r="G19" s="730">
        <f>CONTROL!C53</f>
        <v>0</v>
      </c>
      <c r="H19" s="241"/>
      <c r="I19" s="666"/>
      <c r="J19" s="731">
        <f>CONTROL!$F53</f>
        <v>0</v>
      </c>
      <c r="K19" s="732">
        <f>CONTROL!L53</f>
        <v>0</v>
      </c>
      <c r="L19" s="733">
        <f t="shared" si="2"/>
        <v>0</v>
      </c>
      <c r="M19" s="731">
        <f>CONTROL!G53</f>
        <v>0</v>
      </c>
      <c r="N19" s="732">
        <f>CONTROL!M53</f>
        <v>0</v>
      </c>
      <c r="O19" s="733">
        <f t="shared" si="3"/>
        <v>0</v>
      </c>
      <c r="P19" s="731">
        <f>CONTROL!H53</f>
        <v>0</v>
      </c>
      <c r="Q19" s="732">
        <f>CONTROL!N53</f>
        <v>0</v>
      </c>
      <c r="R19" s="733">
        <f t="shared" si="4"/>
        <v>0</v>
      </c>
      <c r="S19" s="731">
        <f>CONTROL!I53</f>
        <v>0</v>
      </c>
      <c r="T19" s="732">
        <f>CONTROL!O53</f>
        <v>0</v>
      </c>
      <c r="U19" s="734">
        <f t="shared" si="5"/>
        <v>0</v>
      </c>
      <c r="V19" s="735">
        <f t="shared" si="6"/>
        <v>0</v>
      </c>
      <c r="W19" s="736">
        <f t="shared" si="7"/>
        <v>0</v>
      </c>
      <c r="X19" s="733">
        <f t="shared" si="8"/>
        <v>0</v>
      </c>
      <c r="Y19" s="737">
        <f t="shared" si="9"/>
        <v>0</v>
      </c>
      <c r="Z19" s="738">
        <f t="shared" si="10"/>
        <v>0</v>
      </c>
      <c r="AA19" s="280"/>
    </row>
    <row r="20" spans="1:27" ht="15">
      <c r="A20" s="484">
        <f t="shared" si="1"/>
        <v>20</v>
      </c>
      <c r="B20" s="96"/>
      <c r="C20" s="50"/>
      <c r="D20" s="589"/>
      <c r="E20" s="321" t="str">
        <f>CONTROL!B54</f>
        <v>-</v>
      </c>
      <c r="F20" s="53"/>
      <c r="G20" s="730">
        <f>CONTROL!C54</f>
        <v>0</v>
      </c>
      <c r="H20" s="241"/>
      <c r="I20" s="666"/>
      <c r="J20" s="731">
        <f>CONTROL!$F54</f>
        <v>0</v>
      </c>
      <c r="K20" s="732">
        <f>CONTROL!L54</f>
        <v>0</v>
      </c>
      <c r="L20" s="733">
        <f t="shared" si="2"/>
        <v>0</v>
      </c>
      <c r="M20" s="731">
        <f>CONTROL!G54</f>
        <v>0</v>
      </c>
      <c r="N20" s="732">
        <f>CONTROL!M54</f>
        <v>0</v>
      </c>
      <c r="O20" s="733">
        <f t="shared" si="3"/>
        <v>0</v>
      </c>
      <c r="P20" s="731">
        <f>CONTROL!H54</f>
        <v>0</v>
      </c>
      <c r="Q20" s="732">
        <f>CONTROL!N54</f>
        <v>0</v>
      </c>
      <c r="R20" s="733">
        <f t="shared" si="4"/>
        <v>0</v>
      </c>
      <c r="S20" s="731">
        <f>CONTROL!I54</f>
        <v>0</v>
      </c>
      <c r="T20" s="732">
        <f>CONTROL!O54</f>
        <v>0</v>
      </c>
      <c r="U20" s="734">
        <f t="shared" si="5"/>
        <v>0</v>
      </c>
      <c r="V20" s="735">
        <f t="shared" si="6"/>
        <v>0</v>
      </c>
      <c r="W20" s="736">
        <f t="shared" si="7"/>
        <v>0</v>
      </c>
      <c r="X20" s="733">
        <f t="shared" si="8"/>
        <v>0</v>
      </c>
      <c r="Y20" s="737">
        <f t="shared" si="9"/>
        <v>0</v>
      </c>
      <c r="Z20" s="738">
        <f t="shared" si="10"/>
        <v>0</v>
      </c>
      <c r="AA20" s="280"/>
    </row>
    <row r="21" spans="1:27" ht="15">
      <c r="A21" s="484">
        <f t="shared" si="1"/>
        <v>21</v>
      </c>
      <c r="B21" s="96"/>
      <c r="C21" s="50"/>
      <c r="D21" s="589"/>
      <c r="E21" s="321" t="str">
        <f>CONTROL!B55</f>
        <v>-</v>
      </c>
      <c r="F21" s="53"/>
      <c r="G21" s="730">
        <f>CONTROL!C55</f>
        <v>0</v>
      </c>
      <c r="H21" s="241"/>
      <c r="I21" s="739"/>
      <c r="J21" s="731">
        <f>CONTROL!$F55</f>
        <v>0</v>
      </c>
      <c r="K21" s="732">
        <f>CONTROL!L55</f>
        <v>0</v>
      </c>
      <c r="L21" s="733">
        <f t="shared" si="2"/>
        <v>0</v>
      </c>
      <c r="M21" s="731">
        <f>CONTROL!G55</f>
        <v>0</v>
      </c>
      <c r="N21" s="732">
        <f>CONTROL!M55</f>
        <v>0</v>
      </c>
      <c r="O21" s="733">
        <f t="shared" si="3"/>
        <v>0</v>
      </c>
      <c r="P21" s="731">
        <f>CONTROL!H55</f>
        <v>0</v>
      </c>
      <c r="Q21" s="732">
        <f>CONTROL!N55</f>
        <v>0</v>
      </c>
      <c r="R21" s="733">
        <f t="shared" si="4"/>
        <v>0</v>
      </c>
      <c r="S21" s="731">
        <f>CONTROL!I55</f>
        <v>0</v>
      </c>
      <c r="T21" s="732">
        <f>CONTROL!O55</f>
        <v>0</v>
      </c>
      <c r="U21" s="734">
        <f t="shared" si="5"/>
        <v>0</v>
      </c>
      <c r="V21" s="735">
        <f t="shared" si="6"/>
        <v>0</v>
      </c>
      <c r="W21" s="736">
        <f t="shared" si="7"/>
        <v>0</v>
      </c>
      <c r="X21" s="733">
        <f t="shared" si="8"/>
        <v>0</v>
      </c>
      <c r="Y21" s="737">
        <f t="shared" si="9"/>
        <v>0</v>
      </c>
      <c r="Z21" s="738">
        <f t="shared" si="10"/>
        <v>0</v>
      </c>
      <c r="AA21" s="280"/>
    </row>
    <row r="22" spans="1:27" ht="15">
      <c r="A22" s="484">
        <f t="shared" si="1"/>
        <v>22</v>
      </c>
      <c r="B22" s="96"/>
      <c r="C22" s="50"/>
      <c r="D22" s="589"/>
      <c r="E22" s="321" t="str">
        <f>CONTROL!B56</f>
        <v>-</v>
      </c>
      <c r="F22" s="53"/>
      <c r="G22" s="730">
        <f>CONTROL!C56</f>
        <v>0</v>
      </c>
      <c r="H22" s="241"/>
      <c r="I22" s="739"/>
      <c r="J22" s="731">
        <f>CONTROL!$F56</f>
        <v>0</v>
      </c>
      <c r="K22" s="732">
        <f>CONTROL!L56</f>
        <v>0</v>
      </c>
      <c r="L22" s="733">
        <f t="shared" si="2"/>
        <v>0</v>
      </c>
      <c r="M22" s="731">
        <f>CONTROL!G56</f>
        <v>0</v>
      </c>
      <c r="N22" s="732">
        <f>CONTROL!M56</f>
        <v>0</v>
      </c>
      <c r="O22" s="733">
        <f t="shared" si="3"/>
        <v>0</v>
      </c>
      <c r="P22" s="731">
        <f>CONTROL!H56</f>
        <v>0</v>
      </c>
      <c r="Q22" s="732">
        <f>CONTROL!N56</f>
        <v>0</v>
      </c>
      <c r="R22" s="733">
        <f t="shared" si="4"/>
        <v>0</v>
      </c>
      <c r="S22" s="731">
        <f>CONTROL!I56</f>
        <v>0</v>
      </c>
      <c r="T22" s="732">
        <f>CONTROL!O56</f>
        <v>0</v>
      </c>
      <c r="U22" s="734">
        <f t="shared" si="5"/>
        <v>0</v>
      </c>
      <c r="V22" s="735">
        <f t="shared" si="6"/>
        <v>0</v>
      </c>
      <c r="W22" s="736">
        <f t="shared" si="7"/>
        <v>0</v>
      </c>
      <c r="X22" s="733">
        <f t="shared" si="8"/>
        <v>0</v>
      </c>
      <c r="Y22" s="737">
        <f t="shared" si="9"/>
        <v>0</v>
      </c>
      <c r="Z22" s="738">
        <f t="shared" si="10"/>
        <v>0</v>
      </c>
      <c r="AA22" s="280"/>
    </row>
    <row r="23" spans="1:27" ht="15">
      <c r="A23" s="484">
        <f t="shared" si="1"/>
        <v>23</v>
      </c>
      <c r="B23" s="96"/>
      <c r="C23" s="50"/>
      <c r="D23" s="589"/>
      <c r="E23" s="321" t="str">
        <f>CONTROL!B57</f>
        <v>-</v>
      </c>
      <c r="F23" s="53"/>
      <c r="G23" s="730">
        <f>CONTROL!C57</f>
        <v>0</v>
      </c>
      <c r="H23" s="241"/>
      <c r="I23" s="739"/>
      <c r="J23" s="731">
        <f>CONTROL!$F57</f>
        <v>0</v>
      </c>
      <c r="K23" s="732">
        <f>CONTROL!L57</f>
        <v>0</v>
      </c>
      <c r="L23" s="733">
        <f t="shared" si="2"/>
        <v>0</v>
      </c>
      <c r="M23" s="731">
        <f>CONTROL!G57</f>
        <v>0</v>
      </c>
      <c r="N23" s="732">
        <f>CONTROL!M57</f>
        <v>0</v>
      </c>
      <c r="O23" s="733">
        <f t="shared" si="3"/>
        <v>0</v>
      </c>
      <c r="P23" s="731">
        <f>CONTROL!H57</f>
        <v>0</v>
      </c>
      <c r="Q23" s="732">
        <f>CONTROL!N57</f>
        <v>0</v>
      </c>
      <c r="R23" s="733">
        <f t="shared" si="4"/>
        <v>0</v>
      </c>
      <c r="S23" s="731">
        <f>CONTROL!I57</f>
        <v>0</v>
      </c>
      <c r="T23" s="732">
        <f>CONTROL!O57</f>
        <v>0</v>
      </c>
      <c r="U23" s="734">
        <f t="shared" si="5"/>
        <v>0</v>
      </c>
      <c r="V23" s="735">
        <f t="shared" si="6"/>
        <v>0</v>
      </c>
      <c r="W23" s="736">
        <f t="shared" si="7"/>
        <v>0</v>
      </c>
      <c r="X23" s="733">
        <f t="shared" si="8"/>
        <v>0</v>
      </c>
      <c r="Y23" s="737">
        <f t="shared" si="9"/>
        <v>0</v>
      </c>
      <c r="Z23" s="738">
        <f t="shared" si="10"/>
        <v>0</v>
      </c>
      <c r="AA23" s="280"/>
    </row>
    <row r="24" spans="1:27" ht="15">
      <c r="A24" s="484">
        <f t="shared" si="1"/>
        <v>24</v>
      </c>
      <c r="B24" s="96"/>
      <c r="C24" s="50"/>
      <c r="D24" s="589"/>
      <c r="E24" s="321" t="str">
        <f>CONTROL!B58</f>
        <v>-</v>
      </c>
      <c r="F24" s="53"/>
      <c r="G24" s="730">
        <f>CONTROL!C58</f>
        <v>0</v>
      </c>
      <c r="H24" s="241"/>
      <c r="I24" s="739"/>
      <c r="J24" s="731">
        <f>CONTROL!$F58</f>
        <v>0</v>
      </c>
      <c r="K24" s="732">
        <f>CONTROL!L58</f>
        <v>0</v>
      </c>
      <c r="L24" s="733">
        <f t="shared" si="2"/>
        <v>0</v>
      </c>
      <c r="M24" s="731">
        <f>CONTROL!G58</f>
        <v>0</v>
      </c>
      <c r="N24" s="732">
        <f>CONTROL!M58</f>
        <v>0</v>
      </c>
      <c r="O24" s="733">
        <f t="shared" si="3"/>
        <v>0</v>
      </c>
      <c r="P24" s="731">
        <f>CONTROL!H58</f>
        <v>0</v>
      </c>
      <c r="Q24" s="732">
        <f>CONTROL!N58</f>
        <v>0</v>
      </c>
      <c r="R24" s="733">
        <f t="shared" si="4"/>
        <v>0</v>
      </c>
      <c r="S24" s="731">
        <f>CONTROL!I58</f>
        <v>0</v>
      </c>
      <c r="T24" s="732">
        <f>CONTROL!O58</f>
        <v>0</v>
      </c>
      <c r="U24" s="734">
        <f t="shared" si="5"/>
        <v>0</v>
      </c>
      <c r="V24" s="735">
        <f t="shared" si="6"/>
        <v>0</v>
      </c>
      <c r="W24" s="736">
        <f t="shared" si="7"/>
        <v>0</v>
      </c>
      <c r="X24" s="733">
        <f t="shared" si="8"/>
        <v>0</v>
      </c>
      <c r="Y24" s="737">
        <f t="shared" si="9"/>
        <v>0</v>
      </c>
      <c r="Z24" s="738">
        <f t="shared" si="10"/>
        <v>0</v>
      </c>
      <c r="AA24" s="280"/>
    </row>
    <row r="25" spans="1:27" ht="15">
      <c r="A25" s="484">
        <f t="shared" si="1"/>
        <v>25</v>
      </c>
      <c r="B25" s="96"/>
      <c r="C25" s="50"/>
      <c r="D25" s="589"/>
      <c r="E25" s="321" t="str">
        <f>CONTROL!B59</f>
        <v>-</v>
      </c>
      <c r="F25" s="53"/>
      <c r="G25" s="730">
        <f>CONTROL!C59</f>
        <v>0</v>
      </c>
      <c r="H25" s="241"/>
      <c r="I25" s="739"/>
      <c r="J25" s="731">
        <f>CONTROL!$F59</f>
        <v>0</v>
      </c>
      <c r="K25" s="732">
        <f>CONTROL!L59</f>
        <v>0</v>
      </c>
      <c r="L25" s="733">
        <f t="shared" si="2"/>
        <v>0</v>
      </c>
      <c r="M25" s="731">
        <f>CONTROL!G59</f>
        <v>0</v>
      </c>
      <c r="N25" s="732">
        <f>CONTROL!M59</f>
        <v>0</v>
      </c>
      <c r="O25" s="733">
        <f t="shared" si="3"/>
        <v>0</v>
      </c>
      <c r="P25" s="731">
        <f>CONTROL!H59</f>
        <v>0</v>
      </c>
      <c r="Q25" s="732">
        <f>CONTROL!N59</f>
        <v>0</v>
      </c>
      <c r="R25" s="733">
        <f t="shared" si="4"/>
        <v>0</v>
      </c>
      <c r="S25" s="731">
        <f>CONTROL!I59</f>
        <v>0</v>
      </c>
      <c r="T25" s="732">
        <f>CONTROL!O59</f>
        <v>0</v>
      </c>
      <c r="U25" s="734">
        <f t="shared" si="5"/>
        <v>0</v>
      </c>
      <c r="V25" s="735">
        <f t="shared" si="6"/>
        <v>0</v>
      </c>
      <c r="W25" s="736">
        <f t="shared" si="7"/>
        <v>0</v>
      </c>
      <c r="X25" s="733">
        <f t="shared" si="8"/>
        <v>0</v>
      </c>
      <c r="Y25" s="737">
        <f t="shared" si="9"/>
        <v>0</v>
      </c>
      <c r="Z25" s="738">
        <f t="shared" si="10"/>
        <v>0</v>
      </c>
      <c r="AA25" s="280"/>
    </row>
    <row r="26" spans="1:27" ht="15">
      <c r="A26" s="484">
        <f t="shared" si="1"/>
        <v>26</v>
      </c>
      <c r="B26" s="96"/>
      <c r="C26" s="50"/>
      <c r="D26" s="589"/>
      <c r="E26" s="321" t="str">
        <f>CONTROL!B60</f>
        <v>-</v>
      </c>
      <c r="F26" s="53"/>
      <c r="G26" s="730">
        <f>CONTROL!C60</f>
        <v>0</v>
      </c>
      <c r="H26" s="241"/>
      <c r="I26" s="739"/>
      <c r="J26" s="731">
        <f>CONTROL!$F60</f>
        <v>0</v>
      </c>
      <c r="K26" s="732">
        <f>CONTROL!L60</f>
        <v>0</v>
      </c>
      <c r="L26" s="733">
        <f t="shared" si="2"/>
        <v>0</v>
      </c>
      <c r="M26" s="731">
        <f>CONTROL!G60</f>
        <v>0</v>
      </c>
      <c r="N26" s="732">
        <f>CONTROL!M60</f>
        <v>0</v>
      </c>
      <c r="O26" s="733">
        <f t="shared" si="3"/>
        <v>0</v>
      </c>
      <c r="P26" s="731">
        <f>CONTROL!H60</f>
        <v>0</v>
      </c>
      <c r="Q26" s="732">
        <f>CONTROL!N60</f>
        <v>0</v>
      </c>
      <c r="R26" s="733">
        <f t="shared" si="4"/>
        <v>0</v>
      </c>
      <c r="S26" s="731">
        <f>CONTROL!I60</f>
        <v>0</v>
      </c>
      <c r="T26" s="732">
        <f>CONTROL!O60</f>
        <v>0</v>
      </c>
      <c r="U26" s="734">
        <f t="shared" si="5"/>
        <v>0</v>
      </c>
      <c r="V26" s="735">
        <f t="shared" si="6"/>
        <v>0</v>
      </c>
      <c r="W26" s="736">
        <f t="shared" si="7"/>
        <v>0</v>
      </c>
      <c r="X26" s="733">
        <f t="shared" si="8"/>
        <v>0</v>
      </c>
      <c r="Y26" s="737">
        <f t="shared" si="9"/>
        <v>0</v>
      </c>
      <c r="Z26" s="738">
        <f t="shared" si="10"/>
        <v>0</v>
      </c>
      <c r="AA26" s="280"/>
    </row>
    <row r="27" spans="1:27" ht="15">
      <c r="A27" s="484">
        <f t="shared" si="1"/>
        <v>27</v>
      </c>
      <c r="B27" s="96"/>
      <c r="C27" s="50"/>
      <c r="D27" s="589"/>
      <c r="E27" s="321" t="str">
        <f>CONTROL!B61</f>
        <v>-</v>
      </c>
      <c r="F27" s="53"/>
      <c r="G27" s="730">
        <f>CONTROL!C61</f>
        <v>0</v>
      </c>
      <c r="H27" s="241"/>
      <c r="I27" s="739"/>
      <c r="J27" s="731">
        <f>CONTROL!$F61</f>
        <v>0</v>
      </c>
      <c r="K27" s="732">
        <f>CONTROL!L61</f>
        <v>0</v>
      </c>
      <c r="L27" s="733">
        <f t="shared" si="2"/>
        <v>0</v>
      </c>
      <c r="M27" s="731">
        <f>CONTROL!G61</f>
        <v>0</v>
      </c>
      <c r="N27" s="732">
        <f>CONTROL!M61</f>
        <v>0</v>
      </c>
      <c r="O27" s="733">
        <f t="shared" si="3"/>
        <v>0</v>
      </c>
      <c r="P27" s="731">
        <f>CONTROL!H61</f>
        <v>0</v>
      </c>
      <c r="Q27" s="732">
        <f>CONTROL!N61</f>
        <v>0</v>
      </c>
      <c r="R27" s="733">
        <f t="shared" si="4"/>
        <v>0</v>
      </c>
      <c r="S27" s="731">
        <f>CONTROL!I61</f>
        <v>0</v>
      </c>
      <c r="T27" s="732">
        <f>CONTROL!O61</f>
        <v>0</v>
      </c>
      <c r="U27" s="734">
        <f t="shared" si="5"/>
        <v>0</v>
      </c>
      <c r="V27" s="735">
        <f t="shared" si="6"/>
        <v>0</v>
      </c>
      <c r="W27" s="736">
        <f t="shared" si="7"/>
        <v>0</v>
      </c>
      <c r="X27" s="733">
        <f t="shared" si="8"/>
        <v>0</v>
      </c>
      <c r="Y27" s="737">
        <f t="shared" si="9"/>
        <v>0</v>
      </c>
      <c r="Z27" s="738">
        <f t="shared" si="10"/>
        <v>0</v>
      </c>
      <c r="AA27" s="280"/>
    </row>
    <row r="28" spans="1:27" ht="15">
      <c r="A28" s="484">
        <f t="shared" si="1"/>
        <v>28</v>
      </c>
      <c r="B28" s="96"/>
      <c r="C28" s="50"/>
      <c r="D28" s="589"/>
      <c r="E28" s="321" t="str">
        <f>CONTROL!B62</f>
        <v>-</v>
      </c>
      <c r="F28" s="53"/>
      <c r="G28" s="730">
        <f>CONTROL!C62</f>
        <v>0</v>
      </c>
      <c r="H28" s="241"/>
      <c r="I28" s="739"/>
      <c r="J28" s="731">
        <f>CONTROL!$F62</f>
        <v>0</v>
      </c>
      <c r="K28" s="732">
        <f>CONTROL!L62</f>
        <v>0</v>
      </c>
      <c r="L28" s="733">
        <f t="shared" si="2"/>
        <v>0</v>
      </c>
      <c r="M28" s="731">
        <f>CONTROL!G62</f>
        <v>0</v>
      </c>
      <c r="N28" s="732">
        <f>CONTROL!M62</f>
        <v>0</v>
      </c>
      <c r="O28" s="733">
        <f t="shared" si="3"/>
        <v>0</v>
      </c>
      <c r="P28" s="731">
        <f>CONTROL!H62</f>
        <v>0</v>
      </c>
      <c r="Q28" s="732">
        <f>CONTROL!N62</f>
        <v>0</v>
      </c>
      <c r="R28" s="733">
        <f t="shared" si="4"/>
        <v>0</v>
      </c>
      <c r="S28" s="731">
        <f>CONTROL!I62</f>
        <v>0</v>
      </c>
      <c r="T28" s="732">
        <f>CONTROL!O62</f>
        <v>0</v>
      </c>
      <c r="U28" s="734">
        <f t="shared" si="5"/>
        <v>0</v>
      </c>
      <c r="V28" s="735">
        <f t="shared" si="6"/>
        <v>0</v>
      </c>
      <c r="W28" s="736">
        <f t="shared" si="7"/>
        <v>0</v>
      </c>
      <c r="X28" s="733">
        <f t="shared" si="8"/>
        <v>0</v>
      </c>
      <c r="Y28" s="737">
        <f t="shared" si="9"/>
        <v>0</v>
      </c>
      <c r="Z28" s="738">
        <f t="shared" si="10"/>
        <v>0</v>
      </c>
      <c r="AA28" s="280"/>
    </row>
    <row r="29" spans="1:27" ht="15">
      <c r="A29" s="484">
        <f t="shared" si="1"/>
        <v>29</v>
      </c>
      <c r="B29" s="96"/>
      <c r="C29" s="50"/>
      <c r="D29" s="589"/>
      <c r="E29" s="321" t="str">
        <f>CONTROL!B63</f>
        <v>-</v>
      </c>
      <c r="F29" s="53"/>
      <c r="G29" s="730">
        <f>CONTROL!C63</f>
        <v>0</v>
      </c>
      <c r="H29" s="241"/>
      <c r="I29" s="739"/>
      <c r="J29" s="731">
        <f>CONTROL!$F63</f>
        <v>0</v>
      </c>
      <c r="K29" s="732">
        <f>CONTROL!L63</f>
        <v>0</v>
      </c>
      <c r="L29" s="733">
        <f t="shared" si="2"/>
        <v>0</v>
      </c>
      <c r="M29" s="731">
        <f>CONTROL!G63</f>
        <v>0</v>
      </c>
      <c r="N29" s="732">
        <f>CONTROL!M63</f>
        <v>0</v>
      </c>
      <c r="O29" s="733">
        <f t="shared" si="3"/>
        <v>0</v>
      </c>
      <c r="P29" s="731">
        <f>CONTROL!H63</f>
        <v>0</v>
      </c>
      <c r="Q29" s="732">
        <f>CONTROL!N63</f>
        <v>0</v>
      </c>
      <c r="R29" s="733">
        <f t="shared" si="4"/>
        <v>0</v>
      </c>
      <c r="S29" s="731">
        <f>CONTROL!I63</f>
        <v>0</v>
      </c>
      <c r="T29" s="732">
        <f>CONTROL!O63</f>
        <v>0</v>
      </c>
      <c r="U29" s="734">
        <f t="shared" si="5"/>
        <v>0</v>
      </c>
      <c r="V29" s="735">
        <f t="shared" si="6"/>
        <v>0</v>
      </c>
      <c r="W29" s="736">
        <f t="shared" si="7"/>
        <v>0</v>
      </c>
      <c r="X29" s="733">
        <f t="shared" si="8"/>
        <v>0</v>
      </c>
      <c r="Y29" s="737">
        <f t="shared" si="9"/>
        <v>0</v>
      </c>
      <c r="Z29" s="738">
        <f t="shared" si="10"/>
        <v>0</v>
      </c>
      <c r="AA29" s="280"/>
    </row>
    <row r="30" spans="1:27" ht="15">
      <c r="A30" s="484">
        <f t="shared" si="1"/>
        <v>30</v>
      </c>
      <c r="B30" s="96"/>
      <c r="C30" s="50"/>
      <c r="D30" s="589"/>
      <c r="E30" s="321" t="str">
        <f>CONTROL!B64</f>
        <v>-</v>
      </c>
      <c r="F30" s="53"/>
      <c r="G30" s="730">
        <f>CONTROL!C64</f>
        <v>0</v>
      </c>
      <c r="H30" s="241"/>
      <c r="I30" s="739"/>
      <c r="J30" s="731">
        <f>CONTROL!$F64</f>
        <v>0</v>
      </c>
      <c r="K30" s="732">
        <f>CONTROL!L64</f>
        <v>0</v>
      </c>
      <c r="L30" s="733">
        <f t="shared" si="2"/>
        <v>0</v>
      </c>
      <c r="M30" s="731">
        <f>CONTROL!G64</f>
        <v>0</v>
      </c>
      <c r="N30" s="732">
        <f>CONTROL!M64</f>
        <v>0</v>
      </c>
      <c r="O30" s="733">
        <f t="shared" si="3"/>
        <v>0</v>
      </c>
      <c r="P30" s="731">
        <f>CONTROL!H64</f>
        <v>0</v>
      </c>
      <c r="Q30" s="732">
        <f>CONTROL!N64</f>
        <v>0</v>
      </c>
      <c r="R30" s="733">
        <f t="shared" si="4"/>
        <v>0</v>
      </c>
      <c r="S30" s="731">
        <f>CONTROL!I64</f>
        <v>0</v>
      </c>
      <c r="T30" s="732">
        <f>CONTROL!O64</f>
        <v>0</v>
      </c>
      <c r="U30" s="734">
        <f t="shared" si="5"/>
        <v>0</v>
      </c>
      <c r="V30" s="735">
        <f t="shared" si="6"/>
        <v>0</v>
      </c>
      <c r="W30" s="736">
        <f t="shared" si="7"/>
        <v>0</v>
      </c>
      <c r="X30" s="733">
        <f t="shared" si="8"/>
        <v>0</v>
      </c>
      <c r="Y30" s="737">
        <f t="shared" si="9"/>
        <v>0</v>
      </c>
      <c r="Z30" s="738">
        <f t="shared" si="10"/>
        <v>0</v>
      </c>
      <c r="AA30" s="280"/>
    </row>
    <row r="31" spans="1:27" ht="15">
      <c r="A31" s="484">
        <f t="shared" si="1"/>
        <v>31</v>
      </c>
      <c r="B31" s="96"/>
      <c r="C31" s="50"/>
      <c r="D31" s="589"/>
      <c r="E31" s="321" t="str">
        <f>CONTROL!B65</f>
        <v>-</v>
      </c>
      <c r="F31" s="53"/>
      <c r="G31" s="730">
        <f>CONTROL!C65</f>
        <v>0</v>
      </c>
      <c r="H31" s="241"/>
      <c r="I31" s="739"/>
      <c r="J31" s="731">
        <f>CONTROL!$F65</f>
        <v>0</v>
      </c>
      <c r="K31" s="732">
        <f>CONTROL!L65</f>
        <v>0</v>
      </c>
      <c r="L31" s="733">
        <f t="shared" si="2"/>
        <v>0</v>
      </c>
      <c r="M31" s="731">
        <f>CONTROL!G65</f>
        <v>0</v>
      </c>
      <c r="N31" s="732">
        <f>CONTROL!M65</f>
        <v>0</v>
      </c>
      <c r="O31" s="733">
        <f t="shared" si="3"/>
        <v>0</v>
      </c>
      <c r="P31" s="731">
        <f>CONTROL!H65</f>
        <v>0</v>
      </c>
      <c r="Q31" s="732">
        <f>CONTROL!N65</f>
        <v>0</v>
      </c>
      <c r="R31" s="733">
        <f t="shared" si="4"/>
        <v>0</v>
      </c>
      <c r="S31" s="731">
        <f>CONTROL!I65</f>
        <v>0</v>
      </c>
      <c r="T31" s="732">
        <f>CONTROL!O65</f>
        <v>0</v>
      </c>
      <c r="U31" s="734">
        <f t="shared" si="5"/>
        <v>0</v>
      </c>
      <c r="V31" s="735">
        <f t="shared" si="6"/>
        <v>0</v>
      </c>
      <c r="W31" s="736">
        <f t="shared" si="7"/>
        <v>0</v>
      </c>
      <c r="X31" s="733">
        <f t="shared" si="8"/>
        <v>0</v>
      </c>
      <c r="Y31" s="737">
        <f t="shared" si="9"/>
        <v>0</v>
      </c>
      <c r="Z31" s="738">
        <f t="shared" si="10"/>
        <v>0</v>
      </c>
      <c r="AA31" s="280"/>
    </row>
    <row r="32" spans="1:27" ht="15">
      <c r="A32" s="484">
        <f t="shared" si="1"/>
        <v>32</v>
      </c>
      <c r="B32" s="96"/>
      <c r="C32" s="50"/>
      <c r="D32" s="589"/>
      <c r="E32" s="321" t="str">
        <f>CONTROL!B66</f>
        <v>-</v>
      </c>
      <c r="F32" s="53"/>
      <c r="G32" s="730">
        <f>CONTROL!C66</f>
        <v>0</v>
      </c>
      <c r="H32" s="241"/>
      <c r="I32" s="739"/>
      <c r="J32" s="731">
        <f>CONTROL!$F66</f>
        <v>0</v>
      </c>
      <c r="K32" s="732">
        <f>CONTROL!L66</f>
        <v>0</v>
      </c>
      <c r="L32" s="733">
        <f t="shared" si="2"/>
        <v>0</v>
      </c>
      <c r="M32" s="731">
        <f>CONTROL!G66</f>
        <v>0</v>
      </c>
      <c r="N32" s="732">
        <f>CONTROL!M66</f>
        <v>0</v>
      </c>
      <c r="O32" s="733">
        <f t="shared" si="3"/>
        <v>0</v>
      </c>
      <c r="P32" s="731">
        <f>CONTROL!H66</f>
        <v>0</v>
      </c>
      <c r="Q32" s="732">
        <f>CONTROL!N66</f>
        <v>0</v>
      </c>
      <c r="R32" s="733">
        <f t="shared" si="4"/>
        <v>0</v>
      </c>
      <c r="S32" s="731">
        <f>CONTROL!I66</f>
        <v>0</v>
      </c>
      <c r="T32" s="732">
        <f>CONTROL!O66</f>
        <v>0</v>
      </c>
      <c r="U32" s="734">
        <f t="shared" si="5"/>
        <v>0</v>
      </c>
      <c r="V32" s="735">
        <f t="shared" si="6"/>
        <v>0</v>
      </c>
      <c r="W32" s="736">
        <f t="shared" si="7"/>
        <v>0</v>
      </c>
      <c r="X32" s="733">
        <f t="shared" si="8"/>
        <v>0</v>
      </c>
      <c r="Y32" s="737">
        <f t="shared" si="9"/>
        <v>0</v>
      </c>
      <c r="Z32" s="738">
        <f t="shared" si="10"/>
        <v>0</v>
      </c>
      <c r="AA32" s="280"/>
    </row>
    <row r="33" spans="1:27" ht="15">
      <c r="A33" s="484">
        <f t="shared" si="1"/>
        <v>33</v>
      </c>
      <c r="B33" s="96"/>
      <c r="C33" s="50"/>
      <c r="D33" s="50"/>
      <c r="E33" s="53" t="s">
        <v>356</v>
      </c>
      <c r="F33" s="53"/>
      <c r="G33" s="740">
        <f>CONTROL!F105</f>
        <v>0</v>
      </c>
      <c r="H33" s="241"/>
      <c r="I33" s="739"/>
      <c r="J33" s="731">
        <f>SUM(CONTROL!F67:F101)</f>
        <v>0</v>
      </c>
      <c r="K33" s="732">
        <f>SUM(CONTROL!L67:L101)</f>
        <v>0</v>
      </c>
      <c r="L33" s="733">
        <f t="shared" si="2"/>
        <v>0</v>
      </c>
      <c r="M33" s="731">
        <f>SUM(CONTROL!G67:G101)</f>
        <v>0</v>
      </c>
      <c r="N33" s="732">
        <f>SUM(CONTROL!M67:M101)</f>
        <v>0</v>
      </c>
      <c r="O33" s="733">
        <f t="shared" si="3"/>
        <v>0</v>
      </c>
      <c r="P33" s="731">
        <f>SUM(CONTROL!H67:H101)</f>
        <v>0</v>
      </c>
      <c r="Q33" s="732">
        <f>SUM(CONTROL!N67:N101)</f>
        <v>0</v>
      </c>
      <c r="R33" s="733">
        <f t="shared" si="4"/>
        <v>0</v>
      </c>
      <c r="S33" s="731">
        <f>SUM(CONTROL!I67:I101)</f>
        <v>0</v>
      </c>
      <c r="T33" s="732">
        <f>SUM(CONTROL!O67:O101)</f>
        <v>0</v>
      </c>
      <c r="U33" s="734">
        <f t="shared" si="5"/>
        <v>0</v>
      </c>
      <c r="V33" s="735">
        <f t="shared" si="6"/>
        <v>0</v>
      </c>
      <c r="W33" s="736">
        <f t="shared" si="7"/>
        <v>0</v>
      </c>
      <c r="X33" s="733">
        <f t="shared" si="8"/>
        <v>0</v>
      </c>
      <c r="Y33" s="737">
        <f t="shared" si="9"/>
        <v>0</v>
      </c>
      <c r="Z33" s="738">
        <f t="shared" si="10"/>
        <v>0</v>
      </c>
      <c r="AA33" s="280"/>
    </row>
    <row r="34" spans="1:27" ht="30" customHeight="1">
      <c r="A34" s="485">
        <f t="shared" si="1"/>
        <v>34</v>
      </c>
      <c r="B34" s="282"/>
      <c r="C34" s="140"/>
      <c r="D34" s="982" t="s">
        <v>355</v>
      </c>
      <c r="E34" s="982"/>
      <c r="F34" s="590"/>
      <c r="G34" s="591">
        <f>IFERROR(SUMPRODUCT(G18:G33,G161:G176)/SUM(G161:G176),0)</f>
        <v>0</v>
      </c>
      <c r="H34" s="241"/>
      <c r="I34" s="731">
        <f t="shared" ref="I34:Z34" si="11">SUM(I18:I33)</f>
        <v>0</v>
      </c>
      <c r="J34" s="731">
        <f t="shared" si="11"/>
        <v>0</v>
      </c>
      <c r="K34" s="741">
        <f t="shared" si="11"/>
        <v>0</v>
      </c>
      <c r="L34" s="741">
        <f t="shared" si="11"/>
        <v>0</v>
      </c>
      <c r="M34" s="731">
        <f t="shared" si="11"/>
        <v>0</v>
      </c>
      <c r="N34" s="741">
        <f t="shared" si="11"/>
        <v>0</v>
      </c>
      <c r="O34" s="741">
        <f t="shared" si="11"/>
        <v>0</v>
      </c>
      <c r="P34" s="731">
        <f t="shared" si="11"/>
        <v>0</v>
      </c>
      <c r="Q34" s="741">
        <f t="shared" si="11"/>
        <v>0</v>
      </c>
      <c r="R34" s="741">
        <f t="shared" si="11"/>
        <v>0</v>
      </c>
      <c r="S34" s="731">
        <f t="shared" si="11"/>
        <v>0</v>
      </c>
      <c r="T34" s="741">
        <f t="shared" si="11"/>
        <v>0</v>
      </c>
      <c r="U34" s="742">
        <f t="shared" si="11"/>
        <v>0</v>
      </c>
      <c r="V34" s="735">
        <f t="shared" si="11"/>
        <v>0</v>
      </c>
      <c r="W34" s="741">
        <f t="shared" si="11"/>
        <v>0</v>
      </c>
      <c r="X34" s="743">
        <f t="shared" si="11"/>
        <v>0</v>
      </c>
      <c r="Y34" s="737">
        <f t="shared" si="11"/>
        <v>0</v>
      </c>
      <c r="Z34" s="738">
        <f t="shared" si="11"/>
        <v>0</v>
      </c>
      <c r="AA34" s="284"/>
    </row>
    <row r="35" spans="1:27" ht="15">
      <c r="A35" s="484">
        <f t="shared" si="1"/>
        <v>35</v>
      </c>
      <c r="B35" s="96"/>
      <c r="C35" s="50"/>
      <c r="D35" s="97" t="s">
        <v>26</v>
      </c>
      <c r="E35" s="94"/>
      <c r="F35" s="94"/>
      <c r="G35" s="57"/>
      <c r="H35" s="241"/>
      <c r="I35" s="739"/>
      <c r="J35" s="744"/>
      <c r="K35" s="745"/>
      <c r="L35" s="733">
        <f>IF(K$18&lt;&gt;0,K35-J35,0)</f>
        <v>0</v>
      </c>
      <c r="M35" s="746"/>
      <c r="N35" s="747"/>
      <c r="O35" s="733">
        <f>IF(N$18&lt;&gt;0,N35-M35,0)</f>
        <v>0</v>
      </c>
      <c r="P35" s="746"/>
      <c r="Q35" s="747"/>
      <c r="R35" s="733">
        <f>IF(Q$18&lt;&gt;0,Q35-P35,0)</f>
        <v>0</v>
      </c>
      <c r="S35" s="746"/>
      <c r="T35" s="747"/>
      <c r="U35" s="734">
        <f>IF(T$18&lt;&gt;0,T35-S35,0)</f>
        <v>0</v>
      </c>
      <c r="V35" s="735">
        <f>J35+M35+P35+S35</f>
        <v>0</v>
      </c>
      <c r="W35" s="736">
        <f>SUM(IF(K$18&lt;&gt;0,K35,J35)+IF(N$18&lt;&gt;0,N35,M35)+IF(Q$18&lt;&gt;0,Q35,P35)+IF(T$18&lt;&gt;0,T35,S35))</f>
        <v>0</v>
      </c>
      <c r="X35" s="733">
        <f>W35-V35</f>
        <v>0</v>
      </c>
      <c r="Y35" s="737">
        <f>V35-I35</f>
        <v>0</v>
      </c>
      <c r="Z35" s="738">
        <f>W35-I35</f>
        <v>0</v>
      </c>
      <c r="AA35" s="280"/>
    </row>
    <row r="36" spans="1:27" ht="15">
      <c r="A36" s="484">
        <f t="shared" si="1"/>
        <v>36</v>
      </c>
      <c r="B36" s="96"/>
      <c r="C36" s="50"/>
      <c r="D36" s="97" t="s">
        <v>27</v>
      </c>
      <c r="E36" s="94"/>
      <c r="F36" s="94"/>
      <c r="G36" s="57"/>
      <c r="H36" s="241"/>
      <c r="I36" s="748"/>
      <c r="J36" s="748"/>
      <c r="K36" s="748"/>
      <c r="L36" s="748"/>
      <c r="M36" s="748"/>
      <c r="N36" s="748"/>
      <c r="O36" s="748"/>
      <c r="P36" s="748"/>
      <c r="Q36" s="748"/>
      <c r="R36" s="748"/>
      <c r="S36" s="748"/>
      <c r="T36" s="748"/>
      <c r="U36" s="738"/>
      <c r="V36" s="749"/>
      <c r="W36" s="748"/>
      <c r="X36" s="748"/>
      <c r="Y36" s="748"/>
      <c r="Z36" s="738"/>
      <c r="AA36" s="280"/>
    </row>
    <row r="37" spans="1:27" ht="15">
      <c r="A37" s="484">
        <f t="shared" si="1"/>
        <v>37</v>
      </c>
      <c r="B37" s="96"/>
      <c r="C37" s="50"/>
      <c r="D37" s="50"/>
      <c r="E37" s="120" t="s">
        <v>28</v>
      </c>
      <c r="F37" s="120"/>
      <c r="G37" s="56"/>
      <c r="H37" s="241"/>
      <c r="I37" s="739"/>
      <c r="J37" s="744"/>
      <c r="K37" s="745"/>
      <c r="L37" s="733">
        <f>IF(K$18&lt;&gt;0,K37-J37,0)</f>
        <v>0</v>
      </c>
      <c r="M37" s="746"/>
      <c r="N37" s="747"/>
      <c r="O37" s="733">
        <f>IF(N$18&lt;&gt;0,N37-M37,0)</f>
        <v>0</v>
      </c>
      <c r="P37" s="746"/>
      <c r="Q37" s="747"/>
      <c r="R37" s="733">
        <f>IF(Q$18&lt;&gt;0,Q37-P37,0)</f>
        <v>0</v>
      </c>
      <c r="S37" s="746"/>
      <c r="T37" s="747"/>
      <c r="U37" s="734">
        <f>IF(T$18&lt;&gt;0,T37-S37,0)</f>
        <v>0</v>
      </c>
      <c r="V37" s="735">
        <f>J37+M37+P37+S37</f>
        <v>0</v>
      </c>
      <c r="W37" s="736">
        <f>SUM(IF(K$18&lt;&gt;0,K37,J37)+IF(N$18&lt;&gt;0,N37,M37)+IF(Q$18&lt;&gt;0,Q37,P37)+IF(T$18&lt;&gt;0,T37,S37))</f>
        <v>0</v>
      </c>
      <c r="X37" s="733">
        <f>W37-V37</f>
        <v>0</v>
      </c>
      <c r="Y37" s="737">
        <f>V37-I37</f>
        <v>0</v>
      </c>
      <c r="Z37" s="738">
        <f>W37-I37</f>
        <v>0</v>
      </c>
      <c r="AA37" s="280"/>
    </row>
    <row r="38" spans="1:27" ht="15">
      <c r="A38" s="484">
        <f t="shared" si="1"/>
        <v>38</v>
      </c>
      <c r="B38" s="96"/>
      <c r="C38" s="50"/>
      <c r="D38" s="50"/>
      <c r="E38" s="120" t="s">
        <v>157</v>
      </c>
      <c r="F38" s="120"/>
      <c r="G38" s="56"/>
      <c r="H38" s="241"/>
      <c r="I38" s="739"/>
      <c r="J38" s="744"/>
      <c r="K38" s="745"/>
      <c r="L38" s="733">
        <f>IF(K$18&lt;&gt;0,K38-J38,0)</f>
        <v>0</v>
      </c>
      <c r="M38" s="746"/>
      <c r="N38" s="747"/>
      <c r="O38" s="733">
        <f>IF(N$18&lt;&gt;0,N38-M38,0)</f>
        <v>0</v>
      </c>
      <c r="P38" s="746"/>
      <c r="Q38" s="747"/>
      <c r="R38" s="733">
        <f>IF(Q$18&lt;&gt;0,Q38-P38,0)</f>
        <v>0</v>
      </c>
      <c r="S38" s="746"/>
      <c r="T38" s="747"/>
      <c r="U38" s="734">
        <f>IF(T$18&lt;&gt;0,T38-S38,0)</f>
        <v>0</v>
      </c>
      <c r="V38" s="735">
        <f>J38+M38+P38+S38</f>
        <v>0</v>
      </c>
      <c r="W38" s="736">
        <f>SUM(IF(K$18&lt;&gt;0,K38,J38)+IF(N$18&lt;&gt;0,N38,M38)+IF(Q$18&lt;&gt;0,Q38,P38)+IF(T$18&lt;&gt;0,T38,S38))</f>
        <v>0</v>
      </c>
      <c r="X38" s="733">
        <f>W38-V38</f>
        <v>0</v>
      </c>
      <c r="Y38" s="737">
        <f>V38-I38</f>
        <v>0</v>
      </c>
      <c r="Z38" s="738">
        <f>W38-I38</f>
        <v>0</v>
      </c>
      <c r="AA38" s="280"/>
    </row>
    <row r="39" spans="1:27" ht="15">
      <c r="A39" s="484">
        <f t="shared" si="1"/>
        <v>39</v>
      </c>
      <c r="B39" s="96"/>
      <c r="C39" s="50"/>
      <c r="D39" s="50"/>
      <c r="E39" s="120" t="s">
        <v>29</v>
      </c>
      <c r="F39" s="120"/>
      <c r="G39" s="56"/>
      <c r="H39" s="241"/>
      <c r="I39" s="739"/>
      <c r="J39" s="744"/>
      <c r="K39" s="745"/>
      <c r="L39" s="733">
        <f>IF(K$18&lt;&gt;0,K39-J39,0)</f>
        <v>0</v>
      </c>
      <c r="M39" s="746"/>
      <c r="N39" s="747"/>
      <c r="O39" s="733">
        <f>IF(N$18&lt;&gt;0,N39-M39,0)</f>
        <v>0</v>
      </c>
      <c r="P39" s="746"/>
      <c r="Q39" s="747"/>
      <c r="R39" s="733">
        <f>IF(Q$18&lt;&gt;0,Q39-P39,0)</f>
        <v>0</v>
      </c>
      <c r="S39" s="746"/>
      <c r="T39" s="747"/>
      <c r="U39" s="734">
        <f>IF(T$18&lt;&gt;0,T39-S39,0)</f>
        <v>0</v>
      </c>
      <c r="V39" s="735">
        <f>J39+M39+P39+S39</f>
        <v>0</v>
      </c>
      <c r="W39" s="736">
        <f>SUM(IF(K$18&lt;&gt;0,K39,J39)+IF(N$18&lt;&gt;0,N39,M39)+IF(Q$18&lt;&gt;0,Q39,P39)+IF(T$18&lt;&gt;0,T39,S39))</f>
        <v>0</v>
      </c>
      <c r="X39" s="733">
        <f>W39-V39</f>
        <v>0</v>
      </c>
      <c r="Y39" s="737">
        <f>V39-I39</f>
        <v>0</v>
      </c>
      <c r="Z39" s="738">
        <f>W39-I39</f>
        <v>0</v>
      </c>
      <c r="AA39" s="280"/>
    </row>
    <row r="40" spans="1:27" ht="16.8">
      <c r="A40" s="484">
        <f t="shared" si="1"/>
        <v>40</v>
      </c>
      <c r="B40" s="96"/>
      <c r="C40" s="50"/>
      <c r="D40" s="97" t="s">
        <v>29</v>
      </c>
      <c r="E40" s="94"/>
      <c r="F40" s="94"/>
      <c r="G40" s="57"/>
      <c r="H40" s="241"/>
      <c r="I40" s="750"/>
      <c r="J40" s="751"/>
      <c r="K40" s="752"/>
      <c r="L40" s="753">
        <f>IF(K$18&lt;&gt;0,K40-J40,0)</f>
        <v>0</v>
      </c>
      <c r="M40" s="754"/>
      <c r="N40" s="755"/>
      <c r="O40" s="753">
        <f>IF(N$18&lt;&gt;0,N40-M40,0)</f>
        <v>0</v>
      </c>
      <c r="P40" s="754"/>
      <c r="Q40" s="755"/>
      <c r="R40" s="753">
        <f>IF(Q$18&lt;&gt;0,Q40-P40,0)</f>
        <v>0</v>
      </c>
      <c r="S40" s="754"/>
      <c r="T40" s="755"/>
      <c r="U40" s="756">
        <f>IF(T$18&lt;&gt;0,T40-S40,0)</f>
        <v>0</v>
      </c>
      <c r="V40" s="757">
        <f>J40+M40+P40+S40</f>
        <v>0</v>
      </c>
      <c r="W40" s="758">
        <f>SUM(IF(K$18&lt;&gt;0,K40,J40)+IF(N$18&lt;&gt;0,N40,M40)+IF(Q$18&lt;&gt;0,Q40,P40)+IF(T$18&lt;&gt;0,T40,S40))</f>
        <v>0</v>
      </c>
      <c r="X40" s="753">
        <f>W40-V40</f>
        <v>0</v>
      </c>
      <c r="Y40" s="759">
        <f>V40-I40</f>
        <v>0</v>
      </c>
      <c r="Z40" s="760">
        <f>W40-I40</f>
        <v>0</v>
      </c>
      <c r="AA40" s="280"/>
    </row>
    <row r="41" spans="1:27" ht="15">
      <c r="A41" s="484">
        <f t="shared" si="1"/>
        <v>41</v>
      </c>
      <c r="B41" s="96"/>
      <c r="C41" s="50" t="s">
        <v>30</v>
      </c>
      <c r="D41" s="97"/>
      <c r="E41" s="94"/>
      <c r="F41" s="94"/>
      <c r="G41" s="57"/>
      <c r="H41" s="241"/>
      <c r="I41" s="748">
        <f t="shared" ref="I41:Z41" si="12">SUM(I34:I40)</f>
        <v>0</v>
      </c>
      <c r="J41" s="731">
        <f t="shared" si="12"/>
        <v>0</v>
      </c>
      <c r="K41" s="741">
        <f t="shared" si="12"/>
        <v>0</v>
      </c>
      <c r="L41" s="741">
        <f t="shared" si="12"/>
        <v>0</v>
      </c>
      <c r="M41" s="731">
        <f t="shared" si="12"/>
        <v>0</v>
      </c>
      <c r="N41" s="741">
        <f t="shared" si="12"/>
        <v>0</v>
      </c>
      <c r="O41" s="741">
        <f t="shared" si="12"/>
        <v>0</v>
      </c>
      <c r="P41" s="731">
        <f t="shared" si="12"/>
        <v>0</v>
      </c>
      <c r="Q41" s="741">
        <f t="shared" si="12"/>
        <v>0</v>
      </c>
      <c r="R41" s="741">
        <f t="shared" si="12"/>
        <v>0</v>
      </c>
      <c r="S41" s="731">
        <f t="shared" si="12"/>
        <v>0</v>
      </c>
      <c r="T41" s="741">
        <f t="shared" si="12"/>
        <v>0</v>
      </c>
      <c r="U41" s="742">
        <f t="shared" si="12"/>
        <v>0</v>
      </c>
      <c r="V41" s="735">
        <f t="shared" si="12"/>
        <v>0</v>
      </c>
      <c r="W41" s="741">
        <f t="shared" si="12"/>
        <v>0</v>
      </c>
      <c r="X41" s="743">
        <f t="shared" si="12"/>
        <v>0</v>
      </c>
      <c r="Y41" s="737">
        <f t="shared" si="12"/>
        <v>0</v>
      </c>
      <c r="Z41" s="738">
        <f t="shared" si="12"/>
        <v>0</v>
      </c>
      <c r="AA41" s="280"/>
    </row>
    <row r="42" spans="1:27" ht="15">
      <c r="A42" s="484">
        <f t="shared" si="1"/>
        <v>42</v>
      </c>
      <c r="B42" s="96"/>
      <c r="C42" s="50"/>
      <c r="D42" s="50"/>
      <c r="E42" s="53"/>
      <c r="F42" s="53"/>
      <c r="G42" s="51"/>
      <c r="H42" s="241"/>
      <c r="I42" s="761"/>
      <c r="J42" s="761"/>
      <c r="K42" s="761"/>
      <c r="L42" s="761"/>
      <c r="M42" s="761"/>
      <c r="N42" s="761"/>
      <c r="O42" s="761"/>
      <c r="P42" s="761"/>
      <c r="Q42" s="761"/>
      <c r="R42" s="761"/>
      <c r="S42" s="761"/>
      <c r="T42" s="761"/>
      <c r="U42" s="762"/>
      <c r="V42" s="761"/>
      <c r="W42" s="761"/>
      <c r="X42" s="761"/>
      <c r="Y42" s="761"/>
      <c r="Z42" s="762"/>
      <c r="AA42" s="280"/>
    </row>
    <row r="43" spans="1:27" ht="15">
      <c r="A43" s="484">
        <f t="shared" si="1"/>
        <v>43</v>
      </c>
      <c r="B43" s="92"/>
      <c r="C43" s="93" t="s">
        <v>31</v>
      </c>
      <c r="D43" s="93"/>
      <c r="E43" s="53"/>
      <c r="F43" s="53"/>
      <c r="G43" s="51"/>
      <c r="H43" s="241"/>
      <c r="I43" s="98"/>
      <c r="J43" s="98"/>
      <c r="K43" s="98"/>
      <c r="L43" s="98"/>
      <c r="M43" s="98"/>
      <c r="N43" s="98"/>
      <c r="O43" s="98"/>
      <c r="P43" s="98"/>
      <c r="Q43" s="98"/>
      <c r="R43" s="98"/>
      <c r="S43" s="98"/>
      <c r="T43" s="98"/>
      <c r="U43" s="99"/>
      <c r="V43" s="98"/>
      <c r="W43" s="98"/>
      <c r="X43" s="98"/>
      <c r="Y43" s="98"/>
      <c r="Z43" s="99"/>
      <c r="AA43" s="280"/>
    </row>
    <row r="44" spans="1:27" ht="15">
      <c r="A44" s="484">
        <f t="shared" si="1"/>
        <v>44</v>
      </c>
      <c r="B44" s="96"/>
      <c r="C44" s="50"/>
      <c r="D44" s="97" t="s">
        <v>32</v>
      </c>
      <c r="E44" s="94"/>
      <c r="F44" s="94"/>
      <c r="G44" s="57"/>
      <c r="H44" s="241"/>
      <c r="I44" s="739"/>
      <c r="J44" s="744"/>
      <c r="K44" s="745"/>
      <c r="L44" s="733">
        <f>IF(K$18&lt;&gt;0,K44-J44,0)</f>
        <v>0</v>
      </c>
      <c r="M44" s="746"/>
      <c r="N44" s="747"/>
      <c r="O44" s="733">
        <f>IF(N$18&lt;&gt;0,N44-M44,0)</f>
        <v>0</v>
      </c>
      <c r="P44" s="746"/>
      <c r="Q44" s="747"/>
      <c r="R44" s="733">
        <f>IF(Q$18&lt;&gt;0,Q44-P44,0)</f>
        <v>0</v>
      </c>
      <c r="S44" s="746"/>
      <c r="T44" s="747"/>
      <c r="U44" s="734">
        <f>IF(T$18&lt;&gt;0,T44-S44,0)</f>
        <v>0</v>
      </c>
      <c r="V44" s="735">
        <f>J44+M44+P44+S44</f>
        <v>0</v>
      </c>
      <c r="W44" s="736">
        <f>SUM(IF(K$18&lt;&gt;0,K44,J44)+IF(N$18&lt;&gt;0,N44,M44)+IF(Q$18&lt;&gt;0,Q44,P44)+IF(T$18&lt;&gt;0,T44,S44))</f>
        <v>0</v>
      </c>
      <c r="X44" s="733">
        <f>W44-V44</f>
        <v>0</v>
      </c>
      <c r="Y44" s="737">
        <f>V44-I44</f>
        <v>0</v>
      </c>
      <c r="Z44" s="738">
        <f>W44-I44</f>
        <v>0</v>
      </c>
      <c r="AA44" s="280"/>
    </row>
    <row r="45" spans="1:27" ht="15">
      <c r="A45" s="484">
        <f t="shared" si="1"/>
        <v>45</v>
      </c>
      <c r="B45" s="96"/>
      <c r="C45" s="50"/>
      <c r="D45" s="97" t="s">
        <v>33</v>
      </c>
      <c r="E45" s="94"/>
      <c r="F45" s="94"/>
      <c r="G45" s="57"/>
      <c r="H45" s="241"/>
      <c r="I45" s="739"/>
      <c r="J45" s="744"/>
      <c r="K45" s="745"/>
      <c r="L45" s="733">
        <f>IF(K$18&lt;&gt;0,K45-J45,0)</f>
        <v>0</v>
      </c>
      <c r="M45" s="746"/>
      <c r="N45" s="747"/>
      <c r="O45" s="733">
        <f>IF(N$18&lt;&gt;0,N45-M45,0)</f>
        <v>0</v>
      </c>
      <c r="P45" s="746"/>
      <c r="Q45" s="747"/>
      <c r="R45" s="733">
        <f>IF(Q$18&lt;&gt;0,Q45-P45,0)</f>
        <v>0</v>
      </c>
      <c r="S45" s="746"/>
      <c r="T45" s="747"/>
      <c r="U45" s="734">
        <f>IF(T$18&lt;&gt;0,T45-S45,0)</f>
        <v>0</v>
      </c>
      <c r="V45" s="735">
        <f>J45+M45+P45+S45</f>
        <v>0</v>
      </c>
      <c r="W45" s="736">
        <f>SUM(IF(K$18&lt;&gt;0,K45,J45)+IF(N$18&lt;&gt;0,N45,M45)+IF(Q$18&lt;&gt;0,Q45,P45)+IF(T$18&lt;&gt;0,T45,S45))</f>
        <v>0</v>
      </c>
      <c r="X45" s="733">
        <f>W45-V45</f>
        <v>0</v>
      </c>
      <c r="Y45" s="737">
        <f>V45-I45</f>
        <v>0</v>
      </c>
      <c r="Z45" s="738">
        <f>W45-I45</f>
        <v>0</v>
      </c>
      <c r="AA45" s="280"/>
    </row>
    <row r="46" spans="1:27" ht="15">
      <c r="A46" s="484">
        <f t="shared" si="1"/>
        <v>46</v>
      </c>
      <c r="B46" s="96"/>
      <c r="C46" s="50"/>
      <c r="D46" s="97" t="s">
        <v>34</v>
      </c>
      <c r="E46" s="94"/>
      <c r="F46" s="94"/>
      <c r="G46" s="57"/>
      <c r="H46" s="241"/>
      <c r="I46" s="739"/>
      <c r="J46" s="744"/>
      <c r="K46" s="745"/>
      <c r="L46" s="733">
        <f>IF(K$18&lt;&gt;0,K46-J46,0)</f>
        <v>0</v>
      </c>
      <c r="M46" s="746"/>
      <c r="N46" s="747"/>
      <c r="O46" s="733">
        <f>IF(N$18&lt;&gt;0,N46-M46,0)</f>
        <v>0</v>
      </c>
      <c r="P46" s="746"/>
      <c r="Q46" s="747"/>
      <c r="R46" s="733">
        <f>IF(Q$18&lt;&gt;0,Q46-P46,0)</f>
        <v>0</v>
      </c>
      <c r="S46" s="746"/>
      <c r="T46" s="747"/>
      <c r="U46" s="734">
        <f>IF(T$18&lt;&gt;0,T46-S46,0)</f>
        <v>0</v>
      </c>
      <c r="V46" s="735">
        <f>J46+M46+P46+S46</f>
        <v>0</v>
      </c>
      <c r="W46" s="736">
        <f>SUM(IF(K$18&lt;&gt;0,K46,J46)+IF(N$18&lt;&gt;0,N46,M46)+IF(Q$18&lt;&gt;0,Q46,P46)+IF(T$18&lt;&gt;0,T46,S46))</f>
        <v>0</v>
      </c>
      <c r="X46" s="733">
        <f>W46-V46</f>
        <v>0</v>
      </c>
      <c r="Y46" s="737">
        <f>V46-I46</f>
        <v>0</v>
      </c>
      <c r="Z46" s="738">
        <f>W46-I46</f>
        <v>0</v>
      </c>
      <c r="AA46" s="280"/>
    </row>
    <row r="47" spans="1:27" ht="15">
      <c r="A47" s="484">
        <f t="shared" si="1"/>
        <v>47</v>
      </c>
      <c r="B47" s="96"/>
      <c r="C47" s="50"/>
      <c r="D47" s="97" t="s">
        <v>35</v>
      </c>
      <c r="E47" s="94"/>
      <c r="F47" s="94"/>
      <c r="G47" s="57"/>
      <c r="H47" s="241"/>
      <c r="I47" s="739"/>
      <c r="J47" s="744"/>
      <c r="K47" s="745"/>
      <c r="L47" s="733">
        <f>IF(K$18&lt;&gt;0,K47-J47,0)</f>
        <v>0</v>
      </c>
      <c r="M47" s="746"/>
      <c r="N47" s="747"/>
      <c r="O47" s="733">
        <f>IF(N$18&lt;&gt;0,N47-M47,0)</f>
        <v>0</v>
      </c>
      <c r="P47" s="746"/>
      <c r="Q47" s="747"/>
      <c r="R47" s="733">
        <f>IF(Q$18&lt;&gt;0,Q47-P47,0)</f>
        <v>0</v>
      </c>
      <c r="S47" s="746"/>
      <c r="T47" s="747"/>
      <c r="U47" s="734">
        <f>IF(T$18&lt;&gt;0,T47-S47,0)</f>
        <v>0</v>
      </c>
      <c r="V47" s="735">
        <f>J47+M47+P47+S47</f>
        <v>0</v>
      </c>
      <c r="W47" s="736">
        <f>SUM(IF(K$18&lt;&gt;0,K47,J47)+IF(N$18&lt;&gt;0,N47,M47)+IF(Q$18&lt;&gt;0,Q47,P47)+IF(T$18&lt;&gt;0,T47,S47))</f>
        <v>0</v>
      </c>
      <c r="X47" s="733">
        <f>W47-V47</f>
        <v>0</v>
      </c>
      <c r="Y47" s="737">
        <f>V47-I47</f>
        <v>0</v>
      </c>
      <c r="Z47" s="738">
        <f>W47-I47</f>
        <v>0</v>
      </c>
      <c r="AA47" s="280"/>
    </row>
    <row r="48" spans="1:27" ht="15">
      <c r="A48" s="484">
        <f t="shared" si="1"/>
        <v>48</v>
      </c>
      <c r="B48" s="96"/>
      <c r="C48" s="50"/>
      <c r="D48" s="97" t="s">
        <v>27</v>
      </c>
      <c r="E48" s="94"/>
      <c r="F48" s="94"/>
      <c r="G48" s="57"/>
      <c r="H48" s="241"/>
      <c r="I48" s="748"/>
      <c r="J48" s="748"/>
      <c r="K48" s="748"/>
      <c r="L48" s="748"/>
      <c r="M48" s="748"/>
      <c r="N48" s="748"/>
      <c r="O48" s="748"/>
      <c r="P48" s="748"/>
      <c r="Q48" s="748"/>
      <c r="R48" s="748"/>
      <c r="S48" s="748"/>
      <c r="T48" s="748"/>
      <c r="U48" s="738"/>
      <c r="V48" s="749"/>
      <c r="W48" s="748"/>
      <c r="X48" s="748"/>
      <c r="Y48" s="748"/>
      <c r="Z48" s="738"/>
      <c r="AA48" s="280"/>
    </row>
    <row r="49" spans="1:27" ht="15">
      <c r="A49" s="484">
        <f t="shared" si="1"/>
        <v>49</v>
      </c>
      <c r="B49" s="96"/>
      <c r="C49" s="50"/>
      <c r="D49" s="50"/>
      <c r="E49" s="120" t="s">
        <v>36</v>
      </c>
      <c r="F49" s="120"/>
      <c r="G49" s="56"/>
      <c r="H49" s="241"/>
      <c r="I49" s="666"/>
      <c r="J49" s="665"/>
      <c r="K49" s="745"/>
      <c r="L49" s="733">
        <f>IF(K$18&lt;&gt;0,K49-J49,0)</f>
        <v>0</v>
      </c>
      <c r="M49" s="665"/>
      <c r="N49" s="747"/>
      <c r="O49" s="733">
        <f>IF(N$18&lt;&gt;0,N49-M49,0)</f>
        <v>0</v>
      </c>
      <c r="P49" s="665"/>
      <c r="Q49" s="747"/>
      <c r="R49" s="733">
        <f>IF(Q$18&lt;&gt;0,Q49-P49,0)</f>
        <v>0</v>
      </c>
      <c r="S49" s="665"/>
      <c r="T49" s="747"/>
      <c r="U49" s="734">
        <f>IF(T$18&lt;&gt;0,T49-S49,0)</f>
        <v>0</v>
      </c>
      <c r="V49" s="735">
        <f>J49+M49+P49+S49</f>
        <v>0</v>
      </c>
      <c r="W49" s="736">
        <f>SUM(IF(K$18&lt;&gt;0,K49,J49)+IF(N$18&lt;&gt;0,N49,M49)+IF(Q$18&lt;&gt;0,Q49,P49)+IF(T$18&lt;&gt;0,T49,S49))</f>
        <v>0</v>
      </c>
      <c r="X49" s="733">
        <f>W49-V49</f>
        <v>0</v>
      </c>
      <c r="Y49" s="737">
        <f>V49-I49</f>
        <v>0</v>
      </c>
      <c r="Z49" s="738">
        <f>W49-I49</f>
        <v>0</v>
      </c>
      <c r="AA49" s="280"/>
    </row>
    <row r="50" spans="1:27" ht="15">
      <c r="A50" s="484">
        <f t="shared" si="1"/>
        <v>50</v>
      </c>
      <c r="B50" s="96"/>
      <c r="C50" s="50"/>
      <c r="D50" s="50"/>
      <c r="E50" s="120" t="s">
        <v>29</v>
      </c>
      <c r="F50" s="120"/>
      <c r="G50" s="56"/>
      <c r="H50" s="241"/>
      <c r="I50" s="666"/>
      <c r="J50" s="665"/>
      <c r="K50" s="745"/>
      <c r="L50" s="733">
        <f>IF(K$18&lt;&gt;0,K50-J50,0)</f>
        <v>0</v>
      </c>
      <c r="M50" s="746"/>
      <c r="N50" s="747"/>
      <c r="O50" s="733">
        <f>IF(N$18&lt;&gt;0,N50-M50,0)</f>
        <v>0</v>
      </c>
      <c r="P50" s="746"/>
      <c r="Q50" s="747"/>
      <c r="R50" s="733">
        <f>IF(Q$18&lt;&gt;0,Q50-P50,0)</f>
        <v>0</v>
      </c>
      <c r="S50" s="746"/>
      <c r="T50" s="747"/>
      <c r="U50" s="734">
        <f>IF(T$18&lt;&gt;0,T50-S50,0)</f>
        <v>0</v>
      </c>
      <c r="V50" s="735">
        <f>J50+M50+P50+S50</f>
        <v>0</v>
      </c>
      <c r="W50" s="736">
        <f>SUM(IF(K$18&lt;&gt;0,K50,J50)+IF(N$18&lt;&gt;0,N50,M50)+IF(Q$18&lt;&gt;0,Q50,P50)+IF(T$18&lt;&gt;0,T50,S50))</f>
        <v>0</v>
      </c>
      <c r="X50" s="733">
        <f>W50-V50</f>
        <v>0</v>
      </c>
      <c r="Y50" s="737">
        <f>V50-I50</f>
        <v>0</v>
      </c>
      <c r="Z50" s="738">
        <f>W50-I50</f>
        <v>0</v>
      </c>
      <c r="AA50" s="280"/>
    </row>
    <row r="51" spans="1:27" ht="16.8">
      <c r="A51" s="484">
        <f t="shared" si="1"/>
        <v>51</v>
      </c>
      <c r="B51" s="96"/>
      <c r="C51" s="50"/>
      <c r="D51" s="97" t="s">
        <v>37</v>
      </c>
      <c r="E51" s="94"/>
      <c r="F51" s="94"/>
      <c r="G51" s="57"/>
      <c r="H51" s="241"/>
      <c r="I51" s="750"/>
      <c r="J51" s="751"/>
      <c r="K51" s="752"/>
      <c r="L51" s="753">
        <f>IF(K$18&lt;&gt;0,K51-J51,0)</f>
        <v>0</v>
      </c>
      <c r="M51" s="754"/>
      <c r="N51" s="755"/>
      <c r="O51" s="753">
        <f>IF(N$18&lt;&gt;0,N51-M51,0)</f>
        <v>0</v>
      </c>
      <c r="P51" s="754"/>
      <c r="Q51" s="755"/>
      <c r="R51" s="753">
        <f>IF(Q$18&lt;&gt;0,Q51-P51,0)</f>
        <v>0</v>
      </c>
      <c r="S51" s="754"/>
      <c r="T51" s="755"/>
      <c r="U51" s="756">
        <f>IF(T$18&lt;&gt;0,T51-S51,0)</f>
        <v>0</v>
      </c>
      <c r="V51" s="757">
        <f>J51+M51+P51+S51</f>
        <v>0</v>
      </c>
      <c r="W51" s="758">
        <f>SUM(IF(K$18&lt;&gt;0,K51,J51)+IF(N$18&lt;&gt;0,N51,M51)+IF(Q$18&lt;&gt;0,Q51,P51)+IF(T$18&lt;&gt;0,T51,S51))</f>
        <v>0</v>
      </c>
      <c r="X51" s="753">
        <f>W51-V51</f>
        <v>0</v>
      </c>
      <c r="Y51" s="759">
        <f>V51-I51</f>
        <v>0</v>
      </c>
      <c r="Z51" s="760">
        <f>W51-I51</f>
        <v>0</v>
      </c>
      <c r="AA51" s="280"/>
    </row>
    <row r="52" spans="1:27" ht="15">
      <c r="A52" s="484">
        <f t="shared" si="1"/>
        <v>52</v>
      </c>
      <c r="B52" s="96"/>
      <c r="C52" s="50" t="s">
        <v>38</v>
      </c>
      <c r="D52" s="97"/>
      <c r="E52" s="94"/>
      <c r="F52" s="94"/>
      <c r="G52" s="57"/>
      <c r="H52" s="241"/>
      <c r="I52" s="748">
        <f t="shared" ref="I52:Z52" si="13">SUM(I44:I51)</f>
        <v>0</v>
      </c>
      <c r="J52" s="731">
        <f t="shared" si="13"/>
        <v>0</v>
      </c>
      <c r="K52" s="741">
        <f t="shared" si="13"/>
        <v>0</v>
      </c>
      <c r="L52" s="741">
        <f t="shared" si="13"/>
        <v>0</v>
      </c>
      <c r="M52" s="731">
        <f t="shared" si="13"/>
        <v>0</v>
      </c>
      <c r="N52" s="741">
        <f t="shared" si="13"/>
        <v>0</v>
      </c>
      <c r="O52" s="741">
        <f t="shared" si="13"/>
        <v>0</v>
      </c>
      <c r="P52" s="731">
        <f t="shared" si="13"/>
        <v>0</v>
      </c>
      <c r="Q52" s="741">
        <f t="shared" si="13"/>
        <v>0</v>
      </c>
      <c r="R52" s="741">
        <f t="shared" si="13"/>
        <v>0</v>
      </c>
      <c r="S52" s="731">
        <f t="shared" si="13"/>
        <v>0</v>
      </c>
      <c r="T52" s="741">
        <f t="shared" si="13"/>
        <v>0</v>
      </c>
      <c r="U52" s="742">
        <f t="shared" si="13"/>
        <v>0</v>
      </c>
      <c r="V52" s="735">
        <f t="shared" si="13"/>
        <v>0</v>
      </c>
      <c r="W52" s="741">
        <f t="shared" si="13"/>
        <v>0</v>
      </c>
      <c r="X52" s="743">
        <f t="shared" si="13"/>
        <v>0</v>
      </c>
      <c r="Y52" s="737">
        <f t="shared" si="13"/>
        <v>0</v>
      </c>
      <c r="Z52" s="738">
        <f t="shared" si="13"/>
        <v>0</v>
      </c>
      <c r="AA52" s="280"/>
    </row>
    <row r="53" spans="1:27" ht="15">
      <c r="A53" s="484">
        <f t="shared" si="1"/>
        <v>53</v>
      </c>
      <c r="B53" s="96"/>
      <c r="C53" s="50"/>
      <c r="D53" s="50"/>
      <c r="E53" s="53"/>
      <c r="F53" s="53"/>
      <c r="G53" s="51"/>
      <c r="H53" s="241"/>
      <c r="I53" s="761"/>
      <c r="J53" s="761"/>
      <c r="K53" s="761"/>
      <c r="L53" s="761"/>
      <c r="M53" s="761"/>
      <c r="N53" s="761"/>
      <c r="O53" s="761"/>
      <c r="P53" s="761"/>
      <c r="Q53" s="761"/>
      <c r="R53" s="761"/>
      <c r="S53" s="761"/>
      <c r="T53" s="761"/>
      <c r="U53" s="762"/>
      <c r="V53" s="761"/>
      <c r="W53" s="761"/>
      <c r="X53" s="761"/>
      <c r="Y53" s="761"/>
      <c r="Z53" s="762"/>
      <c r="AA53" s="280"/>
    </row>
    <row r="54" spans="1:27" ht="15">
      <c r="A54" s="484">
        <f t="shared" si="1"/>
        <v>54</v>
      </c>
      <c r="B54" s="92"/>
      <c r="C54" s="93" t="s">
        <v>39</v>
      </c>
      <c r="D54" s="93"/>
      <c r="E54" s="53"/>
      <c r="F54" s="53"/>
      <c r="G54" s="51"/>
      <c r="H54" s="241"/>
      <c r="I54" s="98"/>
      <c r="J54" s="98"/>
      <c r="K54" s="98"/>
      <c r="L54" s="98"/>
      <c r="M54" s="98"/>
      <c r="N54" s="98"/>
      <c r="O54" s="98"/>
      <c r="P54" s="98"/>
      <c r="Q54" s="98"/>
      <c r="R54" s="98"/>
      <c r="S54" s="98"/>
      <c r="T54" s="98"/>
      <c r="U54" s="99"/>
      <c r="V54" s="98"/>
      <c r="W54" s="98"/>
      <c r="X54" s="98"/>
      <c r="Y54" s="98"/>
      <c r="Z54" s="99"/>
      <c r="AA54" s="280"/>
    </row>
    <row r="55" spans="1:27" ht="15">
      <c r="A55" s="484">
        <f t="shared" si="1"/>
        <v>55</v>
      </c>
      <c r="B55" s="96"/>
      <c r="C55" s="50"/>
      <c r="D55" s="97" t="s">
        <v>40</v>
      </c>
      <c r="E55" s="94"/>
      <c r="F55" s="94"/>
      <c r="G55" s="57"/>
      <c r="H55" s="241"/>
      <c r="I55" s="739"/>
      <c r="J55" s="744"/>
      <c r="K55" s="745"/>
      <c r="L55" s="733">
        <f t="shared" ref="L55:L62" si="14">IF(K$18&lt;&gt;0,K55-J55,0)</f>
        <v>0</v>
      </c>
      <c r="M55" s="746"/>
      <c r="N55" s="747"/>
      <c r="O55" s="733">
        <f t="shared" ref="O55:O62" si="15">IF(N$18&lt;&gt;0,N55-M55,0)</f>
        <v>0</v>
      </c>
      <c r="P55" s="746"/>
      <c r="Q55" s="747"/>
      <c r="R55" s="733">
        <f t="shared" ref="R55:R62" si="16">IF(Q$18&lt;&gt;0,Q55-P55,0)</f>
        <v>0</v>
      </c>
      <c r="S55" s="746"/>
      <c r="T55" s="747"/>
      <c r="U55" s="734">
        <f t="shared" ref="U55:U62" si="17">IF(T$18&lt;&gt;0,T55-S55,0)</f>
        <v>0</v>
      </c>
      <c r="V55" s="735">
        <f t="shared" ref="V55:V62" si="18">J55+M55+P55+S55</f>
        <v>0</v>
      </c>
      <c r="W55" s="736">
        <f t="shared" ref="W55:W62" si="19">SUM(IF(K$18&lt;&gt;0,K55,J55)+IF(N$18&lt;&gt;0,N55,M55)+IF(Q$18&lt;&gt;0,Q55,P55)+IF(T$18&lt;&gt;0,T55,S55))</f>
        <v>0</v>
      </c>
      <c r="X55" s="733">
        <f t="shared" ref="X55:X62" si="20">W55-V55</f>
        <v>0</v>
      </c>
      <c r="Y55" s="737">
        <f t="shared" ref="Y55:Y62" si="21">V55-I55</f>
        <v>0</v>
      </c>
      <c r="Z55" s="738">
        <f t="shared" ref="Z55:Z62" si="22">W55-I55</f>
        <v>0</v>
      </c>
      <c r="AA55" s="280"/>
    </row>
    <row r="56" spans="1:27" ht="15">
      <c r="A56" s="484">
        <f t="shared" si="1"/>
        <v>56</v>
      </c>
      <c r="B56" s="96"/>
      <c r="C56" s="50"/>
      <c r="D56" s="97" t="s">
        <v>41</v>
      </c>
      <c r="E56" s="94"/>
      <c r="F56" s="94"/>
      <c r="G56" s="57"/>
      <c r="H56" s="241"/>
      <c r="I56" s="739"/>
      <c r="J56" s="744"/>
      <c r="K56" s="745"/>
      <c r="L56" s="733">
        <f t="shared" si="14"/>
        <v>0</v>
      </c>
      <c r="M56" s="746"/>
      <c r="N56" s="747"/>
      <c r="O56" s="733">
        <f t="shared" si="15"/>
        <v>0</v>
      </c>
      <c r="P56" s="746"/>
      <c r="Q56" s="747"/>
      <c r="R56" s="733">
        <f t="shared" si="16"/>
        <v>0</v>
      </c>
      <c r="S56" s="746"/>
      <c r="T56" s="747"/>
      <c r="U56" s="734">
        <f t="shared" si="17"/>
        <v>0</v>
      </c>
      <c r="V56" s="735">
        <f t="shared" si="18"/>
        <v>0</v>
      </c>
      <c r="W56" s="736">
        <f t="shared" si="19"/>
        <v>0</v>
      </c>
      <c r="X56" s="733">
        <f t="shared" si="20"/>
        <v>0</v>
      </c>
      <c r="Y56" s="737">
        <f t="shared" si="21"/>
        <v>0</v>
      </c>
      <c r="Z56" s="738">
        <f t="shared" si="22"/>
        <v>0</v>
      </c>
      <c r="AA56" s="280"/>
    </row>
    <row r="57" spans="1:27" ht="15">
      <c r="A57" s="484">
        <f t="shared" si="1"/>
        <v>57</v>
      </c>
      <c r="B57" s="96"/>
      <c r="C57" s="50"/>
      <c r="D57" s="97" t="s">
        <v>42</v>
      </c>
      <c r="E57" s="94"/>
      <c r="F57" s="94"/>
      <c r="G57" s="57"/>
      <c r="H57" s="241"/>
      <c r="I57" s="739"/>
      <c r="J57" s="744"/>
      <c r="K57" s="745"/>
      <c r="L57" s="733">
        <f t="shared" si="14"/>
        <v>0</v>
      </c>
      <c r="M57" s="746"/>
      <c r="N57" s="747"/>
      <c r="O57" s="733">
        <f t="shared" si="15"/>
        <v>0</v>
      </c>
      <c r="P57" s="746"/>
      <c r="Q57" s="747"/>
      <c r="R57" s="733">
        <f t="shared" si="16"/>
        <v>0</v>
      </c>
      <c r="S57" s="746"/>
      <c r="T57" s="747"/>
      <c r="U57" s="734">
        <f t="shared" si="17"/>
        <v>0</v>
      </c>
      <c r="V57" s="735">
        <f t="shared" si="18"/>
        <v>0</v>
      </c>
      <c r="W57" s="736">
        <f t="shared" si="19"/>
        <v>0</v>
      </c>
      <c r="X57" s="733">
        <f t="shared" si="20"/>
        <v>0</v>
      </c>
      <c r="Y57" s="737">
        <f t="shared" si="21"/>
        <v>0</v>
      </c>
      <c r="Z57" s="738">
        <f t="shared" si="22"/>
        <v>0</v>
      </c>
      <c r="AA57" s="280"/>
    </row>
    <row r="58" spans="1:27" ht="15">
      <c r="A58" s="484">
        <f t="shared" si="1"/>
        <v>58</v>
      </c>
      <c r="B58" s="96"/>
      <c r="C58" s="50"/>
      <c r="D58" s="97" t="s">
        <v>43</v>
      </c>
      <c r="E58" s="94"/>
      <c r="F58" s="94"/>
      <c r="G58" s="57"/>
      <c r="H58" s="241"/>
      <c r="I58" s="739"/>
      <c r="J58" s="744"/>
      <c r="K58" s="745"/>
      <c r="L58" s="733">
        <f t="shared" si="14"/>
        <v>0</v>
      </c>
      <c r="M58" s="746"/>
      <c r="N58" s="747"/>
      <c r="O58" s="733">
        <f t="shared" si="15"/>
        <v>0</v>
      </c>
      <c r="P58" s="746"/>
      <c r="Q58" s="747"/>
      <c r="R58" s="733">
        <f t="shared" si="16"/>
        <v>0</v>
      </c>
      <c r="S58" s="746"/>
      <c r="T58" s="747"/>
      <c r="U58" s="734">
        <f t="shared" si="17"/>
        <v>0</v>
      </c>
      <c r="V58" s="735">
        <f t="shared" si="18"/>
        <v>0</v>
      </c>
      <c r="W58" s="736">
        <f t="shared" si="19"/>
        <v>0</v>
      </c>
      <c r="X58" s="733">
        <f t="shared" si="20"/>
        <v>0</v>
      </c>
      <c r="Y58" s="737">
        <f t="shared" si="21"/>
        <v>0</v>
      </c>
      <c r="Z58" s="738">
        <f t="shared" si="22"/>
        <v>0</v>
      </c>
      <c r="AA58" s="280"/>
    </row>
    <row r="59" spans="1:27" ht="15">
      <c r="A59" s="484">
        <f t="shared" si="1"/>
        <v>59</v>
      </c>
      <c r="B59" s="96"/>
      <c r="C59" s="50"/>
      <c r="D59" s="97" t="s">
        <v>44</v>
      </c>
      <c r="E59" s="94"/>
      <c r="F59" s="94"/>
      <c r="G59" s="57"/>
      <c r="H59" s="241"/>
      <c r="I59" s="739"/>
      <c r="J59" s="744"/>
      <c r="K59" s="745"/>
      <c r="L59" s="733">
        <f t="shared" si="14"/>
        <v>0</v>
      </c>
      <c r="M59" s="746"/>
      <c r="N59" s="747"/>
      <c r="O59" s="733">
        <f t="shared" si="15"/>
        <v>0</v>
      </c>
      <c r="P59" s="746"/>
      <c r="Q59" s="747"/>
      <c r="R59" s="733">
        <f t="shared" si="16"/>
        <v>0</v>
      </c>
      <c r="S59" s="746"/>
      <c r="T59" s="747"/>
      <c r="U59" s="734">
        <f t="shared" si="17"/>
        <v>0</v>
      </c>
      <c r="V59" s="735">
        <f t="shared" si="18"/>
        <v>0</v>
      </c>
      <c r="W59" s="736">
        <f t="shared" si="19"/>
        <v>0</v>
      </c>
      <c r="X59" s="733">
        <f t="shared" si="20"/>
        <v>0</v>
      </c>
      <c r="Y59" s="737">
        <f t="shared" si="21"/>
        <v>0</v>
      </c>
      <c r="Z59" s="738">
        <f t="shared" si="22"/>
        <v>0</v>
      </c>
      <c r="AA59" s="280"/>
    </row>
    <row r="60" spans="1:27" ht="15">
      <c r="A60" s="484">
        <f t="shared" si="1"/>
        <v>60</v>
      </c>
      <c r="B60" s="96"/>
      <c r="C60" s="50"/>
      <c r="D60" s="97" t="s">
        <v>45</v>
      </c>
      <c r="E60" s="94"/>
      <c r="F60" s="94"/>
      <c r="G60" s="57"/>
      <c r="H60" s="241"/>
      <c r="I60" s="666"/>
      <c r="J60" s="665"/>
      <c r="K60" s="745"/>
      <c r="L60" s="733">
        <f t="shared" si="14"/>
        <v>0</v>
      </c>
      <c r="M60" s="665"/>
      <c r="N60" s="747"/>
      <c r="O60" s="733">
        <f t="shared" si="15"/>
        <v>0</v>
      </c>
      <c r="P60" s="665"/>
      <c r="Q60" s="747"/>
      <c r="R60" s="733">
        <f t="shared" si="16"/>
        <v>0</v>
      </c>
      <c r="S60" s="665"/>
      <c r="T60" s="747"/>
      <c r="U60" s="734">
        <f t="shared" si="17"/>
        <v>0</v>
      </c>
      <c r="V60" s="735">
        <f t="shared" si="18"/>
        <v>0</v>
      </c>
      <c r="W60" s="736">
        <f t="shared" si="19"/>
        <v>0</v>
      </c>
      <c r="X60" s="733">
        <f t="shared" si="20"/>
        <v>0</v>
      </c>
      <c r="Y60" s="737">
        <f t="shared" si="21"/>
        <v>0</v>
      </c>
      <c r="Z60" s="738">
        <f t="shared" si="22"/>
        <v>0</v>
      </c>
      <c r="AA60" s="280"/>
    </row>
    <row r="61" spans="1:27" ht="15">
      <c r="A61" s="484">
        <f t="shared" si="1"/>
        <v>61</v>
      </c>
      <c r="B61" s="96"/>
      <c r="C61" s="50"/>
      <c r="D61" s="97" t="s">
        <v>46</v>
      </c>
      <c r="E61" s="94"/>
      <c r="F61" s="94"/>
      <c r="G61" s="57"/>
      <c r="H61" s="241"/>
      <c r="I61" s="739"/>
      <c r="J61" s="744"/>
      <c r="K61" s="745"/>
      <c r="L61" s="733">
        <f t="shared" si="14"/>
        <v>0</v>
      </c>
      <c r="M61" s="746"/>
      <c r="N61" s="747"/>
      <c r="O61" s="733">
        <f t="shared" si="15"/>
        <v>0</v>
      </c>
      <c r="P61" s="746"/>
      <c r="Q61" s="747"/>
      <c r="R61" s="733">
        <f t="shared" si="16"/>
        <v>0</v>
      </c>
      <c r="S61" s="746"/>
      <c r="T61" s="747"/>
      <c r="U61" s="734">
        <f t="shared" si="17"/>
        <v>0</v>
      </c>
      <c r="V61" s="735">
        <f t="shared" si="18"/>
        <v>0</v>
      </c>
      <c r="W61" s="736">
        <f t="shared" si="19"/>
        <v>0</v>
      </c>
      <c r="X61" s="733">
        <f t="shared" si="20"/>
        <v>0</v>
      </c>
      <c r="Y61" s="737">
        <f t="shared" si="21"/>
        <v>0</v>
      </c>
      <c r="Z61" s="738">
        <f t="shared" si="22"/>
        <v>0</v>
      </c>
      <c r="AA61" s="280"/>
    </row>
    <row r="62" spans="1:27" ht="16.8">
      <c r="A62" s="484">
        <f t="shared" si="1"/>
        <v>62</v>
      </c>
      <c r="B62" s="96"/>
      <c r="C62" s="50"/>
      <c r="D62" s="97" t="s">
        <v>47</v>
      </c>
      <c r="E62" s="94"/>
      <c r="F62" s="94"/>
      <c r="G62" s="57"/>
      <c r="H62" s="241"/>
      <c r="I62" s="750"/>
      <c r="J62" s="751"/>
      <c r="K62" s="752"/>
      <c r="L62" s="753">
        <f t="shared" si="14"/>
        <v>0</v>
      </c>
      <c r="M62" s="754"/>
      <c r="N62" s="755"/>
      <c r="O62" s="753">
        <f t="shared" si="15"/>
        <v>0</v>
      </c>
      <c r="P62" s="754"/>
      <c r="Q62" s="755"/>
      <c r="R62" s="753">
        <f t="shared" si="16"/>
        <v>0</v>
      </c>
      <c r="S62" s="754"/>
      <c r="T62" s="755"/>
      <c r="U62" s="756">
        <f t="shared" si="17"/>
        <v>0</v>
      </c>
      <c r="V62" s="757">
        <f t="shared" si="18"/>
        <v>0</v>
      </c>
      <c r="W62" s="758">
        <f t="shared" si="19"/>
        <v>0</v>
      </c>
      <c r="X62" s="753">
        <f t="shared" si="20"/>
        <v>0</v>
      </c>
      <c r="Y62" s="759">
        <f t="shared" si="21"/>
        <v>0</v>
      </c>
      <c r="Z62" s="760">
        <f t="shared" si="22"/>
        <v>0</v>
      </c>
      <c r="AA62" s="280"/>
    </row>
    <row r="63" spans="1:27" ht="15">
      <c r="A63" s="484">
        <f t="shared" si="1"/>
        <v>63</v>
      </c>
      <c r="B63" s="96"/>
      <c r="C63" s="50" t="s">
        <v>48</v>
      </c>
      <c r="D63" s="97"/>
      <c r="E63" s="94"/>
      <c r="F63" s="94"/>
      <c r="G63" s="57"/>
      <c r="H63" s="241"/>
      <c r="I63" s="748">
        <f t="shared" ref="I63:Z63" si="23">SUM(I55:I62)</f>
        <v>0</v>
      </c>
      <c r="J63" s="731">
        <f t="shared" si="23"/>
        <v>0</v>
      </c>
      <c r="K63" s="741">
        <f t="shared" si="23"/>
        <v>0</v>
      </c>
      <c r="L63" s="741">
        <f t="shared" si="23"/>
        <v>0</v>
      </c>
      <c r="M63" s="731">
        <f t="shared" si="23"/>
        <v>0</v>
      </c>
      <c r="N63" s="741">
        <f t="shared" si="23"/>
        <v>0</v>
      </c>
      <c r="O63" s="741">
        <f t="shared" si="23"/>
        <v>0</v>
      </c>
      <c r="P63" s="731">
        <f t="shared" si="23"/>
        <v>0</v>
      </c>
      <c r="Q63" s="741">
        <f t="shared" si="23"/>
        <v>0</v>
      </c>
      <c r="R63" s="741">
        <f t="shared" si="23"/>
        <v>0</v>
      </c>
      <c r="S63" s="731">
        <f t="shared" si="23"/>
        <v>0</v>
      </c>
      <c r="T63" s="741">
        <f t="shared" si="23"/>
        <v>0</v>
      </c>
      <c r="U63" s="742">
        <f t="shared" si="23"/>
        <v>0</v>
      </c>
      <c r="V63" s="735">
        <f t="shared" si="23"/>
        <v>0</v>
      </c>
      <c r="W63" s="741">
        <f t="shared" si="23"/>
        <v>0</v>
      </c>
      <c r="X63" s="743">
        <f t="shared" si="23"/>
        <v>0</v>
      </c>
      <c r="Y63" s="737">
        <f t="shared" si="23"/>
        <v>0</v>
      </c>
      <c r="Z63" s="738">
        <f t="shared" si="23"/>
        <v>0</v>
      </c>
      <c r="AA63" s="280"/>
    </row>
    <row r="64" spans="1:27" ht="15">
      <c r="A64" s="484">
        <f t="shared" si="1"/>
        <v>64</v>
      </c>
      <c r="B64" s="96"/>
      <c r="C64" s="50"/>
      <c r="D64" s="97"/>
      <c r="E64" s="94"/>
      <c r="F64" s="94"/>
      <c r="G64" s="57"/>
      <c r="H64" s="241"/>
      <c r="I64" s="748"/>
      <c r="J64" s="748"/>
      <c r="K64" s="748"/>
      <c r="L64" s="748"/>
      <c r="M64" s="748"/>
      <c r="N64" s="748"/>
      <c r="O64" s="748"/>
      <c r="P64" s="748"/>
      <c r="Q64" s="748"/>
      <c r="R64" s="748"/>
      <c r="S64" s="748"/>
      <c r="T64" s="748"/>
      <c r="U64" s="763"/>
      <c r="V64" s="764"/>
      <c r="W64" s="748"/>
      <c r="X64" s="748"/>
      <c r="Y64" s="748"/>
      <c r="Z64" s="738"/>
      <c r="AA64" s="280"/>
    </row>
    <row r="65" spans="1:27" ht="17.399999999999999" thickBot="1">
      <c r="A65" s="484">
        <f t="shared" si="1"/>
        <v>65</v>
      </c>
      <c r="B65" s="109" t="s">
        <v>49</v>
      </c>
      <c r="C65" s="110"/>
      <c r="D65" s="110"/>
      <c r="E65" s="111"/>
      <c r="F65" s="127"/>
      <c r="G65" s="112"/>
      <c r="H65" s="508"/>
      <c r="I65" s="765">
        <f t="shared" ref="I65:Z65" si="24">I63+I52+I41</f>
        <v>0</v>
      </c>
      <c r="J65" s="766">
        <f t="shared" si="24"/>
        <v>0</v>
      </c>
      <c r="K65" s="767">
        <f t="shared" si="24"/>
        <v>0</v>
      </c>
      <c r="L65" s="765">
        <f t="shared" si="24"/>
        <v>0</v>
      </c>
      <c r="M65" s="768">
        <f t="shared" si="24"/>
        <v>0</v>
      </c>
      <c r="N65" s="769">
        <f t="shared" si="24"/>
        <v>0</v>
      </c>
      <c r="O65" s="765">
        <f t="shared" si="24"/>
        <v>0</v>
      </c>
      <c r="P65" s="768">
        <f t="shared" si="24"/>
        <v>0</v>
      </c>
      <c r="Q65" s="769">
        <f t="shared" si="24"/>
        <v>0</v>
      </c>
      <c r="R65" s="765">
        <f t="shared" si="24"/>
        <v>0</v>
      </c>
      <c r="S65" s="768">
        <f t="shared" si="24"/>
        <v>0</v>
      </c>
      <c r="T65" s="769">
        <f t="shared" si="24"/>
        <v>0</v>
      </c>
      <c r="U65" s="770">
        <f t="shared" si="24"/>
        <v>0</v>
      </c>
      <c r="V65" s="771">
        <f t="shared" si="24"/>
        <v>0</v>
      </c>
      <c r="W65" s="772">
        <f t="shared" si="24"/>
        <v>0</v>
      </c>
      <c r="X65" s="773">
        <f t="shared" si="24"/>
        <v>0</v>
      </c>
      <c r="Y65" s="774">
        <f t="shared" si="24"/>
        <v>0</v>
      </c>
      <c r="Z65" s="775">
        <f t="shared" si="24"/>
        <v>0</v>
      </c>
      <c r="AA65" s="290"/>
    </row>
    <row r="66" spans="1:27" ht="18.600000000000001" thickTop="1">
      <c r="A66" s="484">
        <f t="shared" si="1"/>
        <v>66</v>
      </c>
      <c r="B66" s="258"/>
      <c r="C66" s="93"/>
      <c r="D66" s="93"/>
      <c r="E66" s="94"/>
      <c r="F66" s="94"/>
      <c r="G66" s="57"/>
      <c r="H66" s="241"/>
      <c r="I66" s="95"/>
      <c r="J66" s="95"/>
      <c r="K66" s="95"/>
      <c r="L66" s="95"/>
      <c r="M66" s="95"/>
      <c r="N66" s="95"/>
      <c r="O66" s="95"/>
      <c r="P66" s="95"/>
      <c r="Q66" s="95"/>
      <c r="R66" s="95"/>
      <c r="S66" s="95"/>
      <c r="T66" s="95"/>
      <c r="U66" s="501"/>
      <c r="V66" s="502"/>
      <c r="W66" s="291"/>
      <c r="X66" s="292"/>
      <c r="Y66" s="291"/>
      <c r="Z66" s="504"/>
      <c r="AA66" s="498"/>
    </row>
    <row r="67" spans="1:27" ht="15">
      <c r="A67" s="484">
        <f t="shared" ref="A67:A130" si="25">A66+1</f>
        <v>67</v>
      </c>
      <c r="B67" s="92"/>
      <c r="C67" s="93"/>
      <c r="D67" s="93"/>
      <c r="E67" s="94"/>
      <c r="F67" s="94"/>
      <c r="G67" s="57"/>
      <c r="H67" s="241"/>
      <c r="I67" s="95"/>
      <c r="J67" s="95"/>
      <c r="K67" s="95"/>
      <c r="L67" s="95"/>
      <c r="M67" s="95"/>
      <c r="N67" s="95"/>
      <c r="O67" s="95"/>
      <c r="P67" s="95"/>
      <c r="Q67" s="95"/>
      <c r="R67" s="95"/>
      <c r="S67" s="95"/>
      <c r="T67" s="95"/>
      <c r="U67" s="501"/>
      <c r="V67" s="503"/>
      <c r="W67" s="294"/>
      <c r="X67" s="95"/>
      <c r="Y67" s="294"/>
      <c r="Z67" s="377"/>
      <c r="AA67" s="280"/>
    </row>
    <row r="68" spans="1:27" ht="15">
      <c r="A68" s="484">
        <f t="shared" si="25"/>
        <v>68</v>
      </c>
      <c r="B68" s="92" t="s">
        <v>50</v>
      </c>
      <c r="C68" s="93"/>
      <c r="D68" s="93"/>
      <c r="E68" s="94"/>
      <c r="F68" s="94"/>
      <c r="G68" s="57"/>
      <c r="H68" s="241"/>
      <c r="I68" s="95"/>
      <c r="J68" s="95"/>
      <c r="K68" s="95"/>
      <c r="L68" s="95"/>
      <c r="M68" s="95"/>
      <c r="N68" s="95"/>
      <c r="O68" s="95"/>
      <c r="P68" s="95"/>
      <c r="Q68" s="95"/>
      <c r="R68" s="95"/>
      <c r="S68" s="95"/>
      <c r="T68" s="95"/>
      <c r="U68" s="118"/>
      <c r="V68" s="294"/>
      <c r="W68" s="294"/>
      <c r="X68" s="95"/>
      <c r="Y68" s="294"/>
      <c r="Z68" s="377"/>
      <c r="AA68" s="280"/>
    </row>
    <row r="69" spans="1:27" ht="30">
      <c r="A69" s="484">
        <f t="shared" si="25"/>
        <v>69</v>
      </c>
      <c r="B69" s="96"/>
      <c r="C69" s="119" t="s">
        <v>76</v>
      </c>
      <c r="D69" s="50"/>
      <c r="E69" s="94"/>
      <c r="F69" s="94"/>
      <c r="G69" s="57" t="s">
        <v>366</v>
      </c>
      <c r="H69" s="241"/>
      <c r="I69" s="95"/>
      <c r="J69" s="95"/>
      <c r="K69" s="95"/>
      <c r="L69" s="95"/>
      <c r="M69" s="95"/>
      <c r="N69" s="95"/>
      <c r="O69" s="95"/>
      <c r="P69" s="95"/>
      <c r="Q69" s="95"/>
      <c r="R69" s="95"/>
      <c r="S69" s="95"/>
      <c r="T69" s="95"/>
      <c r="U69" s="118"/>
      <c r="V69" s="95"/>
      <c r="W69" s="95"/>
      <c r="X69" s="95"/>
      <c r="Y69" s="295"/>
      <c r="Z69" s="118"/>
      <c r="AA69" s="280"/>
    </row>
    <row r="70" spans="1:27" ht="15">
      <c r="A70" s="484">
        <f t="shared" si="25"/>
        <v>70</v>
      </c>
      <c r="B70" s="96"/>
      <c r="C70" s="94"/>
      <c r="D70" s="54" t="s">
        <v>110</v>
      </c>
      <c r="E70" s="120"/>
      <c r="F70" s="120"/>
      <c r="G70" s="776">
        <f>(IF('3.) Staffing Plan'!G13&gt;0,'3.) Staffing Plan'!G13,'3.) Staffing Plan'!F13)+IF('3.) Staffing Plan'!I13&gt;0,'3.) Staffing Plan'!I13,'3.) Staffing Plan'!H13)+IF('3.) Staffing Plan'!K13&gt;0,'3.) Staffing Plan'!K13,'3.) Staffing Plan'!J13)+IF('3.) Staffing Plan'!M13&gt;0,'3.) Staffing Plan'!M13,'3.) Staffing Plan'!L13))/4</f>
        <v>0</v>
      </c>
      <c r="H70" s="241"/>
      <c r="I70" s="777"/>
      <c r="J70" s="744"/>
      <c r="K70" s="745"/>
      <c r="L70" s="779">
        <f t="shared" ref="L70:L75" si="26">IF(K$18&lt;&gt;0,J70-K70,0)</f>
        <v>0</v>
      </c>
      <c r="M70" s="744"/>
      <c r="N70" s="745"/>
      <c r="O70" s="779">
        <f t="shared" ref="O70:O75" si="27">IF(N$18&lt;&gt;0,M70-N70,0)</f>
        <v>0</v>
      </c>
      <c r="P70" s="744"/>
      <c r="Q70" s="745"/>
      <c r="R70" s="779">
        <f t="shared" ref="R70:R75" si="28">IF(Q$18&lt;&gt;0,P70-Q70,0)</f>
        <v>0</v>
      </c>
      <c r="S70" s="744"/>
      <c r="T70" s="745"/>
      <c r="U70" s="734">
        <f t="shared" ref="U70:U75" si="29">IF(T$18&lt;&gt;0,S70-T70,0)</f>
        <v>0</v>
      </c>
      <c r="V70" s="735">
        <f t="shared" ref="V70:V75" si="30">J70+M70+P70+S70</f>
        <v>0</v>
      </c>
      <c r="W70" s="736">
        <f t="shared" ref="W70:W75" si="31">SUM(IF(K$18&lt;&gt;0,K70,J70)+IF(N$18&lt;&gt;0,N70,M70)+IF(Q$18&lt;&gt;0,Q70,P70)+IF(T$18&lt;&gt;0,T70,S70))</f>
        <v>0</v>
      </c>
      <c r="X70" s="733">
        <f t="shared" ref="X70:X75" si="32">V70-W70</f>
        <v>0</v>
      </c>
      <c r="Y70" s="737">
        <f t="shared" ref="Y70:Y75" si="33">I70-V70</f>
        <v>0</v>
      </c>
      <c r="Z70" s="738">
        <f t="shared" ref="Z70:Z75" si="34">I70-W70</f>
        <v>0</v>
      </c>
      <c r="AA70" s="280"/>
    </row>
    <row r="71" spans="1:27" ht="15">
      <c r="A71" s="484">
        <f t="shared" si="25"/>
        <v>71</v>
      </c>
      <c r="B71" s="96"/>
      <c r="C71" s="94"/>
      <c r="D71" s="54" t="s">
        <v>111</v>
      </c>
      <c r="E71" s="120"/>
      <c r="F71" s="120"/>
      <c r="G71" s="776">
        <f>(IF('3.) Staffing Plan'!G14&gt;0,'3.) Staffing Plan'!G14,'3.) Staffing Plan'!F14)+IF('3.) Staffing Plan'!I14&gt;0,'3.) Staffing Plan'!I14,'3.) Staffing Plan'!H14)+IF('3.) Staffing Plan'!K14&gt;0,'3.) Staffing Plan'!K14,'3.) Staffing Plan'!J14)+IF('3.) Staffing Plan'!M14&gt;0,'3.) Staffing Plan'!M14,'3.) Staffing Plan'!L14))/4</f>
        <v>0</v>
      </c>
      <c r="H71" s="241"/>
      <c r="I71" s="777"/>
      <c r="J71" s="744"/>
      <c r="K71" s="745"/>
      <c r="L71" s="779">
        <f t="shared" si="26"/>
        <v>0</v>
      </c>
      <c r="M71" s="744"/>
      <c r="N71" s="745"/>
      <c r="O71" s="779">
        <f t="shared" si="27"/>
        <v>0</v>
      </c>
      <c r="P71" s="744"/>
      <c r="Q71" s="745"/>
      <c r="R71" s="779">
        <f t="shared" si="28"/>
        <v>0</v>
      </c>
      <c r="S71" s="744"/>
      <c r="T71" s="745"/>
      <c r="U71" s="734">
        <f t="shared" si="29"/>
        <v>0</v>
      </c>
      <c r="V71" s="735">
        <f t="shared" si="30"/>
        <v>0</v>
      </c>
      <c r="W71" s="736">
        <f t="shared" si="31"/>
        <v>0</v>
      </c>
      <c r="X71" s="733">
        <f t="shared" si="32"/>
        <v>0</v>
      </c>
      <c r="Y71" s="737">
        <f t="shared" si="33"/>
        <v>0</v>
      </c>
      <c r="Z71" s="738">
        <f t="shared" si="34"/>
        <v>0</v>
      </c>
      <c r="AA71" s="280"/>
    </row>
    <row r="72" spans="1:27" ht="15">
      <c r="A72" s="484">
        <f t="shared" si="25"/>
        <v>72</v>
      </c>
      <c r="B72" s="96"/>
      <c r="C72" s="94"/>
      <c r="D72" s="54" t="s">
        <v>112</v>
      </c>
      <c r="E72" s="120"/>
      <c r="F72" s="120"/>
      <c r="G72" s="776">
        <f>(IF('3.) Staffing Plan'!G15&gt;0,'3.) Staffing Plan'!G15,'3.) Staffing Plan'!F15)+IF('3.) Staffing Plan'!I15&gt;0,'3.) Staffing Plan'!I15,'3.) Staffing Plan'!H15)+IF('3.) Staffing Plan'!K15&gt;0,'3.) Staffing Plan'!K15,'3.) Staffing Plan'!J15)+IF('3.) Staffing Plan'!M15&gt;0,'3.) Staffing Plan'!M15,'3.) Staffing Plan'!L15))/4</f>
        <v>0</v>
      </c>
      <c r="H72" s="241"/>
      <c r="I72" s="777"/>
      <c r="J72" s="744"/>
      <c r="K72" s="745"/>
      <c r="L72" s="779">
        <f t="shared" si="26"/>
        <v>0</v>
      </c>
      <c r="M72" s="744"/>
      <c r="N72" s="745"/>
      <c r="O72" s="779">
        <f t="shared" si="27"/>
        <v>0</v>
      </c>
      <c r="P72" s="744"/>
      <c r="Q72" s="745"/>
      <c r="R72" s="779">
        <f t="shared" si="28"/>
        <v>0</v>
      </c>
      <c r="S72" s="744"/>
      <c r="T72" s="745"/>
      <c r="U72" s="734">
        <f t="shared" si="29"/>
        <v>0</v>
      </c>
      <c r="V72" s="735">
        <f t="shared" si="30"/>
        <v>0</v>
      </c>
      <c r="W72" s="736">
        <f t="shared" si="31"/>
        <v>0</v>
      </c>
      <c r="X72" s="733">
        <f t="shared" si="32"/>
        <v>0</v>
      </c>
      <c r="Y72" s="737">
        <f t="shared" si="33"/>
        <v>0</v>
      </c>
      <c r="Z72" s="738">
        <f t="shared" si="34"/>
        <v>0</v>
      </c>
      <c r="AA72" s="280"/>
    </row>
    <row r="73" spans="1:27" ht="15">
      <c r="A73" s="484">
        <f t="shared" si="25"/>
        <v>73</v>
      </c>
      <c r="B73" s="96"/>
      <c r="C73" s="94"/>
      <c r="D73" s="54" t="s">
        <v>98</v>
      </c>
      <c r="E73" s="120"/>
      <c r="F73" s="120"/>
      <c r="G73" s="776">
        <f>(IF('3.) Staffing Plan'!G16&gt;0,'3.) Staffing Plan'!G16,'3.) Staffing Plan'!F16)+IF('3.) Staffing Plan'!I16&gt;0,'3.) Staffing Plan'!I16,'3.) Staffing Plan'!H16)+IF('3.) Staffing Plan'!K16&gt;0,'3.) Staffing Plan'!K16,'3.) Staffing Plan'!J16)+IF('3.) Staffing Plan'!M16&gt;0,'3.) Staffing Plan'!M16,'3.) Staffing Plan'!L16))/4</f>
        <v>0</v>
      </c>
      <c r="H73" s="241"/>
      <c r="I73" s="777"/>
      <c r="J73" s="665"/>
      <c r="K73" s="745"/>
      <c r="L73" s="779">
        <f t="shared" si="26"/>
        <v>0</v>
      </c>
      <c r="M73" s="665"/>
      <c r="N73" s="745"/>
      <c r="O73" s="779">
        <f t="shared" si="27"/>
        <v>0</v>
      </c>
      <c r="P73" s="665"/>
      <c r="Q73" s="745"/>
      <c r="R73" s="779">
        <f t="shared" si="28"/>
        <v>0</v>
      </c>
      <c r="S73" s="665"/>
      <c r="T73" s="745"/>
      <c r="U73" s="734">
        <f t="shared" si="29"/>
        <v>0</v>
      </c>
      <c r="V73" s="735">
        <f t="shared" si="30"/>
        <v>0</v>
      </c>
      <c r="W73" s="736">
        <f t="shared" si="31"/>
        <v>0</v>
      </c>
      <c r="X73" s="733">
        <f t="shared" si="32"/>
        <v>0</v>
      </c>
      <c r="Y73" s="737">
        <f t="shared" si="33"/>
        <v>0</v>
      </c>
      <c r="Z73" s="738">
        <f t="shared" si="34"/>
        <v>0</v>
      </c>
      <c r="AA73" s="280"/>
    </row>
    <row r="74" spans="1:27" ht="15">
      <c r="A74" s="484">
        <f t="shared" si="25"/>
        <v>74</v>
      </c>
      <c r="B74" s="96"/>
      <c r="C74" s="94"/>
      <c r="D74" s="54" t="s">
        <v>99</v>
      </c>
      <c r="E74" s="120"/>
      <c r="F74" s="120"/>
      <c r="G74" s="776">
        <f>(IF('3.) Staffing Plan'!G17&gt;0,'3.) Staffing Plan'!G17,'3.) Staffing Plan'!F17)+IF('3.) Staffing Plan'!I17&gt;0,'3.) Staffing Plan'!I17,'3.) Staffing Plan'!H17)+IF('3.) Staffing Plan'!K17&gt;0,'3.) Staffing Plan'!K17,'3.) Staffing Plan'!J17)+IF('3.) Staffing Plan'!M17&gt;0,'3.) Staffing Plan'!M17,'3.) Staffing Plan'!L17))/4</f>
        <v>0</v>
      </c>
      <c r="H74" s="241"/>
      <c r="I74" s="777"/>
      <c r="J74" s="744"/>
      <c r="K74" s="745"/>
      <c r="L74" s="779">
        <f t="shared" si="26"/>
        <v>0</v>
      </c>
      <c r="M74" s="744"/>
      <c r="N74" s="745"/>
      <c r="O74" s="779">
        <f t="shared" si="27"/>
        <v>0</v>
      </c>
      <c r="P74" s="744"/>
      <c r="Q74" s="745"/>
      <c r="R74" s="779">
        <f t="shared" si="28"/>
        <v>0</v>
      </c>
      <c r="S74" s="744"/>
      <c r="T74" s="745"/>
      <c r="U74" s="734">
        <f t="shared" si="29"/>
        <v>0</v>
      </c>
      <c r="V74" s="735">
        <f t="shared" si="30"/>
        <v>0</v>
      </c>
      <c r="W74" s="736">
        <f t="shared" si="31"/>
        <v>0</v>
      </c>
      <c r="X74" s="733">
        <f t="shared" si="32"/>
        <v>0</v>
      </c>
      <c r="Y74" s="737">
        <f t="shared" si="33"/>
        <v>0</v>
      </c>
      <c r="Z74" s="738">
        <f t="shared" si="34"/>
        <v>0</v>
      </c>
      <c r="AA74" s="280"/>
    </row>
    <row r="75" spans="1:27" ht="16.8">
      <c r="A75" s="484">
        <f t="shared" si="25"/>
        <v>75</v>
      </c>
      <c r="B75" s="96"/>
      <c r="C75" s="94"/>
      <c r="D75" s="54" t="s">
        <v>113</v>
      </c>
      <c r="E75" s="120"/>
      <c r="F75" s="120"/>
      <c r="G75" s="780">
        <f>(IF('3.) Staffing Plan'!G18&gt;0,'3.) Staffing Plan'!G18,'3.) Staffing Plan'!F18)+IF('3.) Staffing Plan'!I18&gt;0,'3.) Staffing Plan'!I18,'3.) Staffing Plan'!H18)+IF('3.) Staffing Plan'!K18&gt;0,'3.) Staffing Plan'!K18,'3.) Staffing Plan'!J18)+IF('3.) Staffing Plan'!M18&gt;0,'3.) Staffing Plan'!M18,'3.) Staffing Plan'!L18))/4</f>
        <v>0</v>
      </c>
      <c r="H75" s="241"/>
      <c r="I75" s="750"/>
      <c r="J75" s="751"/>
      <c r="K75" s="752"/>
      <c r="L75" s="781">
        <f t="shared" si="26"/>
        <v>0</v>
      </c>
      <c r="M75" s="751"/>
      <c r="N75" s="752"/>
      <c r="O75" s="781">
        <f t="shared" si="27"/>
        <v>0</v>
      </c>
      <c r="P75" s="751"/>
      <c r="Q75" s="752"/>
      <c r="R75" s="781">
        <f t="shared" si="28"/>
        <v>0</v>
      </c>
      <c r="S75" s="751"/>
      <c r="T75" s="752"/>
      <c r="U75" s="756">
        <f t="shared" si="29"/>
        <v>0</v>
      </c>
      <c r="V75" s="757">
        <f t="shared" si="30"/>
        <v>0</v>
      </c>
      <c r="W75" s="758">
        <f t="shared" si="31"/>
        <v>0</v>
      </c>
      <c r="X75" s="753">
        <f t="shared" si="32"/>
        <v>0</v>
      </c>
      <c r="Y75" s="759">
        <f t="shared" si="33"/>
        <v>0</v>
      </c>
      <c r="Z75" s="760">
        <f t="shared" si="34"/>
        <v>0</v>
      </c>
      <c r="AA75" s="280"/>
    </row>
    <row r="76" spans="1:27" ht="15">
      <c r="A76" s="484">
        <f t="shared" si="25"/>
        <v>76</v>
      </c>
      <c r="B76" s="96"/>
      <c r="C76" s="55" t="s">
        <v>75</v>
      </c>
      <c r="D76" s="94"/>
      <c r="E76" s="120"/>
      <c r="F76" s="120"/>
      <c r="G76" s="776">
        <f>SUM(G70:G75)</f>
        <v>0</v>
      </c>
      <c r="H76" s="241"/>
      <c r="I76" s="782">
        <f t="shared" ref="I76:Z76" si="35">SUM(I70:I75)</f>
        <v>0</v>
      </c>
      <c r="J76" s="668">
        <f t="shared" si="35"/>
        <v>0</v>
      </c>
      <c r="K76" s="783">
        <f t="shared" si="35"/>
        <v>0</v>
      </c>
      <c r="L76" s="784">
        <f t="shared" si="35"/>
        <v>0</v>
      </c>
      <c r="M76" s="668">
        <f t="shared" si="35"/>
        <v>0</v>
      </c>
      <c r="N76" s="783">
        <f t="shared" si="35"/>
        <v>0</v>
      </c>
      <c r="O76" s="784">
        <f t="shared" si="35"/>
        <v>0</v>
      </c>
      <c r="P76" s="668">
        <f t="shared" si="35"/>
        <v>0</v>
      </c>
      <c r="Q76" s="783">
        <f t="shared" si="35"/>
        <v>0</v>
      </c>
      <c r="R76" s="784">
        <f t="shared" si="35"/>
        <v>0</v>
      </c>
      <c r="S76" s="668">
        <f t="shared" si="35"/>
        <v>0</v>
      </c>
      <c r="T76" s="783">
        <f t="shared" si="35"/>
        <v>0</v>
      </c>
      <c r="U76" s="785">
        <f t="shared" si="35"/>
        <v>0</v>
      </c>
      <c r="V76" s="786">
        <f t="shared" si="35"/>
        <v>0</v>
      </c>
      <c r="W76" s="783">
        <f t="shared" si="35"/>
        <v>0</v>
      </c>
      <c r="X76" s="787">
        <f t="shared" si="35"/>
        <v>0</v>
      </c>
      <c r="Y76" s="782">
        <f t="shared" si="35"/>
        <v>0</v>
      </c>
      <c r="Z76" s="788">
        <f t="shared" si="35"/>
        <v>0</v>
      </c>
      <c r="AA76" s="280"/>
    </row>
    <row r="77" spans="1:27" ht="15">
      <c r="A77" s="484">
        <f t="shared" si="25"/>
        <v>77</v>
      </c>
      <c r="B77" s="96"/>
      <c r="C77" s="94"/>
      <c r="D77" s="120"/>
      <c r="E77" s="120"/>
      <c r="F77" s="120"/>
      <c r="G77" s="297"/>
      <c r="H77" s="241"/>
      <c r="I77" s="95"/>
      <c r="J77" s="95"/>
      <c r="K77" s="95"/>
      <c r="L77" s="95"/>
      <c r="M77" s="95"/>
      <c r="N77" s="95"/>
      <c r="O77" s="95"/>
      <c r="P77" s="95"/>
      <c r="Q77" s="95"/>
      <c r="R77" s="95"/>
      <c r="S77" s="95"/>
      <c r="T77" s="95"/>
      <c r="U77" s="118"/>
      <c r="V77" s="95"/>
      <c r="W77" s="95"/>
      <c r="X77" s="95"/>
      <c r="Y77" s="95"/>
      <c r="Z77" s="118"/>
      <c r="AA77" s="280"/>
    </row>
    <row r="78" spans="1:27" ht="15">
      <c r="A78" s="484">
        <f t="shared" si="25"/>
        <v>78</v>
      </c>
      <c r="B78" s="96"/>
      <c r="C78" s="119" t="s">
        <v>77</v>
      </c>
      <c r="D78" s="50"/>
      <c r="E78" s="94"/>
      <c r="F78" s="94"/>
      <c r="G78" s="298"/>
      <c r="H78" s="241"/>
      <c r="I78" s="95"/>
      <c r="J78" s="95"/>
      <c r="K78" s="95"/>
      <c r="L78" s="95"/>
      <c r="M78" s="95"/>
      <c r="N78" s="95"/>
      <c r="O78" s="95"/>
      <c r="P78" s="95"/>
      <c r="Q78" s="95"/>
      <c r="R78" s="95"/>
      <c r="S78" s="95"/>
      <c r="T78" s="95"/>
      <c r="U78" s="118"/>
      <c r="V78" s="95"/>
      <c r="W78" s="95"/>
      <c r="X78" s="95"/>
      <c r="Y78" s="95"/>
      <c r="Z78" s="118"/>
      <c r="AA78" s="280"/>
    </row>
    <row r="79" spans="1:27" ht="15">
      <c r="A79" s="484">
        <f t="shared" si="25"/>
        <v>79</v>
      </c>
      <c r="B79" s="96"/>
      <c r="C79" s="94"/>
      <c r="D79" s="54" t="s">
        <v>51</v>
      </c>
      <c r="E79" s="120"/>
      <c r="F79" s="120"/>
      <c r="G79" s="776">
        <f>(IF('3.) Staffing Plan'!G24&gt;0,'3.) Staffing Plan'!G24,'3.) Staffing Plan'!F24)+IF('3.) Staffing Plan'!I24&gt;0,'3.) Staffing Plan'!I24,'3.) Staffing Plan'!H24)+IF('3.) Staffing Plan'!K24&gt;0,'3.) Staffing Plan'!K24,'3.) Staffing Plan'!J24)+IF('3.) Staffing Plan'!M24&gt;0,'3.) Staffing Plan'!M24,'3.) Staffing Plan'!L24))/4</f>
        <v>0</v>
      </c>
      <c r="H79" s="509"/>
      <c r="I79" s="739"/>
      <c r="J79" s="744"/>
      <c r="K79" s="745"/>
      <c r="L79" s="733">
        <f t="shared" ref="L79:L86" si="36">IF(K$18&lt;&gt;0,J79-K79,0)</f>
        <v>0</v>
      </c>
      <c r="M79" s="744"/>
      <c r="N79" s="745"/>
      <c r="O79" s="733">
        <f t="shared" ref="O79:O86" si="37">IF(N$18&lt;&gt;0,M79-N79,0)</f>
        <v>0</v>
      </c>
      <c r="P79" s="744"/>
      <c r="Q79" s="745"/>
      <c r="R79" s="733">
        <f t="shared" ref="R79:R86" si="38">IF(Q$18&lt;&gt;0,P79-Q79,0)</f>
        <v>0</v>
      </c>
      <c r="S79" s="744"/>
      <c r="T79" s="745"/>
      <c r="U79" s="734">
        <f t="shared" ref="U79:U86" si="39">IF(T$18&lt;&gt;0,S79-T79,0)</f>
        <v>0</v>
      </c>
      <c r="V79" s="735">
        <f t="shared" ref="V79:V86" si="40">J79+M79+P79+S79</f>
        <v>0</v>
      </c>
      <c r="W79" s="736">
        <f t="shared" ref="W79:W86" si="41">SUM(IF(K$18&lt;&gt;0,K79,J79)+IF(N$18&lt;&gt;0,N79,M79)+IF(Q$18&lt;&gt;0,Q79,P79)+IF(T$18&lt;&gt;0,T79,S79))</f>
        <v>0</v>
      </c>
      <c r="X79" s="733">
        <f t="shared" ref="X79:X86" si="42">V79-W79</f>
        <v>0</v>
      </c>
      <c r="Y79" s="737">
        <f t="shared" ref="Y79:Y86" si="43">I79-V79</f>
        <v>0</v>
      </c>
      <c r="Z79" s="738">
        <f t="shared" ref="Z79:Z86" si="44">I79-W79</f>
        <v>0</v>
      </c>
      <c r="AA79" s="280"/>
    </row>
    <row r="80" spans="1:27" ht="15">
      <c r="A80" s="484">
        <f t="shared" si="25"/>
        <v>80</v>
      </c>
      <c r="B80" s="96"/>
      <c r="C80" s="94"/>
      <c r="D80" s="54" t="s">
        <v>52</v>
      </c>
      <c r="E80" s="120"/>
      <c r="F80" s="120"/>
      <c r="G80" s="776">
        <f>(IF('3.) Staffing Plan'!G25&gt;0,'3.) Staffing Plan'!G25,'3.) Staffing Plan'!F25)+IF('3.) Staffing Plan'!I25&gt;0,'3.) Staffing Plan'!I25,'3.) Staffing Plan'!H25)+IF('3.) Staffing Plan'!K25&gt;0,'3.) Staffing Plan'!K25,'3.) Staffing Plan'!J25)+IF('3.) Staffing Plan'!M25&gt;0,'3.) Staffing Plan'!M25,'3.) Staffing Plan'!L25))/4</f>
        <v>0</v>
      </c>
      <c r="H80" s="509"/>
      <c r="I80" s="739"/>
      <c r="J80" s="744"/>
      <c r="K80" s="745"/>
      <c r="L80" s="733">
        <f t="shared" si="36"/>
        <v>0</v>
      </c>
      <c r="M80" s="744"/>
      <c r="N80" s="745"/>
      <c r="O80" s="733">
        <f t="shared" si="37"/>
        <v>0</v>
      </c>
      <c r="P80" s="744"/>
      <c r="Q80" s="745"/>
      <c r="R80" s="733">
        <f t="shared" si="38"/>
        <v>0</v>
      </c>
      <c r="S80" s="744"/>
      <c r="T80" s="745"/>
      <c r="U80" s="734">
        <f t="shared" si="39"/>
        <v>0</v>
      </c>
      <c r="V80" s="735">
        <f t="shared" si="40"/>
        <v>0</v>
      </c>
      <c r="W80" s="736">
        <f t="shared" si="41"/>
        <v>0</v>
      </c>
      <c r="X80" s="733">
        <f t="shared" si="42"/>
        <v>0</v>
      </c>
      <c r="Y80" s="737">
        <f t="shared" si="43"/>
        <v>0</v>
      </c>
      <c r="Z80" s="738">
        <f t="shared" si="44"/>
        <v>0</v>
      </c>
      <c r="AA80" s="280"/>
    </row>
    <row r="81" spans="1:27" ht="15">
      <c r="A81" s="484">
        <f t="shared" si="25"/>
        <v>81</v>
      </c>
      <c r="B81" s="96"/>
      <c r="C81" s="94"/>
      <c r="D81" s="54" t="s">
        <v>10</v>
      </c>
      <c r="E81" s="120"/>
      <c r="F81" s="120"/>
      <c r="G81" s="776">
        <f>(IF('3.) Staffing Plan'!G26&gt;0,'3.) Staffing Plan'!G26,'3.) Staffing Plan'!F26)+IF('3.) Staffing Plan'!I26&gt;0,'3.) Staffing Plan'!I26,'3.) Staffing Plan'!H26)+IF('3.) Staffing Plan'!K26&gt;0,'3.) Staffing Plan'!K26,'3.) Staffing Plan'!J26)+IF('3.) Staffing Plan'!M26&gt;0,'3.) Staffing Plan'!M26,'3.) Staffing Plan'!L26))/4</f>
        <v>0</v>
      </c>
      <c r="H81" s="509"/>
      <c r="I81" s="739"/>
      <c r="J81" s="744"/>
      <c r="K81" s="745"/>
      <c r="L81" s="733">
        <f t="shared" si="36"/>
        <v>0</v>
      </c>
      <c r="M81" s="744"/>
      <c r="N81" s="745"/>
      <c r="O81" s="733">
        <f t="shared" si="37"/>
        <v>0</v>
      </c>
      <c r="P81" s="744"/>
      <c r="Q81" s="745"/>
      <c r="R81" s="733">
        <f t="shared" si="38"/>
        <v>0</v>
      </c>
      <c r="S81" s="744"/>
      <c r="T81" s="745"/>
      <c r="U81" s="734">
        <f t="shared" si="39"/>
        <v>0</v>
      </c>
      <c r="V81" s="735">
        <f t="shared" si="40"/>
        <v>0</v>
      </c>
      <c r="W81" s="736">
        <f t="shared" si="41"/>
        <v>0</v>
      </c>
      <c r="X81" s="733">
        <f t="shared" si="42"/>
        <v>0</v>
      </c>
      <c r="Y81" s="737">
        <f t="shared" si="43"/>
        <v>0</v>
      </c>
      <c r="Z81" s="738">
        <f t="shared" si="44"/>
        <v>0</v>
      </c>
      <c r="AA81" s="280"/>
    </row>
    <row r="82" spans="1:27" ht="15">
      <c r="A82" s="484">
        <f t="shared" si="25"/>
        <v>82</v>
      </c>
      <c r="B82" s="96"/>
      <c r="C82" s="94"/>
      <c r="D82" s="54" t="s">
        <v>11</v>
      </c>
      <c r="E82" s="120"/>
      <c r="F82" s="120"/>
      <c r="G82" s="776">
        <f>(IF('3.) Staffing Plan'!G27&gt;0,'3.) Staffing Plan'!G27,'3.) Staffing Plan'!F27)+IF('3.) Staffing Plan'!I27&gt;0,'3.) Staffing Plan'!I27,'3.) Staffing Plan'!H27)+IF('3.) Staffing Plan'!K27&gt;0,'3.) Staffing Plan'!K27,'3.) Staffing Plan'!J27)+IF('3.) Staffing Plan'!M27&gt;0,'3.) Staffing Plan'!M27,'3.) Staffing Plan'!L27))/4</f>
        <v>0</v>
      </c>
      <c r="H82" s="509"/>
      <c r="I82" s="739"/>
      <c r="J82" s="744"/>
      <c r="K82" s="745"/>
      <c r="L82" s="733">
        <f t="shared" si="36"/>
        <v>0</v>
      </c>
      <c r="M82" s="744"/>
      <c r="N82" s="745"/>
      <c r="O82" s="733">
        <f t="shared" si="37"/>
        <v>0</v>
      </c>
      <c r="P82" s="744"/>
      <c r="Q82" s="745"/>
      <c r="R82" s="733">
        <f t="shared" si="38"/>
        <v>0</v>
      </c>
      <c r="S82" s="744"/>
      <c r="T82" s="745"/>
      <c r="U82" s="734">
        <f t="shared" si="39"/>
        <v>0</v>
      </c>
      <c r="V82" s="735">
        <f t="shared" si="40"/>
        <v>0</v>
      </c>
      <c r="W82" s="736">
        <f t="shared" si="41"/>
        <v>0</v>
      </c>
      <c r="X82" s="733">
        <f t="shared" si="42"/>
        <v>0</v>
      </c>
      <c r="Y82" s="737">
        <f t="shared" si="43"/>
        <v>0</v>
      </c>
      <c r="Z82" s="738">
        <f t="shared" si="44"/>
        <v>0</v>
      </c>
      <c r="AA82" s="280"/>
    </row>
    <row r="83" spans="1:27" ht="15">
      <c r="A83" s="484">
        <f t="shared" si="25"/>
        <v>83</v>
      </c>
      <c r="B83" s="96"/>
      <c r="C83" s="94"/>
      <c r="D83" s="54" t="s">
        <v>12</v>
      </c>
      <c r="E83" s="120"/>
      <c r="F83" s="120"/>
      <c r="G83" s="776">
        <f>(IF('3.) Staffing Plan'!G28&gt;0,'3.) Staffing Plan'!G28,'3.) Staffing Plan'!F28)+IF('3.) Staffing Plan'!I28&gt;0,'3.) Staffing Plan'!I28,'3.) Staffing Plan'!H28)+IF('3.) Staffing Plan'!K28&gt;0,'3.) Staffing Plan'!K28,'3.) Staffing Plan'!J28)+IF('3.) Staffing Plan'!M28&gt;0,'3.) Staffing Plan'!M28,'3.) Staffing Plan'!L28))/4</f>
        <v>0</v>
      </c>
      <c r="H83" s="509"/>
      <c r="I83" s="739"/>
      <c r="J83" s="744"/>
      <c r="K83" s="745"/>
      <c r="L83" s="733">
        <f t="shared" si="36"/>
        <v>0</v>
      </c>
      <c r="M83" s="744"/>
      <c r="N83" s="745"/>
      <c r="O83" s="733">
        <f t="shared" si="37"/>
        <v>0</v>
      </c>
      <c r="P83" s="744"/>
      <c r="Q83" s="745"/>
      <c r="R83" s="733">
        <f t="shared" si="38"/>
        <v>0</v>
      </c>
      <c r="S83" s="744"/>
      <c r="T83" s="745"/>
      <c r="U83" s="734">
        <f t="shared" si="39"/>
        <v>0</v>
      </c>
      <c r="V83" s="735">
        <f t="shared" si="40"/>
        <v>0</v>
      </c>
      <c r="W83" s="736">
        <f t="shared" si="41"/>
        <v>0</v>
      </c>
      <c r="X83" s="733">
        <f t="shared" si="42"/>
        <v>0</v>
      </c>
      <c r="Y83" s="737">
        <f t="shared" si="43"/>
        <v>0</v>
      </c>
      <c r="Z83" s="738">
        <f t="shared" si="44"/>
        <v>0</v>
      </c>
      <c r="AA83" s="280"/>
    </row>
    <row r="84" spans="1:27" ht="15">
      <c r="A84" s="484">
        <f t="shared" si="25"/>
        <v>84</v>
      </c>
      <c r="B84" s="96"/>
      <c r="C84" s="94"/>
      <c r="D84" s="54" t="s">
        <v>13</v>
      </c>
      <c r="E84" s="120"/>
      <c r="F84" s="120"/>
      <c r="G84" s="776">
        <f>(IF('3.) Staffing Plan'!G29&gt;0,'3.) Staffing Plan'!G29,'3.) Staffing Plan'!F29)+IF('3.) Staffing Plan'!I29&gt;0,'3.) Staffing Plan'!I29,'3.) Staffing Plan'!H29)+IF('3.) Staffing Plan'!K29&gt;0,'3.) Staffing Plan'!K29,'3.) Staffing Plan'!J29)+IF('3.) Staffing Plan'!M29&gt;0,'3.) Staffing Plan'!M29,'3.) Staffing Plan'!L29))/4</f>
        <v>0</v>
      </c>
      <c r="H84" s="509"/>
      <c r="I84" s="739"/>
      <c r="J84" s="665"/>
      <c r="K84" s="745"/>
      <c r="L84" s="733">
        <f t="shared" si="36"/>
        <v>0</v>
      </c>
      <c r="M84" s="665"/>
      <c r="N84" s="745"/>
      <c r="O84" s="733">
        <f t="shared" si="37"/>
        <v>0</v>
      </c>
      <c r="P84" s="665"/>
      <c r="Q84" s="745"/>
      <c r="R84" s="733">
        <f t="shared" si="38"/>
        <v>0</v>
      </c>
      <c r="S84" s="665"/>
      <c r="T84" s="745"/>
      <c r="U84" s="734">
        <f t="shared" si="39"/>
        <v>0</v>
      </c>
      <c r="V84" s="735">
        <f t="shared" si="40"/>
        <v>0</v>
      </c>
      <c r="W84" s="736">
        <f t="shared" si="41"/>
        <v>0</v>
      </c>
      <c r="X84" s="733">
        <f t="shared" si="42"/>
        <v>0</v>
      </c>
      <c r="Y84" s="737">
        <f t="shared" si="43"/>
        <v>0</v>
      </c>
      <c r="Z84" s="738">
        <f t="shared" si="44"/>
        <v>0</v>
      </c>
      <c r="AA84" s="280"/>
    </row>
    <row r="85" spans="1:27" ht="15">
      <c r="A85" s="484">
        <f t="shared" si="25"/>
        <v>85</v>
      </c>
      <c r="B85" s="96"/>
      <c r="C85" s="94"/>
      <c r="D85" s="54" t="s">
        <v>73</v>
      </c>
      <c r="E85" s="120"/>
      <c r="F85" s="120"/>
      <c r="G85" s="776">
        <f>(IF('3.) Staffing Plan'!G30&gt;0,'3.) Staffing Plan'!G30,'3.) Staffing Plan'!F30)+IF('3.) Staffing Plan'!I30&gt;0,'3.) Staffing Plan'!I30,'3.) Staffing Plan'!H30)+IF('3.) Staffing Plan'!K30&gt;0,'3.) Staffing Plan'!K30,'3.) Staffing Plan'!J30)+IF('3.) Staffing Plan'!M30&gt;0,'3.) Staffing Plan'!M30,'3.) Staffing Plan'!L30))/4</f>
        <v>0</v>
      </c>
      <c r="H85" s="509"/>
      <c r="I85" s="739"/>
      <c r="J85" s="744"/>
      <c r="K85" s="745"/>
      <c r="L85" s="733">
        <f t="shared" si="36"/>
        <v>0</v>
      </c>
      <c r="M85" s="744"/>
      <c r="N85" s="745"/>
      <c r="O85" s="733">
        <f t="shared" si="37"/>
        <v>0</v>
      </c>
      <c r="P85" s="744"/>
      <c r="Q85" s="745"/>
      <c r="R85" s="733">
        <f t="shared" si="38"/>
        <v>0</v>
      </c>
      <c r="S85" s="744"/>
      <c r="T85" s="745"/>
      <c r="U85" s="734">
        <f t="shared" si="39"/>
        <v>0</v>
      </c>
      <c r="V85" s="735">
        <f t="shared" si="40"/>
        <v>0</v>
      </c>
      <c r="W85" s="736">
        <f t="shared" si="41"/>
        <v>0</v>
      </c>
      <c r="X85" s="733">
        <f t="shared" si="42"/>
        <v>0</v>
      </c>
      <c r="Y85" s="737">
        <f t="shared" si="43"/>
        <v>0</v>
      </c>
      <c r="Z85" s="738">
        <f t="shared" si="44"/>
        <v>0</v>
      </c>
      <c r="AA85" s="280"/>
    </row>
    <row r="86" spans="1:27" ht="16.8">
      <c r="A86" s="484">
        <f t="shared" si="25"/>
        <v>86</v>
      </c>
      <c r="B86" s="96"/>
      <c r="C86" s="94"/>
      <c r="D86" s="58" t="s">
        <v>29</v>
      </c>
      <c r="E86" s="120"/>
      <c r="F86" s="120"/>
      <c r="G86" s="780">
        <f>(IF('3.) Staffing Plan'!G31&gt;0,'3.) Staffing Plan'!G31,'3.) Staffing Plan'!F31)+IF('3.) Staffing Plan'!I31&gt;0,'3.) Staffing Plan'!I31,'3.) Staffing Plan'!H31)+IF('3.) Staffing Plan'!K31&gt;0,'3.) Staffing Plan'!K31,'3.) Staffing Plan'!J31)+IF('3.) Staffing Plan'!M31&gt;0,'3.) Staffing Plan'!M31,'3.) Staffing Plan'!L31))/4</f>
        <v>0</v>
      </c>
      <c r="H86" s="509"/>
      <c r="I86" s="750"/>
      <c r="J86" s="751"/>
      <c r="K86" s="752"/>
      <c r="L86" s="753">
        <f t="shared" si="36"/>
        <v>0</v>
      </c>
      <c r="M86" s="751"/>
      <c r="N86" s="752"/>
      <c r="O86" s="753">
        <f t="shared" si="37"/>
        <v>0</v>
      </c>
      <c r="P86" s="751"/>
      <c r="Q86" s="752"/>
      <c r="R86" s="753">
        <f t="shared" si="38"/>
        <v>0</v>
      </c>
      <c r="S86" s="751"/>
      <c r="T86" s="752"/>
      <c r="U86" s="756">
        <f t="shared" si="39"/>
        <v>0</v>
      </c>
      <c r="V86" s="757">
        <f t="shared" si="40"/>
        <v>0</v>
      </c>
      <c r="W86" s="758">
        <f t="shared" si="41"/>
        <v>0</v>
      </c>
      <c r="X86" s="753">
        <f t="shared" si="42"/>
        <v>0</v>
      </c>
      <c r="Y86" s="759">
        <f t="shared" si="43"/>
        <v>0</v>
      </c>
      <c r="Z86" s="760">
        <f t="shared" si="44"/>
        <v>0</v>
      </c>
      <c r="AA86" s="280"/>
    </row>
    <row r="87" spans="1:27" ht="15">
      <c r="A87" s="484">
        <f t="shared" si="25"/>
        <v>87</v>
      </c>
      <c r="B87" s="96"/>
      <c r="C87" s="55" t="s">
        <v>78</v>
      </c>
      <c r="D87" s="94"/>
      <c r="E87" s="120"/>
      <c r="F87" s="120"/>
      <c r="G87" s="776">
        <f>SUM(G79:G86)</f>
        <v>0</v>
      </c>
      <c r="H87" s="509"/>
      <c r="I87" s="789">
        <f t="shared" ref="I87:Z87" si="45">SUM(I79:I86)</f>
        <v>0</v>
      </c>
      <c r="J87" s="790">
        <f t="shared" si="45"/>
        <v>0</v>
      </c>
      <c r="K87" s="783">
        <f t="shared" si="45"/>
        <v>0</v>
      </c>
      <c r="L87" s="783">
        <f t="shared" si="45"/>
        <v>0</v>
      </c>
      <c r="M87" s="790">
        <f t="shared" si="45"/>
        <v>0</v>
      </c>
      <c r="N87" s="783">
        <f t="shared" si="45"/>
        <v>0</v>
      </c>
      <c r="O87" s="783">
        <f t="shared" si="45"/>
        <v>0</v>
      </c>
      <c r="P87" s="790">
        <f t="shared" si="45"/>
        <v>0</v>
      </c>
      <c r="Q87" s="783">
        <f t="shared" si="45"/>
        <v>0</v>
      </c>
      <c r="R87" s="783">
        <f t="shared" si="45"/>
        <v>0</v>
      </c>
      <c r="S87" s="790">
        <f t="shared" si="45"/>
        <v>0</v>
      </c>
      <c r="T87" s="783">
        <f t="shared" si="45"/>
        <v>0</v>
      </c>
      <c r="U87" s="785">
        <f t="shared" si="45"/>
        <v>0</v>
      </c>
      <c r="V87" s="786">
        <f t="shared" si="45"/>
        <v>0</v>
      </c>
      <c r="W87" s="783">
        <f t="shared" si="45"/>
        <v>0</v>
      </c>
      <c r="X87" s="787">
        <f t="shared" si="45"/>
        <v>0</v>
      </c>
      <c r="Y87" s="782">
        <f t="shared" si="45"/>
        <v>0</v>
      </c>
      <c r="Z87" s="788">
        <f t="shared" si="45"/>
        <v>0</v>
      </c>
      <c r="AA87" s="280"/>
    </row>
    <row r="88" spans="1:27" ht="15">
      <c r="A88" s="484">
        <f t="shared" si="25"/>
        <v>88</v>
      </c>
      <c r="B88" s="96"/>
      <c r="C88" s="94"/>
      <c r="D88" s="120"/>
      <c r="E88" s="120"/>
      <c r="F88" s="120"/>
      <c r="G88" s="297"/>
      <c r="H88" s="241"/>
      <c r="I88" s="95"/>
      <c r="J88" s="95"/>
      <c r="K88" s="95"/>
      <c r="L88" s="95"/>
      <c r="M88" s="95"/>
      <c r="N88" s="95"/>
      <c r="O88" s="95"/>
      <c r="P88" s="95"/>
      <c r="Q88" s="95"/>
      <c r="R88" s="95"/>
      <c r="S88" s="95"/>
      <c r="T88" s="95"/>
      <c r="U88" s="118"/>
      <c r="V88" s="95"/>
      <c r="W88" s="95"/>
      <c r="X88" s="95"/>
      <c r="Y88" s="95"/>
      <c r="Z88" s="118"/>
      <c r="AA88" s="280"/>
    </row>
    <row r="89" spans="1:27" ht="15">
      <c r="A89" s="484">
        <f t="shared" si="25"/>
        <v>89</v>
      </c>
      <c r="B89" s="96"/>
      <c r="C89" s="119" t="s">
        <v>79</v>
      </c>
      <c r="D89" s="50"/>
      <c r="E89" s="94"/>
      <c r="F89" s="94"/>
      <c r="G89" s="300"/>
      <c r="H89" s="241"/>
      <c r="I89" s="95"/>
      <c r="J89" s="95"/>
      <c r="K89" s="95"/>
      <c r="L89" s="95"/>
      <c r="M89" s="95"/>
      <c r="N89" s="95"/>
      <c r="O89" s="95"/>
      <c r="P89" s="95"/>
      <c r="Q89" s="95"/>
      <c r="R89" s="95"/>
      <c r="S89" s="95"/>
      <c r="T89" s="95"/>
      <c r="U89" s="118"/>
      <c r="V89" s="95"/>
      <c r="W89" s="95"/>
      <c r="X89" s="95"/>
      <c r="Y89" s="95"/>
      <c r="Z89" s="118"/>
      <c r="AA89" s="280"/>
    </row>
    <row r="90" spans="1:27" ht="15">
      <c r="A90" s="484">
        <f t="shared" si="25"/>
        <v>90</v>
      </c>
      <c r="B90" s="96"/>
      <c r="C90" s="94"/>
      <c r="D90" s="54" t="s">
        <v>100</v>
      </c>
      <c r="E90" s="120"/>
      <c r="F90" s="120"/>
      <c r="G90" s="776">
        <f>(IF('3.) Staffing Plan'!G37&gt;0,'3.) Staffing Plan'!G37,'3.) Staffing Plan'!F37)+IF('3.) Staffing Plan'!I37&gt;0,'3.) Staffing Plan'!I37,'3.) Staffing Plan'!H37)+IF('3.) Staffing Plan'!K37&gt;0,'3.) Staffing Plan'!K37,'3.) Staffing Plan'!J37)+IF('3.) Staffing Plan'!M37&gt;0,'3.) Staffing Plan'!M37,'3.) Staffing Plan'!L37))/4</f>
        <v>0</v>
      </c>
      <c r="H90" s="241"/>
      <c r="I90" s="739"/>
      <c r="J90" s="744"/>
      <c r="K90" s="745"/>
      <c r="L90" s="733">
        <f>IF(K$18&lt;&gt;0,J90-K90,0)</f>
        <v>0</v>
      </c>
      <c r="M90" s="744"/>
      <c r="N90" s="745"/>
      <c r="O90" s="733">
        <f>IF(N$18&lt;&gt;0,M90-N90,0)</f>
        <v>0</v>
      </c>
      <c r="P90" s="744"/>
      <c r="Q90" s="745"/>
      <c r="R90" s="733">
        <f>IF(Q$18&lt;&gt;0,P90-Q90,0)</f>
        <v>0</v>
      </c>
      <c r="S90" s="744"/>
      <c r="T90" s="745"/>
      <c r="U90" s="734">
        <f>IF(T$18&lt;&gt;0,S90-T90,0)</f>
        <v>0</v>
      </c>
      <c r="V90" s="735">
        <f>J90+M90+P90+S90</f>
        <v>0</v>
      </c>
      <c r="W90" s="736">
        <f>SUM(IF(K$18&lt;&gt;0,K90,J90)+IF(N$18&lt;&gt;0,N90,M90)+IF(Q$18&lt;&gt;0,Q90,P90)+IF(T$18&lt;&gt;0,T90,S90))</f>
        <v>0</v>
      </c>
      <c r="X90" s="733">
        <f>V90-W90</f>
        <v>0</v>
      </c>
      <c r="Y90" s="737">
        <f>I90-V90</f>
        <v>0</v>
      </c>
      <c r="Z90" s="738">
        <f>I90-W90</f>
        <v>0</v>
      </c>
      <c r="AA90" s="280"/>
    </row>
    <row r="91" spans="1:27" ht="15">
      <c r="A91" s="484">
        <f t="shared" si="25"/>
        <v>91</v>
      </c>
      <c r="B91" s="96"/>
      <c r="C91" s="94"/>
      <c r="D91" s="54" t="s">
        <v>101</v>
      </c>
      <c r="E91" s="120"/>
      <c r="F91" s="120"/>
      <c r="G91" s="776">
        <f>(IF('3.) Staffing Plan'!G38&gt;0,'3.) Staffing Plan'!G38,'3.) Staffing Plan'!F38)+IF('3.) Staffing Plan'!I38&gt;0,'3.) Staffing Plan'!I38,'3.) Staffing Plan'!H38)+IF('3.) Staffing Plan'!K38&gt;0,'3.) Staffing Plan'!K38,'3.) Staffing Plan'!J38)+IF('3.) Staffing Plan'!M38&gt;0,'3.) Staffing Plan'!M38,'3.) Staffing Plan'!L38))/4</f>
        <v>0</v>
      </c>
      <c r="H91" s="241"/>
      <c r="I91" s="739"/>
      <c r="J91" s="744"/>
      <c r="K91" s="745"/>
      <c r="L91" s="733">
        <f>IF(K$18&lt;&gt;0,J91-K91,0)</f>
        <v>0</v>
      </c>
      <c r="M91" s="744"/>
      <c r="N91" s="745"/>
      <c r="O91" s="733">
        <f>IF(N$18&lt;&gt;0,M91-N91,0)</f>
        <v>0</v>
      </c>
      <c r="P91" s="744"/>
      <c r="Q91" s="745"/>
      <c r="R91" s="733">
        <f>IF(Q$18&lt;&gt;0,P91-Q91,0)</f>
        <v>0</v>
      </c>
      <c r="S91" s="744"/>
      <c r="T91" s="745"/>
      <c r="U91" s="734">
        <f>IF(T$18&lt;&gt;0,S91-T91,0)</f>
        <v>0</v>
      </c>
      <c r="V91" s="735">
        <f>J91+M91+P91+S91</f>
        <v>0</v>
      </c>
      <c r="W91" s="736">
        <f>SUM(IF(K$18&lt;&gt;0,K91,J91)+IF(N$18&lt;&gt;0,N91,M91)+IF(Q$18&lt;&gt;0,Q91,P91)+IF(T$18&lt;&gt;0,T91,S91))</f>
        <v>0</v>
      </c>
      <c r="X91" s="733">
        <f>V91-W91</f>
        <v>0</v>
      </c>
      <c r="Y91" s="737">
        <f>I91-V91</f>
        <v>0</v>
      </c>
      <c r="Z91" s="738">
        <f>I91-W91</f>
        <v>0</v>
      </c>
      <c r="AA91" s="280"/>
    </row>
    <row r="92" spans="1:27" ht="15">
      <c r="A92" s="484">
        <f t="shared" si="25"/>
        <v>92</v>
      </c>
      <c r="B92" s="96"/>
      <c r="C92" s="94"/>
      <c r="D92" s="54" t="s">
        <v>102</v>
      </c>
      <c r="E92" s="120"/>
      <c r="F92" s="120"/>
      <c r="G92" s="776">
        <f>(IF('3.) Staffing Plan'!G39&gt;0,'3.) Staffing Plan'!G39,'3.) Staffing Plan'!F39)+IF('3.) Staffing Plan'!I39&gt;0,'3.) Staffing Plan'!I39,'3.) Staffing Plan'!H39)+IF('3.) Staffing Plan'!K39&gt;0,'3.) Staffing Plan'!K39,'3.) Staffing Plan'!J39)+IF('3.) Staffing Plan'!M39&gt;0,'3.) Staffing Plan'!M39,'3.) Staffing Plan'!L39))/4</f>
        <v>0</v>
      </c>
      <c r="H92" s="241"/>
      <c r="I92" s="739"/>
      <c r="J92" s="665"/>
      <c r="K92" s="745"/>
      <c r="L92" s="733">
        <f>IF(K$18&lt;&gt;0,J92-K92,0)</f>
        <v>0</v>
      </c>
      <c r="M92" s="665"/>
      <c r="N92" s="745"/>
      <c r="O92" s="733">
        <f>IF(N$18&lt;&gt;0,M92-N92,0)</f>
        <v>0</v>
      </c>
      <c r="P92" s="665"/>
      <c r="Q92" s="745"/>
      <c r="R92" s="733">
        <f>IF(Q$18&lt;&gt;0,P92-Q92,0)</f>
        <v>0</v>
      </c>
      <c r="S92" s="665"/>
      <c r="T92" s="745"/>
      <c r="U92" s="734">
        <f>IF(T$18&lt;&gt;0,S92-T92,0)</f>
        <v>0</v>
      </c>
      <c r="V92" s="735">
        <f>J92+M92+P92+S92</f>
        <v>0</v>
      </c>
      <c r="W92" s="736">
        <f>SUM(IF(K$18&lt;&gt;0,K92,J92)+IF(N$18&lt;&gt;0,N92,M92)+IF(Q$18&lt;&gt;0,Q92,P92)+IF(T$18&lt;&gt;0,T92,S92))</f>
        <v>0</v>
      </c>
      <c r="X92" s="733">
        <f>V92-W92</f>
        <v>0</v>
      </c>
      <c r="Y92" s="737">
        <f>I92-V92</f>
        <v>0</v>
      </c>
      <c r="Z92" s="738">
        <f>I92-W92</f>
        <v>0</v>
      </c>
      <c r="AA92" s="280"/>
    </row>
    <row r="93" spans="1:27" ht="15">
      <c r="A93" s="484">
        <f t="shared" si="25"/>
        <v>93</v>
      </c>
      <c r="B93" s="96"/>
      <c r="C93" s="94"/>
      <c r="D93" s="54" t="s">
        <v>7</v>
      </c>
      <c r="E93" s="120"/>
      <c r="F93" s="120"/>
      <c r="G93" s="776">
        <f>(IF('3.) Staffing Plan'!G40&gt;0,'3.) Staffing Plan'!G40,'3.) Staffing Plan'!F40)+IF('3.) Staffing Plan'!I40&gt;0,'3.) Staffing Plan'!I40,'3.) Staffing Plan'!H40)+IF('3.) Staffing Plan'!K40&gt;0,'3.) Staffing Plan'!K40,'3.) Staffing Plan'!J40)+IF('3.) Staffing Plan'!M40&gt;0,'3.) Staffing Plan'!M40,'3.) Staffing Plan'!L40))/4</f>
        <v>0</v>
      </c>
      <c r="H93" s="241"/>
      <c r="I93" s="739"/>
      <c r="J93" s="744"/>
      <c r="K93" s="745"/>
      <c r="L93" s="733">
        <f>IF(K$18&lt;&gt;0,J93-K93,0)</f>
        <v>0</v>
      </c>
      <c r="M93" s="744"/>
      <c r="N93" s="745"/>
      <c r="O93" s="733">
        <f>IF(N$18&lt;&gt;0,M93-N93,0)</f>
        <v>0</v>
      </c>
      <c r="P93" s="744"/>
      <c r="Q93" s="745"/>
      <c r="R93" s="733">
        <f>IF(Q$18&lt;&gt;0,P93-Q93,0)</f>
        <v>0</v>
      </c>
      <c r="S93" s="744"/>
      <c r="T93" s="745"/>
      <c r="U93" s="734">
        <f>IF(T$18&lt;&gt;0,S93-T93,0)</f>
        <v>0</v>
      </c>
      <c r="V93" s="735">
        <f>J93+M93+P93+S93</f>
        <v>0</v>
      </c>
      <c r="W93" s="736">
        <f>SUM(IF(K$18&lt;&gt;0,K93,J93)+IF(N$18&lt;&gt;0,N93,M93)+IF(Q$18&lt;&gt;0,Q93,P93)+IF(T$18&lt;&gt;0,T93,S93))</f>
        <v>0</v>
      </c>
      <c r="X93" s="733">
        <f>V93-W93</f>
        <v>0</v>
      </c>
      <c r="Y93" s="737">
        <f>I93-V93</f>
        <v>0</v>
      </c>
      <c r="Z93" s="738">
        <f>I93-W93</f>
        <v>0</v>
      </c>
      <c r="AA93" s="280"/>
    </row>
    <row r="94" spans="1:27" ht="16.8">
      <c r="A94" s="484">
        <f t="shared" si="25"/>
        <v>94</v>
      </c>
      <c r="B94" s="96"/>
      <c r="C94" s="94"/>
      <c r="D94" s="54" t="s">
        <v>29</v>
      </c>
      <c r="E94" s="120"/>
      <c r="F94" s="120"/>
      <c r="G94" s="780">
        <f>(IF('3.) Staffing Plan'!G41&gt;0,'3.) Staffing Plan'!G41,'3.) Staffing Plan'!F41)+IF('3.) Staffing Plan'!I41&gt;0,'3.) Staffing Plan'!I41,'3.) Staffing Plan'!H41)+IF('3.) Staffing Plan'!K41&gt;0,'3.) Staffing Plan'!K41,'3.) Staffing Plan'!J41)+IF('3.) Staffing Plan'!M41&gt;0,'3.) Staffing Plan'!M41,'3.) Staffing Plan'!L41))/4</f>
        <v>0</v>
      </c>
      <c r="H94" s="241"/>
      <c r="I94" s="750"/>
      <c r="J94" s="751"/>
      <c r="K94" s="752"/>
      <c r="L94" s="753">
        <f>IF(K$18&lt;&gt;0,J94-K94,0)</f>
        <v>0</v>
      </c>
      <c r="M94" s="751"/>
      <c r="N94" s="752"/>
      <c r="O94" s="753">
        <f>IF(N$18&lt;&gt;0,M94-N94,0)</f>
        <v>0</v>
      </c>
      <c r="P94" s="751"/>
      <c r="Q94" s="752"/>
      <c r="R94" s="753">
        <f>IF(Q$18&lt;&gt;0,P94-Q94,0)</f>
        <v>0</v>
      </c>
      <c r="S94" s="751"/>
      <c r="T94" s="752"/>
      <c r="U94" s="756">
        <f>IF(T$18&lt;&gt;0,S94-T94,0)</f>
        <v>0</v>
      </c>
      <c r="V94" s="757">
        <f>J94+M94+P94+S94</f>
        <v>0</v>
      </c>
      <c r="W94" s="758">
        <f>SUM(IF(K$18&lt;&gt;0,K94,J94)+IF(N$18&lt;&gt;0,N94,M94)+IF(Q$18&lt;&gt;0,Q94,P94)+IF(T$18&lt;&gt;0,T94,S94))</f>
        <v>0</v>
      </c>
      <c r="X94" s="753">
        <f>V94-W94</f>
        <v>0</v>
      </c>
      <c r="Y94" s="759">
        <f>I94-V94</f>
        <v>0</v>
      </c>
      <c r="Z94" s="760">
        <f>I94-W94</f>
        <v>0</v>
      </c>
      <c r="AA94" s="280"/>
    </row>
    <row r="95" spans="1:27" ht="15">
      <c r="A95" s="484">
        <f t="shared" si="25"/>
        <v>95</v>
      </c>
      <c r="B95" s="96"/>
      <c r="C95" s="55" t="s">
        <v>80</v>
      </c>
      <c r="D95" s="94"/>
      <c r="E95" s="120"/>
      <c r="F95" s="120"/>
      <c r="G95" s="776">
        <f>SUM(G90:G94)</f>
        <v>0</v>
      </c>
      <c r="H95" s="241"/>
      <c r="I95" s="789">
        <f t="shared" ref="I95:Z95" si="46">SUM(I90:I94)</f>
        <v>0</v>
      </c>
      <c r="J95" s="783">
        <f t="shared" si="46"/>
        <v>0</v>
      </c>
      <c r="K95" s="783">
        <f t="shared" si="46"/>
        <v>0</v>
      </c>
      <c r="L95" s="783">
        <f t="shared" si="46"/>
        <v>0</v>
      </c>
      <c r="M95" s="783">
        <f t="shared" si="46"/>
        <v>0</v>
      </c>
      <c r="N95" s="783">
        <f t="shared" si="46"/>
        <v>0</v>
      </c>
      <c r="O95" s="783">
        <f t="shared" si="46"/>
        <v>0</v>
      </c>
      <c r="P95" s="783">
        <f t="shared" si="46"/>
        <v>0</v>
      </c>
      <c r="Q95" s="783">
        <f t="shared" si="46"/>
        <v>0</v>
      </c>
      <c r="R95" s="783">
        <f t="shared" si="46"/>
        <v>0</v>
      </c>
      <c r="S95" s="783">
        <f t="shared" si="46"/>
        <v>0</v>
      </c>
      <c r="T95" s="783">
        <f t="shared" si="46"/>
        <v>0</v>
      </c>
      <c r="U95" s="785">
        <f t="shared" si="46"/>
        <v>0</v>
      </c>
      <c r="V95" s="786">
        <f t="shared" si="46"/>
        <v>0</v>
      </c>
      <c r="W95" s="783">
        <f t="shared" si="46"/>
        <v>0</v>
      </c>
      <c r="X95" s="787">
        <f t="shared" si="46"/>
        <v>0</v>
      </c>
      <c r="Y95" s="782">
        <f t="shared" si="46"/>
        <v>0</v>
      </c>
      <c r="Z95" s="788">
        <f t="shared" si="46"/>
        <v>0</v>
      </c>
      <c r="AA95" s="280"/>
    </row>
    <row r="96" spans="1:27" ht="15">
      <c r="A96" s="484">
        <f t="shared" si="25"/>
        <v>96</v>
      </c>
      <c r="B96" s="96"/>
      <c r="C96" s="94"/>
      <c r="D96" s="120"/>
      <c r="E96" s="120"/>
      <c r="F96" s="120"/>
      <c r="G96" s="297"/>
      <c r="H96" s="241"/>
      <c r="I96" s="761"/>
      <c r="J96" s="761"/>
      <c r="K96" s="761"/>
      <c r="L96" s="761"/>
      <c r="M96" s="761"/>
      <c r="N96" s="761"/>
      <c r="O96" s="761"/>
      <c r="P96" s="761"/>
      <c r="Q96" s="761"/>
      <c r="R96" s="761"/>
      <c r="S96" s="761"/>
      <c r="T96" s="761"/>
      <c r="U96" s="762"/>
      <c r="V96" s="761"/>
      <c r="W96" s="761"/>
      <c r="X96" s="761"/>
      <c r="Y96" s="761"/>
      <c r="Z96" s="762"/>
      <c r="AA96" s="280"/>
    </row>
    <row r="97" spans="1:27" ht="15">
      <c r="A97" s="484">
        <f t="shared" si="25"/>
        <v>97</v>
      </c>
      <c r="B97" s="96"/>
      <c r="C97" s="60" t="s">
        <v>81</v>
      </c>
      <c r="D97" s="50"/>
      <c r="E97" s="50"/>
      <c r="F97" s="50"/>
      <c r="G97" s="776">
        <f>G76+G87+G95</f>
        <v>0</v>
      </c>
      <c r="H97" s="241"/>
      <c r="I97" s="748">
        <f t="shared" ref="I97:Z97" si="47">I76+I87+I95</f>
        <v>0</v>
      </c>
      <c r="J97" s="731">
        <f t="shared" si="47"/>
        <v>0</v>
      </c>
      <c r="K97" s="741">
        <f t="shared" si="47"/>
        <v>0</v>
      </c>
      <c r="L97" s="741">
        <f t="shared" si="47"/>
        <v>0</v>
      </c>
      <c r="M97" s="731">
        <f t="shared" si="47"/>
        <v>0</v>
      </c>
      <c r="N97" s="741">
        <f t="shared" si="47"/>
        <v>0</v>
      </c>
      <c r="O97" s="741">
        <f t="shared" si="47"/>
        <v>0</v>
      </c>
      <c r="P97" s="731">
        <f t="shared" si="47"/>
        <v>0</v>
      </c>
      <c r="Q97" s="741">
        <f t="shared" si="47"/>
        <v>0</v>
      </c>
      <c r="R97" s="741">
        <f t="shared" si="47"/>
        <v>0</v>
      </c>
      <c r="S97" s="731">
        <f t="shared" si="47"/>
        <v>0</v>
      </c>
      <c r="T97" s="741">
        <f t="shared" si="47"/>
        <v>0</v>
      </c>
      <c r="U97" s="742">
        <f t="shared" si="47"/>
        <v>0</v>
      </c>
      <c r="V97" s="735">
        <f t="shared" si="47"/>
        <v>0</v>
      </c>
      <c r="W97" s="741">
        <f t="shared" si="47"/>
        <v>0</v>
      </c>
      <c r="X97" s="743">
        <f t="shared" si="47"/>
        <v>0</v>
      </c>
      <c r="Y97" s="737">
        <f t="shared" si="47"/>
        <v>0</v>
      </c>
      <c r="Z97" s="738">
        <f t="shared" si="47"/>
        <v>0</v>
      </c>
      <c r="AA97" s="280"/>
    </row>
    <row r="98" spans="1:27" ht="15">
      <c r="A98" s="484">
        <f t="shared" si="25"/>
        <v>98</v>
      </c>
      <c r="B98" s="96"/>
      <c r="C98" s="94"/>
      <c r="D98" s="120"/>
      <c r="E98" s="120"/>
      <c r="F98" s="120"/>
      <c r="G98" s="297"/>
      <c r="H98" s="241"/>
      <c r="I98" s="761"/>
      <c r="J98" s="761"/>
      <c r="K98" s="761"/>
      <c r="L98" s="761"/>
      <c r="M98" s="761"/>
      <c r="N98" s="761"/>
      <c r="O98" s="761"/>
      <c r="P98" s="761"/>
      <c r="Q98" s="761"/>
      <c r="R98" s="761"/>
      <c r="S98" s="761"/>
      <c r="T98" s="761"/>
      <c r="U98" s="762"/>
      <c r="V98" s="761"/>
      <c r="W98" s="761"/>
      <c r="X98" s="761"/>
      <c r="Y98" s="761"/>
      <c r="Z98" s="762"/>
      <c r="AA98" s="280"/>
    </row>
    <row r="99" spans="1:27" ht="15">
      <c r="A99" s="484">
        <f t="shared" si="25"/>
        <v>99</v>
      </c>
      <c r="B99" s="96"/>
      <c r="C99" s="119" t="s">
        <v>82</v>
      </c>
      <c r="D99" s="50"/>
      <c r="E99" s="50"/>
      <c r="F99" s="50"/>
      <c r="G99" s="300"/>
      <c r="H99" s="241"/>
      <c r="I99" s="95"/>
      <c r="J99" s="95"/>
      <c r="K99" s="95"/>
      <c r="L99" s="95"/>
      <c r="M99" s="95"/>
      <c r="N99" s="95"/>
      <c r="O99" s="95"/>
      <c r="P99" s="95"/>
      <c r="Q99" s="95"/>
      <c r="R99" s="95"/>
      <c r="S99" s="95"/>
      <c r="T99" s="95"/>
      <c r="U99" s="118"/>
      <c r="V99" s="95"/>
      <c r="W99" s="95"/>
      <c r="X99" s="95"/>
      <c r="Y99" s="95"/>
      <c r="Z99" s="118"/>
      <c r="AA99" s="280"/>
    </row>
    <row r="100" spans="1:27" ht="15">
      <c r="A100" s="484">
        <f t="shared" si="25"/>
        <v>100</v>
      </c>
      <c r="B100" s="96"/>
      <c r="C100" s="94"/>
      <c r="D100" s="54" t="s">
        <v>14</v>
      </c>
      <c r="E100" s="50"/>
      <c r="F100" s="50"/>
      <c r="G100" s="300"/>
      <c r="H100" s="241"/>
      <c r="I100" s="739"/>
      <c r="J100" s="665"/>
      <c r="K100" s="745"/>
      <c r="L100" s="733">
        <f>IF(K$18&lt;&gt;0,J100-K100,0)</f>
        <v>0</v>
      </c>
      <c r="M100" s="665"/>
      <c r="N100" s="745"/>
      <c r="O100" s="733">
        <f>IF(N$18&lt;&gt;0,M100-N100,0)</f>
        <v>0</v>
      </c>
      <c r="P100" s="665"/>
      <c r="Q100" s="745"/>
      <c r="R100" s="733">
        <f>IF(Q$18&lt;&gt;0,P100-Q100,0)</f>
        <v>0</v>
      </c>
      <c r="S100" s="665"/>
      <c r="T100" s="745"/>
      <c r="U100" s="734">
        <f>IF(T$18&lt;&gt;0,S100-T100,0)</f>
        <v>0</v>
      </c>
      <c r="V100" s="735">
        <f>J100+M100+P100+S100</f>
        <v>0</v>
      </c>
      <c r="W100" s="736">
        <f>SUM(IF(K$18&lt;&gt;0,K100,J100)+IF(N$18&lt;&gt;0,N100,M100)+IF(Q$18&lt;&gt;0,Q100,P100)+IF(T$18&lt;&gt;0,T100,S100))</f>
        <v>0</v>
      </c>
      <c r="X100" s="733">
        <f>V100-W100</f>
        <v>0</v>
      </c>
      <c r="Y100" s="737">
        <f>I100-V100</f>
        <v>0</v>
      </c>
      <c r="Z100" s="738">
        <f>I100-W100</f>
        <v>0</v>
      </c>
      <c r="AA100" s="280"/>
    </row>
    <row r="101" spans="1:27" ht="15">
      <c r="A101" s="484">
        <f t="shared" si="25"/>
        <v>101</v>
      </c>
      <c r="B101" s="96"/>
      <c r="C101" s="94"/>
      <c r="D101" s="120" t="s">
        <v>69</v>
      </c>
      <c r="E101" s="50"/>
      <c r="F101" s="50"/>
      <c r="G101" s="300"/>
      <c r="H101" s="241"/>
      <c r="I101" s="739"/>
      <c r="J101" s="665"/>
      <c r="K101" s="745"/>
      <c r="L101" s="733">
        <f>IF(K$18&lt;&gt;0,J101-K101,0)</f>
        <v>0</v>
      </c>
      <c r="M101" s="665"/>
      <c r="N101" s="745"/>
      <c r="O101" s="733">
        <f>IF(N$18&lt;&gt;0,M101-N101,0)</f>
        <v>0</v>
      </c>
      <c r="P101" s="665"/>
      <c r="Q101" s="745"/>
      <c r="R101" s="733">
        <f>IF(Q$18&lt;&gt;0,P101-Q101,0)</f>
        <v>0</v>
      </c>
      <c r="S101" s="665"/>
      <c r="T101" s="745"/>
      <c r="U101" s="734">
        <f>IF(T$18&lt;&gt;0,S101-T101,0)</f>
        <v>0</v>
      </c>
      <c r="V101" s="735">
        <f>J101+M101+P101+S101</f>
        <v>0</v>
      </c>
      <c r="W101" s="736">
        <f>SUM(IF(K$18&lt;&gt;0,K101,J101)+IF(N$18&lt;&gt;0,N101,M101)+IF(Q$18&lt;&gt;0,Q101,P101)+IF(T$18&lt;&gt;0,T101,S101))</f>
        <v>0</v>
      </c>
      <c r="X101" s="733">
        <f>V101-W101</f>
        <v>0</v>
      </c>
      <c r="Y101" s="737">
        <f>I101-V101</f>
        <v>0</v>
      </c>
      <c r="Z101" s="738">
        <f>I101-W101</f>
        <v>0</v>
      </c>
      <c r="AA101" s="280"/>
    </row>
    <row r="102" spans="1:27" ht="16.8">
      <c r="A102" s="484">
        <f t="shared" si="25"/>
        <v>102</v>
      </c>
      <c r="B102" s="96"/>
      <c r="C102" s="94"/>
      <c r="D102" s="54" t="s">
        <v>58</v>
      </c>
      <c r="E102" s="50"/>
      <c r="F102" s="50"/>
      <c r="G102" s="300"/>
      <c r="H102" s="241"/>
      <c r="I102" s="750"/>
      <c r="J102" s="751"/>
      <c r="K102" s="752"/>
      <c r="L102" s="753">
        <f>IF(K$18&lt;&gt;0,J102-K102,0)</f>
        <v>0</v>
      </c>
      <c r="M102" s="751"/>
      <c r="N102" s="752"/>
      <c r="O102" s="753">
        <f>IF(N$18&lt;&gt;0,M102-N102,0)</f>
        <v>0</v>
      </c>
      <c r="P102" s="751"/>
      <c r="Q102" s="752"/>
      <c r="R102" s="753">
        <f>IF(Q$18&lt;&gt;0,P102-Q102,0)</f>
        <v>0</v>
      </c>
      <c r="S102" s="751"/>
      <c r="T102" s="752"/>
      <c r="U102" s="756">
        <f>IF(T$18&lt;&gt;0,S102-T102,0)</f>
        <v>0</v>
      </c>
      <c r="V102" s="757">
        <f>J102+M102+P102+S102</f>
        <v>0</v>
      </c>
      <c r="W102" s="758">
        <f>SUM(IF(K$18&lt;&gt;0,K102,J102)+IF(N$18&lt;&gt;0,N102,M102)+IF(Q$18&lt;&gt;0,Q102,P102)+IF(T$18&lt;&gt;0,T102,S102))</f>
        <v>0</v>
      </c>
      <c r="X102" s="753">
        <f>V102-W102</f>
        <v>0</v>
      </c>
      <c r="Y102" s="759">
        <f>I102-V102</f>
        <v>0</v>
      </c>
      <c r="Z102" s="760">
        <f>I102-W102</f>
        <v>0</v>
      </c>
      <c r="AA102" s="280"/>
    </row>
    <row r="103" spans="1:27" ht="15">
      <c r="A103" s="484">
        <f t="shared" si="25"/>
        <v>103</v>
      </c>
      <c r="B103" s="96"/>
      <c r="C103" s="55" t="s">
        <v>83</v>
      </c>
      <c r="D103" s="50"/>
      <c r="E103" s="50"/>
      <c r="F103" s="50"/>
      <c r="G103" s="300"/>
      <c r="H103" s="241"/>
      <c r="I103" s="748">
        <f t="shared" ref="I103:Z103" si="48">SUM(I100:I102)</f>
        <v>0</v>
      </c>
      <c r="J103" s="731">
        <f t="shared" si="48"/>
        <v>0</v>
      </c>
      <c r="K103" s="741">
        <f t="shared" si="48"/>
        <v>0</v>
      </c>
      <c r="L103" s="741">
        <f t="shared" si="48"/>
        <v>0</v>
      </c>
      <c r="M103" s="731">
        <f t="shared" si="48"/>
        <v>0</v>
      </c>
      <c r="N103" s="741">
        <f t="shared" si="48"/>
        <v>0</v>
      </c>
      <c r="O103" s="741">
        <f t="shared" si="48"/>
        <v>0</v>
      </c>
      <c r="P103" s="731">
        <f t="shared" si="48"/>
        <v>0</v>
      </c>
      <c r="Q103" s="741">
        <f t="shared" si="48"/>
        <v>0</v>
      </c>
      <c r="R103" s="741">
        <f t="shared" si="48"/>
        <v>0</v>
      </c>
      <c r="S103" s="731">
        <f t="shared" si="48"/>
        <v>0</v>
      </c>
      <c r="T103" s="741">
        <f t="shared" si="48"/>
        <v>0</v>
      </c>
      <c r="U103" s="742">
        <f t="shared" si="48"/>
        <v>0</v>
      </c>
      <c r="V103" s="735">
        <f t="shared" si="48"/>
        <v>0</v>
      </c>
      <c r="W103" s="741">
        <f t="shared" si="48"/>
        <v>0</v>
      </c>
      <c r="X103" s="743">
        <f t="shared" si="48"/>
        <v>0</v>
      </c>
      <c r="Y103" s="737">
        <f t="shared" si="48"/>
        <v>0</v>
      </c>
      <c r="Z103" s="579">
        <f t="shared" si="48"/>
        <v>0</v>
      </c>
      <c r="AA103" s="280"/>
    </row>
    <row r="104" spans="1:27" ht="15">
      <c r="A104" s="484">
        <f t="shared" si="25"/>
        <v>104</v>
      </c>
      <c r="B104" s="96"/>
      <c r="C104" s="94"/>
      <c r="D104" s="120"/>
      <c r="E104" s="120"/>
      <c r="F104" s="120"/>
      <c r="G104" s="297"/>
      <c r="H104" s="241"/>
      <c r="I104" s="761"/>
      <c r="J104" s="761"/>
      <c r="K104" s="761"/>
      <c r="L104" s="761"/>
      <c r="M104" s="761"/>
      <c r="N104" s="761"/>
      <c r="O104" s="761"/>
      <c r="P104" s="761"/>
      <c r="Q104" s="761"/>
      <c r="R104" s="761"/>
      <c r="S104" s="761"/>
      <c r="T104" s="761"/>
      <c r="U104" s="762"/>
      <c r="V104" s="761"/>
      <c r="W104" s="761"/>
      <c r="X104" s="761"/>
      <c r="Y104" s="761"/>
      <c r="Z104" s="118"/>
      <c r="AA104" s="280"/>
    </row>
    <row r="105" spans="1:27" ht="15">
      <c r="A105" s="484">
        <f t="shared" si="25"/>
        <v>105</v>
      </c>
      <c r="B105" s="96"/>
      <c r="C105" s="60" t="s">
        <v>84</v>
      </c>
      <c r="D105" s="50"/>
      <c r="E105" s="50"/>
      <c r="F105" s="50"/>
      <c r="G105" s="776">
        <f>G97</f>
        <v>0</v>
      </c>
      <c r="H105" s="241"/>
      <c r="I105" s="748">
        <f t="shared" ref="I105:Z105" si="49">I97+I103</f>
        <v>0</v>
      </c>
      <c r="J105" s="731">
        <f t="shared" si="49"/>
        <v>0</v>
      </c>
      <c r="K105" s="741">
        <f t="shared" si="49"/>
        <v>0</v>
      </c>
      <c r="L105" s="741">
        <f t="shared" si="49"/>
        <v>0</v>
      </c>
      <c r="M105" s="731">
        <f t="shared" si="49"/>
        <v>0</v>
      </c>
      <c r="N105" s="741">
        <f t="shared" si="49"/>
        <v>0</v>
      </c>
      <c r="O105" s="741">
        <f t="shared" si="49"/>
        <v>0</v>
      </c>
      <c r="P105" s="731">
        <f t="shared" si="49"/>
        <v>0</v>
      </c>
      <c r="Q105" s="741">
        <f t="shared" si="49"/>
        <v>0</v>
      </c>
      <c r="R105" s="741">
        <f t="shared" si="49"/>
        <v>0</v>
      </c>
      <c r="S105" s="731">
        <f t="shared" si="49"/>
        <v>0</v>
      </c>
      <c r="T105" s="741">
        <f t="shared" si="49"/>
        <v>0</v>
      </c>
      <c r="U105" s="742">
        <f t="shared" si="49"/>
        <v>0</v>
      </c>
      <c r="V105" s="735">
        <f t="shared" si="49"/>
        <v>0</v>
      </c>
      <c r="W105" s="741">
        <f t="shared" si="49"/>
        <v>0</v>
      </c>
      <c r="X105" s="743">
        <f t="shared" si="49"/>
        <v>0</v>
      </c>
      <c r="Y105" s="737">
        <f t="shared" si="49"/>
        <v>0</v>
      </c>
      <c r="Z105" s="738">
        <f t="shared" si="49"/>
        <v>0</v>
      </c>
      <c r="AA105" s="280"/>
    </row>
    <row r="106" spans="1:27" ht="15">
      <c r="A106" s="484">
        <f t="shared" si="25"/>
        <v>106</v>
      </c>
      <c r="B106" s="96"/>
      <c r="C106" s="94"/>
      <c r="D106" s="94"/>
      <c r="E106" s="120"/>
      <c r="F106" s="120"/>
      <c r="G106" s="56"/>
      <c r="H106" s="241"/>
      <c r="I106" s="761"/>
      <c r="J106" s="761"/>
      <c r="K106" s="761"/>
      <c r="L106" s="761"/>
      <c r="M106" s="761"/>
      <c r="N106" s="761"/>
      <c r="O106" s="761"/>
      <c r="P106" s="761"/>
      <c r="Q106" s="761"/>
      <c r="R106" s="761"/>
      <c r="S106" s="761"/>
      <c r="T106" s="761"/>
      <c r="U106" s="762"/>
      <c r="V106" s="761"/>
      <c r="W106" s="761"/>
      <c r="X106" s="761"/>
      <c r="Y106" s="761"/>
      <c r="Z106" s="762"/>
      <c r="AA106" s="280"/>
    </row>
    <row r="107" spans="1:27" ht="15">
      <c r="A107" s="484">
        <f t="shared" si="25"/>
        <v>107</v>
      </c>
      <c r="B107" s="96"/>
      <c r="C107" s="119" t="s">
        <v>85</v>
      </c>
      <c r="D107" s="94"/>
      <c r="E107" s="120"/>
      <c r="F107" s="120"/>
      <c r="G107" s="56"/>
      <c r="H107" s="241"/>
      <c r="I107" s="95"/>
      <c r="J107" s="95"/>
      <c r="K107" s="95"/>
      <c r="L107" s="95"/>
      <c r="M107" s="95"/>
      <c r="N107" s="95"/>
      <c r="O107" s="95"/>
      <c r="P107" s="95"/>
      <c r="Q107" s="95"/>
      <c r="R107" s="95"/>
      <c r="S107" s="95"/>
      <c r="T107" s="95"/>
      <c r="U107" s="118"/>
      <c r="V107" s="95"/>
      <c r="W107" s="95"/>
      <c r="X107" s="95"/>
      <c r="Y107" s="95"/>
      <c r="Z107" s="118"/>
      <c r="AA107" s="280"/>
    </row>
    <row r="108" spans="1:27" ht="15">
      <c r="A108" s="484">
        <f t="shared" si="25"/>
        <v>108</v>
      </c>
      <c r="B108" s="96"/>
      <c r="C108" s="94"/>
      <c r="D108" s="50" t="s">
        <v>65</v>
      </c>
      <c r="E108" s="120"/>
      <c r="F108" s="120"/>
      <c r="G108" s="56"/>
      <c r="H108" s="241"/>
      <c r="I108" s="666"/>
      <c r="J108" s="744"/>
      <c r="K108" s="745"/>
      <c r="L108" s="733">
        <f t="shared" ref="L108:L116" si="50">IF(K$18&lt;&gt;0,J108-K108,0)</f>
        <v>0</v>
      </c>
      <c r="M108" s="746"/>
      <c r="N108" s="747"/>
      <c r="O108" s="733">
        <f t="shared" ref="O108:O116" si="51">IF(N$18&lt;&gt;0,M108-N108,0)</f>
        <v>0</v>
      </c>
      <c r="P108" s="746"/>
      <c r="Q108" s="747"/>
      <c r="R108" s="733">
        <f t="shared" ref="R108:R116" si="52">IF(Q$18&lt;&gt;0,P108-Q108,0)</f>
        <v>0</v>
      </c>
      <c r="S108" s="663"/>
      <c r="T108" s="747"/>
      <c r="U108" s="734">
        <f t="shared" ref="U108:U116" si="53">IF(T$18&lt;&gt;0,S108-T108,0)</f>
        <v>0</v>
      </c>
      <c r="V108" s="735">
        <f t="shared" ref="V108:V116" si="54">J108+M108+P108+S108</f>
        <v>0</v>
      </c>
      <c r="W108" s="736">
        <f t="shared" ref="W108:W116" si="55">SUM(IF(K$18&lt;&gt;0,K108,J108)+IF(N$18&lt;&gt;0,N108,M108)+IF(Q$18&lt;&gt;0,Q108,P108)+IF(T$18&lt;&gt;0,T108,S108))</f>
        <v>0</v>
      </c>
      <c r="X108" s="733">
        <f t="shared" ref="X108:X116" si="56">V108-W108</f>
        <v>0</v>
      </c>
      <c r="Y108" s="737">
        <f t="shared" ref="Y108:Y116" si="57">I108-V108</f>
        <v>0</v>
      </c>
      <c r="Z108" s="738">
        <f t="shared" ref="Z108:Z116" si="58">I108-W108</f>
        <v>0</v>
      </c>
      <c r="AA108" s="280"/>
    </row>
    <row r="109" spans="1:27" ht="15">
      <c r="A109" s="484">
        <f t="shared" si="25"/>
        <v>109</v>
      </c>
      <c r="B109" s="96"/>
      <c r="C109" s="94"/>
      <c r="D109" s="54" t="s">
        <v>5</v>
      </c>
      <c r="E109" s="120"/>
      <c r="F109" s="120"/>
      <c r="G109" s="56"/>
      <c r="H109" s="241"/>
      <c r="I109" s="666"/>
      <c r="J109" s="744"/>
      <c r="K109" s="745"/>
      <c r="L109" s="733">
        <f t="shared" si="50"/>
        <v>0</v>
      </c>
      <c r="M109" s="746"/>
      <c r="N109" s="747"/>
      <c r="O109" s="733">
        <f t="shared" si="51"/>
        <v>0</v>
      </c>
      <c r="P109" s="746"/>
      <c r="Q109" s="747"/>
      <c r="R109" s="733">
        <f t="shared" si="52"/>
        <v>0</v>
      </c>
      <c r="S109" s="663"/>
      <c r="T109" s="747"/>
      <c r="U109" s="734">
        <f t="shared" si="53"/>
        <v>0</v>
      </c>
      <c r="V109" s="735">
        <f t="shared" si="54"/>
        <v>0</v>
      </c>
      <c r="W109" s="736">
        <f t="shared" si="55"/>
        <v>0</v>
      </c>
      <c r="X109" s="733">
        <f t="shared" si="56"/>
        <v>0</v>
      </c>
      <c r="Y109" s="737">
        <f t="shared" si="57"/>
        <v>0</v>
      </c>
      <c r="Z109" s="738">
        <f t="shared" si="58"/>
        <v>0</v>
      </c>
      <c r="AA109" s="280"/>
    </row>
    <row r="110" spans="1:27" ht="15">
      <c r="A110" s="484">
        <f t="shared" si="25"/>
        <v>110</v>
      </c>
      <c r="B110" s="96"/>
      <c r="C110" s="94"/>
      <c r="D110" s="54" t="s">
        <v>66</v>
      </c>
      <c r="E110" s="120"/>
      <c r="F110" s="120"/>
      <c r="G110" s="56"/>
      <c r="H110" s="241"/>
      <c r="I110" s="666"/>
      <c r="J110" s="744"/>
      <c r="K110" s="745"/>
      <c r="L110" s="733">
        <f t="shared" si="50"/>
        <v>0</v>
      </c>
      <c r="M110" s="744"/>
      <c r="N110" s="747"/>
      <c r="O110" s="733">
        <f t="shared" si="51"/>
        <v>0</v>
      </c>
      <c r="P110" s="744"/>
      <c r="Q110" s="747"/>
      <c r="R110" s="733">
        <f t="shared" si="52"/>
        <v>0</v>
      </c>
      <c r="S110" s="744"/>
      <c r="T110" s="747"/>
      <c r="U110" s="734">
        <f t="shared" si="53"/>
        <v>0</v>
      </c>
      <c r="V110" s="735">
        <f t="shared" si="54"/>
        <v>0</v>
      </c>
      <c r="W110" s="736">
        <f t="shared" si="55"/>
        <v>0</v>
      </c>
      <c r="X110" s="733">
        <f t="shared" si="56"/>
        <v>0</v>
      </c>
      <c r="Y110" s="737">
        <f t="shared" si="57"/>
        <v>0</v>
      </c>
      <c r="Z110" s="738">
        <f t="shared" si="58"/>
        <v>0</v>
      </c>
      <c r="AA110" s="280"/>
    </row>
    <row r="111" spans="1:27" ht="15">
      <c r="A111" s="484">
        <f t="shared" si="25"/>
        <v>111</v>
      </c>
      <c r="B111" s="96"/>
      <c r="C111" s="94"/>
      <c r="D111" s="54" t="s">
        <v>15</v>
      </c>
      <c r="E111" s="120"/>
      <c r="F111" s="120"/>
      <c r="G111" s="56"/>
      <c r="H111" s="241"/>
      <c r="I111" s="666"/>
      <c r="J111" s="744"/>
      <c r="K111" s="745"/>
      <c r="L111" s="733">
        <f t="shared" si="50"/>
        <v>0</v>
      </c>
      <c r="M111" s="746"/>
      <c r="N111" s="747"/>
      <c r="O111" s="733">
        <f t="shared" si="51"/>
        <v>0</v>
      </c>
      <c r="P111" s="746"/>
      <c r="Q111" s="747"/>
      <c r="R111" s="733">
        <f t="shared" si="52"/>
        <v>0</v>
      </c>
      <c r="S111" s="663"/>
      <c r="T111" s="747"/>
      <c r="U111" s="734">
        <f t="shared" si="53"/>
        <v>0</v>
      </c>
      <c r="V111" s="735">
        <f t="shared" si="54"/>
        <v>0</v>
      </c>
      <c r="W111" s="736">
        <f t="shared" si="55"/>
        <v>0</v>
      </c>
      <c r="X111" s="733">
        <f t="shared" si="56"/>
        <v>0</v>
      </c>
      <c r="Y111" s="737">
        <f t="shared" si="57"/>
        <v>0</v>
      </c>
      <c r="Z111" s="738">
        <f t="shared" si="58"/>
        <v>0</v>
      </c>
      <c r="AA111" s="280"/>
    </row>
    <row r="112" spans="1:27" ht="15">
      <c r="A112" s="484">
        <f t="shared" si="25"/>
        <v>112</v>
      </c>
      <c r="B112" s="96"/>
      <c r="C112" s="94"/>
      <c r="D112" s="54" t="s">
        <v>57</v>
      </c>
      <c r="E112" s="120"/>
      <c r="F112" s="120"/>
      <c r="G112" s="56"/>
      <c r="H112" s="241"/>
      <c r="I112" s="666"/>
      <c r="J112" s="744"/>
      <c r="K112" s="745"/>
      <c r="L112" s="733">
        <f t="shared" si="50"/>
        <v>0</v>
      </c>
      <c r="M112" s="746"/>
      <c r="N112" s="747"/>
      <c r="O112" s="733">
        <f t="shared" si="51"/>
        <v>0</v>
      </c>
      <c r="P112" s="746"/>
      <c r="Q112" s="747"/>
      <c r="R112" s="733">
        <f t="shared" si="52"/>
        <v>0</v>
      </c>
      <c r="S112" s="663"/>
      <c r="T112" s="747"/>
      <c r="U112" s="734">
        <f t="shared" si="53"/>
        <v>0</v>
      </c>
      <c r="V112" s="735">
        <f t="shared" si="54"/>
        <v>0</v>
      </c>
      <c r="W112" s="736">
        <f t="shared" si="55"/>
        <v>0</v>
      </c>
      <c r="X112" s="733">
        <f t="shared" si="56"/>
        <v>0</v>
      </c>
      <c r="Y112" s="737">
        <f t="shared" si="57"/>
        <v>0</v>
      </c>
      <c r="Z112" s="738">
        <f t="shared" si="58"/>
        <v>0</v>
      </c>
      <c r="AA112" s="280"/>
    </row>
    <row r="113" spans="1:27" ht="15">
      <c r="A113" s="484">
        <f t="shared" si="25"/>
        <v>113</v>
      </c>
      <c r="B113" s="96"/>
      <c r="C113" s="94"/>
      <c r="D113" s="54" t="s">
        <v>16</v>
      </c>
      <c r="E113" s="120"/>
      <c r="F113" s="120"/>
      <c r="G113" s="56"/>
      <c r="H113" s="241"/>
      <c r="I113" s="666"/>
      <c r="J113" s="744"/>
      <c r="K113" s="745"/>
      <c r="L113" s="733">
        <f t="shared" si="50"/>
        <v>0</v>
      </c>
      <c r="M113" s="746"/>
      <c r="N113" s="747"/>
      <c r="O113" s="733">
        <f t="shared" si="51"/>
        <v>0</v>
      </c>
      <c r="P113" s="746"/>
      <c r="Q113" s="747"/>
      <c r="R113" s="733">
        <f t="shared" si="52"/>
        <v>0</v>
      </c>
      <c r="S113" s="663"/>
      <c r="T113" s="747"/>
      <c r="U113" s="734">
        <f t="shared" si="53"/>
        <v>0</v>
      </c>
      <c r="V113" s="735">
        <f t="shared" si="54"/>
        <v>0</v>
      </c>
      <c r="W113" s="736">
        <f t="shared" si="55"/>
        <v>0</v>
      </c>
      <c r="X113" s="733">
        <f t="shared" si="56"/>
        <v>0</v>
      </c>
      <c r="Y113" s="737">
        <f t="shared" si="57"/>
        <v>0</v>
      </c>
      <c r="Z113" s="738">
        <f t="shared" si="58"/>
        <v>0</v>
      </c>
      <c r="AA113" s="280"/>
    </row>
    <row r="114" spans="1:27" ht="15">
      <c r="A114" s="484">
        <f t="shared" si="25"/>
        <v>114</v>
      </c>
      <c r="B114" s="96"/>
      <c r="C114" s="94"/>
      <c r="D114" s="54" t="s">
        <v>17</v>
      </c>
      <c r="E114" s="120"/>
      <c r="F114" s="120"/>
      <c r="G114" s="56"/>
      <c r="H114" s="241"/>
      <c r="I114" s="666"/>
      <c r="J114" s="744"/>
      <c r="K114" s="745"/>
      <c r="L114" s="733">
        <f t="shared" si="50"/>
        <v>0</v>
      </c>
      <c r="M114" s="746"/>
      <c r="N114" s="747"/>
      <c r="O114" s="733">
        <f t="shared" si="51"/>
        <v>0</v>
      </c>
      <c r="P114" s="746"/>
      <c r="Q114" s="747"/>
      <c r="R114" s="733">
        <f t="shared" si="52"/>
        <v>0</v>
      </c>
      <c r="S114" s="663"/>
      <c r="T114" s="747"/>
      <c r="U114" s="734">
        <f t="shared" si="53"/>
        <v>0</v>
      </c>
      <c r="V114" s="735">
        <f t="shared" si="54"/>
        <v>0</v>
      </c>
      <c r="W114" s="736">
        <f t="shared" si="55"/>
        <v>0</v>
      </c>
      <c r="X114" s="733">
        <f t="shared" si="56"/>
        <v>0</v>
      </c>
      <c r="Y114" s="737">
        <f t="shared" si="57"/>
        <v>0</v>
      </c>
      <c r="Z114" s="738">
        <f t="shared" si="58"/>
        <v>0</v>
      </c>
      <c r="AA114" s="280"/>
    </row>
    <row r="115" spans="1:27" ht="15">
      <c r="A115" s="484">
        <f t="shared" si="25"/>
        <v>115</v>
      </c>
      <c r="B115" s="96"/>
      <c r="C115" s="94"/>
      <c r="D115" s="54" t="s">
        <v>68</v>
      </c>
      <c r="E115" s="120"/>
      <c r="F115" s="120"/>
      <c r="G115" s="56"/>
      <c r="H115" s="241"/>
      <c r="I115" s="666"/>
      <c r="J115" s="744"/>
      <c r="K115" s="745"/>
      <c r="L115" s="733">
        <f t="shared" si="50"/>
        <v>0</v>
      </c>
      <c r="M115" s="746"/>
      <c r="N115" s="747"/>
      <c r="O115" s="733">
        <f t="shared" si="51"/>
        <v>0</v>
      </c>
      <c r="P115" s="746"/>
      <c r="Q115" s="747"/>
      <c r="R115" s="733">
        <f t="shared" si="52"/>
        <v>0</v>
      </c>
      <c r="S115" s="663"/>
      <c r="T115" s="747"/>
      <c r="U115" s="734">
        <f t="shared" si="53"/>
        <v>0</v>
      </c>
      <c r="V115" s="735">
        <f t="shared" si="54"/>
        <v>0</v>
      </c>
      <c r="W115" s="736">
        <f t="shared" si="55"/>
        <v>0</v>
      </c>
      <c r="X115" s="733">
        <f t="shared" si="56"/>
        <v>0</v>
      </c>
      <c r="Y115" s="737">
        <f t="shared" si="57"/>
        <v>0</v>
      </c>
      <c r="Z115" s="738">
        <f t="shared" si="58"/>
        <v>0</v>
      </c>
      <c r="AA115" s="280"/>
    </row>
    <row r="116" spans="1:27" ht="16.8">
      <c r="A116" s="484">
        <f t="shared" si="25"/>
        <v>116</v>
      </c>
      <c r="B116" s="96"/>
      <c r="C116" s="94"/>
      <c r="D116" s="50" t="s">
        <v>67</v>
      </c>
      <c r="E116" s="120"/>
      <c r="F116" s="120"/>
      <c r="G116" s="56"/>
      <c r="H116" s="241"/>
      <c r="I116" s="661"/>
      <c r="J116" s="751"/>
      <c r="K116" s="752"/>
      <c r="L116" s="753">
        <f t="shared" si="50"/>
        <v>0</v>
      </c>
      <c r="M116" s="754"/>
      <c r="N116" s="755"/>
      <c r="O116" s="753">
        <f t="shared" si="51"/>
        <v>0</v>
      </c>
      <c r="P116" s="754"/>
      <c r="Q116" s="755"/>
      <c r="R116" s="753">
        <f t="shared" si="52"/>
        <v>0</v>
      </c>
      <c r="S116" s="754"/>
      <c r="T116" s="755"/>
      <c r="U116" s="756">
        <f t="shared" si="53"/>
        <v>0</v>
      </c>
      <c r="V116" s="757">
        <f t="shared" si="54"/>
        <v>0</v>
      </c>
      <c r="W116" s="758">
        <f t="shared" si="55"/>
        <v>0</v>
      </c>
      <c r="X116" s="753">
        <f t="shared" si="56"/>
        <v>0</v>
      </c>
      <c r="Y116" s="759">
        <f t="shared" si="57"/>
        <v>0</v>
      </c>
      <c r="Z116" s="760">
        <f t="shared" si="58"/>
        <v>0</v>
      </c>
      <c r="AA116" s="280"/>
    </row>
    <row r="117" spans="1:27" ht="15">
      <c r="A117" s="484">
        <f t="shared" si="25"/>
        <v>117</v>
      </c>
      <c r="B117" s="96"/>
      <c r="C117" s="55" t="s">
        <v>86</v>
      </c>
      <c r="D117" s="94"/>
      <c r="E117" s="120"/>
      <c r="F117" s="120"/>
      <c r="G117" s="56"/>
      <c r="H117" s="241"/>
      <c r="I117" s="748">
        <f t="shared" ref="I117:Z117" si="59">SUM(I108:I116)</f>
        <v>0</v>
      </c>
      <c r="J117" s="731">
        <f t="shared" si="59"/>
        <v>0</v>
      </c>
      <c r="K117" s="741">
        <f t="shared" si="59"/>
        <v>0</v>
      </c>
      <c r="L117" s="741">
        <f t="shared" si="59"/>
        <v>0</v>
      </c>
      <c r="M117" s="731">
        <f t="shared" si="59"/>
        <v>0</v>
      </c>
      <c r="N117" s="741">
        <f t="shared" si="59"/>
        <v>0</v>
      </c>
      <c r="O117" s="741">
        <f t="shared" si="59"/>
        <v>0</v>
      </c>
      <c r="P117" s="731">
        <f t="shared" si="59"/>
        <v>0</v>
      </c>
      <c r="Q117" s="741">
        <f t="shared" si="59"/>
        <v>0</v>
      </c>
      <c r="R117" s="741">
        <f t="shared" si="59"/>
        <v>0</v>
      </c>
      <c r="S117" s="731">
        <f t="shared" si="59"/>
        <v>0</v>
      </c>
      <c r="T117" s="741">
        <f t="shared" si="59"/>
        <v>0</v>
      </c>
      <c r="U117" s="742">
        <f t="shared" si="59"/>
        <v>0</v>
      </c>
      <c r="V117" s="735">
        <f t="shared" si="59"/>
        <v>0</v>
      </c>
      <c r="W117" s="741">
        <f t="shared" si="59"/>
        <v>0</v>
      </c>
      <c r="X117" s="743">
        <f t="shared" si="59"/>
        <v>0</v>
      </c>
      <c r="Y117" s="737">
        <f t="shared" si="59"/>
        <v>0</v>
      </c>
      <c r="Z117" s="738">
        <f t="shared" si="59"/>
        <v>0</v>
      </c>
      <c r="AA117" s="280"/>
    </row>
    <row r="118" spans="1:27" ht="15">
      <c r="A118" s="484">
        <f t="shared" si="25"/>
        <v>118</v>
      </c>
      <c r="B118" s="96"/>
      <c r="C118" s="94"/>
      <c r="D118" s="120"/>
      <c r="E118" s="120"/>
      <c r="F118" s="120"/>
      <c r="G118" s="56"/>
      <c r="H118" s="241"/>
      <c r="I118" s="761"/>
      <c r="J118" s="761"/>
      <c r="K118" s="761"/>
      <c r="L118" s="761"/>
      <c r="M118" s="761"/>
      <c r="N118" s="761"/>
      <c r="O118" s="761"/>
      <c r="P118" s="761"/>
      <c r="Q118" s="761"/>
      <c r="R118" s="761"/>
      <c r="S118" s="761"/>
      <c r="T118" s="761"/>
      <c r="U118" s="762"/>
      <c r="V118" s="761"/>
      <c r="W118" s="761"/>
      <c r="X118" s="761"/>
      <c r="Y118" s="761"/>
      <c r="Z118" s="762"/>
      <c r="AA118" s="280"/>
    </row>
    <row r="119" spans="1:27" ht="15">
      <c r="A119" s="484">
        <f t="shared" si="25"/>
        <v>119</v>
      </c>
      <c r="B119" s="96"/>
      <c r="C119" s="119" t="s">
        <v>87</v>
      </c>
      <c r="D119" s="120"/>
      <c r="E119" s="120"/>
      <c r="F119" s="120"/>
      <c r="G119" s="56"/>
      <c r="H119" s="241"/>
      <c r="I119" s="95"/>
      <c r="J119" s="95"/>
      <c r="K119" s="95"/>
      <c r="L119" s="95"/>
      <c r="M119" s="95"/>
      <c r="N119" s="95"/>
      <c r="O119" s="95"/>
      <c r="P119" s="95"/>
      <c r="Q119" s="95"/>
      <c r="R119" s="95"/>
      <c r="S119" s="95"/>
      <c r="T119" s="95"/>
      <c r="U119" s="118"/>
      <c r="V119" s="95"/>
      <c r="W119" s="95"/>
      <c r="X119" s="95"/>
      <c r="Y119" s="95"/>
      <c r="Z119" s="118"/>
      <c r="AA119" s="280"/>
    </row>
    <row r="120" spans="1:27" ht="15">
      <c r="A120" s="484">
        <f t="shared" si="25"/>
        <v>120</v>
      </c>
      <c r="B120" s="96"/>
      <c r="C120" s="94"/>
      <c r="D120" s="54" t="s">
        <v>1</v>
      </c>
      <c r="E120" s="50"/>
      <c r="F120" s="50"/>
      <c r="G120" s="59"/>
      <c r="H120" s="241"/>
      <c r="I120" s="666"/>
      <c r="J120" s="665"/>
      <c r="K120" s="745"/>
      <c r="L120" s="733">
        <f t="shared" ref="L120:L139" si="60">IF(K$18&lt;&gt;0,J120-K120,0)</f>
        <v>0</v>
      </c>
      <c r="M120" s="663"/>
      <c r="N120" s="747"/>
      <c r="O120" s="733">
        <f t="shared" ref="O120:O139" si="61">IF(N$18&lt;&gt;0,M120-N120,0)</f>
        <v>0</v>
      </c>
      <c r="P120" s="663"/>
      <c r="Q120" s="747"/>
      <c r="R120" s="733">
        <f t="shared" ref="R120:R139" si="62">IF(Q$18&lt;&gt;0,P120-Q120,0)</f>
        <v>0</v>
      </c>
      <c r="S120" s="663"/>
      <c r="T120" s="747"/>
      <c r="U120" s="734">
        <f t="shared" ref="U120:U139" si="63">IF(T$18&lt;&gt;0,S120-T120,0)</f>
        <v>0</v>
      </c>
      <c r="V120" s="735">
        <f t="shared" ref="V120:V139" si="64">J120+M120+P120+S120</f>
        <v>0</v>
      </c>
      <c r="W120" s="736">
        <f t="shared" ref="W120:W139" si="65">SUM(IF(K$18&lt;&gt;0,K120,J120)+IF(N$18&lt;&gt;0,N120,M120)+IF(Q$18&lt;&gt;0,Q120,P120)+IF(T$18&lt;&gt;0,T120,S120))</f>
        <v>0</v>
      </c>
      <c r="X120" s="733">
        <f t="shared" ref="X120:X139" si="66">V120-W120</f>
        <v>0</v>
      </c>
      <c r="Y120" s="737">
        <f t="shared" ref="Y120:Y139" si="67">I120-V120</f>
        <v>0</v>
      </c>
      <c r="Z120" s="738">
        <f t="shared" ref="Z120:Z139" si="68">I120-W120</f>
        <v>0</v>
      </c>
      <c r="AA120" s="280"/>
    </row>
    <row r="121" spans="1:27" ht="15">
      <c r="A121" s="484">
        <f t="shared" si="25"/>
        <v>121</v>
      </c>
      <c r="B121" s="96"/>
      <c r="C121" s="94"/>
      <c r="D121" s="54" t="s">
        <v>71</v>
      </c>
      <c r="E121" s="50"/>
      <c r="F121" s="50"/>
      <c r="G121" s="59"/>
      <c r="H121" s="241"/>
      <c r="I121" s="666"/>
      <c r="J121" s="665"/>
      <c r="K121" s="745"/>
      <c r="L121" s="733">
        <f t="shared" si="60"/>
        <v>0</v>
      </c>
      <c r="M121" s="663"/>
      <c r="N121" s="747"/>
      <c r="O121" s="733">
        <f t="shared" si="61"/>
        <v>0</v>
      </c>
      <c r="P121" s="663"/>
      <c r="Q121" s="747"/>
      <c r="R121" s="733">
        <f t="shared" si="62"/>
        <v>0</v>
      </c>
      <c r="S121" s="663"/>
      <c r="T121" s="747"/>
      <c r="U121" s="734">
        <f t="shared" si="63"/>
        <v>0</v>
      </c>
      <c r="V121" s="735">
        <f t="shared" si="64"/>
        <v>0</v>
      </c>
      <c r="W121" s="736">
        <f t="shared" si="65"/>
        <v>0</v>
      </c>
      <c r="X121" s="733">
        <f t="shared" si="66"/>
        <v>0</v>
      </c>
      <c r="Y121" s="737">
        <f t="shared" si="67"/>
        <v>0</v>
      </c>
      <c r="Z121" s="738">
        <f t="shared" si="68"/>
        <v>0</v>
      </c>
      <c r="AA121" s="280"/>
    </row>
    <row r="122" spans="1:27" ht="15">
      <c r="A122" s="484">
        <f t="shared" si="25"/>
        <v>122</v>
      </c>
      <c r="B122" s="96"/>
      <c r="C122" s="94"/>
      <c r="D122" s="54" t="s">
        <v>64</v>
      </c>
      <c r="E122" s="50"/>
      <c r="F122" s="50"/>
      <c r="G122" s="59"/>
      <c r="H122" s="241"/>
      <c r="I122" s="666"/>
      <c r="J122" s="665"/>
      <c r="K122" s="745"/>
      <c r="L122" s="733">
        <f t="shared" si="60"/>
        <v>0</v>
      </c>
      <c r="M122" s="663"/>
      <c r="N122" s="747"/>
      <c r="O122" s="733">
        <f t="shared" si="61"/>
        <v>0</v>
      </c>
      <c r="P122" s="663"/>
      <c r="Q122" s="747"/>
      <c r="R122" s="733">
        <f t="shared" si="62"/>
        <v>0</v>
      </c>
      <c r="S122" s="663"/>
      <c r="T122" s="747"/>
      <c r="U122" s="734">
        <f t="shared" si="63"/>
        <v>0</v>
      </c>
      <c r="V122" s="735">
        <f t="shared" si="64"/>
        <v>0</v>
      </c>
      <c r="W122" s="736">
        <f t="shared" si="65"/>
        <v>0</v>
      </c>
      <c r="X122" s="733">
        <f t="shared" si="66"/>
        <v>0</v>
      </c>
      <c r="Y122" s="737">
        <f t="shared" si="67"/>
        <v>0</v>
      </c>
      <c r="Z122" s="738">
        <f t="shared" si="68"/>
        <v>0</v>
      </c>
      <c r="AA122" s="280"/>
    </row>
    <row r="123" spans="1:27" ht="15">
      <c r="A123" s="484">
        <f t="shared" si="25"/>
        <v>123</v>
      </c>
      <c r="B123" s="96"/>
      <c r="C123" s="94"/>
      <c r="D123" s="54" t="s">
        <v>70</v>
      </c>
      <c r="E123" s="50"/>
      <c r="F123" s="50"/>
      <c r="G123" s="59"/>
      <c r="H123" s="241"/>
      <c r="I123" s="666"/>
      <c r="J123" s="665"/>
      <c r="K123" s="745"/>
      <c r="L123" s="733">
        <f t="shared" si="60"/>
        <v>0</v>
      </c>
      <c r="M123" s="663"/>
      <c r="N123" s="747"/>
      <c r="O123" s="733">
        <f t="shared" si="61"/>
        <v>0</v>
      </c>
      <c r="P123" s="663"/>
      <c r="Q123" s="747"/>
      <c r="R123" s="733">
        <f t="shared" si="62"/>
        <v>0</v>
      </c>
      <c r="S123" s="663"/>
      <c r="T123" s="747"/>
      <c r="U123" s="734">
        <f t="shared" si="63"/>
        <v>0</v>
      </c>
      <c r="V123" s="735">
        <f t="shared" si="64"/>
        <v>0</v>
      </c>
      <c r="W123" s="736">
        <f t="shared" si="65"/>
        <v>0</v>
      </c>
      <c r="X123" s="733">
        <f t="shared" si="66"/>
        <v>0</v>
      </c>
      <c r="Y123" s="737">
        <f t="shared" si="67"/>
        <v>0</v>
      </c>
      <c r="Z123" s="738">
        <f t="shared" si="68"/>
        <v>0</v>
      </c>
      <c r="AA123" s="280"/>
    </row>
    <row r="124" spans="1:27" ht="15">
      <c r="A124" s="484">
        <f t="shared" si="25"/>
        <v>124</v>
      </c>
      <c r="B124" s="96"/>
      <c r="C124" s="94"/>
      <c r="D124" s="50" t="s">
        <v>72</v>
      </c>
      <c r="E124" s="50"/>
      <c r="F124" s="50"/>
      <c r="G124" s="59"/>
      <c r="H124" s="241"/>
      <c r="I124" s="666"/>
      <c r="J124" s="665"/>
      <c r="K124" s="745"/>
      <c r="L124" s="733">
        <f t="shared" si="60"/>
        <v>0</v>
      </c>
      <c r="M124" s="663"/>
      <c r="N124" s="747"/>
      <c r="O124" s="733">
        <f t="shared" si="61"/>
        <v>0</v>
      </c>
      <c r="P124" s="663"/>
      <c r="Q124" s="747"/>
      <c r="R124" s="733">
        <f t="shared" si="62"/>
        <v>0</v>
      </c>
      <c r="S124" s="663"/>
      <c r="T124" s="747"/>
      <c r="U124" s="734">
        <f t="shared" si="63"/>
        <v>0</v>
      </c>
      <c r="V124" s="735">
        <f t="shared" si="64"/>
        <v>0</v>
      </c>
      <c r="W124" s="736">
        <f t="shared" si="65"/>
        <v>0</v>
      </c>
      <c r="X124" s="733">
        <f t="shared" si="66"/>
        <v>0</v>
      </c>
      <c r="Y124" s="737">
        <f t="shared" si="67"/>
        <v>0</v>
      </c>
      <c r="Z124" s="738">
        <f t="shared" si="68"/>
        <v>0</v>
      </c>
      <c r="AA124" s="280"/>
    </row>
    <row r="125" spans="1:27" ht="15">
      <c r="A125" s="484">
        <f t="shared" si="25"/>
        <v>125</v>
      </c>
      <c r="B125" s="96"/>
      <c r="C125" s="94"/>
      <c r="D125" s="50" t="s">
        <v>56</v>
      </c>
      <c r="E125" s="50"/>
      <c r="F125" s="50"/>
      <c r="G125" s="59"/>
      <c r="H125" s="241"/>
      <c r="I125" s="666"/>
      <c r="J125" s="665"/>
      <c r="K125" s="745"/>
      <c r="L125" s="733">
        <f t="shared" si="60"/>
        <v>0</v>
      </c>
      <c r="M125" s="663"/>
      <c r="N125" s="747"/>
      <c r="O125" s="733">
        <f t="shared" si="61"/>
        <v>0</v>
      </c>
      <c r="P125" s="663"/>
      <c r="Q125" s="747"/>
      <c r="R125" s="733">
        <f t="shared" si="62"/>
        <v>0</v>
      </c>
      <c r="S125" s="663"/>
      <c r="T125" s="747"/>
      <c r="U125" s="734">
        <f t="shared" si="63"/>
        <v>0</v>
      </c>
      <c r="V125" s="735">
        <f t="shared" si="64"/>
        <v>0</v>
      </c>
      <c r="W125" s="736">
        <f t="shared" si="65"/>
        <v>0</v>
      </c>
      <c r="X125" s="733">
        <f t="shared" si="66"/>
        <v>0</v>
      </c>
      <c r="Y125" s="737">
        <f t="shared" si="67"/>
        <v>0</v>
      </c>
      <c r="Z125" s="738">
        <f t="shared" si="68"/>
        <v>0</v>
      </c>
      <c r="AA125" s="280"/>
    </row>
    <row r="126" spans="1:27" ht="15">
      <c r="A126" s="484">
        <f t="shared" si="25"/>
        <v>126</v>
      </c>
      <c r="B126" s="96"/>
      <c r="C126" s="94"/>
      <c r="D126" s="54" t="s">
        <v>62</v>
      </c>
      <c r="E126" s="50"/>
      <c r="F126" s="50"/>
      <c r="G126" s="59"/>
      <c r="H126" s="241"/>
      <c r="I126" s="666"/>
      <c r="J126" s="665"/>
      <c r="K126" s="745"/>
      <c r="L126" s="733">
        <f t="shared" si="60"/>
        <v>0</v>
      </c>
      <c r="M126" s="663"/>
      <c r="N126" s="747"/>
      <c r="O126" s="733">
        <f t="shared" si="61"/>
        <v>0</v>
      </c>
      <c r="P126" s="663"/>
      <c r="Q126" s="747"/>
      <c r="R126" s="733">
        <f t="shared" si="62"/>
        <v>0</v>
      </c>
      <c r="S126" s="663"/>
      <c r="T126" s="747"/>
      <c r="U126" s="734">
        <f t="shared" si="63"/>
        <v>0</v>
      </c>
      <c r="V126" s="735">
        <f t="shared" si="64"/>
        <v>0</v>
      </c>
      <c r="W126" s="736">
        <f t="shared" si="65"/>
        <v>0</v>
      </c>
      <c r="X126" s="733">
        <f t="shared" si="66"/>
        <v>0</v>
      </c>
      <c r="Y126" s="737">
        <f t="shared" si="67"/>
        <v>0</v>
      </c>
      <c r="Z126" s="738">
        <f t="shared" si="68"/>
        <v>0</v>
      </c>
      <c r="AA126" s="280"/>
    </row>
    <row r="127" spans="1:27" ht="15">
      <c r="A127" s="484">
        <f t="shared" si="25"/>
        <v>127</v>
      </c>
      <c r="B127" s="96"/>
      <c r="C127" s="94"/>
      <c r="D127" s="50" t="s">
        <v>53</v>
      </c>
      <c r="E127" s="50"/>
      <c r="F127" s="50"/>
      <c r="G127" s="59"/>
      <c r="H127" s="241"/>
      <c r="I127" s="666"/>
      <c r="J127" s="665"/>
      <c r="K127" s="745"/>
      <c r="L127" s="733">
        <f t="shared" si="60"/>
        <v>0</v>
      </c>
      <c r="M127" s="665"/>
      <c r="N127" s="747"/>
      <c r="O127" s="733">
        <f t="shared" si="61"/>
        <v>0</v>
      </c>
      <c r="P127" s="665"/>
      <c r="Q127" s="747"/>
      <c r="R127" s="733">
        <f t="shared" si="62"/>
        <v>0</v>
      </c>
      <c r="S127" s="663"/>
      <c r="T127" s="747"/>
      <c r="U127" s="734">
        <f t="shared" si="63"/>
        <v>0</v>
      </c>
      <c r="V127" s="735">
        <f t="shared" si="64"/>
        <v>0</v>
      </c>
      <c r="W127" s="736">
        <f t="shared" si="65"/>
        <v>0</v>
      </c>
      <c r="X127" s="733">
        <f t="shared" si="66"/>
        <v>0</v>
      </c>
      <c r="Y127" s="737">
        <f t="shared" si="67"/>
        <v>0</v>
      </c>
      <c r="Z127" s="738">
        <f t="shared" si="68"/>
        <v>0</v>
      </c>
      <c r="AA127" s="280"/>
    </row>
    <row r="128" spans="1:27" ht="15">
      <c r="A128" s="484">
        <f t="shared" si="25"/>
        <v>128</v>
      </c>
      <c r="B128" s="96"/>
      <c r="C128" s="94"/>
      <c r="D128" s="54" t="s">
        <v>60</v>
      </c>
      <c r="E128" s="50"/>
      <c r="F128" s="50"/>
      <c r="G128" s="59"/>
      <c r="H128" s="241"/>
      <c r="I128" s="666"/>
      <c r="J128" s="665"/>
      <c r="K128" s="745"/>
      <c r="L128" s="733">
        <f t="shared" si="60"/>
        <v>0</v>
      </c>
      <c r="M128" s="663"/>
      <c r="N128" s="747"/>
      <c r="O128" s="733">
        <f t="shared" si="61"/>
        <v>0</v>
      </c>
      <c r="P128" s="663"/>
      <c r="Q128" s="747"/>
      <c r="R128" s="733">
        <f t="shared" si="62"/>
        <v>0</v>
      </c>
      <c r="S128" s="663"/>
      <c r="T128" s="747"/>
      <c r="U128" s="734">
        <f t="shared" si="63"/>
        <v>0</v>
      </c>
      <c r="V128" s="735">
        <f t="shared" si="64"/>
        <v>0</v>
      </c>
      <c r="W128" s="736">
        <f t="shared" si="65"/>
        <v>0</v>
      </c>
      <c r="X128" s="733">
        <f t="shared" si="66"/>
        <v>0</v>
      </c>
      <c r="Y128" s="737">
        <f t="shared" si="67"/>
        <v>0</v>
      </c>
      <c r="Z128" s="738">
        <f t="shared" si="68"/>
        <v>0</v>
      </c>
      <c r="AA128" s="280"/>
    </row>
    <row r="129" spans="1:27" ht="15">
      <c r="A129" s="484">
        <f t="shared" si="25"/>
        <v>129</v>
      </c>
      <c r="B129" s="96"/>
      <c r="C129" s="94"/>
      <c r="D129" s="54" t="s">
        <v>2</v>
      </c>
      <c r="E129" s="50"/>
      <c r="F129" s="50"/>
      <c r="G129" s="59"/>
      <c r="H129" s="241"/>
      <c r="I129" s="666"/>
      <c r="J129" s="665"/>
      <c r="K129" s="745"/>
      <c r="L129" s="733">
        <f t="shared" si="60"/>
        <v>0</v>
      </c>
      <c r="M129" s="663"/>
      <c r="N129" s="747"/>
      <c r="O129" s="733">
        <f t="shared" si="61"/>
        <v>0</v>
      </c>
      <c r="P129" s="663"/>
      <c r="Q129" s="747"/>
      <c r="R129" s="733">
        <f t="shared" si="62"/>
        <v>0</v>
      </c>
      <c r="S129" s="663"/>
      <c r="T129" s="747"/>
      <c r="U129" s="734">
        <f t="shared" si="63"/>
        <v>0</v>
      </c>
      <c r="V129" s="735">
        <f t="shared" si="64"/>
        <v>0</v>
      </c>
      <c r="W129" s="736">
        <f t="shared" si="65"/>
        <v>0</v>
      </c>
      <c r="X129" s="733">
        <f t="shared" si="66"/>
        <v>0</v>
      </c>
      <c r="Y129" s="737">
        <f t="shared" si="67"/>
        <v>0</v>
      </c>
      <c r="Z129" s="738">
        <f t="shared" si="68"/>
        <v>0</v>
      </c>
      <c r="AA129" s="280"/>
    </row>
    <row r="130" spans="1:27" ht="15">
      <c r="A130" s="484">
        <f t="shared" si="25"/>
        <v>130</v>
      </c>
      <c r="B130" s="96"/>
      <c r="C130" s="94"/>
      <c r="D130" s="54" t="s">
        <v>19</v>
      </c>
      <c r="E130" s="50"/>
      <c r="F130" s="50"/>
      <c r="G130" s="59"/>
      <c r="H130" s="241"/>
      <c r="I130" s="666"/>
      <c r="J130" s="665"/>
      <c r="K130" s="745"/>
      <c r="L130" s="733">
        <f t="shared" si="60"/>
        <v>0</v>
      </c>
      <c r="M130" s="663"/>
      <c r="N130" s="747"/>
      <c r="O130" s="733">
        <f t="shared" si="61"/>
        <v>0</v>
      </c>
      <c r="P130" s="663"/>
      <c r="Q130" s="747"/>
      <c r="R130" s="733">
        <f t="shared" si="62"/>
        <v>0</v>
      </c>
      <c r="S130" s="663"/>
      <c r="T130" s="747"/>
      <c r="U130" s="734">
        <f t="shared" si="63"/>
        <v>0</v>
      </c>
      <c r="V130" s="735">
        <f t="shared" si="64"/>
        <v>0</v>
      </c>
      <c r="W130" s="736">
        <f t="shared" si="65"/>
        <v>0</v>
      </c>
      <c r="X130" s="733">
        <f t="shared" si="66"/>
        <v>0</v>
      </c>
      <c r="Y130" s="737">
        <f t="shared" si="67"/>
        <v>0</v>
      </c>
      <c r="Z130" s="738">
        <f t="shared" si="68"/>
        <v>0</v>
      </c>
      <c r="AA130" s="280"/>
    </row>
    <row r="131" spans="1:27" ht="15">
      <c r="A131" s="484">
        <f t="shared" ref="A131:A181" si="69">A130+1</f>
        <v>131</v>
      </c>
      <c r="B131" s="96"/>
      <c r="C131" s="94"/>
      <c r="D131" s="54" t="s">
        <v>63</v>
      </c>
      <c r="E131" s="50"/>
      <c r="F131" s="50"/>
      <c r="G131" s="59"/>
      <c r="H131" s="241"/>
      <c r="I131" s="666"/>
      <c r="J131" s="665"/>
      <c r="K131" s="745"/>
      <c r="L131" s="733">
        <f t="shared" si="60"/>
        <v>0</v>
      </c>
      <c r="M131" s="663"/>
      <c r="N131" s="747"/>
      <c r="O131" s="733">
        <f t="shared" si="61"/>
        <v>0</v>
      </c>
      <c r="P131" s="663"/>
      <c r="Q131" s="747"/>
      <c r="R131" s="733">
        <f t="shared" si="62"/>
        <v>0</v>
      </c>
      <c r="S131" s="663"/>
      <c r="T131" s="747"/>
      <c r="U131" s="734">
        <f t="shared" si="63"/>
        <v>0</v>
      </c>
      <c r="V131" s="735">
        <f t="shared" si="64"/>
        <v>0</v>
      </c>
      <c r="W131" s="736">
        <f t="shared" si="65"/>
        <v>0</v>
      </c>
      <c r="X131" s="733">
        <f t="shared" si="66"/>
        <v>0</v>
      </c>
      <c r="Y131" s="737">
        <f t="shared" si="67"/>
        <v>0</v>
      </c>
      <c r="Z131" s="738">
        <f t="shared" si="68"/>
        <v>0</v>
      </c>
      <c r="AA131" s="280"/>
    </row>
    <row r="132" spans="1:27" ht="15">
      <c r="A132" s="484">
        <f t="shared" si="69"/>
        <v>132</v>
      </c>
      <c r="B132" s="96"/>
      <c r="C132" s="94"/>
      <c r="D132" s="50" t="s">
        <v>6</v>
      </c>
      <c r="E132" s="50"/>
      <c r="F132" s="50"/>
      <c r="G132" s="59"/>
      <c r="H132" s="241"/>
      <c r="I132" s="666"/>
      <c r="J132" s="665"/>
      <c r="K132" s="745"/>
      <c r="L132" s="733">
        <f t="shared" si="60"/>
        <v>0</v>
      </c>
      <c r="M132" s="663"/>
      <c r="N132" s="747"/>
      <c r="O132" s="733">
        <f t="shared" si="61"/>
        <v>0</v>
      </c>
      <c r="P132" s="663"/>
      <c r="Q132" s="747"/>
      <c r="R132" s="733">
        <f t="shared" si="62"/>
        <v>0</v>
      </c>
      <c r="S132" s="663"/>
      <c r="T132" s="747"/>
      <c r="U132" s="734">
        <f t="shared" si="63"/>
        <v>0</v>
      </c>
      <c r="V132" s="735">
        <f t="shared" si="64"/>
        <v>0</v>
      </c>
      <c r="W132" s="736">
        <f t="shared" si="65"/>
        <v>0</v>
      </c>
      <c r="X132" s="733">
        <f t="shared" si="66"/>
        <v>0</v>
      </c>
      <c r="Y132" s="737">
        <f t="shared" si="67"/>
        <v>0</v>
      </c>
      <c r="Z132" s="738">
        <f t="shared" si="68"/>
        <v>0</v>
      </c>
      <c r="AA132" s="280"/>
    </row>
    <row r="133" spans="1:27" ht="15">
      <c r="A133" s="484">
        <f t="shared" si="69"/>
        <v>133</v>
      </c>
      <c r="B133" s="96"/>
      <c r="C133" s="94"/>
      <c r="D133" s="50" t="s">
        <v>18</v>
      </c>
      <c r="E133" s="50"/>
      <c r="F133" s="50"/>
      <c r="G133" s="59"/>
      <c r="H133" s="241"/>
      <c r="I133" s="666"/>
      <c r="J133" s="665"/>
      <c r="K133" s="745"/>
      <c r="L133" s="733">
        <f t="shared" si="60"/>
        <v>0</v>
      </c>
      <c r="M133" s="663"/>
      <c r="N133" s="747"/>
      <c r="O133" s="733">
        <f t="shared" si="61"/>
        <v>0</v>
      </c>
      <c r="P133" s="663"/>
      <c r="Q133" s="747"/>
      <c r="R133" s="733">
        <f t="shared" si="62"/>
        <v>0</v>
      </c>
      <c r="S133" s="663"/>
      <c r="T133" s="747"/>
      <c r="U133" s="734">
        <f t="shared" si="63"/>
        <v>0</v>
      </c>
      <c r="V133" s="735">
        <f t="shared" si="64"/>
        <v>0</v>
      </c>
      <c r="W133" s="736">
        <f t="shared" si="65"/>
        <v>0</v>
      </c>
      <c r="X133" s="733">
        <f t="shared" si="66"/>
        <v>0</v>
      </c>
      <c r="Y133" s="737">
        <f t="shared" si="67"/>
        <v>0</v>
      </c>
      <c r="Z133" s="738">
        <f t="shared" si="68"/>
        <v>0</v>
      </c>
      <c r="AA133" s="280"/>
    </row>
    <row r="134" spans="1:27" ht="15">
      <c r="A134" s="484">
        <f t="shared" si="69"/>
        <v>134</v>
      </c>
      <c r="B134" s="96"/>
      <c r="C134" s="94"/>
      <c r="D134" s="54" t="s">
        <v>8</v>
      </c>
      <c r="E134" s="50"/>
      <c r="F134" s="50"/>
      <c r="G134" s="59"/>
      <c r="H134" s="241"/>
      <c r="I134" s="666"/>
      <c r="J134" s="665"/>
      <c r="K134" s="745"/>
      <c r="L134" s="733">
        <f t="shared" si="60"/>
        <v>0</v>
      </c>
      <c r="M134" s="663"/>
      <c r="N134" s="747"/>
      <c r="O134" s="733">
        <f t="shared" si="61"/>
        <v>0</v>
      </c>
      <c r="P134" s="663"/>
      <c r="Q134" s="747"/>
      <c r="R134" s="733">
        <f t="shared" si="62"/>
        <v>0</v>
      </c>
      <c r="S134" s="663"/>
      <c r="T134" s="747"/>
      <c r="U134" s="734">
        <f t="shared" si="63"/>
        <v>0</v>
      </c>
      <c r="V134" s="735">
        <f t="shared" si="64"/>
        <v>0</v>
      </c>
      <c r="W134" s="736">
        <f t="shared" si="65"/>
        <v>0</v>
      </c>
      <c r="X134" s="733">
        <f t="shared" si="66"/>
        <v>0</v>
      </c>
      <c r="Y134" s="737">
        <f t="shared" si="67"/>
        <v>0</v>
      </c>
      <c r="Z134" s="738">
        <f t="shared" si="68"/>
        <v>0</v>
      </c>
      <c r="AA134" s="280"/>
    </row>
    <row r="135" spans="1:27" ht="15">
      <c r="A135" s="484">
        <f t="shared" si="69"/>
        <v>135</v>
      </c>
      <c r="B135" s="96"/>
      <c r="C135" s="94"/>
      <c r="D135" s="54" t="s">
        <v>59</v>
      </c>
      <c r="E135" s="50"/>
      <c r="F135" s="50"/>
      <c r="G135" s="59"/>
      <c r="H135" s="241"/>
      <c r="I135" s="666"/>
      <c r="J135" s="665"/>
      <c r="K135" s="745"/>
      <c r="L135" s="733">
        <f t="shared" si="60"/>
        <v>0</v>
      </c>
      <c r="M135" s="663"/>
      <c r="N135" s="747"/>
      <c r="O135" s="733">
        <f t="shared" si="61"/>
        <v>0</v>
      </c>
      <c r="P135" s="663"/>
      <c r="Q135" s="747"/>
      <c r="R135" s="733">
        <f t="shared" si="62"/>
        <v>0</v>
      </c>
      <c r="S135" s="663"/>
      <c r="T135" s="747"/>
      <c r="U135" s="734">
        <f t="shared" si="63"/>
        <v>0</v>
      </c>
      <c r="V135" s="735">
        <f t="shared" si="64"/>
        <v>0</v>
      </c>
      <c r="W135" s="736">
        <f t="shared" si="65"/>
        <v>0</v>
      </c>
      <c r="X135" s="733">
        <f t="shared" si="66"/>
        <v>0</v>
      </c>
      <c r="Y135" s="737">
        <f t="shared" si="67"/>
        <v>0</v>
      </c>
      <c r="Z135" s="738">
        <f t="shared" si="68"/>
        <v>0</v>
      </c>
      <c r="AA135" s="280"/>
    </row>
    <row r="136" spans="1:27" ht="15">
      <c r="A136" s="484">
        <f t="shared" si="69"/>
        <v>136</v>
      </c>
      <c r="B136" s="96"/>
      <c r="C136" s="94"/>
      <c r="D136" s="54" t="s">
        <v>74</v>
      </c>
      <c r="E136" s="50"/>
      <c r="F136" s="50"/>
      <c r="G136" s="59"/>
      <c r="H136" s="241"/>
      <c r="I136" s="666"/>
      <c r="J136" s="665"/>
      <c r="K136" s="745"/>
      <c r="L136" s="733">
        <f t="shared" si="60"/>
        <v>0</v>
      </c>
      <c r="M136" s="665"/>
      <c r="N136" s="747"/>
      <c r="O136" s="733">
        <f t="shared" si="61"/>
        <v>0</v>
      </c>
      <c r="P136" s="665"/>
      <c r="Q136" s="747"/>
      <c r="R136" s="733">
        <f t="shared" si="62"/>
        <v>0</v>
      </c>
      <c r="S136" s="665"/>
      <c r="T136" s="747"/>
      <c r="U136" s="734">
        <f t="shared" si="63"/>
        <v>0</v>
      </c>
      <c r="V136" s="735">
        <f t="shared" si="64"/>
        <v>0</v>
      </c>
      <c r="W136" s="736">
        <f t="shared" si="65"/>
        <v>0</v>
      </c>
      <c r="X136" s="733">
        <f t="shared" si="66"/>
        <v>0</v>
      </c>
      <c r="Y136" s="737">
        <f t="shared" si="67"/>
        <v>0</v>
      </c>
      <c r="Z136" s="738">
        <f t="shared" si="68"/>
        <v>0</v>
      </c>
      <c r="AA136" s="280"/>
    </row>
    <row r="137" spans="1:27" ht="15">
      <c r="A137" s="484">
        <f t="shared" si="69"/>
        <v>137</v>
      </c>
      <c r="B137" s="96"/>
      <c r="C137" s="94"/>
      <c r="D137" s="54" t="s">
        <v>61</v>
      </c>
      <c r="E137" s="50"/>
      <c r="F137" s="50"/>
      <c r="G137" s="59"/>
      <c r="H137" s="241"/>
      <c r="I137" s="666"/>
      <c r="J137" s="665"/>
      <c r="K137" s="745"/>
      <c r="L137" s="733">
        <f t="shared" si="60"/>
        <v>0</v>
      </c>
      <c r="M137" s="746"/>
      <c r="N137" s="747"/>
      <c r="O137" s="733">
        <f t="shared" si="61"/>
        <v>0</v>
      </c>
      <c r="P137" s="746"/>
      <c r="Q137" s="747"/>
      <c r="R137" s="733">
        <f t="shared" si="62"/>
        <v>0</v>
      </c>
      <c r="S137" s="746"/>
      <c r="T137" s="747"/>
      <c r="U137" s="734">
        <f t="shared" si="63"/>
        <v>0</v>
      </c>
      <c r="V137" s="735">
        <f t="shared" si="64"/>
        <v>0</v>
      </c>
      <c r="W137" s="736">
        <f t="shared" si="65"/>
        <v>0</v>
      </c>
      <c r="X137" s="733">
        <f t="shared" si="66"/>
        <v>0</v>
      </c>
      <c r="Y137" s="737">
        <f t="shared" si="67"/>
        <v>0</v>
      </c>
      <c r="Z137" s="738">
        <f t="shared" si="68"/>
        <v>0</v>
      </c>
      <c r="AA137" s="280"/>
    </row>
    <row r="138" spans="1:27" ht="15">
      <c r="A138" s="484">
        <f t="shared" si="69"/>
        <v>138</v>
      </c>
      <c r="B138" s="96"/>
      <c r="C138" s="94"/>
      <c r="D138" s="54" t="s">
        <v>41</v>
      </c>
      <c r="E138" s="50"/>
      <c r="F138" s="50"/>
      <c r="G138" s="59"/>
      <c r="H138" s="241"/>
      <c r="I138" s="739"/>
      <c r="J138" s="744"/>
      <c r="K138" s="745"/>
      <c r="L138" s="733">
        <f t="shared" si="60"/>
        <v>0</v>
      </c>
      <c r="M138" s="746"/>
      <c r="N138" s="747"/>
      <c r="O138" s="733">
        <f t="shared" si="61"/>
        <v>0</v>
      </c>
      <c r="P138" s="746"/>
      <c r="Q138" s="747"/>
      <c r="R138" s="733">
        <f t="shared" si="62"/>
        <v>0</v>
      </c>
      <c r="S138" s="746"/>
      <c r="T138" s="747"/>
      <c r="U138" s="734">
        <f t="shared" si="63"/>
        <v>0</v>
      </c>
      <c r="V138" s="735">
        <f t="shared" si="64"/>
        <v>0</v>
      </c>
      <c r="W138" s="736">
        <f t="shared" si="65"/>
        <v>0</v>
      </c>
      <c r="X138" s="733">
        <f t="shared" si="66"/>
        <v>0</v>
      </c>
      <c r="Y138" s="737">
        <f t="shared" si="67"/>
        <v>0</v>
      </c>
      <c r="Z138" s="738">
        <f t="shared" si="68"/>
        <v>0</v>
      </c>
      <c r="AA138" s="280"/>
    </row>
    <row r="139" spans="1:27" ht="16.8">
      <c r="A139" s="484">
        <f t="shared" si="69"/>
        <v>139</v>
      </c>
      <c r="B139" s="96"/>
      <c r="C139" s="94"/>
      <c r="D139" s="50" t="s">
        <v>29</v>
      </c>
      <c r="E139" s="50"/>
      <c r="F139" s="50"/>
      <c r="G139" s="59"/>
      <c r="H139" s="241"/>
      <c r="I139" s="750"/>
      <c r="J139" s="751"/>
      <c r="K139" s="752"/>
      <c r="L139" s="753">
        <f t="shared" si="60"/>
        <v>0</v>
      </c>
      <c r="M139" s="751"/>
      <c r="N139" s="755"/>
      <c r="O139" s="753">
        <f t="shared" si="61"/>
        <v>0</v>
      </c>
      <c r="P139" s="751"/>
      <c r="Q139" s="755"/>
      <c r="R139" s="753">
        <f t="shared" si="62"/>
        <v>0</v>
      </c>
      <c r="S139" s="751"/>
      <c r="T139" s="755"/>
      <c r="U139" s="756">
        <f t="shared" si="63"/>
        <v>0</v>
      </c>
      <c r="V139" s="757">
        <f t="shared" si="64"/>
        <v>0</v>
      </c>
      <c r="W139" s="758">
        <f t="shared" si="65"/>
        <v>0</v>
      </c>
      <c r="X139" s="753">
        <f t="shared" si="66"/>
        <v>0</v>
      </c>
      <c r="Y139" s="759">
        <f t="shared" si="67"/>
        <v>0</v>
      </c>
      <c r="Z139" s="760">
        <f t="shared" si="68"/>
        <v>0</v>
      </c>
      <c r="AA139" s="280"/>
    </row>
    <row r="140" spans="1:27" ht="15">
      <c r="A140" s="484">
        <f t="shared" si="69"/>
        <v>140</v>
      </c>
      <c r="B140" s="96"/>
      <c r="C140" s="55" t="s">
        <v>88</v>
      </c>
      <c r="D140" s="50"/>
      <c r="E140" s="50"/>
      <c r="F140" s="50"/>
      <c r="G140" s="59"/>
      <c r="H140" s="241"/>
      <c r="I140" s="748">
        <f t="shared" ref="I140:Z140" si="70">SUM(I120:I139)</f>
        <v>0</v>
      </c>
      <c r="J140" s="731">
        <f t="shared" si="70"/>
        <v>0</v>
      </c>
      <c r="K140" s="741">
        <f t="shared" si="70"/>
        <v>0</v>
      </c>
      <c r="L140" s="741">
        <f t="shared" si="70"/>
        <v>0</v>
      </c>
      <c r="M140" s="731">
        <f t="shared" si="70"/>
        <v>0</v>
      </c>
      <c r="N140" s="741">
        <f t="shared" si="70"/>
        <v>0</v>
      </c>
      <c r="O140" s="741">
        <f t="shared" si="70"/>
        <v>0</v>
      </c>
      <c r="P140" s="731">
        <f t="shared" si="70"/>
        <v>0</v>
      </c>
      <c r="Q140" s="741">
        <f t="shared" si="70"/>
        <v>0</v>
      </c>
      <c r="R140" s="741">
        <f t="shared" si="70"/>
        <v>0</v>
      </c>
      <c r="S140" s="731">
        <f t="shared" si="70"/>
        <v>0</v>
      </c>
      <c r="T140" s="741">
        <f t="shared" si="70"/>
        <v>0</v>
      </c>
      <c r="U140" s="742">
        <f t="shared" si="70"/>
        <v>0</v>
      </c>
      <c r="V140" s="735">
        <f t="shared" si="70"/>
        <v>0</v>
      </c>
      <c r="W140" s="741">
        <f t="shared" si="70"/>
        <v>0</v>
      </c>
      <c r="X140" s="743">
        <f t="shared" si="70"/>
        <v>0</v>
      </c>
      <c r="Y140" s="737">
        <f t="shared" si="70"/>
        <v>0</v>
      </c>
      <c r="Z140" s="738">
        <f t="shared" si="70"/>
        <v>0</v>
      </c>
      <c r="AA140" s="280"/>
    </row>
    <row r="141" spans="1:27" ht="15">
      <c r="A141" s="484">
        <f t="shared" si="69"/>
        <v>141</v>
      </c>
      <c r="B141" s="96"/>
      <c r="C141" s="94"/>
      <c r="D141" s="120"/>
      <c r="E141" s="120"/>
      <c r="F141" s="120"/>
      <c r="G141" s="56"/>
      <c r="H141" s="241"/>
      <c r="I141" s="761"/>
      <c r="J141" s="761"/>
      <c r="K141" s="761"/>
      <c r="L141" s="761"/>
      <c r="M141" s="761"/>
      <c r="N141" s="761"/>
      <c r="O141" s="761"/>
      <c r="P141" s="761"/>
      <c r="Q141" s="761"/>
      <c r="R141" s="761"/>
      <c r="S141" s="761"/>
      <c r="T141" s="761"/>
      <c r="U141" s="762"/>
      <c r="V141" s="761"/>
      <c r="W141" s="761"/>
      <c r="X141" s="761"/>
      <c r="Y141" s="761"/>
      <c r="Z141" s="762"/>
      <c r="AA141" s="280"/>
    </row>
    <row r="142" spans="1:27" ht="15">
      <c r="A142" s="484">
        <f t="shared" si="69"/>
        <v>142</v>
      </c>
      <c r="B142" s="96"/>
      <c r="C142" s="119" t="s">
        <v>89</v>
      </c>
      <c r="D142" s="50"/>
      <c r="E142" s="123"/>
      <c r="F142" s="123"/>
      <c r="G142" s="124"/>
      <c r="H142" s="241"/>
      <c r="I142" s="98"/>
      <c r="J142" s="98"/>
      <c r="K142" s="98"/>
      <c r="L142" s="98"/>
      <c r="M142" s="98"/>
      <c r="N142" s="98"/>
      <c r="O142" s="98"/>
      <c r="P142" s="98"/>
      <c r="Q142" s="98"/>
      <c r="R142" s="98"/>
      <c r="S142" s="98"/>
      <c r="T142" s="98"/>
      <c r="U142" s="99"/>
      <c r="V142" s="98"/>
      <c r="W142" s="98"/>
      <c r="X142" s="98"/>
      <c r="Y142" s="98"/>
      <c r="Z142" s="99"/>
      <c r="AA142" s="280"/>
    </row>
    <row r="143" spans="1:27" ht="15">
      <c r="A143" s="484">
        <f t="shared" si="69"/>
        <v>143</v>
      </c>
      <c r="B143" s="96"/>
      <c r="C143" s="50"/>
      <c r="D143" s="54" t="s">
        <v>3</v>
      </c>
      <c r="E143" s="53"/>
      <c r="F143" s="53"/>
      <c r="G143" s="124"/>
      <c r="H143" s="241"/>
      <c r="I143" s="666"/>
      <c r="J143" s="665"/>
      <c r="K143" s="745"/>
      <c r="L143" s="733">
        <f t="shared" ref="L143:L149" si="71">IF(K$18&lt;&gt;0,J143-K143,0)</f>
        <v>0</v>
      </c>
      <c r="M143" s="663"/>
      <c r="N143" s="747"/>
      <c r="O143" s="733">
        <f t="shared" ref="O143:O149" si="72">IF(N$18&lt;&gt;0,M143-N143,0)</f>
        <v>0</v>
      </c>
      <c r="P143" s="663"/>
      <c r="Q143" s="747"/>
      <c r="R143" s="733">
        <f t="shared" ref="R143:R149" si="73">IF(Q$18&lt;&gt;0,P143-Q143,0)</f>
        <v>0</v>
      </c>
      <c r="S143" s="663"/>
      <c r="T143" s="747"/>
      <c r="U143" s="734">
        <f t="shared" ref="U143:U149" si="74">IF(T$18&lt;&gt;0,S143-T143,0)</f>
        <v>0</v>
      </c>
      <c r="V143" s="735">
        <f t="shared" ref="V143:V149" si="75">J143+M143+P143+S143</f>
        <v>0</v>
      </c>
      <c r="W143" s="736">
        <f t="shared" ref="W143:W149" si="76">SUM(IF(K$18&lt;&gt;0,K143,J143)+IF(N$18&lt;&gt;0,N143,M143)+IF(Q$18&lt;&gt;0,Q143,P143)+IF(T$18&lt;&gt;0,T143,S143))</f>
        <v>0</v>
      </c>
      <c r="X143" s="733">
        <f t="shared" ref="X143:X149" si="77">V143-W143</f>
        <v>0</v>
      </c>
      <c r="Y143" s="737">
        <f t="shared" ref="Y143:Y149" si="78">I143-V143</f>
        <v>0</v>
      </c>
      <c r="Z143" s="738">
        <f t="shared" ref="Z143:Z149" si="79">I143-W143</f>
        <v>0</v>
      </c>
      <c r="AA143" s="280"/>
    </row>
    <row r="144" spans="1:27" ht="15">
      <c r="A144" s="484">
        <f t="shared" si="69"/>
        <v>144</v>
      </c>
      <c r="B144" s="96"/>
      <c r="C144" s="50"/>
      <c r="D144" s="54" t="s">
        <v>4</v>
      </c>
      <c r="E144" s="53"/>
      <c r="F144" s="53"/>
      <c r="G144" s="124"/>
      <c r="H144" s="241"/>
      <c r="I144" s="666"/>
      <c r="J144" s="665"/>
      <c r="K144" s="745"/>
      <c r="L144" s="733">
        <f t="shared" si="71"/>
        <v>0</v>
      </c>
      <c r="M144" s="663"/>
      <c r="N144" s="747"/>
      <c r="O144" s="733">
        <f t="shared" si="72"/>
        <v>0</v>
      </c>
      <c r="P144" s="663"/>
      <c r="Q144" s="747"/>
      <c r="R144" s="733">
        <f t="shared" si="73"/>
        <v>0</v>
      </c>
      <c r="S144" s="663"/>
      <c r="T144" s="747"/>
      <c r="U144" s="734">
        <f t="shared" si="74"/>
        <v>0</v>
      </c>
      <c r="V144" s="735">
        <f t="shared" si="75"/>
        <v>0</v>
      </c>
      <c r="W144" s="736">
        <f t="shared" si="76"/>
        <v>0</v>
      </c>
      <c r="X144" s="733">
        <f t="shared" si="77"/>
        <v>0</v>
      </c>
      <c r="Y144" s="737">
        <f t="shared" si="78"/>
        <v>0</v>
      </c>
      <c r="Z144" s="738">
        <f t="shared" si="79"/>
        <v>0</v>
      </c>
      <c r="AA144" s="280"/>
    </row>
    <row r="145" spans="1:27" ht="15">
      <c r="A145" s="484">
        <f t="shared" si="69"/>
        <v>145</v>
      </c>
      <c r="B145" s="96"/>
      <c r="C145" s="50"/>
      <c r="D145" s="50" t="s">
        <v>351</v>
      </c>
      <c r="E145" s="53"/>
      <c r="F145" s="53"/>
      <c r="G145" s="124"/>
      <c r="H145" s="241"/>
      <c r="I145" s="666"/>
      <c r="J145" s="662"/>
      <c r="K145" s="745"/>
      <c r="L145" s="733">
        <f t="shared" si="71"/>
        <v>0</v>
      </c>
      <c r="M145" s="663"/>
      <c r="N145" s="747"/>
      <c r="O145" s="733">
        <f t="shared" si="72"/>
        <v>0</v>
      </c>
      <c r="P145" s="663"/>
      <c r="Q145" s="747"/>
      <c r="R145" s="733">
        <f t="shared" si="73"/>
        <v>0</v>
      </c>
      <c r="S145" s="663"/>
      <c r="T145" s="747"/>
      <c r="U145" s="734">
        <f t="shared" si="74"/>
        <v>0</v>
      </c>
      <c r="V145" s="735">
        <f t="shared" si="75"/>
        <v>0</v>
      </c>
      <c r="W145" s="736">
        <f t="shared" si="76"/>
        <v>0</v>
      </c>
      <c r="X145" s="733">
        <f t="shared" si="77"/>
        <v>0</v>
      </c>
      <c r="Y145" s="737">
        <f t="shared" si="78"/>
        <v>0</v>
      </c>
      <c r="Z145" s="738">
        <f t="shared" si="79"/>
        <v>0</v>
      </c>
      <c r="AA145" s="280"/>
    </row>
    <row r="146" spans="1:27" ht="15">
      <c r="A146" s="484">
        <f t="shared" si="69"/>
        <v>146</v>
      </c>
      <c r="B146" s="96"/>
      <c r="C146" s="50"/>
      <c r="D146" s="50" t="s">
        <v>54</v>
      </c>
      <c r="E146" s="53"/>
      <c r="F146" s="53"/>
      <c r="G146" s="124"/>
      <c r="H146" s="241"/>
      <c r="I146" s="666"/>
      <c r="J146" s="665"/>
      <c r="K146" s="745"/>
      <c r="L146" s="733">
        <f t="shared" si="71"/>
        <v>0</v>
      </c>
      <c r="M146" s="663"/>
      <c r="N146" s="747"/>
      <c r="O146" s="733">
        <f t="shared" si="72"/>
        <v>0</v>
      </c>
      <c r="P146" s="663"/>
      <c r="Q146" s="747"/>
      <c r="R146" s="733">
        <f t="shared" si="73"/>
        <v>0</v>
      </c>
      <c r="S146" s="663"/>
      <c r="T146" s="747"/>
      <c r="U146" s="734">
        <f t="shared" si="74"/>
        <v>0</v>
      </c>
      <c r="V146" s="735">
        <f t="shared" si="75"/>
        <v>0</v>
      </c>
      <c r="W146" s="736">
        <f t="shared" si="76"/>
        <v>0</v>
      </c>
      <c r="X146" s="733">
        <f t="shared" si="77"/>
        <v>0</v>
      </c>
      <c r="Y146" s="737">
        <f t="shared" si="78"/>
        <v>0</v>
      </c>
      <c r="Z146" s="738">
        <f t="shared" si="79"/>
        <v>0</v>
      </c>
      <c r="AA146" s="280"/>
    </row>
    <row r="147" spans="1:27" ht="15">
      <c r="A147" s="484">
        <f t="shared" si="69"/>
        <v>147</v>
      </c>
      <c r="B147" s="96"/>
      <c r="C147" s="50"/>
      <c r="D147" s="50" t="s">
        <v>56</v>
      </c>
      <c r="E147" s="53"/>
      <c r="F147" s="53"/>
      <c r="G147" s="124"/>
      <c r="H147" s="241"/>
      <c r="I147" s="666"/>
      <c r="J147" s="665"/>
      <c r="K147" s="745"/>
      <c r="L147" s="733">
        <f t="shared" si="71"/>
        <v>0</v>
      </c>
      <c r="M147" s="663"/>
      <c r="N147" s="747"/>
      <c r="O147" s="733">
        <f t="shared" si="72"/>
        <v>0</v>
      </c>
      <c r="P147" s="663"/>
      <c r="Q147" s="747"/>
      <c r="R147" s="733">
        <f t="shared" si="73"/>
        <v>0</v>
      </c>
      <c r="S147" s="663"/>
      <c r="T147" s="747"/>
      <c r="U147" s="734">
        <f t="shared" si="74"/>
        <v>0</v>
      </c>
      <c r="V147" s="735">
        <f t="shared" si="75"/>
        <v>0</v>
      </c>
      <c r="W147" s="736">
        <f t="shared" si="76"/>
        <v>0</v>
      </c>
      <c r="X147" s="733">
        <f t="shared" si="77"/>
        <v>0</v>
      </c>
      <c r="Y147" s="737">
        <f t="shared" si="78"/>
        <v>0</v>
      </c>
      <c r="Z147" s="738">
        <f t="shared" si="79"/>
        <v>0</v>
      </c>
      <c r="AA147" s="280"/>
    </row>
    <row r="148" spans="1:27" ht="15">
      <c r="A148" s="484">
        <f t="shared" si="69"/>
        <v>148</v>
      </c>
      <c r="B148" s="96"/>
      <c r="C148" s="50"/>
      <c r="D148" s="54" t="s">
        <v>7</v>
      </c>
      <c r="E148" s="53"/>
      <c r="F148" s="53"/>
      <c r="G148" s="124"/>
      <c r="H148" s="241"/>
      <c r="I148" s="739"/>
      <c r="J148" s="665"/>
      <c r="K148" s="745"/>
      <c r="L148" s="733">
        <f t="shared" si="71"/>
        <v>0</v>
      </c>
      <c r="M148" s="663"/>
      <c r="N148" s="747"/>
      <c r="O148" s="733">
        <f t="shared" si="72"/>
        <v>0</v>
      </c>
      <c r="P148" s="663"/>
      <c r="Q148" s="747"/>
      <c r="R148" s="733">
        <f t="shared" si="73"/>
        <v>0</v>
      </c>
      <c r="S148" s="663"/>
      <c r="T148" s="747"/>
      <c r="U148" s="734">
        <f t="shared" si="74"/>
        <v>0</v>
      </c>
      <c r="V148" s="735">
        <f t="shared" si="75"/>
        <v>0</v>
      </c>
      <c r="W148" s="736">
        <f t="shared" si="76"/>
        <v>0</v>
      </c>
      <c r="X148" s="733">
        <f t="shared" si="77"/>
        <v>0</v>
      </c>
      <c r="Y148" s="737">
        <f t="shared" si="78"/>
        <v>0</v>
      </c>
      <c r="Z148" s="738">
        <f t="shared" si="79"/>
        <v>0</v>
      </c>
      <c r="AA148" s="280"/>
    </row>
    <row r="149" spans="1:27" ht="16.8">
      <c r="A149" s="484">
        <f t="shared" si="69"/>
        <v>149</v>
      </c>
      <c r="B149" s="96"/>
      <c r="C149" s="50"/>
      <c r="D149" s="50" t="s">
        <v>9</v>
      </c>
      <c r="E149" s="53"/>
      <c r="F149" s="53"/>
      <c r="G149" s="124"/>
      <c r="H149" s="241"/>
      <c r="I149" s="750"/>
      <c r="J149" s="664"/>
      <c r="K149" s="752"/>
      <c r="L149" s="753">
        <f t="shared" si="71"/>
        <v>0</v>
      </c>
      <c r="M149" s="664"/>
      <c r="N149" s="755"/>
      <c r="O149" s="753">
        <f t="shared" si="72"/>
        <v>0</v>
      </c>
      <c r="P149" s="664"/>
      <c r="Q149" s="755"/>
      <c r="R149" s="753">
        <f t="shared" si="73"/>
        <v>0</v>
      </c>
      <c r="S149" s="664"/>
      <c r="T149" s="755"/>
      <c r="U149" s="756">
        <f t="shared" si="74"/>
        <v>0</v>
      </c>
      <c r="V149" s="757">
        <f t="shared" si="75"/>
        <v>0</v>
      </c>
      <c r="W149" s="758">
        <f t="shared" si="76"/>
        <v>0</v>
      </c>
      <c r="X149" s="753">
        <f t="shared" si="77"/>
        <v>0</v>
      </c>
      <c r="Y149" s="759">
        <f t="shared" si="78"/>
        <v>0</v>
      </c>
      <c r="Z149" s="760">
        <f t="shared" si="79"/>
        <v>0</v>
      </c>
      <c r="AA149" s="280"/>
    </row>
    <row r="150" spans="1:27" ht="15">
      <c r="A150" s="484">
        <f t="shared" si="69"/>
        <v>150</v>
      </c>
      <c r="B150" s="96"/>
      <c r="C150" s="120" t="s">
        <v>90</v>
      </c>
      <c r="D150" s="50"/>
      <c r="E150" s="123"/>
      <c r="F150" s="123"/>
      <c r="G150" s="124"/>
      <c r="H150" s="241"/>
      <c r="I150" s="748">
        <f t="shared" ref="I150:Z150" si="80">SUM(I143:I149)</f>
        <v>0</v>
      </c>
      <c r="J150" s="731">
        <f t="shared" si="80"/>
        <v>0</v>
      </c>
      <c r="K150" s="741">
        <f t="shared" si="80"/>
        <v>0</v>
      </c>
      <c r="L150" s="741">
        <f t="shared" si="80"/>
        <v>0</v>
      </c>
      <c r="M150" s="731">
        <f t="shared" si="80"/>
        <v>0</v>
      </c>
      <c r="N150" s="741">
        <f t="shared" si="80"/>
        <v>0</v>
      </c>
      <c r="O150" s="741">
        <f t="shared" si="80"/>
        <v>0</v>
      </c>
      <c r="P150" s="731">
        <f t="shared" si="80"/>
        <v>0</v>
      </c>
      <c r="Q150" s="741">
        <f t="shared" si="80"/>
        <v>0</v>
      </c>
      <c r="R150" s="741">
        <f t="shared" si="80"/>
        <v>0</v>
      </c>
      <c r="S150" s="731">
        <f t="shared" si="80"/>
        <v>0</v>
      </c>
      <c r="T150" s="741">
        <f t="shared" si="80"/>
        <v>0</v>
      </c>
      <c r="U150" s="742">
        <f t="shared" si="80"/>
        <v>0</v>
      </c>
      <c r="V150" s="735">
        <f t="shared" si="80"/>
        <v>0</v>
      </c>
      <c r="W150" s="741">
        <f t="shared" si="80"/>
        <v>0</v>
      </c>
      <c r="X150" s="743">
        <f t="shared" si="80"/>
        <v>0</v>
      </c>
      <c r="Y150" s="737">
        <f t="shared" si="80"/>
        <v>0</v>
      </c>
      <c r="Z150" s="738">
        <f t="shared" si="80"/>
        <v>0</v>
      </c>
      <c r="AA150" s="280"/>
    </row>
    <row r="151" spans="1:27" ht="15">
      <c r="A151" s="484">
        <f t="shared" si="69"/>
        <v>151</v>
      </c>
      <c r="B151" s="96"/>
      <c r="C151" s="119"/>
      <c r="D151" s="50"/>
      <c r="E151" s="123"/>
      <c r="F151" s="123"/>
      <c r="G151" s="124"/>
      <c r="H151" s="241"/>
      <c r="I151" s="748"/>
      <c r="J151" s="748"/>
      <c r="K151" s="748"/>
      <c r="L151" s="748"/>
      <c r="M151" s="748"/>
      <c r="N151" s="748"/>
      <c r="O151" s="748"/>
      <c r="P151" s="748"/>
      <c r="Q151" s="748"/>
      <c r="R151" s="748"/>
      <c r="S151" s="748"/>
      <c r="T151" s="748"/>
      <c r="U151" s="738"/>
      <c r="V151" s="748"/>
      <c r="W151" s="748"/>
      <c r="X151" s="748"/>
      <c r="Y151" s="748"/>
      <c r="Z151" s="738"/>
      <c r="AA151" s="280"/>
    </row>
    <row r="152" spans="1:27" ht="15">
      <c r="A152" s="484">
        <f t="shared" si="69"/>
        <v>152</v>
      </c>
      <c r="B152" s="96"/>
      <c r="C152" s="119" t="s">
        <v>91</v>
      </c>
      <c r="D152" s="50"/>
      <c r="E152" s="123"/>
      <c r="F152" s="123"/>
      <c r="G152" s="124"/>
      <c r="H152" s="241"/>
      <c r="I152" s="666"/>
      <c r="J152" s="665"/>
      <c r="K152" s="745"/>
      <c r="L152" s="733">
        <f>IF(K$18&lt;&gt;0,J152-K152,0)</f>
        <v>0</v>
      </c>
      <c r="M152" s="746"/>
      <c r="N152" s="747"/>
      <c r="O152" s="733">
        <f>IF(N$18&lt;&gt;0,M152-N152,0)</f>
        <v>0</v>
      </c>
      <c r="P152" s="746"/>
      <c r="Q152" s="747"/>
      <c r="R152" s="733">
        <f>IF(Q$18&lt;&gt;0,P152-Q152,0)</f>
        <v>0</v>
      </c>
      <c r="S152" s="746"/>
      <c r="T152" s="747"/>
      <c r="U152" s="734">
        <f>IF(T$18&lt;&gt;0,S152-T152,0)</f>
        <v>0</v>
      </c>
      <c r="V152" s="735">
        <f>J152+M152+P152+S152</f>
        <v>0</v>
      </c>
      <c r="W152" s="736">
        <f>SUM(IF(K$18&lt;&gt;0,K152,J152)+IF(N$18&lt;&gt;0,N152,M152)+IF(Q$18&lt;&gt;0,Q152,P152)+IF(T$18&lt;&gt;0,T152,S152))</f>
        <v>0</v>
      </c>
      <c r="X152" s="733">
        <f>V152-W152</f>
        <v>0</v>
      </c>
      <c r="Y152" s="737">
        <f>I152-V152</f>
        <v>0</v>
      </c>
      <c r="Z152" s="738">
        <f>I152-W152</f>
        <v>0</v>
      </c>
      <c r="AA152" s="280"/>
    </row>
    <row r="153" spans="1:27" ht="15">
      <c r="A153" s="484">
        <f t="shared" si="69"/>
        <v>153</v>
      </c>
      <c r="B153" s="96"/>
      <c r="C153" s="119" t="s">
        <v>241</v>
      </c>
      <c r="D153" s="50"/>
      <c r="E153" s="123"/>
      <c r="F153" s="123"/>
      <c r="G153" s="124"/>
      <c r="H153" s="241"/>
      <c r="I153" s="666"/>
      <c r="J153" s="665"/>
      <c r="K153" s="745"/>
      <c r="L153" s="733">
        <f>IF(K$18&lt;&gt;0,J153-K153,0)</f>
        <v>0</v>
      </c>
      <c r="M153" s="746"/>
      <c r="N153" s="747"/>
      <c r="O153" s="733">
        <f>IF(N$18&lt;&gt;0,M153-N153,0)</f>
        <v>0</v>
      </c>
      <c r="P153" s="746"/>
      <c r="Q153" s="747"/>
      <c r="R153" s="733">
        <f>IF(Q$18&lt;&gt;0,P153-Q153,0)</f>
        <v>0</v>
      </c>
      <c r="S153" s="746"/>
      <c r="T153" s="747"/>
      <c r="U153" s="734">
        <f>IF(T$18&lt;&gt;0,S153-T153,0)</f>
        <v>0</v>
      </c>
      <c r="V153" s="735">
        <f>J153+M153+P153+S153</f>
        <v>0</v>
      </c>
      <c r="W153" s="736">
        <f>SUM(IF(K$18&lt;&gt;0,K153,J153)+IF(N$18&lt;&gt;0,N153,M153)+IF(Q$18&lt;&gt;0,Q153,P153)+IF(T$18&lt;&gt;0,T153,S153))</f>
        <v>0</v>
      </c>
      <c r="X153" s="733">
        <f>V153-W153</f>
        <v>0</v>
      </c>
      <c r="Y153" s="737">
        <f>I153-V153</f>
        <v>0</v>
      </c>
      <c r="Z153" s="738">
        <f>I153-W153</f>
        <v>0</v>
      </c>
      <c r="AA153" s="280"/>
    </row>
    <row r="154" spans="1:27" ht="15">
      <c r="A154" s="484">
        <f t="shared" si="69"/>
        <v>154</v>
      </c>
      <c r="B154" s="96"/>
      <c r="C154" s="119"/>
      <c r="D154" s="50"/>
      <c r="E154" s="123"/>
      <c r="F154" s="123"/>
      <c r="G154" s="124"/>
      <c r="H154" s="241"/>
      <c r="I154" s="748"/>
      <c r="J154" s="748"/>
      <c r="K154" s="748"/>
      <c r="L154" s="748"/>
      <c r="M154" s="748"/>
      <c r="N154" s="748"/>
      <c r="O154" s="748"/>
      <c r="P154" s="748"/>
      <c r="Q154" s="748"/>
      <c r="R154" s="748"/>
      <c r="S154" s="748"/>
      <c r="T154" s="748"/>
      <c r="U154" s="738"/>
      <c r="V154" s="748"/>
      <c r="W154" s="748"/>
      <c r="X154" s="748"/>
      <c r="Y154" s="748"/>
      <c r="Z154" s="738"/>
      <c r="AA154" s="280"/>
    </row>
    <row r="155" spans="1:27" ht="16.8">
      <c r="A155" s="484">
        <f t="shared" si="69"/>
        <v>155</v>
      </c>
      <c r="B155" s="92" t="s">
        <v>55</v>
      </c>
      <c r="C155" s="93"/>
      <c r="D155" s="93"/>
      <c r="E155" s="94"/>
      <c r="F155" s="94"/>
      <c r="G155" s="57"/>
      <c r="H155" s="510"/>
      <c r="I155" s="791">
        <f t="shared" ref="I155:Z155" si="81">I105+I117+I140+I150+I152+I153</f>
        <v>0</v>
      </c>
      <c r="J155" s="792">
        <f t="shared" si="81"/>
        <v>0</v>
      </c>
      <c r="K155" s="793">
        <f t="shared" si="81"/>
        <v>0</v>
      </c>
      <c r="L155" s="793">
        <f t="shared" si="81"/>
        <v>0</v>
      </c>
      <c r="M155" s="792">
        <f t="shared" si="81"/>
        <v>0</v>
      </c>
      <c r="N155" s="793">
        <f t="shared" si="81"/>
        <v>0</v>
      </c>
      <c r="O155" s="793">
        <f t="shared" si="81"/>
        <v>0</v>
      </c>
      <c r="P155" s="792">
        <f t="shared" si="81"/>
        <v>0</v>
      </c>
      <c r="Q155" s="793">
        <f t="shared" si="81"/>
        <v>0</v>
      </c>
      <c r="R155" s="793">
        <f t="shared" si="81"/>
        <v>0</v>
      </c>
      <c r="S155" s="792">
        <f t="shared" si="81"/>
        <v>0</v>
      </c>
      <c r="T155" s="793">
        <f t="shared" si="81"/>
        <v>0</v>
      </c>
      <c r="U155" s="794">
        <f t="shared" si="81"/>
        <v>0</v>
      </c>
      <c r="V155" s="795">
        <f t="shared" si="81"/>
        <v>0</v>
      </c>
      <c r="W155" s="793">
        <f t="shared" si="81"/>
        <v>0</v>
      </c>
      <c r="X155" s="796">
        <f t="shared" si="81"/>
        <v>0</v>
      </c>
      <c r="Y155" s="797">
        <f t="shared" si="81"/>
        <v>0</v>
      </c>
      <c r="Z155" s="798">
        <f t="shared" si="81"/>
        <v>0</v>
      </c>
      <c r="AA155" s="280"/>
    </row>
    <row r="156" spans="1:27" ht="15">
      <c r="A156" s="484">
        <f t="shared" si="69"/>
        <v>156</v>
      </c>
      <c r="B156" s="96"/>
      <c r="C156" s="50"/>
      <c r="D156" s="50"/>
      <c r="E156" s="53"/>
      <c r="F156" s="53"/>
      <c r="G156" s="51"/>
      <c r="H156" s="241"/>
      <c r="I156" s="748"/>
      <c r="J156" s="748"/>
      <c r="K156" s="748"/>
      <c r="L156" s="748"/>
      <c r="M156" s="748"/>
      <c r="N156" s="748"/>
      <c r="O156" s="748"/>
      <c r="P156" s="748"/>
      <c r="Q156" s="748"/>
      <c r="R156" s="748"/>
      <c r="S156" s="748"/>
      <c r="T156" s="748"/>
      <c r="U156" s="738"/>
      <c r="V156" s="748"/>
      <c r="W156" s="748"/>
      <c r="X156" s="748"/>
      <c r="Y156" s="748"/>
      <c r="Z156" s="738"/>
      <c r="AA156" s="280"/>
    </row>
    <row r="157" spans="1:27" ht="17.399999999999999" thickBot="1">
      <c r="A157" s="484">
        <f t="shared" si="69"/>
        <v>157</v>
      </c>
      <c r="B157" s="125" t="s">
        <v>96</v>
      </c>
      <c r="C157" s="126"/>
      <c r="D157" s="126"/>
      <c r="E157" s="127"/>
      <c r="F157" s="127"/>
      <c r="G157" s="112"/>
      <c r="H157" s="511"/>
      <c r="I157" s="765">
        <f>I65-I155</f>
        <v>0</v>
      </c>
      <c r="J157" s="768">
        <f>J65-J155</f>
        <v>0</v>
      </c>
      <c r="K157" s="769">
        <f>K65-K155</f>
        <v>0</v>
      </c>
      <c r="L157" s="769">
        <f>L65+L155</f>
        <v>0</v>
      </c>
      <c r="M157" s="768">
        <f>M65-M155</f>
        <v>0</v>
      </c>
      <c r="N157" s="769">
        <f>N65-N155</f>
        <v>0</v>
      </c>
      <c r="O157" s="769">
        <f>O65+O155</f>
        <v>0</v>
      </c>
      <c r="P157" s="768">
        <f>P65-P155</f>
        <v>0</v>
      </c>
      <c r="Q157" s="769">
        <f>Q65-Q155</f>
        <v>0</v>
      </c>
      <c r="R157" s="769">
        <f>R65+R155</f>
        <v>0</v>
      </c>
      <c r="S157" s="768">
        <f>S65-S155</f>
        <v>0</v>
      </c>
      <c r="T157" s="769">
        <f>T65-T155</f>
        <v>0</v>
      </c>
      <c r="U157" s="799">
        <f>U65+U155</f>
        <v>0</v>
      </c>
      <c r="V157" s="800">
        <f>V65-V155</f>
        <v>0</v>
      </c>
      <c r="W157" s="769">
        <f>W65-W155</f>
        <v>0</v>
      </c>
      <c r="X157" s="801">
        <f>X65+X155</f>
        <v>0</v>
      </c>
      <c r="Y157" s="802">
        <f>Y65+Y155</f>
        <v>0</v>
      </c>
      <c r="Z157" s="803">
        <f>Z65+Z155</f>
        <v>0</v>
      </c>
      <c r="AA157" s="280"/>
    </row>
    <row r="158" spans="1:27" ht="18.600000000000001" thickTop="1">
      <c r="A158" s="484">
        <f t="shared" si="69"/>
        <v>158</v>
      </c>
      <c r="B158" s="258"/>
      <c r="C158" s="303"/>
      <c r="D158" s="303"/>
      <c r="E158" s="116"/>
      <c r="F158" s="116"/>
      <c r="G158" s="117"/>
      <c r="H158" s="512"/>
      <c r="I158" s="304"/>
      <c r="J158" s="304"/>
      <c r="K158" s="304"/>
      <c r="L158" s="304"/>
      <c r="M158" s="304"/>
      <c r="N158" s="304"/>
      <c r="O158" s="304"/>
      <c r="P158" s="304"/>
      <c r="Q158" s="304"/>
      <c r="R158" s="304"/>
      <c r="S158" s="304"/>
      <c r="T158" s="304"/>
      <c r="U158" s="499"/>
      <c r="V158" s="500"/>
      <c r="W158" s="305"/>
      <c r="X158" s="304"/>
      <c r="Y158" s="305"/>
      <c r="Z158" s="497"/>
      <c r="AA158" s="498"/>
    </row>
    <row r="159" spans="1:27" ht="15">
      <c r="A159" s="484">
        <f t="shared" si="69"/>
        <v>159</v>
      </c>
      <c r="B159" s="92" t="s">
        <v>92</v>
      </c>
      <c r="C159" s="82"/>
      <c r="D159" s="82"/>
      <c r="E159" s="94"/>
      <c r="F159" s="94"/>
      <c r="G159" s="57"/>
      <c r="H159" s="513"/>
      <c r="I159" s="128"/>
      <c r="J159" s="128"/>
      <c r="K159" s="128"/>
      <c r="L159" s="128"/>
      <c r="M159" s="128"/>
      <c r="N159" s="128"/>
      <c r="O159" s="128"/>
      <c r="P159" s="128"/>
      <c r="Q159" s="128"/>
      <c r="R159" s="128"/>
      <c r="S159" s="128"/>
      <c r="T159" s="128"/>
      <c r="U159" s="129"/>
      <c r="V159" s="155"/>
      <c r="W159" s="155"/>
      <c r="X159" s="128"/>
      <c r="Y159" s="155"/>
      <c r="Z159" s="580"/>
      <c r="AA159" s="280"/>
    </row>
    <row r="160" spans="1:27" s="570" customFormat="1" ht="15">
      <c r="A160" s="485">
        <f t="shared" si="69"/>
        <v>160</v>
      </c>
      <c r="B160" s="282"/>
      <c r="C160" s="93"/>
      <c r="D160" s="93" t="s">
        <v>340</v>
      </c>
      <c r="E160" s="97"/>
      <c r="F160" s="97"/>
      <c r="G160" s="56"/>
      <c r="H160" s="567"/>
      <c r="I160" s="804">
        <f>'2.) Enrollment'!E16</f>
        <v>0</v>
      </c>
      <c r="J160" s="805">
        <f>'2.) Enrollment'!G16</f>
        <v>0</v>
      </c>
      <c r="K160" s="805">
        <f>'2.) Enrollment'!H16</f>
        <v>0</v>
      </c>
      <c r="L160" s="733">
        <f t="shared" ref="L160:L176" si="82">IF(K$161&gt;0,K160-J160,0)</f>
        <v>0</v>
      </c>
      <c r="M160" s="806">
        <f>'2.) Enrollment'!I16</f>
        <v>0</v>
      </c>
      <c r="N160" s="806">
        <f>'2.) Enrollment'!J16</f>
        <v>0</v>
      </c>
      <c r="O160" s="733">
        <f t="shared" ref="O160:O176" si="83">IF(N$161&gt;0,N160-M160,0)</f>
        <v>0</v>
      </c>
      <c r="P160" s="731">
        <f>'2.) Enrollment'!K16</f>
        <v>0</v>
      </c>
      <c r="Q160" s="731">
        <f>'2.) Enrollment'!L16</f>
        <v>0</v>
      </c>
      <c r="R160" s="733">
        <f t="shared" ref="R160:R176" si="84">IF(Q$161&gt;0,Q160-P160,0)</f>
        <v>0</v>
      </c>
      <c r="S160" s="731">
        <f>'2.) Enrollment'!M16</f>
        <v>0</v>
      </c>
      <c r="T160" s="731">
        <f>'2.) Enrollment'!N16</f>
        <v>0</v>
      </c>
      <c r="U160" s="734">
        <f t="shared" ref="U160:U176" si="85">IF(T$161&gt;0,T160-S160,0)</f>
        <v>0</v>
      </c>
      <c r="V160" s="568"/>
      <c r="W160" s="568"/>
      <c r="X160" s="141"/>
      <c r="Y160" s="568"/>
      <c r="Z160" s="569"/>
      <c r="AA160" s="284"/>
    </row>
    <row r="161" spans="1:27" ht="15">
      <c r="A161" s="484">
        <f t="shared" si="69"/>
        <v>161</v>
      </c>
      <c r="B161" s="96"/>
      <c r="C161" s="50"/>
      <c r="D161" s="50"/>
      <c r="E161" s="82" t="str">
        <f t="shared" ref="E161:E176" si="86">E18</f>
        <v>-</v>
      </c>
      <c r="F161" s="82"/>
      <c r="G161" s="306">
        <f>(IF($K$161&gt;0,K161,J161)+IF($N$161&gt;0,N161,M161)+IF($Q$161&gt;0,Q161,P161)+IF($T$161&gt;0,T161,S161))/4</f>
        <v>0</v>
      </c>
      <c r="H161" s="514"/>
      <c r="I161" s="807">
        <f>'2.) Enrollment'!E22</f>
        <v>0</v>
      </c>
      <c r="J161" s="808">
        <f>'2.) Enrollment'!G22</f>
        <v>0</v>
      </c>
      <c r="K161" s="808">
        <f>'2.) Enrollment'!H22</f>
        <v>0</v>
      </c>
      <c r="L161" s="733">
        <f t="shared" si="82"/>
        <v>0</v>
      </c>
      <c r="M161" s="809">
        <f>'2.) Enrollment'!I22</f>
        <v>0</v>
      </c>
      <c r="N161" s="809">
        <f>'2.) Enrollment'!J22</f>
        <v>0</v>
      </c>
      <c r="O161" s="733">
        <f t="shared" si="83"/>
        <v>0</v>
      </c>
      <c r="P161" s="731">
        <f>'2.) Enrollment'!K22</f>
        <v>0</v>
      </c>
      <c r="Q161" s="731">
        <f>'2.) Enrollment'!L22</f>
        <v>0</v>
      </c>
      <c r="R161" s="733">
        <f t="shared" si="84"/>
        <v>0</v>
      </c>
      <c r="S161" s="731">
        <f>'2.) Enrollment'!M22</f>
        <v>0</v>
      </c>
      <c r="T161" s="731">
        <f>'2.) Enrollment'!N22</f>
        <v>0</v>
      </c>
      <c r="U161" s="734">
        <f t="shared" si="85"/>
        <v>0</v>
      </c>
      <c r="V161" s="95"/>
      <c r="W161" s="95"/>
      <c r="X161" s="95"/>
      <c r="Y161" s="95"/>
      <c r="Z161" s="118"/>
      <c r="AA161" s="280"/>
    </row>
    <row r="162" spans="1:27" ht="15">
      <c r="A162" s="484">
        <f t="shared" si="69"/>
        <v>162</v>
      </c>
      <c r="B162" s="96"/>
      <c r="C162" s="50"/>
      <c r="D162" s="50"/>
      <c r="E162" s="82" t="str">
        <f t="shared" si="86"/>
        <v>-</v>
      </c>
      <c r="F162" s="82"/>
      <c r="G162" s="306">
        <f t="shared" ref="G162:G176" si="87">(IF($K$161&gt;0,K162,J162)+IF($N$161&gt;0,N162,M162)+IF($Q$161&gt;0,Q162,P162)+IF($T$161&gt;0,T162,S162))/4</f>
        <v>0</v>
      </c>
      <c r="H162" s="514"/>
      <c r="I162" s="807">
        <f>'2.) Enrollment'!E23</f>
        <v>0</v>
      </c>
      <c r="J162" s="808">
        <f>'2.) Enrollment'!G23</f>
        <v>0</v>
      </c>
      <c r="K162" s="808">
        <f>'2.) Enrollment'!H23</f>
        <v>0</v>
      </c>
      <c r="L162" s="733">
        <f t="shared" si="82"/>
        <v>0</v>
      </c>
      <c r="M162" s="809">
        <f>'2.) Enrollment'!I23</f>
        <v>0</v>
      </c>
      <c r="N162" s="809">
        <f>'2.) Enrollment'!J23</f>
        <v>0</v>
      </c>
      <c r="O162" s="733">
        <f t="shared" si="83"/>
        <v>0</v>
      </c>
      <c r="P162" s="731">
        <f>'2.) Enrollment'!K23</f>
        <v>0</v>
      </c>
      <c r="Q162" s="731">
        <f>'2.) Enrollment'!L23</f>
        <v>0</v>
      </c>
      <c r="R162" s="733">
        <f t="shared" si="84"/>
        <v>0</v>
      </c>
      <c r="S162" s="731">
        <f>'2.) Enrollment'!M23</f>
        <v>0</v>
      </c>
      <c r="T162" s="731">
        <f>'2.) Enrollment'!N23</f>
        <v>0</v>
      </c>
      <c r="U162" s="734">
        <f t="shared" si="85"/>
        <v>0</v>
      </c>
      <c r="V162" s="95"/>
      <c r="W162" s="95"/>
      <c r="X162" s="95"/>
      <c r="Y162" s="95"/>
      <c r="Z162" s="118"/>
      <c r="AA162" s="280"/>
    </row>
    <row r="163" spans="1:27" ht="15">
      <c r="A163" s="484">
        <f t="shared" si="69"/>
        <v>163</v>
      </c>
      <c r="B163" s="96"/>
      <c r="C163" s="50"/>
      <c r="D163" s="50"/>
      <c r="E163" s="82" t="str">
        <f t="shared" si="86"/>
        <v>-</v>
      </c>
      <c r="F163" s="82"/>
      <c r="G163" s="306">
        <f t="shared" si="87"/>
        <v>0</v>
      </c>
      <c r="H163" s="514"/>
      <c r="I163" s="807">
        <f>'2.) Enrollment'!E24</f>
        <v>0</v>
      </c>
      <c r="J163" s="808">
        <f>'2.) Enrollment'!G24</f>
        <v>0</v>
      </c>
      <c r="K163" s="808">
        <f>'2.) Enrollment'!H24</f>
        <v>0</v>
      </c>
      <c r="L163" s="733">
        <f t="shared" si="82"/>
        <v>0</v>
      </c>
      <c r="M163" s="809">
        <f>'2.) Enrollment'!I24</f>
        <v>0</v>
      </c>
      <c r="N163" s="809">
        <f>'2.) Enrollment'!J24</f>
        <v>0</v>
      </c>
      <c r="O163" s="733">
        <f t="shared" si="83"/>
        <v>0</v>
      </c>
      <c r="P163" s="731">
        <f>'2.) Enrollment'!K24</f>
        <v>0</v>
      </c>
      <c r="Q163" s="731">
        <f>'2.) Enrollment'!L24</f>
        <v>0</v>
      </c>
      <c r="R163" s="733">
        <f t="shared" si="84"/>
        <v>0</v>
      </c>
      <c r="S163" s="731">
        <f>'2.) Enrollment'!M24</f>
        <v>0</v>
      </c>
      <c r="T163" s="731">
        <f>'2.) Enrollment'!N24</f>
        <v>0</v>
      </c>
      <c r="U163" s="734">
        <f t="shared" si="85"/>
        <v>0</v>
      </c>
      <c r="V163" s="95"/>
      <c r="W163" s="95"/>
      <c r="X163" s="95"/>
      <c r="Y163" s="95"/>
      <c r="Z163" s="118"/>
      <c r="AA163" s="280"/>
    </row>
    <row r="164" spans="1:27" ht="15">
      <c r="A164" s="484">
        <f t="shared" si="69"/>
        <v>164</v>
      </c>
      <c r="B164" s="96"/>
      <c r="C164" s="50"/>
      <c r="D164" s="50"/>
      <c r="E164" s="82" t="str">
        <f t="shared" si="86"/>
        <v>-</v>
      </c>
      <c r="F164" s="82"/>
      <c r="G164" s="306">
        <f t="shared" si="87"/>
        <v>0</v>
      </c>
      <c r="H164" s="514"/>
      <c r="I164" s="807">
        <f>'2.) Enrollment'!E25</f>
        <v>0</v>
      </c>
      <c r="J164" s="808">
        <f>'2.) Enrollment'!G25</f>
        <v>0</v>
      </c>
      <c r="K164" s="808">
        <f>'2.) Enrollment'!H25</f>
        <v>0</v>
      </c>
      <c r="L164" s="733">
        <f t="shared" si="82"/>
        <v>0</v>
      </c>
      <c r="M164" s="809">
        <f>'2.) Enrollment'!I25</f>
        <v>0</v>
      </c>
      <c r="N164" s="809">
        <f>'2.) Enrollment'!J25</f>
        <v>0</v>
      </c>
      <c r="O164" s="733">
        <f t="shared" si="83"/>
        <v>0</v>
      </c>
      <c r="P164" s="731">
        <f>'2.) Enrollment'!K25</f>
        <v>0</v>
      </c>
      <c r="Q164" s="731">
        <f>'2.) Enrollment'!L25</f>
        <v>0</v>
      </c>
      <c r="R164" s="733">
        <f t="shared" si="84"/>
        <v>0</v>
      </c>
      <c r="S164" s="731">
        <f>'2.) Enrollment'!M25</f>
        <v>0</v>
      </c>
      <c r="T164" s="731">
        <f>'2.) Enrollment'!N25</f>
        <v>0</v>
      </c>
      <c r="U164" s="734">
        <f t="shared" si="85"/>
        <v>0</v>
      </c>
      <c r="V164" s="95"/>
      <c r="W164" s="95"/>
      <c r="X164" s="95"/>
      <c r="Y164" s="95"/>
      <c r="Z164" s="118"/>
      <c r="AA164" s="280"/>
    </row>
    <row r="165" spans="1:27" ht="15">
      <c r="A165" s="484">
        <f t="shared" si="69"/>
        <v>165</v>
      </c>
      <c r="B165" s="96"/>
      <c r="C165" s="50"/>
      <c r="D165" s="50"/>
      <c r="E165" s="82" t="str">
        <f t="shared" si="86"/>
        <v>-</v>
      </c>
      <c r="F165" s="82"/>
      <c r="G165" s="306">
        <f t="shared" si="87"/>
        <v>0</v>
      </c>
      <c r="H165" s="514"/>
      <c r="I165" s="807">
        <f>'2.) Enrollment'!E26</f>
        <v>0</v>
      </c>
      <c r="J165" s="808">
        <f>'2.) Enrollment'!G26</f>
        <v>0</v>
      </c>
      <c r="K165" s="808">
        <f>'2.) Enrollment'!H26</f>
        <v>0</v>
      </c>
      <c r="L165" s="733">
        <f t="shared" si="82"/>
        <v>0</v>
      </c>
      <c r="M165" s="809">
        <f>'2.) Enrollment'!I26</f>
        <v>0</v>
      </c>
      <c r="N165" s="809">
        <f>'2.) Enrollment'!J26</f>
        <v>0</v>
      </c>
      <c r="O165" s="733">
        <f t="shared" si="83"/>
        <v>0</v>
      </c>
      <c r="P165" s="731">
        <f>'2.) Enrollment'!K26</f>
        <v>0</v>
      </c>
      <c r="Q165" s="731">
        <f>'2.) Enrollment'!L26</f>
        <v>0</v>
      </c>
      <c r="R165" s="733">
        <f t="shared" si="84"/>
        <v>0</v>
      </c>
      <c r="S165" s="731">
        <f>'2.) Enrollment'!M26</f>
        <v>0</v>
      </c>
      <c r="T165" s="731">
        <f>'2.) Enrollment'!N26</f>
        <v>0</v>
      </c>
      <c r="U165" s="734">
        <f t="shared" si="85"/>
        <v>0</v>
      </c>
      <c r="V165" s="95"/>
      <c r="W165" s="95"/>
      <c r="X165" s="95"/>
      <c r="Y165" s="95"/>
      <c r="Z165" s="118"/>
      <c r="AA165" s="280"/>
    </row>
    <row r="166" spans="1:27" ht="15">
      <c r="A166" s="484">
        <f t="shared" si="69"/>
        <v>166</v>
      </c>
      <c r="B166" s="96"/>
      <c r="C166" s="50"/>
      <c r="D166" s="50"/>
      <c r="E166" s="82" t="str">
        <f t="shared" si="86"/>
        <v>-</v>
      </c>
      <c r="F166" s="82"/>
      <c r="G166" s="306">
        <f t="shared" si="87"/>
        <v>0</v>
      </c>
      <c r="H166" s="514"/>
      <c r="I166" s="807">
        <f>'2.) Enrollment'!E27</f>
        <v>0</v>
      </c>
      <c r="J166" s="808">
        <f>'2.) Enrollment'!G27</f>
        <v>0</v>
      </c>
      <c r="K166" s="808">
        <f>'2.) Enrollment'!H27</f>
        <v>0</v>
      </c>
      <c r="L166" s="733">
        <f t="shared" si="82"/>
        <v>0</v>
      </c>
      <c r="M166" s="809">
        <f>'2.) Enrollment'!I27</f>
        <v>0</v>
      </c>
      <c r="N166" s="809">
        <f>'2.) Enrollment'!J27</f>
        <v>0</v>
      </c>
      <c r="O166" s="733">
        <f t="shared" si="83"/>
        <v>0</v>
      </c>
      <c r="P166" s="731">
        <f>'2.) Enrollment'!K27</f>
        <v>0</v>
      </c>
      <c r="Q166" s="731">
        <f>'2.) Enrollment'!L27</f>
        <v>0</v>
      </c>
      <c r="R166" s="733">
        <f t="shared" si="84"/>
        <v>0</v>
      </c>
      <c r="S166" s="731">
        <f>'2.) Enrollment'!M27</f>
        <v>0</v>
      </c>
      <c r="T166" s="731">
        <f>'2.) Enrollment'!N27</f>
        <v>0</v>
      </c>
      <c r="U166" s="734">
        <f t="shared" si="85"/>
        <v>0</v>
      </c>
      <c r="V166" s="95"/>
      <c r="W166" s="95"/>
      <c r="X166" s="95"/>
      <c r="Y166" s="95"/>
      <c r="Z166" s="118"/>
      <c r="AA166" s="280"/>
    </row>
    <row r="167" spans="1:27" ht="15">
      <c r="A167" s="484">
        <f t="shared" si="69"/>
        <v>167</v>
      </c>
      <c r="B167" s="96"/>
      <c r="C167" s="50"/>
      <c r="D167" s="50"/>
      <c r="E167" s="82" t="str">
        <f t="shared" si="86"/>
        <v>-</v>
      </c>
      <c r="F167" s="82"/>
      <c r="G167" s="306">
        <f t="shared" si="87"/>
        <v>0</v>
      </c>
      <c r="H167" s="514"/>
      <c r="I167" s="807">
        <f>'2.) Enrollment'!E28</f>
        <v>0</v>
      </c>
      <c r="J167" s="808">
        <f>'2.) Enrollment'!G28</f>
        <v>0</v>
      </c>
      <c r="K167" s="808">
        <f>'2.) Enrollment'!H28</f>
        <v>0</v>
      </c>
      <c r="L167" s="733">
        <f t="shared" si="82"/>
        <v>0</v>
      </c>
      <c r="M167" s="809">
        <f>'2.) Enrollment'!I28</f>
        <v>0</v>
      </c>
      <c r="N167" s="809">
        <f>'2.) Enrollment'!J28</f>
        <v>0</v>
      </c>
      <c r="O167" s="733">
        <f t="shared" si="83"/>
        <v>0</v>
      </c>
      <c r="P167" s="731">
        <f>'2.) Enrollment'!K28</f>
        <v>0</v>
      </c>
      <c r="Q167" s="731">
        <f>'2.) Enrollment'!L28</f>
        <v>0</v>
      </c>
      <c r="R167" s="733">
        <f t="shared" si="84"/>
        <v>0</v>
      </c>
      <c r="S167" s="731">
        <f>'2.) Enrollment'!M28</f>
        <v>0</v>
      </c>
      <c r="T167" s="731">
        <f>'2.) Enrollment'!N28</f>
        <v>0</v>
      </c>
      <c r="U167" s="734">
        <f t="shared" si="85"/>
        <v>0</v>
      </c>
      <c r="V167" s="95"/>
      <c r="W167" s="95"/>
      <c r="X167" s="95"/>
      <c r="Y167" s="95"/>
      <c r="Z167" s="118"/>
      <c r="AA167" s="280"/>
    </row>
    <row r="168" spans="1:27" ht="15">
      <c r="A168" s="484">
        <f t="shared" si="69"/>
        <v>168</v>
      </c>
      <c r="B168" s="96"/>
      <c r="C168" s="50"/>
      <c r="D168" s="50"/>
      <c r="E168" s="82" t="str">
        <f t="shared" si="86"/>
        <v>-</v>
      </c>
      <c r="F168" s="82"/>
      <c r="G168" s="306">
        <f t="shared" si="87"/>
        <v>0</v>
      </c>
      <c r="H168" s="514"/>
      <c r="I168" s="807">
        <f>'2.) Enrollment'!E29</f>
        <v>0</v>
      </c>
      <c r="J168" s="808">
        <f>'2.) Enrollment'!G29</f>
        <v>0</v>
      </c>
      <c r="K168" s="808">
        <f>'2.) Enrollment'!H29</f>
        <v>0</v>
      </c>
      <c r="L168" s="733">
        <f t="shared" si="82"/>
        <v>0</v>
      </c>
      <c r="M168" s="809">
        <f>'2.) Enrollment'!I29</f>
        <v>0</v>
      </c>
      <c r="N168" s="809">
        <f>'2.) Enrollment'!J29</f>
        <v>0</v>
      </c>
      <c r="O168" s="733">
        <f t="shared" si="83"/>
        <v>0</v>
      </c>
      <c r="P168" s="731">
        <f>'2.) Enrollment'!K29</f>
        <v>0</v>
      </c>
      <c r="Q168" s="731">
        <f>'2.) Enrollment'!L29</f>
        <v>0</v>
      </c>
      <c r="R168" s="733">
        <f t="shared" si="84"/>
        <v>0</v>
      </c>
      <c r="S168" s="731">
        <f>'2.) Enrollment'!M29</f>
        <v>0</v>
      </c>
      <c r="T168" s="731">
        <f>'2.) Enrollment'!N29</f>
        <v>0</v>
      </c>
      <c r="U168" s="734">
        <f t="shared" si="85"/>
        <v>0</v>
      </c>
      <c r="V168" s="95"/>
      <c r="W168" s="95"/>
      <c r="X168" s="95"/>
      <c r="Y168" s="95"/>
      <c r="Z168" s="118"/>
      <c r="AA168" s="280"/>
    </row>
    <row r="169" spans="1:27" ht="15">
      <c r="A169" s="484">
        <f t="shared" si="69"/>
        <v>169</v>
      </c>
      <c r="B169" s="96"/>
      <c r="C169" s="50"/>
      <c r="D169" s="50"/>
      <c r="E169" s="82" t="str">
        <f t="shared" si="86"/>
        <v>-</v>
      </c>
      <c r="F169" s="82"/>
      <c r="G169" s="306">
        <f t="shared" si="87"/>
        <v>0</v>
      </c>
      <c r="H169" s="514"/>
      <c r="I169" s="807">
        <f>'2.) Enrollment'!E30</f>
        <v>0</v>
      </c>
      <c r="J169" s="808">
        <f>'2.) Enrollment'!G30</f>
        <v>0</v>
      </c>
      <c r="K169" s="808">
        <f>'2.) Enrollment'!H30</f>
        <v>0</v>
      </c>
      <c r="L169" s="733">
        <f t="shared" si="82"/>
        <v>0</v>
      </c>
      <c r="M169" s="809">
        <f>'2.) Enrollment'!I30</f>
        <v>0</v>
      </c>
      <c r="N169" s="809">
        <f>'2.) Enrollment'!J30</f>
        <v>0</v>
      </c>
      <c r="O169" s="733">
        <f t="shared" si="83"/>
        <v>0</v>
      </c>
      <c r="P169" s="731">
        <f>'2.) Enrollment'!K30</f>
        <v>0</v>
      </c>
      <c r="Q169" s="731">
        <f>'2.) Enrollment'!L30</f>
        <v>0</v>
      </c>
      <c r="R169" s="733">
        <f t="shared" si="84"/>
        <v>0</v>
      </c>
      <c r="S169" s="731">
        <f>'2.) Enrollment'!M30</f>
        <v>0</v>
      </c>
      <c r="T169" s="731">
        <f>'2.) Enrollment'!N30</f>
        <v>0</v>
      </c>
      <c r="U169" s="734">
        <f t="shared" si="85"/>
        <v>0</v>
      </c>
      <c r="V169" s="95"/>
      <c r="W169" s="95"/>
      <c r="X169" s="95"/>
      <c r="Y169" s="95"/>
      <c r="Z169" s="118"/>
      <c r="AA169" s="280"/>
    </row>
    <row r="170" spans="1:27" ht="15">
      <c r="A170" s="484">
        <f t="shared" si="69"/>
        <v>170</v>
      </c>
      <c r="B170" s="96"/>
      <c r="C170" s="50"/>
      <c r="D170" s="50"/>
      <c r="E170" s="82" t="str">
        <f t="shared" si="86"/>
        <v>-</v>
      </c>
      <c r="F170" s="82"/>
      <c r="G170" s="306">
        <f t="shared" si="87"/>
        <v>0</v>
      </c>
      <c r="H170" s="514"/>
      <c r="I170" s="807">
        <f>'2.) Enrollment'!E31</f>
        <v>0</v>
      </c>
      <c r="J170" s="808">
        <f>'2.) Enrollment'!G31</f>
        <v>0</v>
      </c>
      <c r="K170" s="808">
        <f>'2.) Enrollment'!H31</f>
        <v>0</v>
      </c>
      <c r="L170" s="733">
        <f t="shared" si="82"/>
        <v>0</v>
      </c>
      <c r="M170" s="809">
        <f>'2.) Enrollment'!I31</f>
        <v>0</v>
      </c>
      <c r="N170" s="809">
        <f>'2.) Enrollment'!J31</f>
        <v>0</v>
      </c>
      <c r="O170" s="733">
        <f t="shared" si="83"/>
        <v>0</v>
      </c>
      <c r="P170" s="731">
        <f>'2.) Enrollment'!K31</f>
        <v>0</v>
      </c>
      <c r="Q170" s="731">
        <f>'2.) Enrollment'!L31</f>
        <v>0</v>
      </c>
      <c r="R170" s="733">
        <f t="shared" si="84"/>
        <v>0</v>
      </c>
      <c r="S170" s="731">
        <f>'2.) Enrollment'!M31</f>
        <v>0</v>
      </c>
      <c r="T170" s="731">
        <f>'2.) Enrollment'!N31</f>
        <v>0</v>
      </c>
      <c r="U170" s="734">
        <f t="shared" si="85"/>
        <v>0</v>
      </c>
      <c r="V170" s="95"/>
      <c r="W170" s="95"/>
      <c r="X170" s="95"/>
      <c r="Y170" s="95"/>
      <c r="Z170" s="118"/>
      <c r="AA170" s="280"/>
    </row>
    <row r="171" spans="1:27" ht="15">
      <c r="A171" s="484">
        <f t="shared" si="69"/>
        <v>171</v>
      </c>
      <c r="B171" s="96"/>
      <c r="C171" s="50"/>
      <c r="D171" s="50"/>
      <c r="E171" s="82" t="str">
        <f t="shared" si="86"/>
        <v>-</v>
      </c>
      <c r="F171" s="82"/>
      <c r="G171" s="306">
        <f t="shared" si="87"/>
        <v>0</v>
      </c>
      <c r="H171" s="514"/>
      <c r="I171" s="807">
        <f>'2.) Enrollment'!E32</f>
        <v>0</v>
      </c>
      <c r="J171" s="808">
        <f>'2.) Enrollment'!G32</f>
        <v>0</v>
      </c>
      <c r="K171" s="808">
        <f>'2.) Enrollment'!H32</f>
        <v>0</v>
      </c>
      <c r="L171" s="733">
        <f t="shared" si="82"/>
        <v>0</v>
      </c>
      <c r="M171" s="809">
        <f>'2.) Enrollment'!I32</f>
        <v>0</v>
      </c>
      <c r="N171" s="809">
        <f>'2.) Enrollment'!J32</f>
        <v>0</v>
      </c>
      <c r="O171" s="733">
        <f t="shared" si="83"/>
        <v>0</v>
      </c>
      <c r="P171" s="731">
        <f>'2.) Enrollment'!K32</f>
        <v>0</v>
      </c>
      <c r="Q171" s="731">
        <f>'2.) Enrollment'!L32</f>
        <v>0</v>
      </c>
      <c r="R171" s="733">
        <f t="shared" si="84"/>
        <v>0</v>
      </c>
      <c r="S171" s="731">
        <f>'2.) Enrollment'!M32</f>
        <v>0</v>
      </c>
      <c r="T171" s="731">
        <f>'2.) Enrollment'!N32</f>
        <v>0</v>
      </c>
      <c r="U171" s="734">
        <f t="shared" si="85"/>
        <v>0</v>
      </c>
      <c r="V171" s="95"/>
      <c r="W171" s="95"/>
      <c r="X171" s="95"/>
      <c r="Y171" s="95"/>
      <c r="Z171" s="118"/>
      <c r="AA171" s="280"/>
    </row>
    <row r="172" spans="1:27" ht="15">
      <c r="A172" s="484">
        <f t="shared" si="69"/>
        <v>172</v>
      </c>
      <c r="B172" s="96"/>
      <c r="C172" s="50"/>
      <c r="D172" s="50"/>
      <c r="E172" s="82" t="str">
        <f t="shared" si="86"/>
        <v>-</v>
      </c>
      <c r="F172" s="82"/>
      <c r="G172" s="306">
        <f t="shared" si="87"/>
        <v>0</v>
      </c>
      <c r="H172" s="514"/>
      <c r="I172" s="807">
        <f>'2.) Enrollment'!E33</f>
        <v>0</v>
      </c>
      <c r="J172" s="808">
        <f>'2.) Enrollment'!G33</f>
        <v>0</v>
      </c>
      <c r="K172" s="808">
        <f>'2.) Enrollment'!H33</f>
        <v>0</v>
      </c>
      <c r="L172" s="733">
        <f t="shared" si="82"/>
        <v>0</v>
      </c>
      <c r="M172" s="809">
        <f>'2.) Enrollment'!I33</f>
        <v>0</v>
      </c>
      <c r="N172" s="809">
        <f>'2.) Enrollment'!J33</f>
        <v>0</v>
      </c>
      <c r="O172" s="733">
        <f t="shared" si="83"/>
        <v>0</v>
      </c>
      <c r="P172" s="731">
        <f>'2.) Enrollment'!K33</f>
        <v>0</v>
      </c>
      <c r="Q172" s="731">
        <f>'2.) Enrollment'!L33</f>
        <v>0</v>
      </c>
      <c r="R172" s="733">
        <f t="shared" si="84"/>
        <v>0</v>
      </c>
      <c r="S172" s="731">
        <f>'2.) Enrollment'!M33</f>
        <v>0</v>
      </c>
      <c r="T172" s="731">
        <f>'2.) Enrollment'!N33</f>
        <v>0</v>
      </c>
      <c r="U172" s="734">
        <f t="shared" si="85"/>
        <v>0</v>
      </c>
      <c r="V172" s="95"/>
      <c r="W172" s="95"/>
      <c r="X172" s="95"/>
      <c r="Y172" s="95"/>
      <c r="Z172" s="118"/>
      <c r="AA172" s="280"/>
    </row>
    <row r="173" spans="1:27" ht="15">
      <c r="A173" s="484">
        <f t="shared" si="69"/>
        <v>173</v>
      </c>
      <c r="B173" s="96"/>
      <c r="C173" s="50"/>
      <c r="D173" s="50"/>
      <c r="E173" s="82" t="str">
        <f t="shared" si="86"/>
        <v>-</v>
      </c>
      <c r="F173" s="82"/>
      <c r="G173" s="306">
        <f t="shared" si="87"/>
        <v>0</v>
      </c>
      <c r="H173" s="514"/>
      <c r="I173" s="807">
        <f>'2.) Enrollment'!E34</f>
        <v>0</v>
      </c>
      <c r="J173" s="808">
        <f>'2.) Enrollment'!G34</f>
        <v>0</v>
      </c>
      <c r="K173" s="808">
        <f>'2.) Enrollment'!H34</f>
        <v>0</v>
      </c>
      <c r="L173" s="733">
        <f t="shared" si="82"/>
        <v>0</v>
      </c>
      <c r="M173" s="809">
        <f>'2.) Enrollment'!I34</f>
        <v>0</v>
      </c>
      <c r="N173" s="809">
        <f>'2.) Enrollment'!J34</f>
        <v>0</v>
      </c>
      <c r="O173" s="733">
        <f t="shared" si="83"/>
        <v>0</v>
      </c>
      <c r="P173" s="731">
        <f>'2.) Enrollment'!K34</f>
        <v>0</v>
      </c>
      <c r="Q173" s="731">
        <f>'2.) Enrollment'!L34</f>
        <v>0</v>
      </c>
      <c r="R173" s="733">
        <f t="shared" si="84"/>
        <v>0</v>
      </c>
      <c r="S173" s="731">
        <f>'2.) Enrollment'!M34</f>
        <v>0</v>
      </c>
      <c r="T173" s="731">
        <f>'2.) Enrollment'!N34</f>
        <v>0</v>
      </c>
      <c r="U173" s="734">
        <f t="shared" si="85"/>
        <v>0</v>
      </c>
      <c r="V173" s="95"/>
      <c r="W173" s="95"/>
      <c r="X173" s="95"/>
      <c r="Y173" s="95"/>
      <c r="Z173" s="118"/>
      <c r="AA173" s="280"/>
    </row>
    <row r="174" spans="1:27" ht="15">
      <c r="A174" s="484">
        <f t="shared" si="69"/>
        <v>174</v>
      </c>
      <c r="B174" s="96"/>
      <c r="C174" s="50"/>
      <c r="D174" s="50"/>
      <c r="E174" s="82" t="str">
        <f t="shared" si="86"/>
        <v>-</v>
      </c>
      <c r="F174" s="82"/>
      <c r="G174" s="306">
        <f t="shared" si="87"/>
        <v>0</v>
      </c>
      <c r="H174" s="514"/>
      <c r="I174" s="807">
        <f>'2.) Enrollment'!E35</f>
        <v>0</v>
      </c>
      <c r="J174" s="808">
        <f>'2.) Enrollment'!G35</f>
        <v>0</v>
      </c>
      <c r="K174" s="808">
        <f>'2.) Enrollment'!H35</f>
        <v>0</v>
      </c>
      <c r="L174" s="733">
        <f t="shared" si="82"/>
        <v>0</v>
      </c>
      <c r="M174" s="809">
        <f>'2.) Enrollment'!I35</f>
        <v>0</v>
      </c>
      <c r="N174" s="809">
        <f>'2.) Enrollment'!J35</f>
        <v>0</v>
      </c>
      <c r="O174" s="733">
        <f t="shared" si="83"/>
        <v>0</v>
      </c>
      <c r="P174" s="731">
        <f>'2.) Enrollment'!K35</f>
        <v>0</v>
      </c>
      <c r="Q174" s="731">
        <f>'2.) Enrollment'!L35</f>
        <v>0</v>
      </c>
      <c r="R174" s="733">
        <f t="shared" si="84"/>
        <v>0</v>
      </c>
      <c r="S174" s="731">
        <f>'2.) Enrollment'!M35</f>
        <v>0</v>
      </c>
      <c r="T174" s="731">
        <f>'2.) Enrollment'!N35</f>
        <v>0</v>
      </c>
      <c r="U174" s="734">
        <f t="shared" si="85"/>
        <v>0</v>
      </c>
      <c r="V174" s="95"/>
      <c r="W174" s="95"/>
      <c r="X174" s="95"/>
      <c r="Y174" s="95"/>
      <c r="Z174" s="118"/>
      <c r="AA174" s="280"/>
    </row>
    <row r="175" spans="1:27" ht="15">
      <c r="A175" s="484">
        <f t="shared" si="69"/>
        <v>175</v>
      </c>
      <c r="B175" s="96"/>
      <c r="C175" s="50"/>
      <c r="D175" s="50"/>
      <c r="E175" s="82" t="str">
        <f t="shared" si="86"/>
        <v>-</v>
      </c>
      <c r="F175" s="82"/>
      <c r="G175" s="306">
        <f t="shared" si="87"/>
        <v>0</v>
      </c>
      <c r="H175" s="514"/>
      <c r="I175" s="807">
        <f>'2.) Enrollment'!E36</f>
        <v>0</v>
      </c>
      <c r="J175" s="808">
        <f>'2.) Enrollment'!G36</f>
        <v>0</v>
      </c>
      <c r="K175" s="808">
        <f>'2.) Enrollment'!H36</f>
        <v>0</v>
      </c>
      <c r="L175" s="733">
        <f t="shared" si="82"/>
        <v>0</v>
      </c>
      <c r="M175" s="809">
        <f>'2.) Enrollment'!I36</f>
        <v>0</v>
      </c>
      <c r="N175" s="809">
        <f>'2.) Enrollment'!J36</f>
        <v>0</v>
      </c>
      <c r="O175" s="733">
        <f t="shared" si="83"/>
        <v>0</v>
      </c>
      <c r="P175" s="731">
        <f>'2.) Enrollment'!K36</f>
        <v>0</v>
      </c>
      <c r="Q175" s="731">
        <f>'2.) Enrollment'!L36</f>
        <v>0</v>
      </c>
      <c r="R175" s="733">
        <f t="shared" si="84"/>
        <v>0</v>
      </c>
      <c r="S175" s="731">
        <f>'2.) Enrollment'!M36</f>
        <v>0</v>
      </c>
      <c r="T175" s="731">
        <f>'2.) Enrollment'!N36</f>
        <v>0</v>
      </c>
      <c r="U175" s="734">
        <f t="shared" si="85"/>
        <v>0</v>
      </c>
      <c r="V175" s="95"/>
      <c r="W175" s="95"/>
      <c r="X175" s="95"/>
      <c r="Y175" s="95"/>
      <c r="Z175" s="118"/>
      <c r="AA175" s="280"/>
    </row>
    <row r="176" spans="1:27" ht="16.8">
      <c r="A176" s="484">
        <f t="shared" si="69"/>
        <v>176</v>
      </c>
      <c r="B176" s="96"/>
      <c r="C176" s="50"/>
      <c r="D176" s="50"/>
      <c r="E176" s="82" t="str">
        <f t="shared" si="86"/>
        <v>ALL OTHER School Districts: ( Weighted Avg )</v>
      </c>
      <c r="F176" s="82"/>
      <c r="G176" s="306">
        <f t="shared" si="87"/>
        <v>0</v>
      </c>
      <c r="H176" s="515"/>
      <c r="I176" s="807">
        <f>SUM('2.) Enrollment'!E37:E71)</f>
        <v>0</v>
      </c>
      <c r="J176" s="808">
        <f>SUM('2.) Enrollment'!G37:G71)</f>
        <v>0</v>
      </c>
      <c r="K176" s="808">
        <f>SUM('2.) Enrollment'!H37:H71)</f>
        <v>0</v>
      </c>
      <c r="L176" s="733">
        <f t="shared" si="82"/>
        <v>0</v>
      </c>
      <c r="M176" s="809">
        <f>SUM('2.) Enrollment'!I37:I71)</f>
        <v>0</v>
      </c>
      <c r="N176" s="809">
        <f>SUM('2.) Enrollment'!J37:J71)</f>
        <v>0</v>
      </c>
      <c r="O176" s="733">
        <f t="shared" si="83"/>
        <v>0</v>
      </c>
      <c r="P176" s="809">
        <f>SUM('2.) Enrollment'!K37:K71)</f>
        <v>0</v>
      </c>
      <c r="Q176" s="809">
        <f>SUM('2.) Enrollment'!L37:L71)</f>
        <v>0</v>
      </c>
      <c r="R176" s="733">
        <f t="shared" si="84"/>
        <v>0</v>
      </c>
      <c r="S176" s="809">
        <f>SUM('2.) Enrollment'!M37:M71)</f>
        <v>0</v>
      </c>
      <c r="T176" s="809">
        <f>SUM('2.) Enrollment'!N37:N71)</f>
        <v>0</v>
      </c>
      <c r="U176" s="734">
        <f t="shared" si="85"/>
        <v>0</v>
      </c>
      <c r="V176" s="95"/>
      <c r="W176" s="30"/>
      <c r="X176" s="95"/>
      <c r="Y176" s="95"/>
      <c r="Z176" s="118"/>
      <c r="AA176" s="280"/>
    </row>
    <row r="177" spans="1:27" ht="16.8">
      <c r="A177" s="484">
        <f t="shared" si="69"/>
        <v>177</v>
      </c>
      <c r="B177" s="65" t="s">
        <v>93</v>
      </c>
      <c r="C177" s="66"/>
      <c r="D177" s="66"/>
      <c r="E177" s="82"/>
      <c r="F177" s="82"/>
      <c r="G177" s="59"/>
      <c r="H177" s="516"/>
      <c r="I177" s="810">
        <f t="shared" ref="I177:U177" si="88">SUM(I161:I176)</f>
        <v>0</v>
      </c>
      <c r="J177" s="811">
        <f t="shared" si="88"/>
        <v>0</v>
      </c>
      <c r="K177" s="812">
        <f t="shared" si="88"/>
        <v>0</v>
      </c>
      <c r="L177" s="812">
        <f t="shared" si="88"/>
        <v>0</v>
      </c>
      <c r="M177" s="811">
        <f t="shared" si="88"/>
        <v>0</v>
      </c>
      <c r="N177" s="812">
        <f t="shared" si="88"/>
        <v>0</v>
      </c>
      <c r="O177" s="812">
        <f t="shared" si="88"/>
        <v>0</v>
      </c>
      <c r="P177" s="811">
        <f t="shared" si="88"/>
        <v>0</v>
      </c>
      <c r="Q177" s="812">
        <f t="shared" si="88"/>
        <v>0</v>
      </c>
      <c r="R177" s="812">
        <f t="shared" si="88"/>
        <v>0</v>
      </c>
      <c r="S177" s="811">
        <f t="shared" si="88"/>
        <v>0</v>
      </c>
      <c r="T177" s="812">
        <f t="shared" si="88"/>
        <v>0</v>
      </c>
      <c r="U177" s="813">
        <f t="shared" si="88"/>
        <v>0</v>
      </c>
      <c r="V177" s="144"/>
      <c r="W177" s="144"/>
      <c r="X177" s="144"/>
      <c r="Y177" s="137"/>
      <c r="Z177" s="159"/>
      <c r="AA177" s="280"/>
    </row>
    <row r="178" spans="1:27" ht="15">
      <c r="A178" s="484">
        <f t="shared" si="69"/>
        <v>178</v>
      </c>
      <c r="B178" s="81"/>
      <c r="C178" s="82"/>
      <c r="D178" s="82"/>
      <c r="E178" s="82"/>
      <c r="F178" s="82"/>
      <c r="G178" s="59"/>
      <c r="H178" s="514"/>
      <c r="I178" s="814"/>
      <c r="J178" s="814"/>
      <c r="K178" s="814"/>
      <c r="L178" s="814"/>
      <c r="M178" s="814"/>
      <c r="N178" s="814"/>
      <c r="O178" s="814"/>
      <c r="P178" s="814"/>
      <c r="Q178" s="814"/>
      <c r="R178" s="814"/>
      <c r="S178" s="814"/>
      <c r="T178" s="814"/>
      <c r="U178" s="815"/>
      <c r="V178" s="318"/>
      <c r="W178" s="318"/>
      <c r="X178" s="130"/>
      <c r="Y178" s="71"/>
      <c r="Z178" s="72"/>
      <c r="AA178" s="280"/>
    </row>
    <row r="179" spans="1:27" ht="16.8">
      <c r="A179" s="484">
        <f t="shared" si="69"/>
        <v>179</v>
      </c>
      <c r="B179" s="92" t="s">
        <v>94</v>
      </c>
      <c r="C179" s="93"/>
      <c r="D179" s="93"/>
      <c r="E179" s="82"/>
      <c r="F179" s="82"/>
      <c r="G179" s="59"/>
      <c r="H179" s="516"/>
      <c r="I179" s="816">
        <f>IF(I177&gt;0,I65/I177,0)</f>
        <v>0</v>
      </c>
      <c r="J179" s="817">
        <f>IF(J177&gt;0,J65/J177,0)</f>
        <v>0</v>
      </c>
      <c r="K179" s="818">
        <f>IF(K161&gt;0,K65/K177,0)</f>
        <v>0</v>
      </c>
      <c r="L179" s="819">
        <f>IF(K$18&lt;&gt;0,K179-J179,0)</f>
        <v>0</v>
      </c>
      <c r="M179" s="817">
        <f>IF(M177&gt;0,M65/M177,0)</f>
        <v>0</v>
      </c>
      <c r="N179" s="818">
        <f>IF(N161&gt;0,N65/N177,0)</f>
        <v>0</v>
      </c>
      <c r="O179" s="791">
        <f>IF(N$18&lt;&gt;0,N179-M179,0)</f>
        <v>0</v>
      </c>
      <c r="P179" s="817">
        <f>IF(P177&gt;0,P65/P177,0)</f>
        <v>0</v>
      </c>
      <c r="Q179" s="818">
        <f>IF(Q161&gt;0,Q65/Q177,0)</f>
        <v>0</v>
      </c>
      <c r="R179" s="819">
        <f>IF(Q$18&lt;&gt;0,Q179-P179,0)</f>
        <v>0</v>
      </c>
      <c r="S179" s="817">
        <f>IF(S177&gt;0,S65/S177,0)</f>
        <v>0</v>
      </c>
      <c r="T179" s="818">
        <f>IF(T161&gt;0,T65/T177,0)</f>
        <v>0</v>
      </c>
      <c r="U179" s="820">
        <f>IF(T$18&lt;&gt;0,T179-S179,0)</f>
        <v>0</v>
      </c>
      <c r="V179" s="143"/>
      <c r="W179" s="143"/>
      <c r="X179" s="143"/>
      <c r="Y179" s="137"/>
      <c r="Z179" s="581"/>
      <c r="AA179" s="280"/>
    </row>
    <row r="180" spans="1:27" ht="15">
      <c r="A180" s="484">
        <f t="shared" si="69"/>
        <v>180</v>
      </c>
      <c r="B180" s="81"/>
      <c r="C180" s="82"/>
      <c r="D180" s="82"/>
      <c r="E180" s="82"/>
      <c r="F180" s="82"/>
      <c r="G180" s="59"/>
      <c r="H180" s="514"/>
      <c r="I180" s="814"/>
      <c r="J180" s="814"/>
      <c r="K180" s="814"/>
      <c r="L180" s="814"/>
      <c r="M180" s="814"/>
      <c r="N180" s="814"/>
      <c r="O180" s="814"/>
      <c r="P180" s="814"/>
      <c r="Q180" s="814"/>
      <c r="R180" s="814"/>
      <c r="S180" s="814"/>
      <c r="T180" s="814"/>
      <c r="U180" s="815"/>
      <c r="V180" s="130"/>
      <c r="W180" s="130"/>
      <c r="X180" s="130"/>
      <c r="Y180" s="130"/>
      <c r="Z180" s="131"/>
      <c r="AA180" s="280"/>
    </row>
    <row r="181" spans="1:27" ht="17.399999999999999" thickBot="1">
      <c r="A181" s="484">
        <f t="shared" si="69"/>
        <v>181</v>
      </c>
      <c r="B181" s="125" t="s">
        <v>95</v>
      </c>
      <c r="C181" s="126"/>
      <c r="D181" s="126"/>
      <c r="E181" s="312"/>
      <c r="F181" s="312"/>
      <c r="G181" s="313"/>
      <c r="H181" s="517"/>
      <c r="I181" s="821">
        <f>IF(I177&gt;0,I155/I177,0)</f>
        <v>0</v>
      </c>
      <c r="J181" s="822">
        <f>IF(J177&gt;0,J155/J177,0)</f>
        <v>0</v>
      </c>
      <c r="K181" s="823">
        <f>IF(K161&gt;0,K155/K177,0)</f>
        <v>0</v>
      </c>
      <c r="L181" s="824">
        <f>IF(K$18&lt;&gt;0,J181-K181,0)</f>
        <v>0</v>
      </c>
      <c r="M181" s="822">
        <f>IF(M177&gt;0,M155/M177,0)</f>
        <v>0</v>
      </c>
      <c r="N181" s="823">
        <f>IF(N161&gt;0,N155/N177,0)</f>
        <v>0</v>
      </c>
      <c r="O181" s="824">
        <f>IF(N$18&lt;&gt;0,M181-N181,0)</f>
        <v>0</v>
      </c>
      <c r="P181" s="822">
        <f>IF(P177&gt;0,P155/P177,0)</f>
        <v>0</v>
      </c>
      <c r="Q181" s="823">
        <f>IF(Q161&gt;0,Q155/Q177,0)</f>
        <v>0</v>
      </c>
      <c r="R181" s="824">
        <f>IF(Q$18&lt;&gt;0,P181-Q181,0)</f>
        <v>0</v>
      </c>
      <c r="S181" s="822">
        <f>IF(S177&gt;0,S155/S177,0)</f>
        <v>0</v>
      </c>
      <c r="T181" s="823">
        <f>IF(T161&gt;0,T155/T177,0)</f>
        <v>0</v>
      </c>
      <c r="U181" s="825">
        <f>IF(T$18&lt;&gt;0,S181-T181,0)</f>
        <v>0</v>
      </c>
      <c r="V181" s="317"/>
      <c r="W181" s="317"/>
      <c r="X181" s="317"/>
      <c r="Y181" s="317"/>
      <c r="Z181" s="582"/>
      <c r="AA181" s="826"/>
    </row>
    <row r="182" spans="1:27" ht="15.6" thickTop="1">
      <c r="A182" s="486"/>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sheetData>
  <sheetProtection password="CA09" sheet="1" objects="1" scenarios="1"/>
  <mergeCells count="13">
    <mergeCell ref="V3:Z3"/>
    <mergeCell ref="D34:E34"/>
    <mergeCell ref="S12:U12"/>
    <mergeCell ref="V12:X12"/>
    <mergeCell ref="Y12:Z12"/>
    <mergeCell ref="B12:E13"/>
    <mergeCell ref="G12:G13"/>
    <mergeCell ref="H12:H13"/>
    <mergeCell ref="J12:L12"/>
    <mergeCell ref="M12:O12"/>
    <mergeCell ref="P12:R12"/>
    <mergeCell ref="I14:I16"/>
    <mergeCell ref="J14:U16"/>
  </mergeCells>
  <conditionalFormatting sqref="I2:U2">
    <cfRule type="expression" dxfId="79" priority="2">
      <formula>$I$2=Mssg1</formula>
    </cfRule>
  </conditionalFormatting>
  <conditionalFormatting sqref="I4:U4">
    <cfRule type="expression" dxfId="78" priority="1">
      <formula>$I$4=Mssg2</formula>
    </cfRule>
  </conditionalFormatting>
  <dataValidations disablePrompts="1" count="5">
    <dataValidation errorStyle="information" allowBlank="1" showInputMessage="1" showErrorMessage="1" promptTitle="&quot;All OTHER Districts - Revenue&quot;" prompt="Please enter combined Revenue Per Pupil from &quot;All Other Schoool Districts. (Only enter when there are 16+ districts represented)." sqref="I33"/>
    <dataValidation type="custom" operator="lessThanOrEqual" allowBlank="1" showInputMessage="1" showErrorMessage="1" sqref="M17:N17 P17">
      <formula1>AND(S17&gt;=0,S17&lt;=1)</formula1>
    </dataValidation>
    <dataValidation type="custom" operator="lessThanOrEqual" allowBlank="1" showInputMessage="1" showErrorMessage="1" sqref="J17:K17">
      <formula1>AND(S17&gt;=0,S17&lt;=1)</formula1>
    </dataValidation>
    <dataValidation type="decimal" allowBlank="1" showInputMessage="1" showErrorMessage="1" sqref="S17:T17">
      <formula1>0</formula1>
      <formula2>1</formula2>
    </dataValidation>
    <dataValidation type="custom" operator="lessThanOrEqual" allowBlank="1" showInputMessage="1" showErrorMessage="1" sqref="Q17">
      <formula1>AND(T17&gt;=0,T17&lt;=1)</formula1>
    </dataValidation>
  </dataValidations>
  <printOptions horizontalCentered="1"/>
  <pageMargins left="0.49" right="0.45" top="0.31" bottom="0.28000000000000003" header="0.3" footer="0.3"/>
  <pageSetup scale="53" orientation="landscape" r:id="rId1"/>
  <headerFooter>
    <oddFooter>&amp;CPage &amp;P of &amp;N&amp;R&amp;F</oddFooter>
  </headerFooter>
  <rowBreaks count="3" manualBreakCount="3">
    <brk id="65" min="1" max="26" man="1"/>
    <brk id="117" min="1" max="26" man="1"/>
    <brk id="157" min="1" max="26" man="1"/>
  </rowBreaks>
  <colBreaks count="1" manualBreakCount="1">
    <brk id="21" min="1" max="180" man="1"/>
  </colBreaks>
  <ignoredErrors>
    <ignoredError sqref="L34 O34 R34 U34 V34:Z34 L157:U157" formula="1"/>
    <ignoredError sqref="I176:K176 M176 N176:T176"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3366"/>
    <pageSetUpPr fitToPage="1"/>
  </sheetPr>
  <dimension ref="A1:J46"/>
  <sheetViews>
    <sheetView showGridLines="0" topLeftCell="B2" zoomScale="90" zoomScaleNormal="90" zoomScaleSheetLayoutView="90" workbookViewId="0">
      <selection activeCell="E11" sqref="E11"/>
    </sheetView>
  </sheetViews>
  <sheetFormatPr defaultRowHeight="13.2"/>
  <cols>
    <col min="1" max="1" width="4.88671875" hidden="1" customWidth="1"/>
    <col min="2" max="2" width="3" customWidth="1"/>
    <col min="3" max="3" width="33.6640625" customWidth="1"/>
    <col min="4" max="4" width="40.6640625" customWidth="1"/>
    <col min="5" max="5" width="15.6640625" customWidth="1"/>
    <col min="6" max="6" width="1.6640625" customWidth="1"/>
    <col min="7" max="10" width="15.6640625" customWidth="1"/>
  </cols>
  <sheetData>
    <row r="1" spans="1:10" hidden="1">
      <c r="A1" s="959">
        <v>1</v>
      </c>
      <c r="B1" s="895"/>
      <c r="C1" s="895"/>
      <c r="D1" s="895"/>
      <c r="E1" s="896">
        <v>0</v>
      </c>
      <c r="F1" s="896"/>
      <c r="G1" s="896">
        <v>1</v>
      </c>
      <c r="H1" s="896">
        <v>2</v>
      </c>
      <c r="I1" s="896">
        <v>3</v>
      </c>
      <c r="J1" s="896">
        <v>4</v>
      </c>
    </row>
    <row r="2" spans="1:10" ht="18">
      <c r="A2" s="959">
        <v>2</v>
      </c>
      <c r="B2" s="1008" t="str">
        <f>IF(School="",Mssg1,School)</f>
        <v>Please enter school name on tab - "1) Name of School"</v>
      </c>
      <c r="C2" s="1008"/>
      <c r="D2" s="1008"/>
      <c r="E2" s="1008"/>
      <c r="F2" s="1008"/>
      <c r="G2" s="1008"/>
      <c r="H2" s="1008"/>
      <c r="I2" s="1008"/>
      <c r="J2" s="1008"/>
    </row>
    <row r="3" spans="1:10" ht="18">
      <c r="A3" s="959">
        <v>3</v>
      </c>
      <c r="B3" s="897" t="s">
        <v>194</v>
      </c>
      <c r="C3" s="897"/>
      <c r="D3" s="897"/>
      <c r="E3" s="897"/>
      <c r="F3" s="897"/>
      <c r="G3" s="897"/>
      <c r="H3" s="897"/>
      <c r="I3" s="897"/>
      <c r="J3" s="897"/>
    </row>
    <row r="4" spans="1:10" ht="18">
      <c r="A4" s="959">
        <v>4</v>
      </c>
      <c r="B4" s="1009" t="str">
        <f>IF(CONTROL!J12=0,Mssg2,AcadYr1)</f>
        <v>2016-17</v>
      </c>
      <c r="C4" s="1009"/>
      <c r="D4" s="1009"/>
      <c r="E4" s="1009"/>
      <c r="F4" s="1009"/>
      <c r="G4" s="1009"/>
      <c r="H4" s="1009"/>
      <c r="I4" s="1009"/>
      <c r="J4" s="1009"/>
    </row>
    <row r="5" spans="1:10" ht="15">
      <c r="A5" s="959">
        <v>5</v>
      </c>
      <c r="B5" s="898"/>
      <c r="C5" s="898"/>
      <c r="D5" s="898"/>
      <c r="E5" s="898"/>
      <c r="F5" s="898"/>
      <c r="G5" s="898"/>
      <c r="H5" s="898"/>
      <c r="I5" s="898"/>
      <c r="J5" s="898"/>
    </row>
    <row r="6" spans="1:10" ht="15.6" thickBot="1">
      <c r="A6" s="959">
        <v>6</v>
      </c>
      <c r="B6" s="898"/>
      <c r="C6" s="898"/>
      <c r="D6" s="898"/>
      <c r="E6" s="899" t="s">
        <v>195</v>
      </c>
      <c r="F6" s="900"/>
      <c r="G6" s="71" t="s">
        <v>196</v>
      </c>
      <c r="H6" s="71" t="s">
        <v>197</v>
      </c>
      <c r="I6" s="71" t="s">
        <v>198</v>
      </c>
      <c r="J6" s="71" t="s">
        <v>199</v>
      </c>
    </row>
    <row r="7" spans="1:10" ht="30.75" customHeight="1" thickBot="1">
      <c r="A7" s="959">
        <v>7</v>
      </c>
      <c r="B7" s="898"/>
      <c r="C7" s="901"/>
      <c r="D7" s="898"/>
      <c r="E7" s="902" t="str">
        <f>PriorPeriod</f>
        <v>2015-16</v>
      </c>
      <c r="F7" s="903"/>
      <c r="G7" s="902" t="s">
        <v>200</v>
      </c>
      <c r="H7" s="902" t="s">
        <v>201</v>
      </c>
      <c r="I7" s="902" t="s">
        <v>202</v>
      </c>
      <c r="J7" s="902" t="s">
        <v>203</v>
      </c>
    </row>
    <row r="8" spans="1:10" ht="15" customHeight="1">
      <c r="A8" s="959">
        <v>8</v>
      </c>
      <c r="B8" s="1010" t="s">
        <v>204</v>
      </c>
      <c r="C8" s="1010"/>
      <c r="D8" s="1010"/>
      <c r="E8" s="904"/>
      <c r="F8" s="903"/>
      <c r="G8" s="904"/>
      <c r="H8" s="904"/>
      <c r="I8" s="904"/>
      <c r="J8" s="904"/>
    </row>
    <row r="9" spans="1:10" ht="15">
      <c r="A9" s="959">
        <v>9</v>
      </c>
      <c r="B9" s="898"/>
      <c r="C9" s="898"/>
      <c r="D9" s="898"/>
      <c r="E9" s="898"/>
      <c r="F9" s="898"/>
      <c r="G9" s="898"/>
      <c r="H9" s="898"/>
      <c r="I9" s="898"/>
      <c r="J9" s="898"/>
    </row>
    <row r="10" spans="1:10" ht="15">
      <c r="A10" s="959">
        <v>10</v>
      </c>
      <c r="B10" s="905" t="s">
        <v>205</v>
      </c>
      <c r="C10" s="906"/>
      <c r="D10" s="907"/>
      <c r="E10" s="908"/>
      <c r="F10" s="908"/>
      <c r="G10" s="909"/>
      <c r="H10" s="909"/>
      <c r="I10" s="909"/>
      <c r="J10" s="909"/>
    </row>
    <row r="11" spans="1:10" ht="15">
      <c r="A11" s="959">
        <v>11</v>
      </c>
      <c r="B11" s="898"/>
      <c r="C11" s="910" t="s">
        <v>206</v>
      </c>
      <c r="D11" s="910"/>
      <c r="E11" s="747">
        <v>0</v>
      </c>
      <c r="F11" s="911"/>
      <c r="G11" s="747">
        <v>0</v>
      </c>
      <c r="H11" s="747">
        <v>0</v>
      </c>
      <c r="I11" s="747">
        <v>0</v>
      </c>
      <c r="J11" s="747">
        <v>0</v>
      </c>
    </row>
    <row r="12" spans="1:10" ht="15">
      <c r="A12" s="959">
        <v>12</v>
      </c>
      <c r="B12" s="898"/>
      <c r="C12" s="898" t="s">
        <v>207</v>
      </c>
      <c r="D12" s="910"/>
      <c r="E12" s="747">
        <v>0</v>
      </c>
      <c r="F12" s="64"/>
      <c r="G12" s="747">
        <v>0</v>
      </c>
      <c r="H12" s="747">
        <v>0</v>
      </c>
      <c r="I12" s="747">
        <v>0</v>
      </c>
      <c r="J12" s="747">
        <v>0</v>
      </c>
    </row>
    <row r="13" spans="1:10" ht="15">
      <c r="A13" s="959">
        <v>13</v>
      </c>
      <c r="B13" s="898"/>
      <c r="C13" s="898" t="s">
        <v>208</v>
      </c>
      <c r="D13" s="910"/>
      <c r="E13" s="747">
        <v>0</v>
      </c>
      <c r="F13" s="64"/>
      <c r="G13" s="747">
        <v>0</v>
      </c>
      <c r="H13" s="747">
        <v>0</v>
      </c>
      <c r="I13" s="747">
        <v>0</v>
      </c>
      <c r="J13" s="747">
        <v>0</v>
      </c>
    </row>
    <row r="14" spans="1:10" ht="15">
      <c r="A14" s="959">
        <v>14</v>
      </c>
      <c r="B14" s="898"/>
      <c r="C14" s="898" t="s">
        <v>209</v>
      </c>
      <c r="D14" s="910"/>
      <c r="E14" s="747">
        <v>0</v>
      </c>
      <c r="F14" s="909"/>
      <c r="G14" s="747">
        <v>0</v>
      </c>
      <c r="H14" s="747">
        <v>0</v>
      </c>
      <c r="I14" s="747">
        <v>0</v>
      </c>
      <c r="J14" s="747">
        <v>0</v>
      </c>
    </row>
    <row r="15" spans="1:10" ht="16.8">
      <c r="A15" s="959">
        <v>15</v>
      </c>
      <c r="B15" s="898"/>
      <c r="C15" s="898" t="s">
        <v>210</v>
      </c>
      <c r="D15" s="910"/>
      <c r="E15" s="755">
        <v>0</v>
      </c>
      <c r="F15" s="909"/>
      <c r="G15" s="755">
        <v>0</v>
      </c>
      <c r="H15" s="755">
        <v>0</v>
      </c>
      <c r="I15" s="755">
        <v>0</v>
      </c>
      <c r="J15" s="755">
        <v>0</v>
      </c>
    </row>
    <row r="16" spans="1:10" ht="15">
      <c r="A16" s="959">
        <v>16</v>
      </c>
      <c r="B16" s="898"/>
      <c r="C16" s="910"/>
      <c r="D16" s="912" t="s">
        <v>211</v>
      </c>
      <c r="E16" s="909">
        <f>SUM(E11:E15)</f>
        <v>0</v>
      </c>
      <c r="F16" s="909"/>
      <c r="G16" s="909">
        <f>SUM(G11:G15)</f>
        <v>0</v>
      </c>
      <c r="H16" s="909">
        <f>SUM(H11:H15)</f>
        <v>0</v>
      </c>
      <c r="I16" s="909">
        <f>SUM(I11:I15)</f>
        <v>0</v>
      </c>
      <c r="J16" s="909">
        <f>SUM(J11:J15)</f>
        <v>0</v>
      </c>
    </row>
    <row r="17" spans="1:10" ht="15">
      <c r="A17" s="959">
        <v>17</v>
      </c>
      <c r="B17" s="898"/>
      <c r="C17" s="898"/>
      <c r="D17" s="898"/>
      <c r="E17" s="898"/>
      <c r="F17" s="898"/>
      <c r="G17" s="898"/>
      <c r="H17" s="898"/>
      <c r="I17" s="898"/>
      <c r="J17" s="898"/>
    </row>
    <row r="18" spans="1:10" ht="15">
      <c r="A18" s="959">
        <v>18</v>
      </c>
      <c r="B18" s="913" t="s">
        <v>212</v>
      </c>
      <c r="C18" s="910"/>
      <c r="D18" s="910"/>
      <c r="E18" s="747">
        <v>0</v>
      </c>
      <c r="F18" s="909"/>
      <c r="G18" s="747">
        <v>0</v>
      </c>
      <c r="H18" s="747">
        <v>0</v>
      </c>
      <c r="I18" s="747">
        <v>0</v>
      </c>
      <c r="J18" s="747">
        <v>0</v>
      </c>
    </row>
    <row r="19" spans="1:10" ht="15">
      <c r="A19" s="959">
        <v>19</v>
      </c>
      <c r="B19" s="898"/>
      <c r="C19" s="898"/>
      <c r="D19" s="898"/>
      <c r="E19" s="898"/>
      <c r="F19" s="898"/>
      <c r="G19" s="898"/>
      <c r="H19" s="898"/>
      <c r="I19" s="898"/>
      <c r="J19" s="898"/>
    </row>
    <row r="20" spans="1:10" ht="16.8">
      <c r="A20" s="959">
        <v>20</v>
      </c>
      <c r="B20" s="913" t="s">
        <v>213</v>
      </c>
      <c r="C20" s="910"/>
      <c r="D20" s="910"/>
      <c r="E20" s="755">
        <v>0</v>
      </c>
      <c r="F20" s="909"/>
      <c r="G20" s="755">
        <v>0</v>
      </c>
      <c r="H20" s="755">
        <v>0</v>
      </c>
      <c r="I20" s="755">
        <v>0</v>
      </c>
      <c r="J20" s="755">
        <v>0</v>
      </c>
    </row>
    <row r="21" spans="1:10" ht="15">
      <c r="A21" s="959">
        <v>21</v>
      </c>
      <c r="B21" s="898"/>
      <c r="C21" s="898"/>
      <c r="D21" s="898"/>
      <c r="E21" s="898"/>
      <c r="F21" s="898"/>
      <c r="G21" s="898"/>
      <c r="H21" s="898"/>
      <c r="I21" s="898"/>
      <c r="J21" s="898"/>
    </row>
    <row r="22" spans="1:10" ht="15.6" thickBot="1">
      <c r="A22" s="959">
        <v>22</v>
      </c>
      <c r="B22" s="898"/>
      <c r="C22" s="910"/>
      <c r="D22" s="914" t="s">
        <v>214</v>
      </c>
      <c r="E22" s="915">
        <f>E16+E18+E20</f>
        <v>0</v>
      </c>
      <c r="F22" s="64"/>
      <c r="G22" s="915">
        <f>G16+G18+G20</f>
        <v>0</v>
      </c>
      <c r="H22" s="915">
        <f>H16+H18+H20</f>
        <v>0</v>
      </c>
      <c r="I22" s="915">
        <f>I16+I18+I20</f>
        <v>0</v>
      </c>
      <c r="J22" s="915">
        <f>J16+J18+J20</f>
        <v>0</v>
      </c>
    </row>
    <row r="23" spans="1:10" ht="15.6" thickTop="1">
      <c r="A23" s="959">
        <v>23</v>
      </c>
      <c r="B23" s="898"/>
      <c r="C23" s="898"/>
      <c r="D23" s="898"/>
      <c r="E23" s="898"/>
      <c r="F23" s="898"/>
      <c r="G23" s="898"/>
      <c r="H23" s="898"/>
      <c r="I23" s="898"/>
      <c r="J23" s="898"/>
    </row>
    <row r="24" spans="1:10" ht="15" customHeight="1">
      <c r="A24" s="959">
        <v>24</v>
      </c>
      <c r="B24" s="1010" t="s">
        <v>215</v>
      </c>
      <c r="C24" s="1010"/>
      <c r="D24" s="1010"/>
      <c r="E24" s="128"/>
      <c r="F24" s="128"/>
      <c r="G24" s="128"/>
      <c r="H24" s="128"/>
      <c r="I24" s="128"/>
      <c r="J24" s="128"/>
    </row>
    <row r="25" spans="1:10" ht="15">
      <c r="A25" s="959">
        <v>25</v>
      </c>
      <c r="B25" s="898"/>
      <c r="C25" s="898"/>
      <c r="D25" s="898"/>
      <c r="E25" s="898"/>
      <c r="F25" s="898"/>
      <c r="G25" s="898"/>
      <c r="H25" s="898"/>
      <c r="I25" s="898"/>
      <c r="J25" s="898"/>
    </row>
    <row r="26" spans="1:10" ht="15">
      <c r="A26" s="959">
        <v>26</v>
      </c>
      <c r="B26" s="905" t="s">
        <v>216</v>
      </c>
      <c r="C26" s="916"/>
      <c r="D26" s="916"/>
      <c r="E26" s="909"/>
      <c r="F26" s="909"/>
      <c r="G26" s="909"/>
      <c r="H26" s="909"/>
      <c r="I26" s="909"/>
      <c r="J26" s="909"/>
    </row>
    <row r="27" spans="1:10" ht="15">
      <c r="A27" s="959">
        <v>27</v>
      </c>
      <c r="B27" s="898"/>
      <c r="C27" s="898" t="s">
        <v>217</v>
      </c>
      <c r="D27" s="910"/>
      <c r="E27" s="747">
        <v>0</v>
      </c>
      <c r="F27" s="911"/>
      <c r="G27" s="747">
        <v>0</v>
      </c>
      <c r="H27" s="747">
        <v>0</v>
      </c>
      <c r="I27" s="747">
        <v>0</v>
      </c>
      <c r="J27" s="747">
        <v>0</v>
      </c>
    </row>
    <row r="28" spans="1:10" ht="15">
      <c r="A28" s="959">
        <v>28</v>
      </c>
      <c r="B28" s="898"/>
      <c r="C28" s="898" t="s">
        <v>218</v>
      </c>
      <c r="D28" s="910"/>
      <c r="E28" s="747">
        <v>0</v>
      </c>
      <c r="F28" s="909"/>
      <c r="G28" s="747">
        <v>0</v>
      </c>
      <c r="H28" s="747">
        <v>0</v>
      </c>
      <c r="I28" s="747">
        <v>0</v>
      </c>
      <c r="J28" s="747">
        <v>0</v>
      </c>
    </row>
    <row r="29" spans="1:10" ht="15">
      <c r="A29" s="959">
        <v>29</v>
      </c>
      <c r="B29" s="898"/>
      <c r="C29" s="898" t="s">
        <v>369</v>
      </c>
      <c r="D29" s="910"/>
      <c r="E29" s="747">
        <v>0</v>
      </c>
      <c r="F29" s="909"/>
      <c r="G29" s="747">
        <v>0</v>
      </c>
      <c r="H29" s="747">
        <v>0</v>
      </c>
      <c r="I29" s="747">
        <v>0</v>
      </c>
      <c r="J29" s="747">
        <v>0</v>
      </c>
    </row>
    <row r="30" spans="1:10" ht="15">
      <c r="A30" s="959">
        <v>30</v>
      </c>
      <c r="B30" s="898"/>
      <c r="C30" s="898" t="s">
        <v>219</v>
      </c>
      <c r="D30" s="910"/>
      <c r="E30" s="747">
        <v>0</v>
      </c>
      <c r="F30" s="909"/>
      <c r="G30" s="747">
        <v>0</v>
      </c>
      <c r="H30" s="747">
        <v>0</v>
      </c>
      <c r="I30" s="747">
        <v>0</v>
      </c>
      <c r="J30" s="747">
        <v>0</v>
      </c>
    </row>
    <row r="31" spans="1:10" ht="15">
      <c r="A31" s="959">
        <v>31</v>
      </c>
      <c r="B31" s="898"/>
      <c r="C31" s="898" t="s">
        <v>220</v>
      </c>
      <c r="D31" s="910"/>
      <c r="E31" s="747">
        <v>0</v>
      </c>
      <c r="F31" s="909"/>
      <c r="G31" s="747">
        <v>0</v>
      </c>
      <c r="H31" s="747">
        <v>0</v>
      </c>
      <c r="I31" s="747">
        <v>0</v>
      </c>
      <c r="J31" s="747">
        <v>0</v>
      </c>
    </row>
    <row r="32" spans="1:10" ht="16.8">
      <c r="A32" s="959">
        <v>32</v>
      </c>
      <c r="B32" s="898"/>
      <c r="C32" s="898" t="s">
        <v>37</v>
      </c>
      <c r="D32" s="898"/>
      <c r="E32" s="755">
        <v>0</v>
      </c>
      <c r="F32" s="909"/>
      <c r="G32" s="755">
        <v>0</v>
      </c>
      <c r="H32" s="755">
        <v>0</v>
      </c>
      <c r="I32" s="755">
        <v>0</v>
      </c>
      <c r="J32" s="755">
        <v>0</v>
      </c>
    </row>
    <row r="33" spans="1:10" ht="15">
      <c r="A33" s="959">
        <v>33</v>
      </c>
      <c r="B33" s="898"/>
      <c r="C33" s="898"/>
      <c r="D33" s="912" t="s">
        <v>221</v>
      </c>
      <c r="E33" s="909">
        <f>SUM(E27:E32)</f>
        <v>0</v>
      </c>
      <c r="F33" s="909"/>
      <c r="G33" s="909">
        <f>SUM(G27:G32)</f>
        <v>0</v>
      </c>
      <c r="H33" s="909">
        <f>SUM(H27:H32)</f>
        <v>0</v>
      </c>
      <c r="I33" s="909">
        <f>SUM(I27:I32)</f>
        <v>0</v>
      </c>
      <c r="J33" s="909">
        <f>SUM(J27:J32)</f>
        <v>0</v>
      </c>
    </row>
    <row r="34" spans="1:10" ht="15">
      <c r="A34" s="959">
        <v>34</v>
      </c>
      <c r="B34" s="898"/>
      <c r="C34" s="898"/>
      <c r="D34" s="898"/>
      <c r="E34" s="898"/>
      <c r="F34" s="898"/>
      <c r="G34" s="898"/>
      <c r="H34" s="898"/>
      <c r="I34" s="898"/>
      <c r="J34" s="898"/>
    </row>
    <row r="35" spans="1:10" ht="16.8">
      <c r="A35" s="959">
        <v>35</v>
      </c>
      <c r="B35" s="905" t="s">
        <v>222</v>
      </c>
      <c r="C35" s="898"/>
      <c r="D35" s="910"/>
      <c r="E35" s="755">
        <v>0</v>
      </c>
      <c r="F35" s="128"/>
      <c r="G35" s="755">
        <v>0</v>
      </c>
      <c r="H35" s="755">
        <v>0</v>
      </c>
      <c r="I35" s="755">
        <v>0</v>
      </c>
      <c r="J35" s="755">
        <v>0</v>
      </c>
    </row>
    <row r="36" spans="1:10" ht="15">
      <c r="A36" s="959">
        <v>36</v>
      </c>
      <c r="B36" s="898"/>
      <c r="C36" s="898"/>
      <c r="D36" s="898"/>
      <c r="E36" s="898"/>
      <c r="F36" s="898"/>
      <c r="G36" s="898"/>
      <c r="H36" s="898"/>
      <c r="I36" s="898"/>
      <c r="J36" s="898"/>
    </row>
    <row r="37" spans="1:10" ht="16.8">
      <c r="A37" s="959">
        <v>37</v>
      </c>
      <c r="B37" s="898"/>
      <c r="C37" s="898"/>
      <c r="D37" s="912" t="s">
        <v>223</v>
      </c>
      <c r="E37" s="917">
        <f>E33+E35</f>
        <v>0</v>
      </c>
      <c r="F37" s="128"/>
      <c r="G37" s="917">
        <f>G33+G35</f>
        <v>0</v>
      </c>
      <c r="H37" s="917">
        <f>H33+H35</f>
        <v>0</v>
      </c>
      <c r="I37" s="917">
        <f>I33+I35</f>
        <v>0</v>
      </c>
      <c r="J37" s="917">
        <f>J33+J35</f>
        <v>0</v>
      </c>
    </row>
    <row r="38" spans="1:10" ht="15">
      <c r="A38" s="959">
        <v>38</v>
      </c>
      <c r="B38" s="898"/>
      <c r="C38" s="898"/>
      <c r="D38" s="898"/>
      <c r="E38" s="898"/>
      <c r="F38" s="898"/>
      <c r="G38" s="898"/>
      <c r="H38" s="898"/>
      <c r="I38" s="898"/>
      <c r="J38" s="898"/>
    </row>
    <row r="39" spans="1:10" ht="15">
      <c r="A39" s="959">
        <v>39</v>
      </c>
      <c r="B39" s="905" t="s">
        <v>224</v>
      </c>
      <c r="C39" s="916"/>
      <c r="D39" s="916"/>
      <c r="E39" s="909"/>
      <c r="F39" s="909"/>
      <c r="G39" s="128"/>
      <c r="H39" s="128"/>
      <c r="I39" s="128"/>
      <c r="J39" s="128"/>
    </row>
    <row r="40" spans="1:10" ht="15">
      <c r="A40" s="959">
        <v>40</v>
      </c>
      <c r="B40" s="918"/>
      <c r="C40" s="898" t="s">
        <v>225</v>
      </c>
      <c r="D40" s="916"/>
      <c r="E40" s="747">
        <v>0</v>
      </c>
      <c r="F40" s="909"/>
      <c r="G40" s="747">
        <v>0</v>
      </c>
      <c r="H40" s="747">
        <v>0</v>
      </c>
      <c r="I40" s="747">
        <v>0</v>
      </c>
      <c r="J40" s="747">
        <v>0</v>
      </c>
    </row>
    <row r="41" spans="1:10" ht="16.8">
      <c r="A41" s="959">
        <v>41</v>
      </c>
      <c r="B41" s="898"/>
      <c r="C41" s="898" t="s">
        <v>226</v>
      </c>
      <c r="D41" s="916"/>
      <c r="E41" s="755">
        <v>0</v>
      </c>
      <c r="F41" s="909"/>
      <c r="G41" s="755">
        <v>0</v>
      </c>
      <c r="H41" s="755">
        <v>0</v>
      </c>
      <c r="I41" s="755">
        <v>0</v>
      </c>
      <c r="J41" s="755">
        <v>0</v>
      </c>
    </row>
    <row r="42" spans="1:10" ht="16.8">
      <c r="A42" s="959">
        <v>42</v>
      </c>
      <c r="B42" s="898"/>
      <c r="C42" s="910"/>
      <c r="D42" s="912" t="s">
        <v>227</v>
      </c>
      <c r="E42" s="919">
        <f>SUM(E40:E41)</f>
        <v>0</v>
      </c>
      <c r="F42" s="909"/>
      <c r="G42" s="919">
        <f>SUM(G40:G41)</f>
        <v>0</v>
      </c>
      <c r="H42" s="919">
        <f>SUM(H40:H41)</f>
        <v>0</v>
      </c>
      <c r="I42" s="919">
        <f>SUM(I40:I41)</f>
        <v>0</v>
      </c>
      <c r="J42" s="919">
        <f>SUM(J40:J41)</f>
        <v>0</v>
      </c>
    </row>
    <row r="43" spans="1:10" ht="15">
      <c r="A43" s="959">
        <v>43</v>
      </c>
      <c r="B43" s="898"/>
      <c r="C43" s="898"/>
      <c r="D43" s="898"/>
      <c r="E43" s="898"/>
      <c r="F43" s="898"/>
      <c r="G43" s="898"/>
      <c r="H43" s="898"/>
      <c r="I43" s="898"/>
      <c r="J43" s="898"/>
    </row>
    <row r="44" spans="1:10" ht="15.6" thickBot="1">
      <c r="A44" s="959">
        <v>44</v>
      </c>
      <c r="B44" s="898"/>
      <c r="C44" s="910"/>
      <c r="D44" s="912" t="s">
        <v>228</v>
      </c>
      <c r="E44" s="920">
        <f>E37+E42</f>
        <v>0</v>
      </c>
      <c r="F44" s="909"/>
      <c r="G44" s="920">
        <f>G37+G42</f>
        <v>0</v>
      </c>
      <c r="H44" s="920">
        <f>H37+H42</f>
        <v>0</v>
      </c>
      <c r="I44" s="920">
        <f>I37+I42</f>
        <v>0</v>
      </c>
      <c r="J44" s="920">
        <f>J37+J42</f>
        <v>0</v>
      </c>
    </row>
    <row r="45" spans="1:10" ht="15.6" thickTop="1">
      <c r="A45" s="959">
        <v>45</v>
      </c>
      <c r="B45" s="898"/>
      <c r="C45" s="910"/>
      <c r="D45" s="916"/>
      <c r="E45" s="909"/>
      <c r="F45" s="909"/>
      <c r="G45" s="128"/>
      <c r="H45" s="128"/>
      <c r="I45" s="128"/>
      <c r="J45" s="128"/>
    </row>
    <row r="46" spans="1:10">
      <c r="A46" s="834"/>
      <c r="B46" s="834"/>
      <c r="C46" s="834"/>
      <c r="D46" s="834"/>
      <c r="E46" s="834"/>
      <c r="F46" s="834"/>
      <c r="G46" s="834"/>
      <c r="H46" s="834"/>
      <c r="I46" s="834"/>
      <c r="J46" s="834"/>
    </row>
  </sheetData>
  <sheetProtection password="CA09" sheet="1" objects="1" scenarios="1"/>
  <mergeCells count="4">
    <mergeCell ref="B2:J2"/>
    <mergeCell ref="B4:J4"/>
    <mergeCell ref="B24:D24"/>
    <mergeCell ref="B8:D8"/>
  </mergeCells>
  <conditionalFormatting sqref="B2:J2">
    <cfRule type="expression" dxfId="77" priority="3">
      <formula>$B$2=Mssg1</formula>
    </cfRule>
  </conditionalFormatting>
  <conditionalFormatting sqref="B4:J4">
    <cfRule type="expression" dxfId="76" priority="2">
      <formula>$B$4=Mssg2</formula>
    </cfRule>
  </conditionalFormatting>
  <conditionalFormatting sqref="E11:J44">
    <cfRule type="expression" dxfId="75" priority="1">
      <formula>BSNoteCode=2</formula>
    </cfRule>
  </conditionalFormatting>
  <dataValidations count="3">
    <dataValidation type="custom" showInputMessage="1" showErrorMessage="1" sqref="E12:E44 F11:F44 G12:J44">
      <formula1>OR(BSNoteCode=0,BSNoteCode=1)</formula1>
    </dataValidation>
    <dataValidation type="custom" showInputMessage="1" showErrorMessage="1" errorTitle="Merged School" error="Balance Sheet should not be completed for schools that have merged into an EdCorp. The balance sheet information is included with the EdCorp Balance Sheet." sqref="G11:J11">
      <formula1>OR(BSNoteCode=0,BSNoteCode=1)</formula1>
    </dataValidation>
    <dataValidation type="custom" showInputMessage="1" showErrorMessage="1" errorTitle="Balance Sheet Data - EdCorp Only" error="Balance data should not be entered for &quot;Merged Schools&quot; as it is included on the EdCorp's template." sqref="E11">
      <formula1>OR(BSNoteCode=0,BSNoteCode=1)</formula1>
    </dataValidation>
  </dataValidations>
  <printOptions horizontalCentered="1"/>
  <pageMargins left="0.49" right="0.45" top="0.54" bottom="0.73" header="0.3" footer="0.32"/>
  <pageSetup scale="74" orientation="landscape" r:id="rId1"/>
  <headerFooter>
    <oddFooter>&amp;CPage &amp;P of &amp;N&amp;R&amp;F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3366"/>
  </sheetPr>
  <dimension ref="A1:AM183"/>
  <sheetViews>
    <sheetView showGridLines="0" topLeftCell="B2" zoomScale="90" zoomScaleNormal="90" zoomScaleSheetLayoutView="90" workbookViewId="0">
      <selection activeCell="I18" sqref="I18"/>
    </sheetView>
  </sheetViews>
  <sheetFormatPr defaultRowHeight="15"/>
  <cols>
    <col min="1" max="1" width="3.5546875" style="263" hidden="1" customWidth="1"/>
    <col min="2" max="4" width="2.33203125" style="61" customWidth="1"/>
    <col min="5" max="5" width="56" style="62" bestFit="1" customWidth="1"/>
    <col min="6" max="6" width="3.5546875" style="62" customWidth="1"/>
    <col min="7" max="7" width="16.6640625" style="63" bestFit="1" customWidth="1"/>
    <col min="8" max="8" width="2.6640625" style="64" customWidth="1"/>
    <col min="9" max="9" width="13" style="130" customWidth="1"/>
    <col min="10" max="10" width="13" style="64" customWidth="1"/>
    <col min="11" max="20" width="13" style="130" customWidth="1"/>
    <col min="21" max="21" width="13" style="64" customWidth="1"/>
    <col min="22" max="28" width="13" style="455" customWidth="1"/>
    <col min="29" max="29" width="13" style="61" customWidth="1"/>
    <col min="30" max="30" width="18.6640625" style="61" customWidth="1"/>
    <col min="31" max="31" width="13" style="61" customWidth="1"/>
    <col min="32" max="32" width="40.5546875" style="61" customWidth="1"/>
    <col min="33" max="38" width="9.109375" style="61"/>
    <col min="39" max="39" width="0" style="61" hidden="1" customWidth="1"/>
    <col min="40" max="256" width="9.109375" style="61"/>
    <col min="257" max="257" width="3.5546875" style="61" bestFit="1" customWidth="1"/>
    <col min="258" max="260" width="2.33203125" style="61" customWidth="1"/>
    <col min="261" max="261" width="56" style="61" bestFit="1" customWidth="1"/>
    <col min="262" max="262" width="2.6640625" style="61" customWidth="1"/>
    <col min="263" max="263" width="16.6640625" style="61" bestFit="1" customWidth="1"/>
    <col min="264" max="264" width="2.6640625" style="61" customWidth="1"/>
    <col min="265" max="265" width="12.6640625" style="61" customWidth="1"/>
    <col min="266" max="266" width="12.5546875" style="61" customWidth="1"/>
    <col min="267" max="267" width="12.33203125" style="61" customWidth="1"/>
    <col min="268" max="268" width="11.6640625" style="61" customWidth="1"/>
    <col min="269" max="269" width="12.109375" style="61" customWidth="1"/>
    <col min="270" max="270" width="12.33203125" style="61" customWidth="1"/>
    <col min="271" max="271" width="11.6640625" style="61" customWidth="1"/>
    <col min="272" max="272" width="12" style="61" customWidth="1"/>
    <col min="273" max="273" width="12.109375" style="61" customWidth="1"/>
    <col min="274" max="274" width="11.6640625" style="61" customWidth="1"/>
    <col min="275" max="275" width="12" style="61" customWidth="1"/>
    <col min="276" max="276" width="12.33203125" style="61" customWidth="1"/>
    <col min="277" max="277" width="12.88671875" style="61" customWidth="1"/>
    <col min="278" max="278" width="17.109375" style="61" customWidth="1"/>
    <col min="279" max="280" width="13.33203125" style="61" customWidth="1"/>
    <col min="281" max="281" width="13.88671875" style="61" customWidth="1"/>
    <col min="282" max="282" width="16.88671875" style="61" customWidth="1"/>
    <col min="283" max="283" width="13.33203125" style="61" customWidth="1"/>
    <col min="284" max="284" width="13.44140625" style="61" customWidth="1"/>
    <col min="285" max="285" width="14.5546875" style="61" customWidth="1"/>
    <col min="286" max="286" width="14.6640625" style="61" customWidth="1"/>
    <col min="287" max="287" width="13.6640625" style="61" customWidth="1"/>
    <col min="288" max="288" width="51.33203125" style="61" customWidth="1"/>
    <col min="289" max="294" width="9.109375" style="61"/>
    <col min="295" max="295" width="0" style="61" hidden="1" customWidth="1"/>
    <col min="296" max="512" width="9.109375" style="61"/>
    <col min="513" max="513" width="3.5546875" style="61" bestFit="1" customWidth="1"/>
    <col min="514" max="516" width="2.33203125" style="61" customWidth="1"/>
    <col min="517" max="517" width="56" style="61" bestFit="1" customWidth="1"/>
    <col min="518" max="518" width="2.6640625" style="61" customWidth="1"/>
    <col min="519" max="519" width="16.6640625" style="61" bestFit="1" customWidth="1"/>
    <col min="520" max="520" width="2.6640625" style="61" customWidth="1"/>
    <col min="521" max="521" width="12.6640625" style="61" customWidth="1"/>
    <col min="522" max="522" width="12.5546875" style="61" customWidth="1"/>
    <col min="523" max="523" width="12.33203125" style="61" customWidth="1"/>
    <col min="524" max="524" width="11.6640625" style="61" customWidth="1"/>
    <col min="525" max="525" width="12.109375" style="61" customWidth="1"/>
    <col min="526" max="526" width="12.33203125" style="61" customWidth="1"/>
    <col min="527" max="527" width="11.6640625" style="61" customWidth="1"/>
    <col min="528" max="528" width="12" style="61" customWidth="1"/>
    <col min="529" max="529" width="12.109375" style="61" customWidth="1"/>
    <col min="530" max="530" width="11.6640625" style="61" customWidth="1"/>
    <col min="531" max="531" width="12" style="61" customWidth="1"/>
    <col min="532" max="532" width="12.33203125" style="61" customWidth="1"/>
    <col min="533" max="533" width="12.88671875" style="61" customWidth="1"/>
    <col min="534" max="534" width="17.109375" style="61" customWidth="1"/>
    <col min="535" max="536" width="13.33203125" style="61" customWidth="1"/>
    <col min="537" max="537" width="13.88671875" style="61" customWidth="1"/>
    <col min="538" max="538" width="16.88671875" style="61" customWidth="1"/>
    <col min="539" max="539" width="13.33203125" style="61" customWidth="1"/>
    <col min="540" max="540" width="13.44140625" style="61" customWidth="1"/>
    <col min="541" max="541" width="14.5546875" style="61" customWidth="1"/>
    <col min="542" max="542" width="14.6640625" style="61" customWidth="1"/>
    <col min="543" max="543" width="13.6640625" style="61" customWidth="1"/>
    <col min="544" max="544" width="51.33203125" style="61" customWidth="1"/>
    <col min="545" max="550" width="9.109375" style="61"/>
    <col min="551" max="551" width="0" style="61" hidden="1" customWidth="1"/>
    <col min="552" max="768" width="9.109375" style="61"/>
    <col min="769" max="769" width="3.5546875" style="61" bestFit="1" customWidth="1"/>
    <col min="770" max="772" width="2.33203125" style="61" customWidth="1"/>
    <col min="773" max="773" width="56" style="61" bestFit="1" customWidth="1"/>
    <col min="774" max="774" width="2.6640625" style="61" customWidth="1"/>
    <col min="775" max="775" width="16.6640625" style="61" bestFit="1" customWidth="1"/>
    <col min="776" max="776" width="2.6640625" style="61" customWidth="1"/>
    <col min="777" max="777" width="12.6640625" style="61" customWidth="1"/>
    <col min="778" max="778" width="12.5546875" style="61" customWidth="1"/>
    <col min="779" max="779" width="12.33203125" style="61" customWidth="1"/>
    <col min="780" max="780" width="11.6640625" style="61" customWidth="1"/>
    <col min="781" max="781" width="12.109375" style="61" customWidth="1"/>
    <col min="782" max="782" width="12.33203125" style="61" customWidth="1"/>
    <col min="783" max="783" width="11.6640625" style="61" customWidth="1"/>
    <col min="784" max="784" width="12" style="61" customWidth="1"/>
    <col min="785" max="785" width="12.109375" style="61" customWidth="1"/>
    <col min="786" max="786" width="11.6640625" style="61" customWidth="1"/>
    <col min="787" max="787" width="12" style="61" customWidth="1"/>
    <col min="788" max="788" width="12.33203125" style="61" customWidth="1"/>
    <col min="789" max="789" width="12.88671875" style="61" customWidth="1"/>
    <col min="790" max="790" width="17.109375" style="61" customWidth="1"/>
    <col min="791" max="792" width="13.33203125" style="61" customWidth="1"/>
    <col min="793" max="793" width="13.88671875" style="61" customWidth="1"/>
    <col min="794" max="794" width="16.88671875" style="61" customWidth="1"/>
    <col min="795" max="795" width="13.33203125" style="61" customWidth="1"/>
    <col min="796" max="796" width="13.44140625" style="61" customWidth="1"/>
    <col min="797" max="797" width="14.5546875" style="61" customWidth="1"/>
    <col min="798" max="798" width="14.6640625" style="61" customWidth="1"/>
    <col min="799" max="799" width="13.6640625" style="61" customWidth="1"/>
    <col min="800" max="800" width="51.33203125" style="61" customWidth="1"/>
    <col min="801" max="806" width="9.109375" style="61"/>
    <col min="807" max="807" width="0" style="61" hidden="1" customWidth="1"/>
    <col min="808" max="1024" width="9.109375" style="61"/>
    <col min="1025" max="1025" width="3.5546875" style="61" bestFit="1" customWidth="1"/>
    <col min="1026" max="1028" width="2.33203125" style="61" customWidth="1"/>
    <col min="1029" max="1029" width="56" style="61" bestFit="1" customWidth="1"/>
    <col min="1030" max="1030" width="2.6640625" style="61" customWidth="1"/>
    <col min="1031" max="1031" width="16.6640625" style="61" bestFit="1" customWidth="1"/>
    <col min="1032" max="1032" width="2.6640625" style="61" customWidth="1"/>
    <col min="1033" max="1033" width="12.6640625" style="61" customWidth="1"/>
    <col min="1034" max="1034" width="12.5546875" style="61" customWidth="1"/>
    <col min="1035" max="1035" width="12.33203125" style="61" customWidth="1"/>
    <col min="1036" max="1036" width="11.6640625" style="61" customWidth="1"/>
    <col min="1037" max="1037" width="12.109375" style="61" customWidth="1"/>
    <col min="1038" max="1038" width="12.33203125" style="61" customWidth="1"/>
    <col min="1039" max="1039" width="11.6640625" style="61" customWidth="1"/>
    <col min="1040" max="1040" width="12" style="61" customWidth="1"/>
    <col min="1041" max="1041" width="12.109375" style="61" customWidth="1"/>
    <col min="1042" max="1042" width="11.6640625" style="61" customWidth="1"/>
    <col min="1043" max="1043" width="12" style="61" customWidth="1"/>
    <col min="1044" max="1044" width="12.33203125" style="61" customWidth="1"/>
    <col min="1045" max="1045" width="12.88671875" style="61" customWidth="1"/>
    <col min="1046" max="1046" width="17.109375" style="61" customWidth="1"/>
    <col min="1047" max="1048" width="13.33203125" style="61" customWidth="1"/>
    <col min="1049" max="1049" width="13.88671875" style="61" customWidth="1"/>
    <col min="1050" max="1050" width="16.88671875" style="61" customWidth="1"/>
    <col min="1051" max="1051" width="13.33203125" style="61" customWidth="1"/>
    <col min="1052" max="1052" width="13.44140625" style="61" customWidth="1"/>
    <col min="1053" max="1053" width="14.5546875" style="61" customWidth="1"/>
    <col min="1054" max="1054" width="14.6640625" style="61" customWidth="1"/>
    <col min="1055" max="1055" width="13.6640625" style="61" customWidth="1"/>
    <col min="1056" max="1056" width="51.33203125" style="61" customWidth="1"/>
    <col min="1057" max="1062" width="9.109375" style="61"/>
    <col min="1063" max="1063" width="0" style="61" hidden="1" customWidth="1"/>
    <col min="1064" max="1280" width="9.109375" style="61"/>
    <col min="1281" max="1281" width="3.5546875" style="61" bestFit="1" customWidth="1"/>
    <col min="1282" max="1284" width="2.33203125" style="61" customWidth="1"/>
    <col min="1285" max="1285" width="56" style="61" bestFit="1" customWidth="1"/>
    <col min="1286" max="1286" width="2.6640625" style="61" customWidth="1"/>
    <col min="1287" max="1287" width="16.6640625" style="61" bestFit="1" customWidth="1"/>
    <col min="1288" max="1288" width="2.6640625" style="61" customWidth="1"/>
    <col min="1289" max="1289" width="12.6640625" style="61" customWidth="1"/>
    <col min="1290" max="1290" width="12.5546875" style="61" customWidth="1"/>
    <col min="1291" max="1291" width="12.33203125" style="61" customWidth="1"/>
    <col min="1292" max="1292" width="11.6640625" style="61" customWidth="1"/>
    <col min="1293" max="1293" width="12.109375" style="61" customWidth="1"/>
    <col min="1294" max="1294" width="12.33203125" style="61" customWidth="1"/>
    <col min="1295" max="1295" width="11.6640625" style="61" customWidth="1"/>
    <col min="1296" max="1296" width="12" style="61" customWidth="1"/>
    <col min="1297" max="1297" width="12.109375" style="61" customWidth="1"/>
    <col min="1298" max="1298" width="11.6640625" style="61" customWidth="1"/>
    <col min="1299" max="1299" width="12" style="61" customWidth="1"/>
    <col min="1300" max="1300" width="12.33203125" style="61" customWidth="1"/>
    <col min="1301" max="1301" width="12.88671875" style="61" customWidth="1"/>
    <col min="1302" max="1302" width="17.109375" style="61" customWidth="1"/>
    <col min="1303" max="1304" width="13.33203125" style="61" customWidth="1"/>
    <col min="1305" max="1305" width="13.88671875" style="61" customWidth="1"/>
    <col min="1306" max="1306" width="16.88671875" style="61" customWidth="1"/>
    <col min="1307" max="1307" width="13.33203125" style="61" customWidth="1"/>
    <col min="1308" max="1308" width="13.44140625" style="61" customWidth="1"/>
    <col min="1309" max="1309" width="14.5546875" style="61" customWidth="1"/>
    <col min="1310" max="1310" width="14.6640625" style="61" customWidth="1"/>
    <col min="1311" max="1311" width="13.6640625" style="61" customWidth="1"/>
    <col min="1312" max="1312" width="51.33203125" style="61" customWidth="1"/>
    <col min="1313" max="1318" width="9.109375" style="61"/>
    <col min="1319" max="1319" width="0" style="61" hidden="1" customWidth="1"/>
    <col min="1320" max="1536" width="9.109375" style="61"/>
    <col min="1537" max="1537" width="3.5546875" style="61" bestFit="1" customWidth="1"/>
    <col min="1538" max="1540" width="2.33203125" style="61" customWidth="1"/>
    <col min="1541" max="1541" width="56" style="61" bestFit="1" customWidth="1"/>
    <col min="1542" max="1542" width="2.6640625" style="61" customWidth="1"/>
    <col min="1543" max="1543" width="16.6640625" style="61" bestFit="1" customWidth="1"/>
    <col min="1544" max="1544" width="2.6640625" style="61" customWidth="1"/>
    <col min="1545" max="1545" width="12.6640625" style="61" customWidth="1"/>
    <col min="1546" max="1546" width="12.5546875" style="61" customWidth="1"/>
    <col min="1547" max="1547" width="12.33203125" style="61" customWidth="1"/>
    <col min="1548" max="1548" width="11.6640625" style="61" customWidth="1"/>
    <col min="1549" max="1549" width="12.109375" style="61" customWidth="1"/>
    <col min="1550" max="1550" width="12.33203125" style="61" customWidth="1"/>
    <col min="1551" max="1551" width="11.6640625" style="61" customWidth="1"/>
    <col min="1552" max="1552" width="12" style="61" customWidth="1"/>
    <col min="1553" max="1553" width="12.109375" style="61" customWidth="1"/>
    <col min="1554" max="1554" width="11.6640625" style="61" customWidth="1"/>
    <col min="1555" max="1555" width="12" style="61" customWidth="1"/>
    <col min="1556" max="1556" width="12.33203125" style="61" customWidth="1"/>
    <col min="1557" max="1557" width="12.88671875" style="61" customWidth="1"/>
    <col min="1558" max="1558" width="17.109375" style="61" customWidth="1"/>
    <col min="1559" max="1560" width="13.33203125" style="61" customWidth="1"/>
    <col min="1561" max="1561" width="13.88671875" style="61" customWidth="1"/>
    <col min="1562" max="1562" width="16.88671875" style="61" customWidth="1"/>
    <col min="1563" max="1563" width="13.33203125" style="61" customWidth="1"/>
    <col min="1564" max="1564" width="13.44140625" style="61" customWidth="1"/>
    <col min="1565" max="1565" width="14.5546875" style="61" customWidth="1"/>
    <col min="1566" max="1566" width="14.6640625" style="61" customWidth="1"/>
    <col min="1567" max="1567" width="13.6640625" style="61" customWidth="1"/>
    <col min="1568" max="1568" width="51.33203125" style="61" customWidth="1"/>
    <col min="1569" max="1574" width="9.109375" style="61"/>
    <col min="1575" max="1575" width="0" style="61" hidden="1" customWidth="1"/>
    <col min="1576" max="1792" width="9.109375" style="61"/>
    <col min="1793" max="1793" width="3.5546875" style="61" bestFit="1" customWidth="1"/>
    <col min="1794" max="1796" width="2.33203125" style="61" customWidth="1"/>
    <col min="1797" max="1797" width="56" style="61" bestFit="1" customWidth="1"/>
    <col min="1798" max="1798" width="2.6640625" style="61" customWidth="1"/>
    <col min="1799" max="1799" width="16.6640625" style="61" bestFit="1" customWidth="1"/>
    <col min="1800" max="1800" width="2.6640625" style="61" customWidth="1"/>
    <col min="1801" max="1801" width="12.6640625" style="61" customWidth="1"/>
    <col min="1802" max="1802" width="12.5546875" style="61" customWidth="1"/>
    <col min="1803" max="1803" width="12.33203125" style="61" customWidth="1"/>
    <col min="1804" max="1804" width="11.6640625" style="61" customWidth="1"/>
    <col min="1805" max="1805" width="12.109375" style="61" customWidth="1"/>
    <col min="1806" max="1806" width="12.33203125" style="61" customWidth="1"/>
    <col min="1807" max="1807" width="11.6640625" style="61" customWidth="1"/>
    <col min="1808" max="1808" width="12" style="61" customWidth="1"/>
    <col min="1809" max="1809" width="12.109375" style="61" customWidth="1"/>
    <col min="1810" max="1810" width="11.6640625" style="61" customWidth="1"/>
    <col min="1811" max="1811" width="12" style="61" customWidth="1"/>
    <col min="1812" max="1812" width="12.33203125" style="61" customWidth="1"/>
    <col min="1813" max="1813" width="12.88671875" style="61" customWidth="1"/>
    <col min="1814" max="1814" width="17.109375" style="61" customWidth="1"/>
    <col min="1815" max="1816" width="13.33203125" style="61" customWidth="1"/>
    <col min="1817" max="1817" width="13.88671875" style="61" customWidth="1"/>
    <col min="1818" max="1818" width="16.88671875" style="61" customWidth="1"/>
    <col min="1819" max="1819" width="13.33203125" style="61" customWidth="1"/>
    <col min="1820" max="1820" width="13.44140625" style="61" customWidth="1"/>
    <col min="1821" max="1821" width="14.5546875" style="61" customWidth="1"/>
    <col min="1822" max="1822" width="14.6640625" style="61" customWidth="1"/>
    <col min="1823" max="1823" width="13.6640625" style="61" customWidth="1"/>
    <col min="1824" max="1824" width="51.33203125" style="61" customWidth="1"/>
    <col min="1825" max="1830" width="9.109375" style="61"/>
    <col min="1831" max="1831" width="0" style="61" hidden="1" customWidth="1"/>
    <col min="1832" max="2048" width="9.109375" style="61"/>
    <col min="2049" max="2049" width="3.5546875" style="61" bestFit="1" customWidth="1"/>
    <col min="2050" max="2052" width="2.33203125" style="61" customWidth="1"/>
    <col min="2053" max="2053" width="56" style="61" bestFit="1" customWidth="1"/>
    <col min="2054" max="2054" width="2.6640625" style="61" customWidth="1"/>
    <col min="2055" max="2055" width="16.6640625" style="61" bestFit="1" customWidth="1"/>
    <col min="2056" max="2056" width="2.6640625" style="61" customWidth="1"/>
    <col min="2057" max="2057" width="12.6640625" style="61" customWidth="1"/>
    <col min="2058" max="2058" width="12.5546875" style="61" customWidth="1"/>
    <col min="2059" max="2059" width="12.33203125" style="61" customWidth="1"/>
    <col min="2060" max="2060" width="11.6640625" style="61" customWidth="1"/>
    <col min="2061" max="2061" width="12.109375" style="61" customWidth="1"/>
    <col min="2062" max="2062" width="12.33203125" style="61" customWidth="1"/>
    <col min="2063" max="2063" width="11.6640625" style="61" customWidth="1"/>
    <col min="2064" max="2064" width="12" style="61" customWidth="1"/>
    <col min="2065" max="2065" width="12.109375" style="61" customWidth="1"/>
    <col min="2066" max="2066" width="11.6640625" style="61" customWidth="1"/>
    <col min="2067" max="2067" width="12" style="61" customWidth="1"/>
    <col min="2068" max="2068" width="12.33203125" style="61" customWidth="1"/>
    <col min="2069" max="2069" width="12.88671875" style="61" customWidth="1"/>
    <col min="2070" max="2070" width="17.109375" style="61" customWidth="1"/>
    <col min="2071" max="2072" width="13.33203125" style="61" customWidth="1"/>
    <col min="2073" max="2073" width="13.88671875" style="61" customWidth="1"/>
    <col min="2074" max="2074" width="16.88671875" style="61" customWidth="1"/>
    <col min="2075" max="2075" width="13.33203125" style="61" customWidth="1"/>
    <col min="2076" max="2076" width="13.44140625" style="61" customWidth="1"/>
    <col min="2077" max="2077" width="14.5546875" style="61" customWidth="1"/>
    <col min="2078" max="2078" width="14.6640625" style="61" customWidth="1"/>
    <col min="2079" max="2079" width="13.6640625" style="61" customWidth="1"/>
    <col min="2080" max="2080" width="51.33203125" style="61" customWidth="1"/>
    <col min="2081" max="2086" width="9.109375" style="61"/>
    <col min="2087" max="2087" width="0" style="61" hidden="1" customWidth="1"/>
    <col min="2088" max="2304" width="9.109375" style="61"/>
    <col min="2305" max="2305" width="3.5546875" style="61" bestFit="1" customWidth="1"/>
    <col min="2306" max="2308" width="2.33203125" style="61" customWidth="1"/>
    <col min="2309" max="2309" width="56" style="61" bestFit="1" customWidth="1"/>
    <col min="2310" max="2310" width="2.6640625" style="61" customWidth="1"/>
    <col min="2311" max="2311" width="16.6640625" style="61" bestFit="1" customWidth="1"/>
    <col min="2312" max="2312" width="2.6640625" style="61" customWidth="1"/>
    <col min="2313" max="2313" width="12.6640625" style="61" customWidth="1"/>
    <col min="2314" max="2314" width="12.5546875" style="61" customWidth="1"/>
    <col min="2315" max="2315" width="12.33203125" style="61" customWidth="1"/>
    <col min="2316" max="2316" width="11.6640625" style="61" customWidth="1"/>
    <col min="2317" max="2317" width="12.109375" style="61" customWidth="1"/>
    <col min="2318" max="2318" width="12.33203125" style="61" customWidth="1"/>
    <col min="2319" max="2319" width="11.6640625" style="61" customWidth="1"/>
    <col min="2320" max="2320" width="12" style="61" customWidth="1"/>
    <col min="2321" max="2321" width="12.109375" style="61" customWidth="1"/>
    <col min="2322" max="2322" width="11.6640625" style="61" customWidth="1"/>
    <col min="2323" max="2323" width="12" style="61" customWidth="1"/>
    <col min="2324" max="2324" width="12.33203125" style="61" customWidth="1"/>
    <col min="2325" max="2325" width="12.88671875" style="61" customWidth="1"/>
    <col min="2326" max="2326" width="17.109375" style="61" customWidth="1"/>
    <col min="2327" max="2328" width="13.33203125" style="61" customWidth="1"/>
    <col min="2329" max="2329" width="13.88671875" style="61" customWidth="1"/>
    <col min="2330" max="2330" width="16.88671875" style="61" customWidth="1"/>
    <col min="2331" max="2331" width="13.33203125" style="61" customWidth="1"/>
    <col min="2332" max="2332" width="13.44140625" style="61" customWidth="1"/>
    <col min="2333" max="2333" width="14.5546875" style="61" customWidth="1"/>
    <col min="2334" max="2334" width="14.6640625" style="61" customWidth="1"/>
    <col min="2335" max="2335" width="13.6640625" style="61" customWidth="1"/>
    <col min="2336" max="2336" width="51.33203125" style="61" customWidth="1"/>
    <col min="2337" max="2342" width="9.109375" style="61"/>
    <col min="2343" max="2343" width="0" style="61" hidden="1" customWidth="1"/>
    <col min="2344" max="2560" width="9.109375" style="61"/>
    <col min="2561" max="2561" width="3.5546875" style="61" bestFit="1" customWidth="1"/>
    <col min="2562" max="2564" width="2.33203125" style="61" customWidth="1"/>
    <col min="2565" max="2565" width="56" style="61" bestFit="1" customWidth="1"/>
    <col min="2566" max="2566" width="2.6640625" style="61" customWidth="1"/>
    <col min="2567" max="2567" width="16.6640625" style="61" bestFit="1" customWidth="1"/>
    <col min="2568" max="2568" width="2.6640625" style="61" customWidth="1"/>
    <col min="2569" max="2569" width="12.6640625" style="61" customWidth="1"/>
    <col min="2570" max="2570" width="12.5546875" style="61" customWidth="1"/>
    <col min="2571" max="2571" width="12.33203125" style="61" customWidth="1"/>
    <col min="2572" max="2572" width="11.6640625" style="61" customWidth="1"/>
    <col min="2573" max="2573" width="12.109375" style="61" customWidth="1"/>
    <col min="2574" max="2574" width="12.33203125" style="61" customWidth="1"/>
    <col min="2575" max="2575" width="11.6640625" style="61" customWidth="1"/>
    <col min="2576" max="2576" width="12" style="61" customWidth="1"/>
    <col min="2577" max="2577" width="12.109375" style="61" customWidth="1"/>
    <col min="2578" max="2578" width="11.6640625" style="61" customWidth="1"/>
    <col min="2579" max="2579" width="12" style="61" customWidth="1"/>
    <col min="2580" max="2580" width="12.33203125" style="61" customWidth="1"/>
    <col min="2581" max="2581" width="12.88671875" style="61" customWidth="1"/>
    <col min="2582" max="2582" width="17.109375" style="61" customWidth="1"/>
    <col min="2583" max="2584" width="13.33203125" style="61" customWidth="1"/>
    <col min="2585" max="2585" width="13.88671875" style="61" customWidth="1"/>
    <col min="2586" max="2586" width="16.88671875" style="61" customWidth="1"/>
    <col min="2587" max="2587" width="13.33203125" style="61" customWidth="1"/>
    <col min="2588" max="2588" width="13.44140625" style="61" customWidth="1"/>
    <col min="2589" max="2589" width="14.5546875" style="61" customWidth="1"/>
    <col min="2590" max="2590" width="14.6640625" style="61" customWidth="1"/>
    <col min="2591" max="2591" width="13.6640625" style="61" customWidth="1"/>
    <col min="2592" max="2592" width="51.33203125" style="61" customWidth="1"/>
    <col min="2593" max="2598" width="9.109375" style="61"/>
    <col min="2599" max="2599" width="0" style="61" hidden="1" customWidth="1"/>
    <col min="2600" max="2816" width="9.109375" style="61"/>
    <col min="2817" max="2817" width="3.5546875" style="61" bestFit="1" customWidth="1"/>
    <col min="2818" max="2820" width="2.33203125" style="61" customWidth="1"/>
    <col min="2821" max="2821" width="56" style="61" bestFit="1" customWidth="1"/>
    <col min="2822" max="2822" width="2.6640625" style="61" customWidth="1"/>
    <col min="2823" max="2823" width="16.6640625" style="61" bestFit="1" customWidth="1"/>
    <col min="2824" max="2824" width="2.6640625" style="61" customWidth="1"/>
    <col min="2825" max="2825" width="12.6640625" style="61" customWidth="1"/>
    <col min="2826" max="2826" width="12.5546875" style="61" customWidth="1"/>
    <col min="2827" max="2827" width="12.33203125" style="61" customWidth="1"/>
    <col min="2828" max="2828" width="11.6640625" style="61" customWidth="1"/>
    <col min="2829" max="2829" width="12.109375" style="61" customWidth="1"/>
    <col min="2830" max="2830" width="12.33203125" style="61" customWidth="1"/>
    <col min="2831" max="2831" width="11.6640625" style="61" customWidth="1"/>
    <col min="2832" max="2832" width="12" style="61" customWidth="1"/>
    <col min="2833" max="2833" width="12.109375" style="61" customWidth="1"/>
    <col min="2834" max="2834" width="11.6640625" style="61" customWidth="1"/>
    <col min="2835" max="2835" width="12" style="61" customWidth="1"/>
    <col min="2836" max="2836" width="12.33203125" style="61" customWidth="1"/>
    <col min="2837" max="2837" width="12.88671875" style="61" customWidth="1"/>
    <col min="2838" max="2838" width="17.109375" style="61" customWidth="1"/>
    <col min="2839" max="2840" width="13.33203125" style="61" customWidth="1"/>
    <col min="2841" max="2841" width="13.88671875" style="61" customWidth="1"/>
    <col min="2842" max="2842" width="16.88671875" style="61" customWidth="1"/>
    <col min="2843" max="2843" width="13.33203125" style="61" customWidth="1"/>
    <col min="2844" max="2844" width="13.44140625" style="61" customWidth="1"/>
    <col min="2845" max="2845" width="14.5546875" style="61" customWidth="1"/>
    <col min="2846" max="2846" width="14.6640625" style="61" customWidth="1"/>
    <col min="2847" max="2847" width="13.6640625" style="61" customWidth="1"/>
    <col min="2848" max="2848" width="51.33203125" style="61" customWidth="1"/>
    <col min="2849" max="2854" width="9.109375" style="61"/>
    <col min="2855" max="2855" width="0" style="61" hidden="1" customWidth="1"/>
    <col min="2856" max="3072" width="9.109375" style="61"/>
    <col min="3073" max="3073" width="3.5546875" style="61" bestFit="1" customWidth="1"/>
    <col min="3074" max="3076" width="2.33203125" style="61" customWidth="1"/>
    <col min="3077" max="3077" width="56" style="61" bestFit="1" customWidth="1"/>
    <col min="3078" max="3078" width="2.6640625" style="61" customWidth="1"/>
    <col min="3079" max="3079" width="16.6640625" style="61" bestFit="1" customWidth="1"/>
    <col min="3080" max="3080" width="2.6640625" style="61" customWidth="1"/>
    <col min="3081" max="3081" width="12.6640625" style="61" customWidth="1"/>
    <col min="3082" max="3082" width="12.5546875" style="61" customWidth="1"/>
    <col min="3083" max="3083" width="12.33203125" style="61" customWidth="1"/>
    <col min="3084" max="3084" width="11.6640625" style="61" customWidth="1"/>
    <col min="3085" max="3085" width="12.109375" style="61" customWidth="1"/>
    <col min="3086" max="3086" width="12.33203125" style="61" customWidth="1"/>
    <col min="3087" max="3087" width="11.6640625" style="61" customWidth="1"/>
    <col min="3088" max="3088" width="12" style="61" customWidth="1"/>
    <col min="3089" max="3089" width="12.109375" style="61" customWidth="1"/>
    <col min="3090" max="3090" width="11.6640625" style="61" customWidth="1"/>
    <col min="3091" max="3091" width="12" style="61" customWidth="1"/>
    <col min="3092" max="3092" width="12.33203125" style="61" customWidth="1"/>
    <col min="3093" max="3093" width="12.88671875" style="61" customWidth="1"/>
    <col min="3094" max="3094" width="17.109375" style="61" customWidth="1"/>
    <col min="3095" max="3096" width="13.33203125" style="61" customWidth="1"/>
    <col min="3097" max="3097" width="13.88671875" style="61" customWidth="1"/>
    <col min="3098" max="3098" width="16.88671875" style="61" customWidth="1"/>
    <col min="3099" max="3099" width="13.33203125" style="61" customWidth="1"/>
    <col min="3100" max="3100" width="13.44140625" style="61" customWidth="1"/>
    <col min="3101" max="3101" width="14.5546875" style="61" customWidth="1"/>
    <col min="3102" max="3102" width="14.6640625" style="61" customWidth="1"/>
    <col min="3103" max="3103" width="13.6640625" style="61" customWidth="1"/>
    <col min="3104" max="3104" width="51.33203125" style="61" customWidth="1"/>
    <col min="3105" max="3110" width="9.109375" style="61"/>
    <col min="3111" max="3111" width="0" style="61" hidden="1" customWidth="1"/>
    <col min="3112" max="3328" width="9.109375" style="61"/>
    <col min="3329" max="3329" width="3.5546875" style="61" bestFit="1" customWidth="1"/>
    <col min="3330" max="3332" width="2.33203125" style="61" customWidth="1"/>
    <col min="3333" max="3333" width="56" style="61" bestFit="1" customWidth="1"/>
    <col min="3334" max="3334" width="2.6640625" style="61" customWidth="1"/>
    <col min="3335" max="3335" width="16.6640625" style="61" bestFit="1" customWidth="1"/>
    <col min="3336" max="3336" width="2.6640625" style="61" customWidth="1"/>
    <col min="3337" max="3337" width="12.6640625" style="61" customWidth="1"/>
    <col min="3338" max="3338" width="12.5546875" style="61" customWidth="1"/>
    <col min="3339" max="3339" width="12.33203125" style="61" customWidth="1"/>
    <col min="3340" max="3340" width="11.6640625" style="61" customWidth="1"/>
    <col min="3341" max="3341" width="12.109375" style="61" customWidth="1"/>
    <col min="3342" max="3342" width="12.33203125" style="61" customWidth="1"/>
    <col min="3343" max="3343" width="11.6640625" style="61" customWidth="1"/>
    <col min="3344" max="3344" width="12" style="61" customWidth="1"/>
    <col min="3345" max="3345" width="12.109375" style="61" customWidth="1"/>
    <col min="3346" max="3346" width="11.6640625" style="61" customWidth="1"/>
    <col min="3347" max="3347" width="12" style="61" customWidth="1"/>
    <col min="3348" max="3348" width="12.33203125" style="61" customWidth="1"/>
    <col min="3349" max="3349" width="12.88671875" style="61" customWidth="1"/>
    <col min="3350" max="3350" width="17.109375" style="61" customWidth="1"/>
    <col min="3351" max="3352" width="13.33203125" style="61" customWidth="1"/>
    <col min="3353" max="3353" width="13.88671875" style="61" customWidth="1"/>
    <col min="3354" max="3354" width="16.88671875" style="61" customWidth="1"/>
    <col min="3355" max="3355" width="13.33203125" style="61" customWidth="1"/>
    <col min="3356" max="3356" width="13.44140625" style="61" customWidth="1"/>
    <col min="3357" max="3357" width="14.5546875" style="61" customWidth="1"/>
    <col min="3358" max="3358" width="14.6640625" style="61" customWidth="1"/>
    <col min="3359" max="3359" width="13.6640625" style="61" customWidth="1"/>
    <col min="3360" max="3360" width="51.33203125" style="61" customWidth="1"/>
    <col min="3361" max="3366" width="9.109375" style="61"/>
    <col min="3367" max="3367" width="0" style="61" hidden="1" customWidth="1"/>
    <col min="3368" max="3584" width="9.109375" style="61"/>
    <col min="3585" max="3585" width="3.5546875" style="61" bestFit="1" customWidth="1"/>
    <col min="3586" max="3588" width="2.33203125" style="61" customWidth="1"/>
    <col min="3589" max="3589" width="56" style="61" bestFit="1" customWidth="1"/>
    <col min="3590" max="3590" width="2.6640625" style="61" customWidth="1"/>
    <col min="3591" max="3591" width="16.6640625" style="61" bestFit="1" customWidth="1"/>
    <col min="3592" max="3592" width="2.6640625" style="61" customWidth="1"/>
    <col min="3593" max="3593" width="12.6640625" style="61" customWidth="1"/>
    <col min="3594" max="3594" width="12.5546875" style="61" customWidth="1"/>
    <col min="3595" max="3595" width="12.33203125" style="61" customWidth="1"/>
    <col min="3596" max="3596" width="11.6640625" style="61" customWidth="1"/>
    <col min="3597" max="3597" width="12.109375" style="61" customWidth="1"/>
    <col min="3598" max="3598" width="12.33203125" style="61" customWidth="1"/>
    <col min="3599" max="3599" width="11.6640625" style="61" customWidth="1"/>
    <col min="3600" max="3600" width="12" style="61" customWidth="1"/>
    <col min="3601" max="3601" width="12.109375" style="61" customWidth="1"/>
    <col min="3602" max="3602" width="11.6640625" style="61" customWidth="1"/>
    <col min="3603" max="3603" width="12" style="61" customWidth="1"/>
    <col min="3604" max="3604" width="12.33203125" style="61" customWidth="1"/>
    <col min="3605" max="3605" width="12.88671875" style="61" customWidth="1"/>
    <col min="3606" max="3606" width="17.109375" style="61" customWidth="1"/>
    <col min="3607" max="3608" width="13.33203125" style="61" customWidth="1"/>
    <col min="3609" max="3609" width="13.88671875" style="61" customWidth="1"/>
    <col min="3610" max="3610" width="16.88671875" style="61" customWidth="1"/>
    <col min="3611" max="3611" width="13.33203125" style="61" customWidth="1"/>
    <col min="3612" max="3612" width="13.44140625" style="61" customWidth="1"/>
    <col min="3613" max="3613" width="14.5546875" style="61" customWidth="1"/>
    <col min="3614" max="3614" width="14.6640625" style="61" customWidth="1"/>
    <col min="3615" max="3615" width="13.6640625" style="61" customWidth="1"/>
    <col min="3616" max="3616" width="51.33203125" style="61" customWidth="1"/>
    <col min="3617" max="3622" width="9.109375" style="61"/>
    <col min="3623" max="3623" width="0" style="61" hidden="1" customWidth="1"/>
    <col min="3624" max="3840" width="9.109375" style="61"/>
    <col min="3841" max="3841" width="3.5546875" style="61" bestFit="1" customWidth="1"/>
    <col min="3842" max="3844" width="2.33203125" style="61" customWidth="1"/>
    <col min="3845" max="3845" width="56" style="61" bestFit="1" customWidth="1"/>
    <col min="3846" max="3846" width="2.6640625" style="61" customWidth="1"/>
    <col min="3847" max="3847" width="16.6640625" style="61" bestFit="1" customWidth="1"/>
    <col min="3848" max="3848" width="2.6640625" style="61" customWidth="1"/>
    <col min="3849" max="3849" width="12.6640625" style="61" customWidth="1"/>
    <col min="3850" max="3850" width="12.5546875" style="61" customWidth="1"/>
    <col min="3851" max="3851" width="12.33203125" style="61" customWidth="1"/>
    <col min="3852" max="3852" width="11.6640625" style="61" customWidth="1"/>
    <col min="3853" max="3853" width="12.109375" style="61" customWidth="1"/>
    <col min="3854" max="3854" width="12.33203125" style="61" customWidth="1"/>
    <col min="3855" max="3855" width="11.6640625" style="61" customWidth="1"/>
    <col min="3856" max="3856" width="12" style="61" customWidth="1"/>
    <col min="3857" max="3857" width="12.109375" style="61" customWidth="1"/>
    <col min="3858" max="3858" width="11.6640625" style="61" customWidth="1"/>
    <col min="3859" max="3859" width="12" style="61" customWidth="1"/>
    <col min="3860" max="3860" width="12.33203125" style="61" customWidth="1"/>
    <col min="3861" max="3861" width="12.88671875" style="61" customWidth="1"/>
    <col min="3862" max="3862" width="17.109375" style="61" customWidth="1"/>
    <col min="3863" max="3864" width="13.33203125" style="61" customWidth="1"/>
    <col min="3865" max="3865" width="13.88671875" style="61" customWidth="1"/>
    <col min="3866" max="3866" width="16.88671875" style="61" customWidth="1"/>
    <col min="3867" max="3867" width="13.33203125" style="61" customWidth="1"/>
    <col min="3868" max="3868" width="13.44140625" style="61" customWidth="1"/>
    <col min="3869" max="3869" width="14.5546875" style="61" customWidth="1"/>
    <col min="3870" max="3870" width="14.6640625" style="61" customWidth="1"/>
    <col min="3871" max="3871" width="13.6640625" style="61" customWidth="1"/>
    <col min="3872" max="3872" width="51.33203125" style="61" customWidth="1"/>
    <col min="3873" max="3878" width="9.109375" style="61"/>
    <col min="3879" max="3879" width="0" style="61" hidden="1" customWidth="1"/>
    <col min="3880" max="4096" width="9.109375" style="61"/>
    <col min="4097" max="4097" width="3.5546875" style="61" bestFit="1" customWidth="1"/>
    <col min="4098" max="4100" width="2.33203125" style="61" customWidth="1"/>
    <col min="4101" max="4101" width="56" style="61" bestFit="1" customWidth="1"/>
    <col min="4102" max="4102" width="2.6640625" style="61" customWidth="1"/>
    <col min="4103" max="4103" width="16.6640625" style="61" bestFit="1" customWidth="1"/>
    <col min="4104" max="4104" width="2.6640625" style="61" customWidth="1"/>
    <col min="4105" max="4105" width="12.6640625" style="61" customWidth="1"/>
    <col min="4106" max="4106" width="12.5546875" style="61" customWidth="1"/>
    <col min="4107" max="4107" width="12.33203125" style="61" customWidth="1"/>
    <col min="4108" max="4108" width="11.6640625" style="61" customWidth="1"/>
    <col min="4109" max="4109" width="12.109375" style="61" customWidth="1"/>
    <col min="4110" max="4110" width="12.33203125" style="61" customWidth="1"/>
    <col min="4111" max="4111" width="11.6640625" style="61" customWidth="1"/>
    <col min="4112" max="4112" width="12" style="61" customWidth="1"/>
    <col min="4113" max="4113" width="12.109375" style="61" customWidth="1"/>
    <col min="4114" max="4114" width="11.6640625" style="61" customWidth="1"/>
    <col min="4115" max="4115" width="12" style="61" customWidth="1"/>
    <col min="4116" max="4116" width="12.33203125" style="61" customWidth="1"/>
    <col min="4117" max="4117" width="12.88671875" style="61" customWidth="1"/>
    <col min="4118" max="4118" width="17.109375" style="61" customWidth="1"/>
    <col min="4119" max="4120" width="13.33203125" style="61" customWidth="1"/>
    <col min="4121" max="4121" width="13.88671875" style="61" customWidth="1"/>
    <col min="4122" max="4122" width="16.88671875" style="61" customWidth="1"/>
    <col min="4123" max="4123" width="13.33203125" style="61" customWidth="1"/>
    <col min="4124" max="4124" width="13.44140625" style="61" customWidth="1"/>
    <col min="4125" max="4125" width="14.5546875" style="61" customWidth="1"/>
    <col min="4126" max="4126" width="14.6640625" style="61" customWidth="1"/>
    <col min="4127" max="4127" width="13.6640625" style="61" customWidth="1"/>
    <col min="4128" max="4128" width="51.33203125" style="61" customWidth="1"/>
    <col min="4129" max="4134" width="9.109375" style="61"/>
    <col min="4135" max="4135" width="0" style="61" hidden="1" customWidth="1"/>
    <col min="4136" max="4352" width="9.109375" style="61"/>
    <col min="4353" max="4353" width="3.5546875" style="61" bestFit="1" customWidth="1"/>
    <col min="4354" max="4356" width="2.33203125" style="61" customWidth="1"/>
    <col min="4357" max="4357" width="56" style="61" bestFit="1" customWidth="1"/>
    <col min="4358" max="4358" width="2.6640625" style="61" customWidth="1"/>
    <col min="4359" max="4359" width="16.6640625" style="61" bestFit="1" customWidth="1"/>
    <col min="4360" max="4360" width="2.6640625" style="61" customWidth="1"/>
    <col min="4361" max="4361" width="12.6640625" style="61" customWidth="1"/>
    <col min="4362" max="4362" width="12.5546875" style="61" customWidth="1"/>
    <col min="4363" max="4363" width="12.33203125" style="61" customWidth="1"/>
    <col min="4364" max="4364" width="11.6640625" style="61" customWidth="1"/>
    <col min="4365" max="4365" width="12.109375" style="61" customWidth="1"/>
    <col min="4366" max="4366" width="12.33203125" style="61" customWidth="1"/>
    <col min="4367" max="4367" width="11.6640625" style="61" customWidth="1"/>
    <col min="4368" max="4368" width="12" style="61" customWidth="1"/>
    <col min="4369" max="4369" width="12.109375" style="61" customWidth="1"/>
    <col min="4370" max="4370" width="11.6640625" style="61" customWidth="1"/>
    <col min="4371" max="4371" width="12" style="61" customWidth="1"/>
    <col min="4372" max="4372" width="12.33203125" style="61" customWidth="1"/>
    <col min="4373" max="4373" width="12.88671875" style="61" customWidth="1"/>
    <col min="4374" max="4374" width="17.109375" style="61" customWidth="1"/>
    <col min="4375" max="4376" width="13.33203125" style="61" customWidth="1"/>
    <col min="4377" max="4377" width="13.88671875" style="61" customWidth="1"/>
    <col min="4378" max="4378" width="16.88671875" style="61" customWidth="1"/>
    <col min="4379" max="4379" width="13.33203125" style="61" customWidth="1"/>
    <col min="4380" max="4380" width="13.44140625" style="61" customWidth="1"/>
    <col min="4381" max="4381" width="14.5546875" style="61" customWidth="1"/>
    <col min="4382" max="4382" width="14.6640625" style="61" customWidth="1"/>
    <col min="4383" max="4383" width="13.6640625" style="61" customWidth="1"/>
    <col min="4384" max="4384" width="51.33203125" style="61" customWidth="1"/>
    <col min="4385" max="4390" width="9.109375" style="61"/>
    <col min="4391" max="4391" width="0" style="61" hidden="1" customWidth="1"/>
    <col min="4392" max="4608" width="9.109375" style="61"/>
    <col min="4609" max="4609" width="3.5546875" style="61" bestFit="1" customWidth="1"/>
    <col min="4610" max="4612" width="2.33203125" style="61" customWidth="1"/>
    <col min="4613" max="4613" width="56" style="61" bestFit="1" customWidth="1"/>
    <col min="4614" max="4614" width="2.6640625" style="61" customWidth="1"/>
    <col min="4615" max="4615" width="16.6640625" style="61" bestFit="1" customWidth="1"/>
    <col min="4616" max="4616" width="2.6640625" style="61" customWidth="1"/>
    <col min="4617" max="4617" width="12.6640625" style="61" customWidth="1"/>
    <col min="4618" max="4618" width="12.5546875" style="61" customWidth="1"/>
    <col min="4619" max="4619" width="12.33203125" style="61" customWidth="1"/>
    <col min="4620" max="4620" width="11.6640625" style="61" customWidth="1"/>
    <col min="4621" max="4621" width="12.109375" style="61" customWidth="1"/>
    <col min="4622" max="4622" width="12.33203125" style="61" customWidth="1"/>
    <col min="4623" max="4623" width="11.6640625" style="61" customWidth="1"/>
    <col min="4624" max="4624" width="12" style="61" customWidth="1"/>
    <col min="4625" max="4625" width="12.109375" style="61" customWidth="1"/>
    <col min="4626" max="4626" width="11.6640625" style="61" customWidth="1"/>
    <col min="4627" max="4627" width="12" style="61" customWidth="1"/>
    <col min="4628" max="4628" width="12.33203125" style="61" customWidth="1"/>
    <col min="4629" max="4629" width="12.88671875" style="61" customWidth="1"/>
    <col min="4630" max="4630" width="17.109375" style="61" customWidth="1"/>
    <col min="4631" max="4632" width="13.33203125" style="61" customWidth="1"/>
    <col min="4633" max="4633" width="13.88671875" style="61" customWidth="1"/>
    <col min="4634" max="4634" width="16.88671875" style="61" customWidth="1"/>
    <col min="4635" max="4635" width="13.33203125" style="61" customWidth="1"/>
    <col min="4636" max="4636" width="13.44140625" style="61" customWidth="1"/>
    <col min="4637" max="4637" width="14.5546875" style="61" customWidth="1"/>
    <col min="4638" max="4638" width="14.6640625" style="61" customWidth="1"/>
    <col min="4639" max="4639" width="13.6640625" style="61" customWidth="1"/>
    <col min="4640" max="4640" width="51.33203125" style="61" customWidth="1"/>
    <col min="4641" max="4646" width="9.109375" style="61"/>
    <col min="4647" max="4647" width="0" style="61" hidden="1" customWidth="1"/>
    <col min="4648" max="4864" width="9.109375" style="61"/>
    <col min="4865" max="4865" width="3.5546875" style="61" bestFit="1" customWidth="1"/>
    <col min="4866" max="4868" width="2.33203125" style="61" customWidth="1"/>
    <col min="4869" max="4869" width="56" style="61" bestFit="1" customWidth="1"/>
    <col min="4870" max="4870" width="2.6640625" style="61" customWidth="1"/>
    <col min="4871" max="4871" width="16.6640625" style="61" bestFit="1" customWidth="1"/>
    <col min="4872" max="4872" width="2.6640625" style="61" customWidth="1"/>
    <col min="4873" max="4873" width="12.6640625" style="61" customWidth="1"/>
    <col min="4874" max="4874" width="12.5546875" style="61" customWidth="1"/>
    <col min="4875" max="4875" width="12.33203125" style="61" customWidth="1"/>
    <col min="4876" max="4876" width="11.6640625" style="61" customWidth="1"/>
    <col min="4877" max="4877" width="12.109375" style="61" customWidth="1"/>
    <col min="4878" max="4878" width="12.33203125" style="61" customWidth="1"/>
    <col min="4879" max="4879" width="11.6640625" style="61" customWidth="1"/>
    <col min="4880" max="4880" width="12" style="61" customWidth="1"/>
    <col min="4881" max="4881" width="12.109375" style="61" customWidth="1"/>
    <col min="4882" max="4882" width="11.6640625" style="61" customWidth="1"/>
    <col min="4883" max="4883" width="12" style="61" customWidth="1"/>
    <col min="4884" max="4884" width="12.33203125" style="61" customWidth="1"/>
    <col min="4885" max="4885" width="12.88671875" style="61" customWidth="1"/>
    <col min="4886" max="4886" width="17.109375" style="61" customWidth="1"/>
    <col min="4887" max="4888" width="13.33203125" style="61" customWidth="1"/>
    <col min="4889" max="4889" width="13.88671875" style="61" customWidth="1"/>
    <col min="4890" max="4890" width="16.88671875" style="61" customWidth="1"/>
    <col min="4891" max="4891" width="13.33203125" style="61" customWidth="1"/>
    <col min="4892" max="4892" width="13.44140625" style="61" customWidth="1"/>
    <col min="4893" max="4893" width="14.5546875" style="61" customWidth="1"/>
    <col min="4894" max="4894" width="14.6640625" style="61" customWidth="1"/>
    <col min="4895" max="4895" width="13.6640625" style="61" customWidth="1"/>
    <col min="4896" max="4896" width="51.33203125" style="61" customWidth="1"/>
    <col min="4897" max="4902" width="9.109375" style="61"/>
    <col min="4903" max="4903" width="0" style="61" hidden="1" customWidth="1"/>
    <col min="4904" max="5120" width="9.109375" style="61"/>
    <col min="5121" max="5121" width="3.5546875" style="61" bestFit="1" customWidth="1"/>
    <col min="5122" max="5124" width="2.33203125" style="61" customWidth="1"/>
    <col min="5125" max="5125" width="56" style="61" bestFit="1" customWidth="1"/>
    <col min="5126" max="5126" width="2.6640625" style="61" customWidth="1"/>
    <col min="5127" max="5127" width="16.6640625" style="61" bestFit="1" customWidth="1"/>
    <col min="5128" max="5128" width="2.6640625" style="61" customWidth="1"/>
    <col min="5129" max="5129" width="12.6640625" style="61" customWidth="1"/>
    <col min="5130" max="5130" width="12.5546875" style="61" customWidth="1"/>
    <col min="5131" max="5131" width="12.33203125" style="61" customWidth="1"/>
    <col min="5132" max="5132" width="11.6640625" style="61" customWidth="1"/>
    <col min="5133" max="5133" width="12.109375" style="61" customWidth="1"/>
    <col min="5134" max="5134" width="12.33203125" style="61" customWidth="1"/>
    <col min="5135" max="5135" width="11.6640625" style="61" customWidth="1"/>
    <col min="5136" max="5136" width="12" style="61" customWidth="1"/>
    <col min="5137" max="5137" width="12.109375" style="61" customWidth="1"/>
    <col min="5138" max="5138" width="11.6640625" style="61" customWidth="1"/>
    <col min="5139" max="5139" width="12" style="61" customWidth="1"/>
    <col min="5140" max="5140" width="12.33203125" style="61" customWidth="1"/>
    <col min="5141" max="5141" width="12.88671875" style="61" customWidth="1"/>
    <col min="5142" max="5142" width="17.109375" style="61" customWidth="1"/>
    <col min="5143" max="5144" width="13.33203125" style="61" customWidth="1"/>
    <col min="5145" max="5145" width="13.88671875" style="61" customWidth="1"/>
    <col min="5146" max="5146" width="16.88671875" style="61" customWidth="1"/>
    <col min="5147" max="5147" width="13.33203125" style="61" customWidth="1"/>
    <col min="5148" max="5148" width="13.44140625" style="61" customWidth="1"/>
    <col min="5149" max="5149" width="14.5546875" style="61" customWidth="1"/>
    <col min="5150" max="5150" width="14.6640625" style="61" customWidth="1"/>
    <col min="5151" max="5151" width="13.6640625" style="61" customWidth="1"/>
    <col min="5152" max="5152" width="51.33203125" style="61" customWidth="1"/>
    <col min="5153" max="5158" width="9.109375" style="61"/>
    <col min="5159" max="5159" width="0" style="61" hidden="1" customWidth="1"/>
    <col min="5160" max="5376" width="9.109375" style="61"/>
    <col min="5377" max="5377" width="3.5546875" style="61" bestFit="1" customWidth="1"/>
    <col min="5378" max="5380" width="2.33203125" style="61" customWidth="1"/>
    <col min="5381" max="5381" width="56" style="61" bestFit="1" customWidth="1"/>
    <col min="5382" max="5382" width="2.6640625" style="61" customWidth="1"/>
    <col min="5383" max="5383" width="16.6640625" style="61" bestFit="1" customWidth="1"/>
    <col min="5384" max="5384" width="2.6640625" style="61" customWidth="1"/>
    <col min="5385" max="5385" width="12.6640625" style="61" customWidth="1"/>
    <col min="5386" max="5386" width="12.5546875" style="61" customWidth="1"/>
    <col min="5387" max="5387" width="12.33203125" style="61" customWidth="1"/>
    <col min="5388" max="5388" width="11.6640625" style="61" customWidth="1"/>
    <col min="5389" max="5389" width="12.109375" style="61" customWidth="1"/>
    <col min="5390" max="5390" width="12.33203125" style="61" customWidth="1"/>
    <col min="5391" max="5391" width="11.6640625" style="61" customWidth="1"/>
    <col min="5392" max="5392" width="12" style="61" customWidth="1"/>
    <col min="5393" max="5393" width="12.109375" style="61" customWidth="1"/>
    <col min="5394" max="5394" width="11.6640625" style="61" customWidth="1"/>
    <col min="5395" max="5395" width="12" style="61" customWidth="1"/>
    <col min="5396" max="5396" width="12.33203125" style="61" customWidth="1"/>
    <col min="5397" max="5397" width="12.88671875" style="61" customWidth="1"/>
    <col min="5398" max="5398" width="17.109375" style="61" customWidth="1"/>
    <col min="5399" max="5400" width="13.33203125" style="61" customWidth="1"/>
    <col min="5401" max="5401" width="13.88671875" style="61" customWidth="1"/>
    <col min="5402" max="5402" width="16.88671875" style="61" customWidth="1"/>
    <col min="5403" max="5403" width="13.33203125" style="61" customWidth="1"/>
    <col min="5404" max="5404" width="13.44140625" style="61" customWidth="1"/>
    <col min="5405" max="5405" width="14.5546875" style="61" customWidth="1"/>
    <col min="5406" max="5406" width="14.6640625" style="61" customWidth="1"/>
    <col min="5407" max="5407" width="13.6640625" style="61" customWidth="1"/>
    <col min="5408" max="5408" width="51.33203125" style="61" customWidth="1"/>
    <col min="5409" max="5414" width="9.109375" style="61"/>
    <col min="5415" max="5415" width="0" style="61" hidden="1" customWidth="1"/>
    <col min="5416" max="5632" width="9.109375" style="61"/>
    <col min="5633" max="5633" width="3.5546875" style="61" bestFit="1" customWidth="1"/>
    <col min="5634" max="5636" width="2.33203125" style="61" customWidth="1"/>
    <col min="5637" max="5637" width="56" style="61" bestFit="1" customWidth="1"/>
    <col min="5638" max="5638" width="2.6640625" style="61" customWidth="1"/>
    <col min="5639" max="5639" width="16.6640625" style="61" bestFit="1" customWidth="1"/>
    <col min="5640" max="5640" width="2.6640625" style="61" customWidth="1"/>
    <col min="5641" max="5641" width="12.6640625" style="61" customWidth="1"/>
    <col min="5642" max="5642" width="12.5546875" style="61" customWidth="1"/>
    <col min="5643" max="5643" width="12.33203125" style="61" customWidth="1"/>
    <col min="5644" max="5644" width="11.6640625" style="61" customWidth="1"/>
    <col min="5645" max="5645" width="12.109375" style="61" customWidth="1"/>
    <col min="5646" max="5646" width="12.33203125" style="61" customWidth="1"/>
    <col min="5647" max="5647" width="11.6640625" style="61" customWidth="1"/>
    <col min="5648" max="5648" width="12" style="61" customWidth="1"/>
    <col min="5649" max="5649" width="12.109375" style="61" customWidth="1"/>
    <col min="5650" max="5650" width="11.6640625" style="61" customWidth="1"/>
    <col min="5651" max="5651" width="12" style="61" customWidth="1"/>
    <col min="5652" max="5652" width="12.33203125" style="61" customWidth="1"/>
    <col min="5653" max="5653" width="12.88671875" style="61" customWidth="1"/>
    <col min="5654" max="5654" width="17.109375" style="61" customWidth="1"/>
    <col min="5655" max="5656" width="13.33203125" style="61" customWidth="1"/>
    <col min="5657" max="5657" width="13.88671875" style="61" customWidth="1"/>
    <col min="5658" max="5658" width="16.88671875" style="61" customWidth="1"/>
    <col min="5659" max="5659" width="13.33203125" style="61" customWidth="1"/>
    <col min="5660" max="5660" width="13.44140625" style="61" customWidth="1"/>
    <col min="5661" max="5661" width="14.5546875" style="61" customWidth="1"/>
    <col min="5662" max="5662" width="14.6640625" style="61" customWidth="1"/>
    <col min="5663" max="5663" width="13.6640625" style="61" customWidth="1"/>
    <col min="5664" max="5664" width="51.33203125" style="61" customWidth="1"/>
    <col min="5665" max="5670" width="9.109375" style="61"/>
    <col min="5671" max="5671" width="0" style="61" hidden="1" customWidth="1"/>
    <col min="5672" max="5888" width="9.109375" style="61"/>
    <col min="5889" max="5889" width="3.5546875" style="61" bestFit="1" customWidth="1"/>
    <col min="5890" max="5892" width="2.33203125" style="61" customWidth="1"/>
    <col min="5893" max="5893" width="56" style="61" bestFit="1" customWidth="1"/>
    <col min="5894" max="5894" width="2.6640625" style="61" customWidth="1"/>
    <col min="5895" max="5895" width="16.6640625" style="61" bestFit="1" customWidth="1"/>
    <col min="5896" max="5896" width="2.6640625" style="61" customWidth="1"/>
    <col min="5897" max="5897" width="12.6640625" style="61" customWidth="1"/>
    <col min="5898" max="5898" width="12.5546875" style="61" customWidth="1"/>
    <col min="5899" max="5899" width="12.33203125" style="61" customWidth="1"/>
    <col min="5900" max="5900" width="11.6640625" style="61" customWidth="1"/>
    <col min="5901" max="5901" width="12.109375" style="61" customWidth="1"/>
    <col min="5902" max="5902" width="12.33203125" style="61" customWidth="1"/>
    <col min="5903" max="5903" width="11.6640625" style="61" customWidth="1"/>
    <col min="5904" max="5904" width="12" style="61" customWidth="1"/>
    <col min="5905" max="5905" width="12.109375" style="61" customWidth="1"/>
    <col min="5906" max="5906" width="11.6640625" style="61" customWidth="1"/>
    <col min="5907" max="5907" width="12" style="61" customWidth="1"/>
    <col min="5908" max="5908" width="12.33203125" style="61" customWidth="1"/>
    <col min="5909" max="5909" width="12.88671875" style="61" customWidth="1"/>
    <col min="5910" max="5910" width="17.109375" style="61" customWidth="1"/>
    <col min="5911" max="5912" width="13.33203125" style="61" customWidth="1"/>
    <col min="5913" max="5913" width="13.88671875" style="61" customWidth="1"/>
    <col min="5914" max="5914" width="16.88671875" style="61" customWidth="1"/>
    <col min="5915" max="5915" width="13.33203125" style="61" customWidth="1"/>
    <col min="5916" max="5916" width="13.44140625" style="61" customWidth="1"/>
    <col min="5917" max="5917" width="14.5546875" style="61" customWidth="1"/>
    <col min="5918" max="5918" width="14.6640625" style="61" customWidth="1"/>
    <col min="5919" max="5919" width="13.6640625" style="61" customWidth="1"/>
    <col min="5920" max="5920" width="51.33203125" style="61" customWidth="1"/>
    <col min="5921" max="5926" width="9.109375" style="61"/>
    <col min="5927" max="5927" width="0" style="61" hidden="1" customWidth="1"/>
    <col min="5928" max="6144" width="9.109375" style="61"/>
    <col min="6145" max="6145" width="3.5546875" style="61" bestFit="1" customWidth="1"/>
    <col min="6146" max="6148" width="2.33203125" style="61" customWidth="1"/>
    <col min="6149" max="6149" width="56" style="61" bestFit="1" customWidth="1"/>
    <col min="6150" max="6150" width="2.6640625" style="61" customWidth="1"/>
    <col min="6151" max="6151" width="16.6640625" style="61" bestFit="1" customWidth="1"/>
    <col min="6152" max="6152" width="2.6640625" style="61" customWidth="1"/>
    <col min="6153" max="6153" width="12.6640625" style="61" customWidth="1"/>
    <col min="6154" max="6154" width="12.5546875" style="61" customWidth="1"/>
    <col min="6155" max="6155" width="12.33203125" style="61" customWidth="1"/>
    <col min="6156" max="6156" width="11.6640625" style="61" customWidth="1"/>
    <col min="6157" max="6157" width="12.109375" style="61" customWidth="1"/>
    <col min="6158" max="6158" width="12.33203125" style="61" customWidth="1"/>
    <col min="6159" max="6159" width="11.6640625" style="61" customWidth="1"/>
    <col min="6160" max="6160" width="12" style="61" customWidth="1"/>
    <col min="6161" max="6161" width="12.109375" style="61" customWidth="1"/>
    <col min="6162" max="6162" width="11.6640625" style="61" customWidth="1"/>
    <col min="6163" max="6163" width="12" style="61" customWidth="1"/>
    <col min="6164" max="6164" width="12.33203125" style="61" customWidth="1"/>
    <col min="6165" max="6165" width="12.88671875" style="61" customWidth="1"/>
    <col min="6166" max="6166" width="17.109375" style="61" customWidth="1"/>
    <col min="6167" max="6168" width="13.33203125" style="61" customWidth="1"/>
    <col min="6169" max="6169" width="13.88671875" style="61" customWidth="1"/>
    <col min="6170" max="6170" width="16.88671875" style="61" customWidth="1"/>
    <col min="6171" max="6171" width="13.33203125" style="61" customWidth="1"/>
    <col min="6172" max="6172" width="13.44140625" style="61" customWidth="1"/>
    <col min="6173" max="6173" width="14.5546875" style="61" customWidth="1"/>
    <col min="6174" max="6174" width="14.6640625" style="61" customWidth="1"/>
    <col min="6175" max="6175" width="13.6640625" style="61" customWidth="1"/>
    <col min="6176" max="6176" width="51.33203125" style="61" customWidth="1"/>
    <col min="6177" max="6182" width="9.109375" style="61"/>
    <col min="6183" max="6183" width="0" style="61" hidden="1" customWidth="1"/>
    <col min="6184" max="6400" width="9.109375" style="61"/>
    <col min="6401" max="6401" width="3.5546875" style="61" bestFit="1" customWidth="1"/>
    <col min="6402" max="6404" width="2.33203125" style="61" customWidth="1"/>
    <col min="6405" max="6405" width="56" style="61" bestFit="1" customWidth="1"/>
    <col min="6406" max="6406" width="2.6640625" style="61" customWidth="1"/>
    <col min="6407" max="6407" width="16.6640625" style="61" bestFit="1" customWidth="1"/>
    <col min="6408" max="6408" width="2.6640625" style="61" customWidth="1"/>
    <col min="6409" max="6409" width="12.6640625" style="61" customWidth="1"/>
    <col min="6410" max="6410" width="12.5546875" style="61" customWidth="1"/>
    <col min="6411" max="6411" width="12.33203125" style="61" customWidth="1"/>
    <col min="6412" max="6412" width="11.6640625" style="61" customWidth="1"/>
    <col min="6413" max="6413" width="12.109375" style="61" customWidth="1"/>
    <col min="6414" max="6414" width="12.33203125" style="61" customWidth="1"/>
    <col min="6415" max="6415" width="11.6640625" style="61" customWidth="1"/>
    <col min="6416" max="6416" width="12" style="61" customWidth="1"/>
    <col min="6417" max="6417" width="12.109375" style="61" customWidth="1"/>
    <col min="6418" max="6418" width="11.6640625" style="61" customWidth="1"/>
    <col min="6419" max="6419" width="12" style="61" customWidth="1"/>
    <col min="6420" max="6420" width="12.33203125" style="61" customWidth="1"/>
    <col min="6421" max="6421" width="12.88671875" style="61" customWidth="1"/>
    <col min="6422" max="6422" width="17.109375" style="61" customWidth="1"/>
    <col min="6423" max="6424" width="13.33203125" style="61" customWidth="1"/>
    <col min="6425" max="6425" width="13.88671875" style="61" customWidth="1"/>
    <col min="6426" max="6426" width="16.88671875" style="61" customWidth="1"/>
    <col min="6427" max="6427" width="13.33203125" style="61" customWidth="1"/>
    <col min="6428" max="6428" width="13.44140625" style="61" customWidth="1"/>
    <col min="6429" max="6429" width="14.5546875" style="61" customWidth="1"/>
    <col min="6430" max="6430" width="14.6640625" style="61" customWidth="1"/>
    <col min="6431" max="6431" width="13.6640625" style="61" customWidth="1"/>
    <col min="6432" max="6432" width="51.33203125" style="61" customWidth="1"/>
    <col min="6433" max="6438" width="9.109375" style="61"/>
    <col min="6439" max="6439" width="0" style="61" hidden="1" customWidth="1"/>
    <col min="6440" max="6656" width="9.109375" style="61"/>
    <col min="6657" max="6657" width="3.5546875" style="61" bestFit="1" customWidth="1"/>
    <col min="6658" max="6660" width="2.33203125" style="61" customWidth="1"/>
    <col min="6661" max="6661" width="56" style="61" bestFit="1" customWidth="1"/>
    <col min="6662" max="6662" width="2.6640625" style="61" customWidth="1"/>
    <col min="6663" max="6663" width="16.6640625" style="61" bestFit="1" customWidth="1"/>
    <col min="6664" max="6664" width="2.6640625" style="61" customWidth="1"/>
    <col min="6665" max="6665" width="12.6640625" style="61" customWidth="1"/>
    <col min="6666" max="6666" width="12.5546875" style="61" customWidth="1"/>
    <col min="6667" max="6667" width="12.33203125" style="61" customWidth="1"/>
    <col min="6668" max="6668" width="11.6640625" style="61" customWidth="1"/>
    <col min="6669" max="6669" width="12.109375" style="61" customWidth="1"/>
    <col min="6670" max="6670" width="12.33203125" style="61" customWidth="1"/>
    <col min="6671" max="6671" width="11.6640625" style="61" customWidth="1"/>
    <col min="6672" max="6672" width="12" style="61" customWidth="1"/>
    <col min="6673" max="6673" width="12.109375" style="61" customWidth="1"/>
    <col min="6674" max="6674" width="11.6640625" style="61" customWidth="1"/>
    <col min="6675" max="6675" width="12" style="61" customWidth="1"/>
    <col min="6676" max="6676" width="12.33203125" style="61" customWidth="1"/>
    <col min="6677" max="6677" width="12.88671875" style="61" customWidth="1"/>
    <col min="6678" max="6678" width="17.109375" style="61" customWidth="1"/>
    <col min="6679" max="6680" width="13.33203125" style="61" customWidth="1"/>
    <col min="6681" max="6681" width="13.88671875" style="61" customWidth="1"/>
    <col min="6682" max="6682" width="16.88671875" style="61" customWidth="1"/>
    <col min="6683" max="6683" width="13.33203125" style="61" customWidth="1"/>
    <col min="6684" max="6684" width="13.44140625" style="61" customWidth="1"/>
    <col min="6685" max="6685" width="14.5546875" style="61" customWidth="1"/>
    <col min="6686" max="6686" width="14.6640625" style="61" customWidth="1"/>
    <col min="6687" max="6687" width="13.6640625" style="61" customWidth="1"/>
    <col min="6688" max="6688" width="51.33203125" style="61" customWidth="1"/>
    <col min="6689" max="6694" width="9.109375" style="61"/>
    <col min="6695" max="6695" width="0" style="61" hidden="1" customWidth="1"/>
    <col min="6696" max="6912" width="9.109375" style="61"/>
    <col min="6913" max="6913" width="3.5546875" style="61" bestFit="1" customWidth="1"/>
    <col min="6914" max="6916" width="2.33203125" style="61" customWidth="1"/>
    <col min="6917" max="6917" width="56" style="61" bestFit="1" customWidth="1"/>
    <col min="6918" max="6918" width="2.6640625" style="61" customWidth="1"/>
    <col min="6919" max="6919" width="16.6640625" style="61" bestFit="1" customWidth="1"/>
    <col min="6920" max="6920" width="2.6640625" style="61" customWidth="1"/>
    <col min="6921" max="6921" width="12.6640625" style="61" customWidth="1"/>
    <col min="6922" max="6922" width="12.5546875" style="61" customWidth="1"/>
    <col min="6923" max="6923" width="12.33203125" style="61" customWidth="1"/>
    <col min="6924" max="6924" width="11.6640625" style="61" customWidth="1"/>
    <col min="6925" max="6925" width="12.109375" style="61" customWidth="1"/>
    <col min="6926" max="6926" width="12.33203125" style="61" customWidth="1"/>
    <col min="6927" max="6927" width="11.6640625" style="61" customWidth="1"/>
    <col min="6928" max="6928" width="12" style="61" customWidth="1"/>
    <col min="6929" max="6929" width="12.109375" style="61" customWidth="1"/>
    <col min="6930" max="6930" width="11.6640625" style="61" customWidth="1"/>
    <col min="6931" max="6931" width="12" style="61" customWidth="1"/>
    <col min="6932" max="6932" width="12.33203125" style="61" customWidth="1"/>
    <col min="6933" max="6933" width="12.88671875" style="61" customWidth="1"/>
    <col min="6934" max="6934" width="17.109375" style="61" customWidth="1"/>
    <col min="6935" max="6936" width="13.33203125" style="61" customWidth="1"/>
    <col min="6937" max="6937" width="13.88671875" style="61" customWidth="1"/>
    <col min="6938" max="6938" width="16.88671875" style="61" customWidth="1"/>
    <col min="6939" max="6939" width="13.33203125" style="61" customWidth="1"/>
    <col min="6940" max="6940" width="13.44140625" style="61" customWidth="1"/>
    <col min="6941" max="6941" width="14.5546875" style="61" customWidth="1"/>
    <col min="6942" max="6942" width="14.6640625" style="61" customWidth="1"/>
    <col min="6943" max="6943" width="13.6640625" style="61" customWidth="1"/>
    <col min="6944" max="6944" width="51.33203125" style="61" customWidth="1"/>
    <col min="6945" max="6950" width="9.109375" style="61"/>
    <col min="6951" max="6951" width="0" style="61" hidden="1" customWidth="1"/>
    <col min="6952" max="7168" width="9.109375" style="61"/>
    <col min="7169" max="7169" width="3.5546875" style="61" bestFit="1" customWidth="1"/>
    <col min="7170" max="7172" width="2.33203125" style="61" customWidth="1"/>
    <col min="7173" max="7173" width="56" style="61" bestFit="1" customWidth="1"/>
    <col min="7174" max="7174" width="2.6640625" style="61" customWidth="1"/>
    <col min="7175" max="7175" width="16.6640625" style="61" bestFit="1" customWidth="1"/>
    <col min="7176" max="7176" width="2.6640625" style="61" customWidth="1"/>
    <col min="7177" max="7177" width="12.6640625" style="61" customWidth="1"/>
    <col min="7178" max="7178" width="12.5546875" style="61" customWidth="1"/>
    <col min="7179" max="7179" width="12.33203125" style="61" customWidth="1"/>
    <col min="7180" max="7180" width="11.6640625" style="61" customWidth="1"/>
    <col min="7181" max="7181" width="12.109375" style="61" customWidth="1"/>
    <col min="7182" max="7182" width="12.33203125" style="61" customWidth="1"/>
    <col min="7183" max="7183" width="11.6640625" style="61" customWidth="1"/>
    <col min="7184" max="7184" width="12" style="61" customWidth="1"/>
    <col min="7185" max="7185" width="12.109375" style="61" customWidth="1"/>
    <col min="7186" max="7186" width="11.6640625" style="61" customWidth="1"/>
    <col min="7187" max="7187" width="12" style="61" customWidth="1"/>
    <col min="7188" max="7188" width="12.33203125" style="61" customWidth="1"/>
    <col min="7189" max="7189" width="12.88671875" style="61" customWidth="1"/>
    <col min="7190" max="7190" width="17.109375" style="61" customWidth="1"/>
    <col min="7191" max="7192" width="13.33203125" style="61" customWidth="1"/>
    <col min="7193" max="7193" width="13.88671875" style="61" customWidth="1"/>
    <col min="7194" max="7194" width="16.88671875" style="61" customWidth="1"/>
    <col min="7195" max="7195" width="13.33203125" style="61" customWidth="1"/>
    <col min="7196" max="7196" width="13.44140625" style="61" customWidth="1"/>
    <col min="7197" max="7197" width="14.5546875" style="61" customWidth="1"/>
    <col min="7198" max="7198" width="14.6640625" style="61" customWidth="1"/>
    <col min="7199" max="7199" width="13.6640625" style="61" customWidth="1"/>
    <col min="7200" max="7200" width="51.33203125" style="61" customWidth="1"/>
    <col min="7201" max="7206" width="9.109375" style="61"/>
    <col min="7207" max="7207" width="0" style="61" hidden="1" customWidth="1"/>
    <col min="7208" max="7424" width="9.109375" style="61"/>
    <col min="7425" max="7425" width="3.5546875" style="61" bestFit="1" customWidth="1"/>
    <col min="7426" max="7428" width="2.33203125" style="61" customWidth="1"/>
    <col min="7429" max="7429" width="56" style="61" bestFit="1" customWidth="1"/>
    <col min="7430" max="7430" width="2.6640625" style="61" customWidth="1"/>
    <col min="7431" max="7431" width="16.6640625" style="61" bestFit="1" customWidth="1"/>
    <col min="7432" max="7432" width="2.6640625" style="61" customWidth="1"/>
    <col min="7433" max="7433" width="12.6640625" style="61" customWidth="1"/>
    <col min="7434" max="7434" width="12.5546875" style="61" customWidth="1"/>
    <col min="7435" max="7435" width="12.33203125" style="61" customWidth="1"/>
    <col min="7436" max="7436" width="11.6640625" style="61" customWidth="1"/>
    <col min="7437" max="7437" width="12.109375" style="61" customWidth="1"/>
    <col min="7438" max="7438" width="12.33203125" style="61" customWidth="1"/>
    <col min="7439" max="7439" width="11.6640625" style="61" customWidth="1"/>
    <col min="7440" max="7440" width="12" style="61" customWidth="1"/>
    <col min="7441" max="7441" width="12.109375" style="61" customWidth="1"/>
    <col min="7442" max="7442" width="11.6640625" style="61" customWidth="1"/>
    <col min="7443" max="7443" width="12" style="61" customWidth="1"/>
    <col min="7444" max="7444" width="12.33203125" style="61" customWidth="1"/>
    <col min="7445" max="7445" width="12.88671875" style="61" customWidth="1"/>
    <col min="7446" max="7446" width="17.109375" style="61" customWidth="1"/>
    <col min="7447" max="7448" width="13.33203125" style="61" customWidth="1"/>
    <col min="7449" max="7449" width="13.88671875" style="61" customWidth="1"/>
    <col min="7450" max="7450" width="16.88671875" style="61" customWidth="1"/>
    <col min="7451" max="7451" width="13.33203125" style="61" customWidth="1"/>
    <col min="7452" max="7452" width="13.44140625" style="61" customWidth="1"/>
    <col min="7453" max="7453" width="14.5546875" style="61" customWidth="1"/>
    <col min="7454" max="7454" width="14.6640625" style="61" customWidth="1"/>
    <col min="7455" max="7455" width="13.6640625" style="61" customWidth="1"/>
    <col min="7456" max="7456" width="51.33203125" style="61" customWidth="1"/>
    <col min="7457" max="7462" width="9.109375" style="61"/>
    <col min="7463" max="7463" width="0" style="61" hidden="1" customWidth="1"/>
    <col min="7464" max="7680" width="9.109375" style="61"/>
    <col min="7681" max="7681" width="3.5546875" style="61" bestFit="1" customWidth="1"/>
    <col min="7682" max="7684" width="2.33203125" style="61" customWidth="1"/>
    <col min="7685" max="7685" width="56" style="61" bestFit="1" customWidth="1"/>
    <col min="7686" max="7686" width="2.6640625" style="61" customWidth="1"/>
    <col min="7687" max="7687" width="16.6640625" style="61" bestFit="1" customWidth="1"/>
    <col min="7688" max="7688" width="2.6640625" style="61" customWidth="1"/>
    <col min="7689" max="7689" width="12.6640625" style="61" customWidth="1"/>
    <col min="7690" max="7690" width="12.5546875" style="61" customWidth="1"/>
    <col min="7691" max="7691" width="12.33203125" style="61" customWidth="1"/>
    <col min="7692" max="7692" width="11.6640625" style="61" customWidth="1"/>
    <col min="7693" max="7693" width="12.109375" style="61" customWidth="1"/>
    <col min="7694" max="7694" width="12.33203125" style="61" customWidth="1"/>
    <col min="7695" max="7695" width="11.6640625" style="61" customWidth="1"/>
    <col min="7696" max="7696" width="12" style="61" customWidth="1"/>
    <col min="7697" max="7697" width="12.109375" style="61" customWidth="1"/>
    <col min="7698" max="7698" width="11.6640625" style="61" customWidth="1"/>
    <col min="7699" max="7699" width="12" style="61" customWidth="1"/>
    <col min="7700" max="7700" width="12.33203125" style="61" customWidth="1"/>
    <col min="7701" max="7701" width="12.88671875" style="61" customWidth="1"/>
    <col min="7702" max="7702" width="17.109375" style="61" customWidth="1"/>
    <col min="7703" max="7704" width="13.33203125" style="61" customWidth="1"/>
    <col min="7705" max="7705" width="13.88671875" style="61" customWidth="1"/>
    <col min="7706" max="7706" width="16.88671875" style="61" customWidth="1"/>
    <col min="7707" max="7707" width="13.33203125" style="61" customWidth="1"/>
    <col min="7708" max="7708" width="13.44140625" style="61" customWidth="1"/>
    <col min="7709" max="7709" width="14.5546875" style="61" customWidth="1"/>
    <col min="7710" max="7710" width="14.6640625" style="61" customWidth="1"/>
    <col min="7711" max="7711" width="13.6640625" style="61" customWidth="1"/>
    <col min="7712" max="7712" width="51.33203125" style="61" customWidth="1"/>
    <col min="7713" max="7718" width="9.109375" style="61"/>
    <col min="7719" max="7719" width="0" style="61" hidden="1" customWidth="1"/>
    <col min="7720" max="7936" width="9.109375" style="61"/>
    <col min="7937" max="7937" width="3.5546875" style="61" bestFit="1" customWidth="1"/>
    <col min="7938" max="7940" width="2.33203125" style="61" customWidth="1"/>
    <col min="7941" max="7941" width="56" style="61" bestFit="1" customWidth="1"/>
    <col min="7942" max="7942" width="2.6640625" style="61" customWidth="1"/>
    <col min="7943" max="7943" width="16.6640625" style="61" bestFit="1" customWidth="1"/>
    <col min="7944" max="7944" width="2.6640625" style="61" customWidth="1"/>
    <col min="7945" max="7945" width="12.6640625" style="61" customWidth="1"/>
    <col min="7946" max="7946" width="12.5546875" style="61" customWidth="1"/>
    <col min="7947" max="7947" width="12.33203125" style="61" customWidth="1"/>
    <col min="7948" max="7948" width="11.6640625" style="61" customWidth="1"/>
    <col min="7949" max="7949" width="12.109375" style="61" customWidth="1"/>
    <col min="7950" max="7950" width="12.33203125" style="61" customWidth="1"/>
    <col min="7951" max="7951" width="11.6640625" style="61" customWidth="1"/>
    <col min="7952" max="7952" width="12" style="61" customWidth="1"/>
    <col min="7953" max="7953" width="12.109375" style="61" customWidth="1"/>
    <col min="7954" max="7954" width="11.6640625" style="61" customWidth="1"/>
    <col min="7955" max="7955" width="12" style="61" customWidth="1"/>
    <col min="7956" max="7956" width="12.33203125" style="61" customWidth="1"/>
    <col min="7957" max="7957" width="12.88671875" style="61" customWidth="1"/>
    <col min="7958" max="7958" width="17.109375" style="61" customWidth="1"/>
    <col min="7959" max="7960" width="13.33203125" style="61" customWidth="1"/>
    <col min="7961" max="7961" width="13.88671875" style="61" customWidth="1"/>
    <col min="7962" max="7962" width="16.88671875" style="61" customWidth="1"/>
    <col min="7963" max="7963" width="13.33203125" style="61" customWidth="1"/>
    <col min="7964" max="7964" width="13.44140625" style="61" customWidth="1"/>
    <col min="7965" max="7965" width="14.5546875" style="61" customWidth="1"/>
    <col min="7966" max="7966" width="14.6640625" style="61" customWidth="1"/>
    <col min="7967" max="7967" width="13.6640625" style="61" customWidth="1"/>
    <col min="7968" max="7968" width="51.33203125" style="61" customWidth="1"/>
    <col min="7969" max="7974" width="9.109375" style="61"/>
    <col min="7975" max="7975" width="0" style="61" hidden="1" customWidth="1"/>
    <col min="7976" max="8192" width="9.109375" style="61"/>
    <col min="8193" max="8193" width="3.5546875" style="61" bestFit="1" customWidth="1"/>
    <col min="8194" max="8196" width="2.33203125" style="61" customWidth="1"/>
    <col min="8197" max="8197" width="56" style="61" bestFit="1" customWidth="1"/>
    <col min="8198" max="8198" width="2.6640625" style="61" customWidth="1"/>
    <col min="8199" max="8199" width="16.6640625" style="61" bestFit="1" customWidth="1"/>
    <col min="8200" max="8200" width="2.6640625" style="61" customWidth="1"/>
    <col min="8201" max="8201" width="12.6640625" style="61" customWidth="1"/>
    <col min="8202" max="8202" width="12.5546875" style="61" customWidth="1"/>
    <col min="8203" max="8203" width="12.33203125" style="61" customWidth="1"/>
    <col min="8204" max="8204" width="11.6640625" style="61" customWidth="1"/>
    <col min="8205" max="8205" width="12.109375" style="61" customWidth="1"/>
    <col min="8206" max="8206" width="12.33203125" style="61" customWidth="1"/>
    <col min="8207" max="8207" width="11.6640625" style="61" customWidth="1"/>
    <col min="8208" max="8208" width="12" style="61" customWidth="1"/>
    <col min="8209" max="8209" width="12.109375" style="61" customWidth="1"/>
    <col min="8210" max="8210" width="11.6640625" style="61" customWidth="1"/>
    <col min="8211" max="8211" width="12" style="61" customWidth="1"/>
    <col min="8212" max="8212" width="12.33203125" style="61" customWidth="1"/>
    <col min="8213" max="8213" width="12.88671875" style="61" customWidth="1"/>
    <col min="8214" max="8214" width="17.109375" style="61" customWidth="1"/>
    <col min="8215" max="8216" width="13.33203125" style="61" customWidth="1"/>
    <col min="8217" max="8217" width="13.88671875" style="61" customWidth="1"/>
    <col min="8218" max="8218" width="16.88671875" style="61" customWidth="1"/>
    <col min="8219" max="8219" width="13.33203125" style="61" customWidth="1"/>
    <col min="8220" max="8220" width="13.44140625" style="61" customWidth="1"/>
    <col min="8221" max="8221" width="14.5546875" style="61" customWidth="1"/>
    <col min="8222" max="8222" width="14.6640625" style="61" customWidth="1"/>
    <col min="8223" max="8223" width="13.6640625" style="61" customWidth="1"/>
    <col min="8224" max="8224" width="51.33203125" style="61" customWidth="1"/>
    <col min="8225" max="8230" width="9.109375" style="61"/>
    <col min="8231" max="8231" width="0" style="61" hidden="1" customWidth="1"/>
    <col min="8232" max="8448" width="9.109375" style="61"/>
    <col min="8449" max="8449" width="3.5546875" style="61" bestFit="1" customWidth="1"/>
    <col min="8450" max="8452" width="2.33203125" style="61" customWidth="1"/>
    <col min="8453" max="8453" width="56" style="61" bestFit="1" customWidth="1"/>
    <col min="8454" max="8454" width="2.6640625" style="61" customWidth="1"/>
    <col min="8455" max="8455" width="16.6640625" style="61" bestFit="1" customWidth="1"/>
    <col min="8456" max="8456" width="2.6640625" style="61" customWidth="1"/>
    <col min="8457" max="8457" width="12.6640625" style="61" customWidth="1"/>
    <col min="8458" max="8458" width="12.5546875" style="61" customWidth="1"/>
    <col min="8459" max="8459" width="12.33203125" style="61" customWidth="1"/>
    <col min="8460" max="8460" width="11.6640625" style="61" customWidth="1"/>
    <col min="8461" max="8461" width="12.109375" style="61" customWidth="1"/>
    <col min="8462" max="8462" width="12.33203125" style="61" customWidth="1"/>
    <col min="8463" max="8463" width="11.6640625" style="61" customWidth="1"/>
    <col min="8464" max="8464" width="12" style="61" customWidth="1"/>
    <col min="8465" max="8465" width="12.109375" style="61" customWidth="1"/>
    <col min="8466" max="8466" width="11.6640625" style="61" customWidth="1"/>
    <col min="8467" max="8467" width="12" style="61" customWidth="1"/>
    <col min="8468" max="8468" width="12.33203125" style="61" customWidth="1"/>
    <col min="8469" max="8469" width="12.88671875" style="61" customWidth="1"/>
    <col min="8470" max="8470" width="17.109375" style="61" customWidth="1"/>
    <col min="8471" max="8472" width="13.33203125" style="61" customWidth="1"/>
    <col min="8473" max="8473" width="13.88671875" style="61" customWidth="1"/>
    <col min="8474" max="8474" width="16.88671875" style="61" customWidth="1"/>
    <col min="8475" max="8475" width="13.33203125" style="61" customWidth="1"/>
    <col min="8476" max="8476" width="13.44140625" style="61" customWidth="1"/>
    <col min="8477" max="8477" width="14.5546875" style="61" customWidth="1"/>
    <col min="8478" max="8478" width="14.6640625" style="61" customWidth="1"/>
    <col min="8479" max="8479" width="13.6640625" style="61" customWidth="1"/>
    <col min="8480" max="8480" width="51.33203125" style="61" customWidth="1"/>
    <col min="8481" max="8486" width="9.109375" style="61"/>
    <col min="8487" max="8487" width="0" style="61" hidden="1" customWidth="1"/>
    <col min="8488" max="8704" width="9.109375" style="61"/>
    <col min="8705" max="8705" width="3.5546875" style="61" bestFit="1" customWidth="1"/>
    <col min="8706" max="8708" width="2.33203125" style="61" customWidth="1"/>
    <col min="8709" max="8709" width="56" style="61" bestFit="1" customWidth="1"/>
    <col min="8710" max="8710" width="2.6640625" style="61" customWidth="1"/>
    <col min="8711" max="8711" width="16.6640625" style="61" bestFit="1" customWidth="1"/>
    <col min="8712" max="8712" width="2.6640625" style="61" customWidth="1"/>
    <col min="8713" max="8713" width="12.6640625" style="61" customWidth="1"/>
    <col min="8714" max="8714" width="12.5546875" style="61" customWidth="1"/>
    <col min="8715" max="8715" width="12.33203125" style="61" customWidth="1"/>
    <col min="8716" max="8716" width="11.6640625" style="61" customWidth="1"/>
    <col min="8717" max="8717" width="12.109375" style="61" customWidth="1"/>
    <col min="8718" max="8718" width="12.33203125" style="61" customWidth="1"/>
    <col min="8719" max="8719" width="11.6640625" style="61" customWidth="1"/>
    <col min="8720" max="8720" width="12" style="61" customWidth="1"/>
    <col min="8721" max="8721" width="12.109375" style="61" customWidth="1"/>
    <col min="8722" max="8722" width="11.6640625" style="61" customWidth="1"/>
    <col min="8723" max="8723" width="12" style="61" customWidth="1"/>
    <col min="8724" max="8724" width="12.33203125" style="61" customWidth="1"/>
    <col min="8725" max="8725" width="12.88671875" style="61" customWidth="1"/>
    <col min="8726" max="8726" width="17.109375" style="61" customWidth="1"/>
    <col min="8727" max="8728" width="13.33203125" style="61" customWidth="1"/>
    <col min="8729" max="8729" width="13.88671875" style="61" customWidth="1"/>
    <col min="8730" max="8730" width="16.88671875" style="61" customWidth="1"/>
    <col min="8731" max="8731" width="13.33203125" style="61" customWidth="1"/>
    <col min="8732" max="8732" width="13.44140625" style="61" customWidth="1"/>
    <col min="8733" max="8733" width="14.5546875" style="61" customWidth="1"/>
    <col min="8734" max="8734" width="14.6640625" style="61" customWidth="1"/>
    <col min="8735" max="8735" width="13.6640625" style="61" customWidth="1"/>
    <col min="8736" max="8736" width="51.33203125" style="61" customWidth="1"/>
    <col min="8737" max="8742" width="9.109375" style="61"/>
    <col min="8743" max="8743" width="0" style="61" hidden="1" customWidth="1"/>
    <col min="8744" max="8960" width="9.109375" style="61"/>
    <col min="8961" max="8961" width="3.5546875" style="61" bestFit="1" customWidth="1"/>
    <col min="8962" max="8964" width="2.33203125" style="61" customWidth="1"/>
    <col min="8965" max="8965" width="56" style="61" bestFit="1" customWidth="1"/>
    <col min="8966" max="8966" width="2.6640625" style="61" customWidth="1"/>
    <col min="8967" max="8967" width="16.6640625" style="61" bestFit="1" customWidth="1"/>
    <col min="8968" max="8968" width="2.6640625" style="61" customWidth="1"/>
    <col min="8969" max="8969" width="12.6640625" style="61" customWidth="1"/>
    <col min="8970" max="8970" width="12.5546875" style="61" customWidth="1"/>
    <col min="8971" max="8971" width="12.33203125" style="61" customWidth="1"/>
    <col min="8972" max="8972" width="11.6640625" style="61" customWidth="1"/>
    <col min="8973" max="8973" width="12.109375" style="61" customWidth="1"/>
    <col min="8974" max="8974" width="12.33203125" style="61" customWidth="1"/>
    <col min="8975" max="8975" width="11.6640625" style="61" customWidth="1"/>
    <col min="8976" max="8976" width="12" style="61" customWidth="1"/>
    <col min="8977" max="8977" width="12.109375" style="61" customWidth="1"/>
    <col min="8978" max="8978" width="11.6640625" style="61" customWidth="1"/>
    <col min="8979" max="8979" width="12" style="61" customWidth="1"/>
    <col min="8980" max="8980" width="12.33203125" style="61" customWidth="1"/>
    <col min="8981" max="8981" width="12.88671875" style="61" customWidth="1"/>
    <col min="8982" max="8982" width="17.109375" style="61" customWidth="1"/>
    <col min="8983" max="8984" width="13.33203125" style="61" customWidth="1"/>
    <col min="8985" max="8985" width="13.88671875" style="61" customWidth="1"/>
    <col min="8986" max="8986" width="16.88671875" style="61" customWidth="1"/>
    <col min="8987" max="8987" width="13.33203125" style="61" customWidth="1"/>
    <col min="8988" max="8988" width="13.44140625" style="61" customWidth="1"/>
    <col min="8989" max="8989" width="14.5546875" style="61" customWidth="1"/>
    <col min="8990" max="8990" width="14.6640625" style="61" customWidth="1"/>
    <col min="8991" max="8991" width="13.6640625" style="61" customWidth="1"/>
    <col min="8992" max="8992" width="51.33203125" style="61" customWidth="1"/>
    <col min="8993" max="8998" width="9.109375" style="61"/>
    <col min="8999" max="8999" width="0" style="61" hidden="1" customWidth="1"/>
    <col min="9000" max="9216" width="9.109375" style="61"/>
    <col min="9217" max="9217" width="3.5546875" style="61" bestFit="1" customWidth="1"/>
    <col min="9218" max="9220" width="2.33203125" style="61" customWidth="1"/>
    <col min="9221" max="9221" width="56" style="61" bestFit="1" customWidth="1"/>
    <col min="9222" max="9222" width="2.6640625" style="61" customWidth="1"/>
    <col min="9223" max="9223" width="16.6640625" style="61" bestFit="1" customWidth="1"/>
    <col min="9224" max="9224" width="2.6640625" style="61" customWidth="1"/>
    <col min="9225" max="9225" width="12.6640625" style="61" customWidth="1"/>
    <col min="9226" max="9226" width="12.5546875" style="61" customWidth="1"/>
    <col min="9227" max="9227" width="12.33203125" style="61" customWidth="1"/>
    <col min="9228" max="9228" width="11.6640625" style="61" customWidth="1"/>
    <col min="9229" max="9229" width="12.109375" style="61" customWidth="1"/>
    <col min="9230" max="9230" width="12.33203125" style="61" customWidth="1"/>
    <col min="9231" max="9231" width="11.6640625" style="61" customWidth="1"/>
    <col min="9232" max="9232" width="12" style="61" customWidth="1"/>
    <col min="9233" max="9233" width="12.109375" style="61" customWidth="1"/>
    <col min="9234" max="9234" width="11.6640625" style="61" customWidth="1"/>
    <col min="9235" max="9235" width="12" style="61" customWidth="1"/>
    <col min="9236" max="9236" width="12.33203125" style="61" customWidth="1"/>
    <col min="9237" max="9237" width="12.88671875" style="61" customWidth="1"/>
    <col min="9238" max="9238" width="17.109375" style="61" customWidth="1"/>
    <col min="9239" max="9240" width="13.33203125" style="61" customWidth="1"/>
    <col min="9241" max="9241" width="13.88671875" style="61" customWidth="1"/>
    <col min="9242" max="9242" width="16.88671875" style="61" customWidth="1"/>
    <col min="9243" max="9243" width="13.33203125" style="61" customWidth="1"/>
    <col min="9244" max="9244" width="13.44140625" style="61" customWidth="1"/>
    <col min="9245" max="9245" width="14.5546875" style="61" customWidth="1"/>
    <col min="9246" max="9246" width="14.6640625" style="61" customWidth="1"/>
    <col min="9247" max="9247" width="13.6640625" style="61" customWidth="1"/>
    <col min="9248" max="9248" width="51.33203125" style="61" customWidth="1"/>
    <col min="9249" max="9254" width="9.109375" style="61"/>
    <col min="9255" max="9255" width="0" style="61" hidden="1" customWidth="1"/>
    <col min="9256" max="9472" width="9.109375" style="61"/>
    <col min="9473" max="9473" width="3.5546875" style="61" bestFit="1" customWidth="1"/>
    <col min="9474" max="9476" width="2.33203125" style="61" customWidth="1"/>
    <col min="9477" max="9477" width="56" style="61" bestFit="1" customWidth="1"/>
    <col min="9478" max="9478" width="2.6640625" style="61" customWidth="1"/>
    <col min="9479" max="9479" width="16.6640625" style="61" bestFit="1" customWidth="1"/>
    <col min="9480" max="9480" width="2.6640625" style="61" customWidth="1"/>
    <col min="9481" max="9481" width="12.6640625" style="61" customWidth="1"/>
    <col min="9482" max="9482" width="12.5546875" style="61" customWidth="1"/>
    <col min="9483" max="9483" width="12.33203125" style="61" customWidth="1"/>
    <col min="9484" max="9484" width="11.6640625" style="61" customWidth="1"/>
    <col min="9485" max="9485" width="12.109375" style="61" customWidth="1"/>
    <col min="9486" max="9486" width="12.33203125" style="61" customWidth="1"/>
    <col min="9487" max="9487" width="11.6640625" style="61" customWidth="1"/>
    <col min="9488" max="9488" width="12" style="61" customWidth="1"/>
    <col min="9489" max="9489" width="12.109375" style="61" customWidth="1"/>
    <col min="9490" max="9490" width="11.6640625" style="61" customWidth="1"/>
    <col min="9491" max="9491" width="12" style="61" customWidth="1"/>
    <col min="9492" max="9492" width="12.33203125" style="61" customWidth="1"/>
    <col min="9493" max="9493" width="12.88671875" style="61" customWidth="1"/>
    <col min="9494" max="9494" width="17.109375" style="61" customWidth="1"/>
    <col min="9495" max="9496" width="13.33203125" style="61" customWidth="1"/>
    <col min="9497" max="9497" width="13.88671875" style="61" customWidth="1"/>
    <col min="9498" max="9498" width="16.88671875" style="61" customWidth="1"/>
    <col min="9499" max="9499" width="13.33203125" style="61" customWidth="1"/>
    <col min="9500" max="9500" width="13.44140625" style="61" customWidth="1"/>
    <col min="9501" max="9501" width="14.5546875" style="61" customWidth="1"/>
    <col min="9502" max="9502" width="14.6640625" style="61" customWidth="1"/>
    <col min="9503" max="9503" width="13.6640625" style="61" customWidth="1"/>
    <col min="9504" max="9504" width="51.33203125" style="61" customWidth="1"/>
    <col min="9505" max="9510" width="9.109375" style="61"/>
    <col min="9511" max="9511" width="0" style="61" hidden="1" customWidth="1"/>
    <col min="9512" max="9728" width="9.109375" style="61"/>
    <col min="9729" max="9729" width="3.5546875" style="61" bestFit="1" customWidth="1"/>
    <col min="9730" max="9732" width="2.33203125" style="61" customWidth="1"/>
    <col min="9733" max="9733" width="56" style="61" bestFit="1" customWidth="1"/>
    <col min="9734" max="9734" width="2.6640625" style="61" customWidth="1"/>
    <col min="9735" max="9735" width="16.6640625" style="61" bestFit="1" customWidth="1"/>
    <col min="9736" max="9736" width="2.6640625" style="61" customWidth="1"/>
    <col min="9737" max="9737" width="12.6640625" style="61" customWidth="1"/>
    <col min="9738" max="9738" width="12.5546875" style="61" customWidth="1"/>
    <col min="9739" max="9739" width="12.33203125" style="61" customWidth="1"/>
    <col min="9740" max="9740" width="11.6640625" style="61" customWidth="1"/>
    <col min="9741" max="9741" width="12.109375" style="61" customWidth="1"/>
    <col min="9742" max="9742" width="12.33203125" style="61" customWidth="1"/>
    <col min="9743" max="9743" width="11.6640625" style="61" customWidth="1"/>
    <col min="9744" max="9744" width="12" style="61" customWidth="1"/>
    <col min="9745" max="9745" width="12.109375" style="61" customWidth="1"/>
    <col min="9746" max="9746" width="11.6640625" style="61" customWidth="1"/>
    <col min="9747" max="9747" width="12" style="61" customWidth="1"/>
    <col min="9748" max="9748" width="12.33203125" style="61" customWidth="1"/>
    <col min="9749" max="9749" width="12.88671875" style="61" customWidth="1"/>
    <col min="9750" max="9750" width="17.109375" style="61" customWidth="1"/>
    <col min="9751" max="9752" width="13.33203125" style="61" customWidth="1"/>
    <col min="9753" max="9753" width="13.88671875" style="61" customWidth="1"/>
    <col min="9754" max="9754" width="16.88671875" style="61" customWidth="1"/>
    <col min="9755" max="9755" width="13.33203125" style="61" customWidth="1"/>
    <col min="9756" max="9756" width="13.44140625" style="61" customWidth="1"/>
    <col min="9757" max="9757" width="14.5546875" style="61" customWidth="1"/>
    <col min="9758" max="9758" width="14.6640625" style="61" customWidth="1"/>
    <col min="9759" max="9759" width="13.6640625" style="61" customWidth="1"/>
    <col min="9760" max="9760" width="51.33203125" style="61" customWidth="1"/>
    <col min="9761" max="9766" width="9.109375" style="61"/>
    <col min="9767" max="9767" width="0" style="61" hidden="1" customWidth="1"/>
    <col min="9768" max="9984" width="9.109375" style="61"/>
    <col min="9985" max="9985" width="3.5546875" style="61" bestFit="1" customWidth="1"/>
    <col min="9986" max="9988" width="2.33203125" style="61" customWidth="1"/>
    <col min="9989" max="9989" width="56" style="61" bestFit="1" customWidth="1"/>
    <col min="9990" max="9990" width="2.6640625" style="61" customWidth="1"/>
    <col min="9991" max="9991" width="16.6640625" style="61" bestFit="1" customWidth="1"/>
    <col min="9992" max="9992" width="2.6640625" style="61" customWidth="1"/>
    <col min="9993" max="9993" width="12.6640625" style="61" customWidth="1"/>
    <col min="9994" max="9994" width="12.5546875" style="61" customWidth="1"/>
    <col min="9995" max="9995" width="12.33203125" style="61" customWidth="1"/>
    <col min="9996" max="9996" width="11.6640625" style="61" customWidth="1"/>
    <col min="9997" max="9997" width="12.109375" style="61" customWidth="1"/>
    <col min="9998" max="9998" width="12.33203125" style="61" customWidth="1"/>
    <col min="9999" max="9999" width="11.6640625" style="61" customWidth="1"/>
    <col min="10000" max="10000" width="12" style="61" customWidth="1"/>
    <col min="10001" max="10001" width="12.109375" style="61" customWidth="1"/>
    <col min="10002" max="10002" width="11.6640625" style="61" customWidth="1"/>
    <col min="10003" max="10003" width="12" style="61" customWidth="1"/>
    <col min="10004" max="10004" width="12.33203125" style="61" customWidth="1"/>
    <col min="10005" max="10005" width="12.88671875" style="61" customWidth="1"/>
    <col min="10006" max="10006" width="17.109375" style="61" customWidth="1"/>
    <col min="10007" max="10008" width="13.33203125" style="61" customWidth="1"/>
    <col min="10009" max="10009" width="13.88671875" style="61" customWidth="1"/>
    <col min="10010" max="10010" width="16.88671875" style="61" customWidth="1"/>
    <col min="10011" max="10011" width="13.33203125" style="61" customWidth="1"/>
    <col min="10012" max="10012" width="13.44140625" style="61" customWidth="1"/>
    <col min="10013" max="10013" width="14.5546875" style="61" customWidth="1"/>
    <col min="10014" max="10014" width="14.6640625" style="61" customWidth="1"/>
    <col min="10015" max="10015" width="13.6640625" style="61" customWidth="1"/>
    <col min="10016" max="10016" width="51.33203125" style="61" customWidth="1"/>
    <col min="10017" max="10022" width="9.109375" style="61"/>
    <col min="10023" max="10023" width="0" style="61" hidden="1" customWidth="1"/>
    <col min="10024" max="10240" width="9.109375" style="61"/>
    <col min="10241" max="10241" width="3.5546875" style="61" bestFit="1" customWidth="1"/>
    <col min="10242" max="10244" width="2.33203125" style="61" customWidth="1"/>
    <col min="10245" max="10245" width="56" style="61" bestFit="1" customWidth="1"/>
    <col min="10246" max="10246" width="2.6640625" style="61" customWidth="1"/>
    <col min="10247" max="10247" width="16.6640625" style="61" bestFit="1" customWidth="1"/>
    <col min="10248" max="10248" width="2.6640625" style="61" customWidth="1"/>
    <col min="10249" max="10249" width="12.6640625" style="61" customWidth="1"/>
    <col min="10250" max="10250" width="12.5546875" style="61" customWidth="1"/>
    <col min="10251" max="10251" width="12.33203125" style="61" customWidth="1"/>
    <col min="10252" max="10252" width="11.6640625" style="61" customWidth="1"/>
    <col min="10253" max="10253" width="12.109375" style="61" customWidth="1"/>
    <col min="10254" max="10254" width="12.33203125" style="61" customWidth="1"/>
    <col min="10255" max="10255" width="11.6640625" style="61" customWidth="1"/>
    <col min="10256" max="10256" width="12" style="61" customWidth="1"/>
    <col min="10257" max="10257" width="12.109375" style="61" customWidth="1"/>
    <col min="10258" max="10258" width="11.6640625" style="61" customWidth="1"/>
    <col min="10259" max="10259" width="12" style="61" customWidth="1"/>
    <col min="10260" max="10260" width="12.33203125" style="61" customWidth="1"/>
    <col min="10261" max="10261" width="12.88671875" style="61" customWidth="1"/>
    <col min="10262" max="10262" width="17.109375" style="61" customWidth="1"/>
    <col min="10263" max="10264" width="13.33203125" style="61" customWidth="1"/>
    <col min="10265" max="10265" width="13.88671875" style="61" customWidth="1"/>
    <col min="10266" max="10266" width="16.88671875" style="61" customWidth="1"/>
    <col min="10267" max="10267" width="13.33203125" style="61" customWidth="1"/>
    <col min="10268" max="10268" width="13.44140625" style="61" customWidth="1"/>
    <col min="10269" max="10269" width="14.5546875" style="61" customWidth="1"/>
    <col min="10270" max="10270" width="14.6640625" style="61" customWidth="1"/>
    <col min="10271" max="10271" width="13.6640625" style="61" customWidth="1"/>
    <col min="10272" max="10272" width="51.33203125" style="61" customWidth="1"/>
    <col min="10273" max="10278" width="9.109375" style="61"/>
    <col min="10279" max="10279" width="0" style="61" hidden="1" customWidth="1"/>
    <col min="10280" max="10496" width="9.109375" style="61"/>
    <col min="10497" max="10497" width="3.5546875" style="61" bestFit="1" customWidth="1"/>
    <col min="10498" max="10500" width="2.33203125" style="61" customWidth="1"/>
    <col min="10501" max="10501" width="56" style="61" bestFit="1" customWidth="1"/>
    <col min="10502" max="10502" width="2.6640625" style="61" customWidth="1"/>
    <col min="10503" max="10503" width="16.6640625" style="61" bestFit="1" customWidth="1"/>
    <col min="10504" max="10504" width="2.6640625" style="61" customWidth="1"/>
    <col min="10505" max="10505" width="12.6640625" style="61" customWidth="1"/>
    <col min="10506" max="10506" width="12.5546875" style="61" customWidth="1"/>
    <col min="10507" max="10507" width="12.33203125" style="61" customWidth="1"/>
    <col min="10508" max="10508" width="11.6640625" style="61" customWidth="1"/>
    <col min="10509" max="10509" width="12.109375" style="61" customWidth="1"/>
    <col min="10510" max="10510" width="12.33203125" style="61" customWidth="1"/>
    <col min="10511" max="10511" width="11.6640625" style="61" customWidth="1"/>
    <col min="10512" max="10512" width="12" style="61" customWidth="1"/>
    <col min="10513" max="10513" width="12.109375" style="61" customWidth="1"/>
    <col min="10514" max="10514" width="11.6640625" style="61" customWidth="1"/>
    <col min="10515" max="10515" width="12" style="61" customWidth="1"/>
    <col min="10516" max="10516" width="12.33203125" style="61" customWidth="1"/>
    <col min="10517" max="10517" width="12.88671875" style="61" customWidth="1"/>
    <col min="10518" max="10518" width="17.109375" style="61" customWidth="1"/>
    <col min="10519" max="10520" width="13.33203125" style="61" customWidth="1"/>
    <col min="10521" max="10521" width="13.88671875" style="61" customWidth="1"/>
    <col min="10522" max="10522" width="16.88671875" style="61" customWidth="1"/>
    <col min="10523" max="10523" width="13.33203125" style="61" customWidth="1"/>
    <col min="10524" max="10524" width="13.44140625" style="61" customWidth="1"/>
    <col min="10525" max="10525" width="14.5546875" style="61" customWidth="1"/>
    <col min="10526" max="10526" width="14.6640625" style="61" customWidth="1"/>
    <col min="10527" max="10527" width="13.6640625" style="61" customWidth="1"/>
    <col min="10528" max="10528" width="51.33203125" style="61" customWidth="1"/>
    <col min="10529" max="10534" width="9.109375" style="61"/>
    <col min="10535" max="10535" width="0" style="61" hidden="1" customWidth="1"/>
    <col min="10536" max="10752" width="9.109375" style="61"/>
    <col min="10753" max="10753" width="3.5546875" style="61" bestFit="1" customWidth="1"/>
    <col min="10754" max="10756" width="2.33203125" style="61" customWidth="1"/>
    <col min="10757" max="10757" width="56" style="61" bestFit="1" customWidth="1"/>
    <col min="10758" max="10758" width="2.6640625" style="61" customWidth="1"/>
    <col min="10759" max="10759" width="16.6640625" style="61" bestFit="1" customWidth="1"/>
    <col min="10760" max="10760" width="2.6640625" style="61" customWidth="1"/>
    <col min="10761" max="10761" width="12.6640625" style="61" customWidth="1"/>
    <col min="10762" max="10762" width="12.5546875" style="61" customWidth="1"/>
    <col min="10763" max="10763" width="12.33203125" style="61" customWidth="1"/>
    <col min="10764" max="10764" width="11.6640625" style="61" customWidth="1"/>
    <col min="10765" max="10765" width="12.109375" style="61" customWidth="1"/>
    <col min="10766" max="10766" width="12.33203125" style="61" customWidth="1"/>
    <col min="10767" max="10767" width="11.6640625" style="61" customWidth="1"/>
    <col min="10768" max="10768" width="12" style="61" customWidth="1"/>
    <col min="10769" max="10769" width="12.109375" style="61" customWidth="1"/>
    <col min="10770" max="10770" width="11.6640625" style="61" customWidth="1"/>
    <col min="10771" max="10771" width="12" style="61" customWidth="1"/>
    <col min="10772" max="10772" width="12.33203125" style="61" customWidth="1"/>
    <col min="10773" max="10773" width="12.88671875" style="61" customWidth="1"/>
    <col min="10774" max="10774" width="17.109375" style="61" customWidth="1"/>
    <col min="10775" max="10776" width="13.33203125" style="61" customWidth="1"/>
    <col min="10777" max="10777" width="13.88671875" style="61" customWidth="1"/>
    <col min="10778" max="10778" width="16.88671875" style="61" customWidth="1"/>
    <col min="10779" max="10779" width="13.33203125" style="61" customWidth="1"/>
    <col min="10780" max="10780" width="13.44140625" style="61" customWidth="1"/>
    <col min="10781" max="10781" width="14.5546875" style="61" customWidth="1"/>
    <col min="10782" max="10782" width="14.6640625" style="61" customWidth="1"/>
    <col min="10783" max="10783" width="13.6640625" style="61" customWidth="1"/>
    <col min="10784" max="10784" width="51.33203125" style="61" customWidth="1"/>
    <col min="10785" max="10790" width="9.109375" style="61"/>
    <col min="10791" max="10791" width="0" style="61" hidden="1" customWidth="1"/>
    <col min="10792" max="11008" width="9.109375" style="61"/>
    <col min="11009" max="11009" width="3.5546875" style="61" bestFit="1" customWidth="1"/>
    <col min="11010" max="11012" width="2.33203125" style="61" customWidth="1"/>
    <col min="11013" max="11013" width="56" style="61" bestFit="1" customWidth="1"/>
    <col min="11014" max="11014" width="2.6640625" style="61" customWidth="1"/>
    <col min="11015" max="11015" width="16.6640625" style="61" bestFit="1" customWidth="1"/>
    <col min="11016" max="11016" width="2.6640625" style="61" customWidth="1"/>
    <col min="11017" max="11017" width="12.6640625" style="61" customWidth="1"/>
    <col min="11018" max="11018" width="12.5546875" style="61" customWidth="1"/>
    <col min="11019" max="11019" width="12.33203125" style="61" customWidth="1"/>
    <col min="11020" max="11020" width="11.6640625" style="61" customWidth="1"/>
    <col min="11021" max="11021" width="12.109375" style="61" customWidth="1"/>
    <col min="11022" max="11022" width="12.33203125" style="61" customWidth="1"/>
    <col min="11023" max="11023" width="11.6640625" style="61" customWidth="1"/>
    <col min="11024" max="11024" width="12" style="61" customWidth="1"/>
    <col min="11025" max="11025" width="12.109375" style="61" customWidth="1"/>
    <col min="11026" max="11026" width="11.6640625" style="61" customWidth="1"/>
    <col min="11027" max="11027" width="12" style="61" customWidth="1"/>
    <col min="11028" max="11028" width="12.33203125" style="61" customWidth="1"/>
    <col min="11029" max="11029" width="12.88671875" style="61" customWidth="1"/>
    <col min="11030" max="11030" width="17.109375" style="61" customWidth="1"/>
    <col min="11031" max="11032" width="13.33203125" style="61" customWidth="1"/>
    <col min="11033" max="11033" width="13.88671875" style="61" customWidth="1"/>
    <col min="11034" max="11034" width="16.88671875" style="61" customWidth="1"/>
    <col min="11035" max="11035" width="13.33203125" style="61" customWidth="1"/>
    <col min="11036" max="11036" width="13.44140625" style="61" customWidth="1"/>
    <col min="11037" max="11037" width="14.5546875" style="61" customWidth="1"/>
    <col min="11038" max="11038" width="14.6640625" style="61" customWidth="1"/>
    <col min="11039" max="11039" width="13.6640625" style="61" customWidth="1"/>
    <col min="11040" max="11040" width="51.33203125" style="61" customWidth="1"/>
    <col min="11041" max="11046" width="9.109375" style="61"/>
    <col min="11047" max="11047" width="0" style="61" hidden="1" customWidth="1"/>
    <col min="11048" max="11264" width="9.109375" style="61"/>
    <col min="11265" max="11265" width="3.5546875" style="61" bestFit="1" customWidth="1"/>
    <col min="11266" max="11268" width="2.33203125" style="61" customWidth="1"/>
    <col min="11269" max="11269" width="56" style="61" bestFit="1" customWidth="1"/>
    <col min="11270" max="11270" width="2.6640625" style="61" customWidth="1"/>
    <col min="11271" max="11271" width="16.6640625" style="61" bestFit="1" customWidth="1"/>
    <col min="11272" max="11272" width="2.6640625" style="61" customWidth="1"/>
    <col min="11273" max="11273" width="12.6640625" style="61" customWidth="1"/>
    <col min="11274" max="11274" width="12.5546875" style="61" customWidth="1"/>
    <col min="11275" max="11275" width="12.33203125" style="61" customWidth="1"/>
    <col min="11276" max="11276" width="11.6640625" style="61" customWidth="1"/>
    <col min="11277" max="11277" width="12.109375" style="61" customWidth="1"/>
    <col min="11278" max="11278" width="12.33203125" style="61" customWidth="1"/>
    <col min="11279" max="11279" width="11.6640625" style="61" customWidth="1"/>
    <col min="11280" max="11280" width="12" style="61" customWidth="1"/>
    <col min="11281" max="11281" width="12.109375" style="61" customWidth="1"/>
    <col min="11282" max="11282" width="11.6640625" style="61" customWidth="1"/>
    <col min="11283" max="11283" width="12" style="61" customWidth="1"/>
    <col min="11284" max="11284" width="12.33203125" style="61" customWidth="1"/>
    <col min="11285" max="11285" width="12.88671875" style="61" customWidth="1"/>
    <col min="11286" max="11286" width="17.109375" style="61" customWidth="1"/>
    <col min="11287" max="11288" width="13.33203125" style="61" customWidth="1"/>
    <col min="11289" max="11289" width="13.88671875" style="61" customWidth="1"/>
    <col min="11290" max="11290" width="16.88671875" style="61" customWidth="1"/>
    <col min="11291" max="11291" width="13.33203125" style="61" customWidth="1"/>
    <col min="11292" max="11292" width="13.44140625" style="61" customWidth="1"/>
    <col min="11293" max="11293" width="14.5546875" style="61" customWidth="1"/>
    <col min="11294" max="11294" width="14.6640625" style="61" customWidth="1"/>
    <col min="11295" max="11295" width="13.6640625" style="61" customWidth="1"/>
    <col min="11296" max="11296" width="51.33203125" style="61" customWidth="1"/>
    <col min="11297" max="11302" width="9.109375" style="61"/>
    <col min="11303" max="11303" width="0" style="61" hidden="1" customWidth="1"/>
    <col min="11304" max="11520" width="9.109375" style="61"/>
    <col min="11521" max="11521" width="3.5546875" style="61" bestFit="1" customWidth="1"/>
    <col min="11522" max="11524" width="2.33203125" style="61" customWidth="1"/>
    <col min="11525" max="11525" width="56" style="61" bestFit="1" customWidth="1"/>
    <col min="11526" max="11526" width="2.6640625" style="61" customWidth="1"/>
    <col min="11527" max="11527" width="16.6640625" style="61" bestFit="1" customWidth="1"/>
    <col min="11528" max="11528" width="2.6640625" style="61" customWidth="1"/>
    <col min="11529" max="11529" width="12.6640625" style="61" customWidth="1"/>
    <col min="11530" max="11530" width="12.5546875" style="61" customWidth="1"/>
    <col min="11531" max="11531" width="12.33203125" style="61" customWidth="1"/>
    <col min="11532" max="11532" width="11.6640625" style="61" customWidth="1"/>
    <col min="11533" max="11533" width="12.109375" style="61" customWidth="1"/>
    <col min="11534" max="11534" width="12.33203125" style="61" customWidth="1"/>
    <col min="11535" max="11535" width="11.6640625" style="61" customWidth="1"/>
    <col min="11536" max="11536" width="12" style="61" customWidth="1"/>
    <col min="11537" max="11537" width="12.109375" style="61" customWidth="1"/>
    <col min="11538" max="11538" width="11.6640625" style="61" customWidth="1"/>
    <col min="11539" max="11539" width="12" style="61" customWidth="1"/>
    <col min="11540" max="11540" width="12.33203125" style="61" customWidth="1"/>
    <col min="11541" max="11541" width="12.88671875" style="61" customWidth="1"/>
    <col min="11542" max="11542" width="17.109375" style="61" customWidth="1"/>
    <col min="11543" max="11544" width="13.33203125" style="61" customWidth="1"/>
    <col min="11545" max="11545" width="13.88671875" style="61" customWidth="1"/>
    <col min="11546" max="11546" width="16.88671875" style="61" customWidth="1"/>
    <col min="11547" max="11547" width="13.33203125" style="61" customWidth="1"/>
    <col min="11548" max="11548" width="13.44140625" style="61" customWidth="1"/>
    <col min="11549" max="11549" width="14.5546875" style="61" customWidth="1"/>
    <col min="11550" max="11550" width="14.6640625" style="61" customWidth="1"/>
    <col min="11551" max="11551" width="13.6640625" style="61" customWidth="1"/>
    <col min="11552" max="11552" width="51.33203125" style="61" customWidth="1"/>
    <col min="11553" max="11558" width="9.109375" style="61"/>
    <col min="11559" max="11559" width="0" style="61" hidden="1" customWidth="1"/>
    <col min="11560" max="11776" width="9.109375" style="61"/>
    <col min="11777" max="11777" width="3.5546875" style="61" bestFit="1" customWidth="1"/>
    <col min="11778" max="11780" width="2.33203125" style="61" customWidth="1"/>
    <col min="11781" max="11781" width="56" style="61" bestFit="1" customWidth="1"/>
    <col min="11782" max="11782" width="2.6640625" style="61" customWidth="1"/>
    <col min="11783" max="11783" width="16.6640625" style="61" bestFit="1" customWidth="1"/>
    <col min="11784" max="11784" width="2.6640625" style="61" customWidth="1"/>
    <col min="11785" max="11785" width="12.6640625" style="61" customWidth="1"/>
    <col min="11786" max="11786" width="12.5546875" style="61" customWidth="1"/>
    <col min="11787" max="11787" width="12.33203125" style="61" customWidth="1"/>
    <col min="11788" max="11788" width="11.6640625" style="61" customWidth="1"/>
    <col min="11789" max="11789" width="12.109375" style="61" customWidth="1"/>
    <col min="11790" max="11790" width="12.33203125" style="61" customWidth="1"/>
    <col min="11791" max="11791" width="11.6640625" style="61" customWidth="1"/>
    <col min="11792" max="11792" width="12" style="61" customWidth="1"/>
    <col min="11793" max="11793" width="12.109375" style="61" customWidth="1"/>
    <col min="11794" max="11794" width="11.6640625" style="61" customWidth="1"/>
    <col min="11795" max="11795" width="12" style="61" customWidth="1"/>
    <col min="11796" max="11796" width="12.33203125" style="61" customWidth="1"/>
    <col min="11797" max="11797" width="12.88671875" style="61" customWidth="1"/>
    <col min="11798" max="11798" width="17.109375" style="61" customWidth="1"/>
    <col min="11799" max="11800" width="13.33203125" style="61" customWidth="1"/>
    <col min="11801" max="11801" width="13.88671875" style="61" customWidth="1"/>
    <col min="11802" max="11802" width="16.88671875" style="61" customWidth="1"/>
    <col min="11803" max="11803" width="13.33203125" style="61" customWidth="1"/>
    <col min="11804" max="11804" width="13.44140625" style="61" customWidth="1"/>
    <col min="11805" max="11805" width="14.5546875" style="61" customWidth="1"/>
    <col min="11806" max="11806" width="14.6640625" style="61" customWidth="1"/>
    <col min="11807" max="11807" width="13.6640625" style="61" customWidth="1"/>
    <col min="11808" max="11808" width="51.33203125" style="61" customWidth="1"/>
    <col min="11809" max="11814" width="9.109375" style="61"/>
    <col min="11815" max="11815" width="0" style="61" hidden="1" customWidth="1"/>
    <col min="11816" max="12032" width="9.109375" style="61"/>
    <col min="12033" max="12033" width="3.5546875" style="61" bestFit="1" customWidth="1"/>
    <col min="12034" max="12036" width="2.33203125" style="61" customWidth="1"/>
    <col min="12037" max="12037" width="56" style="61" bestFit="1" customWidth="1"/>
    <col min="12038" max="12038" width="2.6640625" style="61" customWidth="1"/>
    <col min="12039" max="12039" width="16.6640625" style="61" bestFit="1" customWidth="1"/>
    <col min="12040" max="12040" width="2.6640625" style="61" customWidth="1"/>
    <col min="12041" max="12041" width="12.6640625" style="61" customWidth="1"/>
    <col min="12042" max="12042" width="12.5546875" style="61" customWidth="1"/>
    <col min="12043" max="12043" width="12.33203125" style="61" customWidth="1"/>
    <col min="12044" max="12044" width="11.6640625" style="61" customWidth="1"/>
    <col min="12045" max="12045" width="12.109375" style="61" customWidth="1"/>
    <col min="12046" max="12046" width="12.33203125" style="61" customWidth="1"/>
    <col min="12047" max="12047" width="11.6640625" style="61" customWidth="1"/>
    <col min="12048" max="12048" width="12" style="61" customWidth="1"/>
    <col min="12049" max="12049" width="12.109375" style="61" customWidth="1"/>
    <col min="12050" max="12050" width="11.6640625" style="61" customWidth="1"/>
    <col min="12051" max="12051" width="12" style="61" customWidth="1"/>
    <col min="12052" max="12052" width="12.33203125" style="61" customWidth="1"/>
    <col min="12053" max="12053" width="12.88671875" style="61" customWidth="1"/>
    <col min="12054" max="12054" width="17.109375" style="61" customWidth="1"/>
    <col min="12055" max="12056" width="13.33203125" style="61" customWidth="1"/>
    <col min="12057" max="12057" width="13.88671875" style="61" customWidth="1"/>
    <col min="12058" max="12058" width="16.88671875" style="61" customWidth="1"/>
    <col min="12059" max="12059" width="13.33203125" style="61" customWidth="1"/>
    <col min="12060" max="12060" width="13.44140625" style="61" customWidth="1"/>
    <col min="12061" max="12061" width="14.5546875" style="61" customWidth="1"/>
    <col min="12062" max="12062" width="14.6640625" style="61" customWidth="1"/>
    <col min="12063" max="12063" width="13.6640625" style="61" customWidth="1"/>
    <col min="12064" max="12064" width="51.33203125" style="61" customWidth="1"/>
    <col min="12065" max="12070" width="9.109375" style="61"/>
    <col min="12071" max="12071" width="0" style="61" hidden="1" customWidth="1"/>
    <col min="12072" max="12288" width="9.109375" style="61"/>
    <col min="12289" max="12289" width="3.5546875" style="61" bestFit="1" customWidth="1"/>
    <col min="12290" max="12292" width="2.33203125" style="61" customWidth="1"/>
    <col min="12293" max="12293" width="56" style="61" bestFit="1" customWidth="1"/>
    <col min="12294" max="12294" width="2.6640625" style="61" customWidth="1"/>
    <col min="12295" max="12295" width="16.6640625" style="61" bestFit="1" customWidth="1"/>
    <col min="12296" max="12296" width="2.6640625" style="61" customWidth="1"/>
    <col min="12297" max="12297" width="12.6640625" style="61" customWidth="1"/>
    <col min="12298" max="12298" width="12.5546875" style="61" customWidth="1"/>
    <col min="12299" max="12299" width="12.33203125" style="61" customWidth="1"/>
    <col min="12300" max="12300" width="11.6640625" style="61" customWidth="1"/>
    <col min="12301" max="12301" width="12.109375" style="61" customWidth="1"/>
    <col min="12302" max="12302" width="12.33203125" style="61" customWidth="1"/>
    <col min="12303" max="12303" width="11.6640625" style="61" customWidth="1"/>
    <col min="12304" max="12304" width="12" style="61" customWidth="1"/>
    <col min="12305" max="12305" width="12.109375" style="61" customWidth="1"/>
    <col min="12306" max="12306" width="11.6640625" style="61" customWidth="1"/>
    <col min="12307" max="12307" width="12" style="61" customWidth="1"/>
    <col min="12308" max="12308" width="12.33203125" style="61" customWidth="1"/>
    <col min="12309" max="12309" width="12.88671875" style="61" customWidth="1"/>
    <col min="12310" max="12310" width="17.109375" style="61" customWidth="1"/>
    <col min="12311" max="12312" width="13.33203125" style="61" customWidth="1"/>
    <col min="12313" max="12313" width="13.88671875" style="61" customWidth="1"/>
    <col min="12314" max="12314" width="16.88671875" style="61" customWidth="1"/>
    <col min="12315" max="12315" width="13.33203125" style="61" customWidth="1"/>
    <col min="12316" max="12316" width="13.44140625" style="61" customWidth="1"/>
    <col min="12317" max="12317" width="14.5546875" style="61" customWidth="1"/>
    <col min="12318" max="12318" width="14.6640625" style="61" customWidth="1"/>
    <col min="12319" max="12319" width="13.6640625" style="61" customWidth="1"/>
    <col min="12320" max="12320" width="51.33203125" style="61" customWidth="1"/>
    <col min="12321" max="12326" width="9.109375" style="61"/>
    <col min="12327" max="12327" width="0" style="61" hidden="1" customWidth="1"/>
    <col min="12328" max="12544" width="9.109375" style="61"/>
    <col min="12545" max="12545" width="3.5546875" style="61" bestFit="1" customWidth="1"/>
    <col min="12546" max="12548" width="2.33203125" style="61" customWidth="1"/>
    <col min="12549" max="12549" width="56" style="61" bestFit="1" customWidth="1"/>
    <col min="12550" max="12550" width="2.6640625" style="61" customWidth="1"/>
    <col min="12551" max="12551" width="16.6640625" style="61" bestFit="1" customWidth="1"/>
    <col min="12552" max="12552" width="2.6640625" style="61" customWidth="1"/>
    <col min="12553" max="12553" width="12.6640625" style="61" customWidth="1"/>
    <col min="12554" max="12554" width="12.5546875" style="61" customWidth="1"/>
    <col min="12555" max="12555" width="12.33203125" style="61" customWidth="1"/>
    <col min="12556" max="12556" width="11.6640625" style="61" customWidth="1"/>
    <col min="12557" max="12557" width="12.109375" style="61" customWidth="1"/>
    <col min="12558" max="12558" width="12.33203125" style="61" customWidth="1"/>
    <col min="12559" max="12559" width="11.6640625" style="61" customWidth="1"/>
    <col min="12560" max="12560" width="12" style="61" customWidth="1"/>
    <col min="12561" max="12561" width="12.109375" style="61" customWidth="1"/>
    <col min="12562" max="12562" width="11.6640625" style="61" customWidth="1"/>
    <col min="12563" max="12563" width="12" style="61" customWidth="1"/>
    <col min="12564" max="12564" width="12.33203125" style="61" customWidth="1"/>
    <col min="12565" max="12565" width="12.88671875" style="61" customWidth="1"/>
    <col min="12566" max="12566" width="17.109375" style="61" customWidth="1"/>
    <col min="12567" max="12568" width="13.33203125" style="61" customWidth="1"/>
    <col min="12569" max="12569" width="13.88671875" style="61" customWidth="1"/>
    <col min="12570" max="12570" width="16.88671875" style="61" customWidth="1"/>
    <col min="12571" max="12571" width="13.33203125" style="61" customWidth="1"/>
    <col min="12572" max="12572" width="13.44140625" style="61" customWidth="1"/>
    <col min="12573" max="12573" width="14.5546875" style="61" customWidth="1"/>
    <col min="12574" max="12574" width="14.6640625" style="61" customWidth="1"/>
    <col min="12575" max="12575" width="13.6640625" style="61" customWidth="1"/>
    <col min="12576" max="12576" width="51.33203125" style="61" customWidth="1"/>
    <col min="12577" max="12582" width="9.109375" style="61"/>
    <col min="12583" max="12583" width="0" style="61" hidden="1" customWidth="1"/>
    <col min="12584" max="12800" width="9.109375" style="61"/>
    <col min="12801" max="12801" width="3.5546875" style="61" bestFit="1" customWidth="1"/>
    <col min="12802" max="12804" width="2.33203125" style="61" customWidth="1"/>
    <col min="12805" max="12805" width="56" style="61" bestFit="1" customWidth="1"/>
    <col min="12806" max="12806" width="2.6640625" style="61" customWidth="1"/>
    <col min="12807" max="12807" width="16.6640625" style="61" bestFit="1" customWidth="1"/>
    <col min="12808" max="12808" width="2.6640625" style="61" customWidth="1"/>
    <col min="12809" max="12809" width="12.6640625" style="61" customWidth="1"/>
    <col min="12810" max="12810" width="12.5546875" style="61" customWidth="1"/>
    <col min="12811" max="12811" width="12.33203125" style="61" customWidth="1"/>
    <col min="12812" max="12812" width="11.6640625" style="61" customWidth="1"/>
    <col min="12813" max="12813" width="12.109375" style="61" customWidth="1"/>
    <col min="12814" max="12814" width="12.33203125" style="61" customWidth="1"/>
    <col min="12815" max="12815" width="11.6640625" style="61" customWidth="1"/>
    <col min="12816" max="12816" width="12" style="61" customWidth="1"/>
    <col min="12817" max="12817" width="12.109375" style="61" customWidth="1"/>
    <col min="12818" max="12818" width="11.6640625" style="61" customWidth="1"/>
    <col min="12819" max="12819" width="12" style="61" customWidth="1"/>
    <col min="12820" max="12820" width="12.33203125" style="61" customWidth="1"/>
    <col min="12821" max="12821" width="12.88671875" style="61" customWidth="1"/>
    <col min="12822" max="12822" width="17.109375" style="61" customWidth="1"/>
    <col min="12823" max="12824" width="13.33203125" style="61" customWidth="1"/>
    <col min="12825" max="12825" width="13.88671875" style="61" customWidth="1"/>
    <col min="12826" max="12826" width="16.88671875" style="61" customWidth="1"/>
    <col min="12827" max="12827" width="13.33203125" style="61" customWidth="1"/>
    <col min="12828" max="12828" width="13.44140625" style="61" customWidth="1"/>
    <col min="12829" max="12829" width="14.5546875" style="61" customWidth="1"/>
    <col min="12830" max="12830" width="14.6640625" style="61" customWidth="1"/>
    <col min="12831" max="12831" width="13.6640625" style="61" customWidth="1"/>
    <col min="12832" max="12832" width="51.33203125" style="61" customWidth="1"/>
    <col min="12833" max="12838" width="9.109375" style="61"/>
    <col min="12839" max="12839" width="0" style="61" hidden="1" customWidth="1"/>
    <col min="12840" max="13056" width="9.109375" style="61"/>
    <col min="13057" max="13057" width="3.5546875" style="61" bestFit="1" customWidth="1"/>
    <col min="13058" max="13060" width="2.33203125" style="61" customWidth="1"/>
    <col min="13061" max="13061" width="56" style="61" bestFit="1" customWidth="1"/>
    <col min="13062" max="13062" width="2.6640625" style="61" customWidth="1"/>
    <col min="13063" max="13063" width="16.6640625" style="61" bestFit="1" customWidth="1"/>
    <col min="13064" max="13064" width="2.6640625" style="61" customWidth="1"/>
    <col min="13065" max="13065" width="12.6640625" style="61" customWidth="1"/>
    <col min="13066" max="13066" width="12.5546875" style="61" customWidth="1"/>
    <col min="13067" max="13067" width="12.33203125" style="61" customWidth="1"/>
    <col min="13068" max="13068" width="11.6640625" style="61" customWidth="1"/>
    <col min="13069" max="13069" width="12.109375" style="61" customWidth="1"/>
    <col min="13070" max="13070" width="12.33203125" style="61" customWidth="1"/>
    <col min="13071" max="13071" width="11.6640625" style="61" customWidth="1"/>
    <col min="13072" max="13072" width="12" style="61" customWidth="1"/>
    <col min="13073" max="13073" width="12.109375" style="61" customWidth="1"/>
    <col min="13074" max="13074" width="11.6640625" style="61" customWidth="1"/>
    <col min="13075" max="13075" width="12" style="61" customWidth="1"/>
    <col min="13076" max="13076" width="12.33203125" style="61" customWidth="1"/>
    <col min="13077" max="13077" width="12.88671875" style="61" customWidth="1"/>
    <col min="13078" max="13078" width="17.109375" style="61" customWidth="1"/>
    <col min="13079" max="13080" width="13.33203125" style="61" customWidth="1"/>
    <col min="13081" max="13081" width="13.88671875" style="61" customWidth="1"/>
    <col min="13082" max="13082" width="16.88671875" style="61" customWidth="1"/>
    <col min="13083" max="13083" width="13.33203125" style="61" customWidth="1"/>
    <col min="13084" max="13084" width="13.44140625" style="61" customWidth="1"/>
    <col min="13085" max="13085" width="14.5546875" style="61" customWidth="1"/>
    <col min="13086" max="13086" width="14.6640625" style="61" customWidth="1"/>
    <col min="13087" max="13087" width="13.6640625" style="61" customWidth="1"/>
    <col min="13088" max="13088" width="51.33203125" style="61" customWidth="1"/>
    <col min="13089" max="13094" width="9.109375" style="61"/>
    <col min="13095" max="13095" width="0" style="61" hidden="1" customWidth="1"/>
    <col min="13096" max="13312" width="9.109375" style="61"/>
    <col min="13313" max="13313" width="3.5546875" style="61" bestFit="1" customWidth="1"/>
    <col min="13314" max="13316" width="2.33203125" style="61" customWidth="1"/>
    <col min="13317" max="13317" width="56" style="61" bestFit="1" customWidth="1"/>
    <col min="13318" max="13318" width="2.6640625" style="61" customWidth="1"/>
    <col min="13319" max="13319" width="16.6640625" style="61" bestFit="1" customWidth="1"/>
    <col min="13320" max="13320" width="2.6640625" style="61" customWidth="1"/>
    <col min="13321" max="13321" width="12.6640625" style="61" customWidth="1"/>
    <col min="13322" max="13322" width="12.5546875" style="61" customWidth="1"/>
    <col min="13323" max="13323" width="12.33203125" style="61" customWidth="1"/>
    <col min="13324" max="13324" width="11.6640625" style="61" customWidth="1"/>
    <col min="13325" max="13325" width="12.109375" style="61" customWidth="1"/>
    <col min="13326" max="13326" width="12.33203125" style="61" customWidth="1"/>
    <col min="13327" max="13327" width="11.6640625" style="61" customWidth="1"/>
    <col min="13328" max="13328" width="12" style="61" customWidth="1"/>
    <col min="13329" max="13329" width="12.109375" style="61" customWidth="1"/>
    <col min="13330" max="13330" width="11.6640625" style="61" customWidth="1"/>
    <col min="13331" max="13331" width="12" style="61" customWidth="1"/>
    <col min="13332" max="13332" width="12.33203125" style="61" customWidth="1"/>
    <col min="13333" max="13333" width="12.88671875" style="61" customWidth="1"/>
    <col min="13334" max="13334" width="17.109375" style="61" customWidth="1"/>
    <col min="13335" max="13336" width="13.33203125" style="61" customWidth="1"/>
    <col min="13337" max="13337" width="13.88671875" style="61" customWidth="1"/>
    <col min="13338" max="13338" width="16.88671875" style="61" customWidth="1"/>
    <col min="13339" max="13339" width="13.33203125" style="61" customWidth="1"/>
    <col min="13340" max="13340" width="13.44140625" style="61" customWidth="1"/>
    <col min="13341" max="13341" width="14.5546875" style="61" customWidth="1"/>
    <col min="13342" max="13342" width="14.6640625" style="61" customWidth="1"/>
    <col min="13343" max="13343" width="13.6640625" style="61" customWidth="1"/>
    <col min="13344" max="13344" width="51.33203125" style="61" customWidth="1"/>
    <col min="13345" max="13350" width="9.109375" style="61"/>
    <col min="13351" max="13351" width="0" style="61" hidden="1" customWidth="1"/>
    <col min="13352" max="13568" width="9.109375" style="61"/>
    <col min="13569" max="13569" width="3.5546875" style="61" bestFit="1" customWidth="1"/>
    <col min="13570" max="13572" width="2.33203125" style="61" customWidth="1"/>
    <col min="13573" max="13573" width="56" style="61" bestFit="1" customWidth="1"/>
    <col min="13574" max="13574" width="2.6640625" style="61" customWidth="1"/>
    <col min="13575" max="13575" width="16.6640625" style="61" bestFit="1" customWidth="1"/>
    <col min="13576" max="13576" width="2.6640625" style="61" customWidth="1"/>
    <col min="13577" max="13577" width="12.6640625" style="61" customWidth="1"/>
    <col min="13578" max="13578" width="12.5546875" style="61" customWidth="1"/>
    <col min="13579" max="13579" width="12.33203125" style="61" customWidth="1"/>
    <col min="13580" max="13580" width="11.6640625" style="61" customWidth="1"/>
    <col min="13581" max="13581" width="12.109375" style="61" customWidth="1"/>
    <col min="13582" max="13582" width="12.33203125" style="61" customWidth="1"/>
    <col min="13583" max="13583" width="11.6640625" style="61" customWidth="1"/>
    <col min="13584" max="13584" width="12" style="61" customWidth="1"/>
    <col min="13585" max="13585" width="12.109375" style="61" customWidth="1"/>
    <col min="13586" max="13586" width="11.6640625" style="61" customWidth="1"/>
    <col min="13587" max="13587" width="12" style="61" customWidth="1"/>
    <col min="13588" max="13588" width="12.33203125" style="61" customWidth="1"/>
    <col min="13589" max="13589" width="12.88671875" style="61" customWidth="1"/>
    <col min="13590" max="13590" width="17.109375" style="61" customWidth="1"/>
    <col min="13591" max="13592" width="13.33203125" style="61" customWidth="1"/>
    <col min="13593" max="13593" width="13.88671875" style="61" customWidth="1"/>
    <col min="13594" max="13594" width="16.88671875" style="61" customWidth="1"/>
    <col min="13595" max="13595" width="13.33203125" style="61" customWidth="1"/>
    <col min="13596" max="13596" width="13.44140625" style="61" customWidth="1"/>
    <col min="13597" max="13597" width="14.5546875" style="61" customWidth="1"/>
    <col min="13598" max="13598" width="14.6640625" style="61" customWidth="1"/>
    <col min="13599" max="13599" width="13.6640625" style="61" customWidth="1"/>
    <col min="13600" max="13600" width="51.33203125" style="61" customWidth="1"/>
    <col min="13601" max="13606" width="9.109375" style="61"/>
    <col min="13607" max="13607" width="0" style="61" hidden="1" customWidth="1"/>
    <col min="13608" max="13824" width="9.109375" style="61"/>
    <col min="13825" max="13825" width="3.5546875" style="61" bestFit="1" customWidth="1"/>
    <col min="13826" max="13828" width="2.33203125" style="61" customWidth="1"/>
    <col min="13829" max="13829" width="56" style="61" bestFit="1" customWidth="1"/>
    <col min="13830" max="13830" width="2.6640625" style="61" customWidth="1"/>
    <col min="13831" max="13831" width="16.6640625" style="61" bestFit="1" customWidth="1"/>
    <col min="13832" max="13832" width="2.6640625" style="61" customWidth="1"/>
    <col min="13833" max="13833" width="12.6640625" style="61" customWidth="1"/>
    <col min="13834" max="13834" width="12.5546875" style="61" customWidth="1"/>
    <col min="13835" max="13835" width="12.33203125" style="61" customWidth="1"/>
    <col min="13836" max="13836" width="11.6640625" style="61" customWidth="1"/>
    <col min="13837" max="13837" width="12.109375" style="61" customWidth="1"/>
    <col min="13838" max="13838" width="12.33203125" style="61" customWidth="1"/>
    <col min="13839" max="13839" width="11.6640625" style="61" customWidth="1"/>
    <col min="13840" max="13840" width="12" style="61" customWidth="1"/>
    <col min="13841" max="13841" width="12.109375" style="61" customWidth="1"/>
    <col min="13842" max="13842" width="11.6640625" style="61" customWidth="1"/>
    <col min="13843" max="13843" width="12" style="61" customWidth="1"/>
    <col min="13844" max="13844" width="12.33203125" style="61" customWidth="1"/>
    <col min="13845" max="13845" width="12.88671875" style="61" customWidth="1"/>
    <col min="13846" max="13846" width="17.109375" style="61" customWidth="1"/>
    <col min="13847" max="13848" width="13.33203125" style="61" customWidth="1"/>
    <col min="13849" max="13849" width="13.88671875" style="61" customWidth="1"/>
    <col min="13850" max="13850" width="16.88671875" style="61" customWidth="1"/>
    <col min="13851" max="13851" width="13.33203125" style="61" customWidth="1"/>
    <col min="13852" max="13852" width="13.44140625" style="61" customWidth="1"/>
    <col min="13853" max="13853" width="14.5546875" style="61" customWidth="1"/>
    <col min="13854" max="13854" width="14.6640625" style="61" customWidth="1"/>
    <col min="13855" max="13855" width="13.6640625" style="61" customWidth="1"/>
    <col min="13856" max="13856" width="51.33203125" style="61" customWidth="1"/>
    <col min="13857" max="13862" width="9.109375" style="61"/>
    <col min="13863" max="13863" width="0" style="61" hidden="1" customWidth="1"/>
    <col min="13864" max="14080" width="9.109375" style="61"/>
    <col min="14081" max="14081" width="3.5546875" style="61" bestFit="1" customWidth="1"/>
    <col min="14082" max="14084" width="2.33203125" style="61" customWidth="1"/>
    <col min="14085" max="14085" width="56" style="61" bestFit="1" customWidth="1"/>
    <col min="14086" max="14086" width="2.6640625" style="61" customWidth="1"/>
    <col min="14087" max="14087" width="16.6640625" style="61" bestFit="1" customWidth="1"/>
    <col min="14088" max="14088" width="2.6640625" style="61" customWidth="1"/>
    <col min="14089" max="14089" width="12.6640625" style="61" customWidth="1"/>
    <col min="14090" max="14090" width="12.5546875" style="61" customWidth="1"/>
    <col min="14091" max="14091" width="12.33203125" style="61" customWidth="1"/>
    <col min="14092" max="14092" width="11.6640625" style="61" customWidth="1"/>
    <col min="14093" max="14093" width="12.109375" style="61" customWidth="1"/>
    <col min="14094" max="14094" width="12.33203125" style="61" customWidth="1"/>
    <col min="14095" max="14095" width="11.6640625" style="61" customWidth="1"/>
    <col min="14096" max="14096" width="12" style="61" customWidth="1"/>
    <col min="14097" max="14097" width="12.109375" style="61" customWidth="1"/>
    <col min="14098" max="14098" width="11.6640625" style="61" customWidth="1"/>
    <col min="14099" max="14099" width="12" style="61" customWidth="1"/>
    <col min="14100" max="14100" width="12.33203125" style="61" customWidth="1"/>
    <col min="14101" max="14101" width="12.88671875" style="61" customWidth="1"/>
    <col min="14102" max="14102" width="17.109375" style="61" customWidth="1"/>
    <col min="14103" max="14104" width="13.33203125" style="61" customWidth="1"/>
    <col min="14105" max="14105" width="13.88671875" style="61" customWidth="1"/>
    <col min="14106" max="14106" width="16.88671875" style="61" customWidth="1"/>
    <col min="14107" max="14107" width="13.33203125" style="61" customWidth="1"/>
    <col min="14108" max="14108" width="13.44140625" style="61" customWidth="1"/>
    <col min="14109" max="14109" width="14.5546875" style="61" customWidth="1"/>
    <col min="14110" max="14110" width="14.6640625" style="61" customWidth="1"/>
    <col min="14111" max="14111" width="13.6640625" style="61" customWidth="1"/>
    <col min="14112" max="14112" width="51.33203125" style="61" customWidth="1"/>
    <col min="14113" max="14118" width="9.109375" style="61"/>
    <col min="14119" max="14119" width="0" style="61" hidden="1" customWidth="1"/>
    <col min="14120" max="14336" width="9.109375" style="61"/>
    <col min="14337" max="14337" width="3.5546875" style="61" bestFit="1" customWidth="1"/>
    <col min="14338" max="14340" width="2.33203125" style="61" customWidth="1"/>
    <col min="14341" max="14341" width="56" style="61" bestFit="1" customWidth="1"/>
    <col min="14342" max="14342" width="2.6640625" style="61" customWidth="1"/>
    <col min="14343" max="14343" width="16.6640625" style="61" bestFit="1" customWidth="1"/>
    <col min="14344" max="14344" width="2.6640625" style="61" customWidth="1"/>
    <col min="14345" max="14345" width="12.6640625" style="61" customWidth="1"/>
    <col min="14346" max="14346" width="12.5546875" style="61" customWidth="1"/>
    <col min="14347" max="14347" width="12.33203125" style="61" customWidth="1"/>
    <col min="14348" max="14348" width="11.6640625" style="61" customWidth="1"/>
    <col min="14349" max="14349" width="12.109375" style="61" customWidth="1"/>
    <col min="14350" max="14350" width="12.33203125" style="61" customWidth="1"/>
    <col min="14351" max="14351" width="11.6640625" style="61" customWidth="1"/>
    <col min="14352" max="14352" width="12" style="61" customWidth="1"/>
    <col min="14353" max="14353" width="12.109375" style="61" customWidth="1"/>
    <col min="14354" max="14354" width="11.6640625" style="61" customWidth="1"/>
    <col min="14355" max="14355" width="12" style="61" customWidth="1"/>
    <col min="14356" max="14356" width="12.33203125" style="61" customWidth="1"/>
    <col min="14357" max="14357" width="12.88671875" style="61" customWidth="1"/>
    <col min="14358" max="14358" width="17.109375" style="61" customWidth="1"/>
    <col min="14359" max="14360" width="13.33203125" style="61" customWidth="1"/>
    <col min="14361" max="14361" width="13.88671875" style="61" customWidth="1"/>
    <col min="14362" max="14362" width="16.88671875" style="61" customWidth="1"/>
    <col min="14363" max="14363" width="13.33203125" style="61" customWidth="1"/>
    <col min="14364" max="14364" width="13.44140625" style="61" customWidth="1"/>
    <col min="14365" max="14365" width="14.5546875" style="61" customWidth="1"/>
    <col min="14366" max="14366" width="14.6640625" style="61" customWidth="1"/>
    <col min="14367" max="14367" width="13.6640625" style="61" customWidth="1"/>
    <col min="14368" max="14368" width="51.33203125" style="61" customWidth="1"/>
    <col min="14369" max="14374" width="9.109375" style="61"/>
    <col min="14375" max="14375" width="0" style="61" hidden="1" customWidth="1"/>
    <col min="14376" max="14592" width="9.109375" style="61"/>
    <col min="14593" max="14593" width="3.5546875" style="61" bestFit="1" customWidth="1"/>
    <col min="14594" max="14596" width="2.33203125" style="61" customWidth="1"/>
    <col min="14597" max="14597" width="56" style="61" bestFit="1" customWidth="1"/>
    <col min="14598" max="14598" width="2.6640625" style="61" customWidth="1"/>
    <col min="14599" max="14599" width="16.6640625" style="61" bestFit="1" customWidth="1"/>
    <col min="14600" max="14600" width="2.6640625" style="61" customWidth="1"/>
    <col min="14601" max="14601" width="12.6640625" style="61" customWidth="1"/>
    <col min="14602" max="14602" width="12.5546875" style="61" customWidth="1"/>
    <col min="14603" max="14603" width="12.33203125" style="61" customWidth="1"/>
    <col min="14604" max="14604" width="11.6640625" style="61" customWidth="1"/>
    <col min="14605" max="14605" width="12.109375" style="61" customWidth="1"/>
    <col min="14606" max="14606" width="12.33203125" style="61" customWidth="1"/>
    <col min="14607" max="14607" width="11.6640625" style="61" customWidth="1"/>
    <col min="14608" max="14608" width="12" style="61" customWidth="1"/>
    <col min="14609" max="14609" width="12.109375" style="61" customWidth="1"/>
    <col min="14610" max="14610" width="11.6640625" style="61" customWidth="1"/>
    <col min="14611" max="14611" width="12" style="61" customWidth="1"/>
    <col min="14612" max="14612" width="12.33203125" style="61" customWidth="1"/>
    <col min="14613" max="14613" width="12.88671875" style="61" customWidth="1"/>
    <col min="14614" max="14614" width="17.109375" style="61" customWidth="1"/>
    <col min="14615" max="14616" width="13.33203125" style="61" customWidth="1"/>
    <col min="14617" max="14617" width="13.88671875" style="61" customWidth="1"/>
    <col min="14618" max="14618" width="16.88671875" style="61" customWidth="1"/>
    <col min="14619" max="14619" width="13.33203125" style="61" customWidth="1"/>
    <col min="14620" max="14620" width="13.44140625" style="61" customWidth="1"/>
    <col min="14621" max="14621" width="14.5546875" style="61" customWidth="1"/>
    <col min="14622" max="14622" width="14.6640625" style="61" customWidth="1"/>
    <col min="14623" max="14623" width="13.6640625" style="61" customWidth="1"/>
    <col min="14624" max="14624" width="51.33203125" style="61" customWidth="1"/>
    <col min="14625" max="14630" width="9.109375" style="61"/>
    <col min="14631" max="14631" width="0" style="61" hidden="1" customWidth="1"/>
    <col min="14632" max="14848" width="9.109375" style="61"/>
    <col min="14849" max="14849" width="3.5546875" style="61" bestFit="1" customWidth="1"/>
    <col min="14850" max="14852" width="2.33203125" style="61" customWidth="1"/>
    <col min="14853" max="14853" width="56" style="61" bestFit="1" customWidth="1"/>
    <col min="14854" max="14854" width="2.6640625" style="61" customWidth="1"/>
    <col min="14855" max="14855" width="16.6640625" style="61" bestFit="1" customWidth="1"/>
    <col min="14856" max="14856" width="2.6640625" style="61" customWidth="1"/>
    <col min="14857" max="14857" width="12.6640625" style="61" customWidth="1"/>
    <col min="14858" max="14858" width="12.5546875" style="61" customWidth="1"/>
    <col min="14859" max="14859" width="12.33203125" style="61" customWidth="1"/>
    <col min="14860" max="14860" width="11.6640625" style="61" customWidth="1"/>
    <col min="14861" max="14861" width="12.109375" style="61" customWidth="1"/>
    <col min="14862" max="14862" width="12.33203125" style="61" customWidth="1"/>
    <col min="14863" max="14863" width="11.6640625" style="61" customWidth="1"/>
    <col min="14864" max="14864" width="12" style="61" customWidth="1"/>
    <col min="14865" max="14865" width="12.109375" style="61" customWidth="1"/>
    <col min="14866" max="14866" width="11.6640625" style="61" customWidth="1"/>
    <col min="14867" max="14867" width="12" style="61" customWidth="1"/>
    <col min="14868" max="14868" width="12.33203125" style="61" customWidth="1"/>
    <col min="14869" max="14869" width="12.88671875" style="61" customWidth="1"/>
    <col min="14870" max="14870" width="17.109375" style="61" customWidth="1"/>
    <col min="14871" max="14872" width="13.33203125" style="61" customWidth="1"/>
    <col min="14873" max="14873" width="13.88671875" style="61" customWidth="1"/>
    <col min="14874" max="14874" width="16.88671875" style="61" customWidth="1"/>
    <col min="14875" max="14875" width="13.33203125" style="61" customWidth="1"/>
    <col min="14876" max="14876" width="13.44140625" style="61" customWidth="1"/>
    <col min="14877" max="14877" width="14.5546875" style="61" customWidth="1"/>
    <col min="14878" max="14878" width="14.6640625" style="61" customWidth="1"/>
    <col min="14879" max="14879" width="13.6640625" style="61" customWidth="1"/>
    <col min="14880" max="14880" width="51.33203125" style="61" customWidth="1"/>
    <col min="14881" max="14886" width="9.109375" style="61"/>
    <col min="14887" max="14887" width="0" style="61" hidden="1" customWidth="1"/>
    <col min="14888" max="15104" width="9.109375" style="61"/>
    <col min="15105" max="15105" width="3.5546875" style="61" bestFit="1" customWidth="1"/>
    <col min="15106" max="15108" width="2.33203125" style="61" customWidth="1"/>
    <col min="15109" max="15109" width="56" style="61" bestFit="1" customWidth="1"/>
    <col min="15110" max="15110" width="2.6640625" style="61" customWidth="1"/>
    <col min="15111" max="15111" width="16.6640625" style="61" bestFit="1" customWidth="1"/>
    <col min="15112" max="15112" width="2.6640625" style="61" customWidth="1"/>
    <col min="15113" max="15113" width="12.6640625" style="61" customWidth="1"/>
    <col min="15114" max="15114" width="12.5546875" style="61" customWidth="1"/>
    <col min="15115" max="15115" width="12.33203125" style="61" customWidth="1"/>
    <col min="15116" max="15116" width="11.6640625" style="61" customWidth="1"/>
    <col min="15117" max="15117" width="12.109375" style="61" customWidth="1"/>
    <col min="15118" max="15118" width="12.33203125" style="61" customWidth="1"/>
    <col min="15119" max="15119" width="11.6640625" style="61" customWidth="1"/>
    <col min="15120" max="15120" width="12" style="61" customWidth="1"/>
    <col min="15121" max="15121" width="12.109375" style="61" customWidth="1"/>
    <col min="15122" max="15122" width="11.6640625" style="61" customWidth="1"/>
    <col min="15123" max="15123" width="12" style="61" customWidth="1"/>
    <col min="15124" max="15124" width="12.33203125" style="61" customWidth="1"/>
    <col min="15125" max="15125" width="12.88671875" style="61" customWidth="1"/>
    <col min="15126" max="15126" width="17.109375" style="61" customWidth="1"/>
    <col min="15127" max="15128" width="13.33203125" style="61" customWidth="1"/>
    <col min="15129" max="15129" width="13.88671875" style="61" customWidth="1"/>
    <col min="15130" max="15130" width="16.88671875" style="61" customWidth="1"/>
    <col min="15131" max="15131" width="13.33203125" style="61" customWidth="1"/>
    <col min="15132" max="15132" width="13.44140625" style="61" customWidth="1"/>
    <col min="15133" max="15133" width="14.5546875" style="61" customWidth="1"/>
    <col min="15134" max="15134" width="14.6640625" style="61" customWidth="1"/>
    <col min="15135" max="15135" width="13.6640625" style="61" customWidth="1"/>
    <col min="15136" max="15136" width="51.33203125" style="61" customWidth="1"/>
    <col min="15137" max="15142" width="9.109375" style="61"/>
    <col min="15143" max="15143" width="0" style="61" hidden="1" customWidth="1"/>
    <col min="15144" max="15360" width="9.109375" style="61"/>
    <col min="15361" max="15361" width="3.5546875" style="61" bestFit="1" customWidth="1"/>
    <col min="15362" max="15364" width="2.33203125" style="61" customWidth="1"/>
    <col min="15365" max="15365" width="56" style="61" bestFit="1" customWidth="1"/>
    <col min="15366" max="15366" width="2.6640625" style="61" customWidth="1"/>
    <col min="15367" max="15367" width="16.6640625" style="61" bestFit="1" customWidth="1"/>
    <col min="15368" max="15368" width="2.6640625" style="61" customWidth="1"/>
    <col min="15369" max="15369" width="12.6640625" style="61" customWidth="1"/>
    <col min="15370" max="15370" width="12.5546875" style="61" customWidth="1"/>
    <col min="15371" max="15371" width="12.33203125" style="61" customWidth="1"/>
    <col min="15372" max="15372" width="11.6640625" style="61" customWidth="1"/>
    <col min="15373" max="15373" width="12.109375" style="61" customWidth="1"/>
    <col min="15374" max="15374" width="12.33203125" style="61" customWidth="1"/>
    <col min="15375" max="15375" width="11.6640625" style="61" customWidth="1"/>
    <col min="15376" max="15376" width="12" style="61" customWidth="1"/>
    <col min="15377" max="15377" width="12.109375" style="61" customWidth="1"/>
    <col min="15378" max="15378" width="11.6640625" style="61" customWidth="1"/>
    <col min="15379" max="15379" width="12" style="61" customWidth="1"/>
    <col min="15380" max="15380" width="12.33203125" style="61" customWidth="1"/>
    <col min="15381" max="15381" width="12.88671875" style="61" customWidth="1"/>
    <col min="15382" max="15382" width="17.109375" style="61" customWidth="1"/>
    <col min="15383" max="15384" width="13.33203125" style="61" customWidth="1"/>
    <col min="15385" max="15385" width="13.88671875" style="61" customWidth="1"/>
    <col min="15386" max="15386" width="16.88671875" style="61" customWidth="1"/>
    <col min="15387" max="15387" width="13.33203125" style="61" customWidth="1"/>
    <col min="15388" max="15388" width="13.44140625" style="61" customWidth="1"/>
    <col min="15389" max="15389" width="14.5546875" style="61" customWidth="1"/>
    <col min="15390" max="15390" width="14.6640625" style="61" customWidth="1"/>
    <col min="15391" max="15391" width="13.6640625" style="61" customWidth="1"/>
    <col min="15392" max="15392" width="51.33203125" style="61" customWidth="1"/>
    <col min="15393" max="15398" width="9.109375" style="61"/>
    <col min="15399" max="15399" width="0" style="61" hidden="1" customWidth="1"/>
    <col min="15400" max="15616" width="9.109375" style="61"/>
    <col min="15617" max="15617" width="3.5546875" style="61" bestFit="1" customWidth="1"/>
    <col min="15618" max="15620" width="2.33203125" style="61" customWidth="1"/>
    <col min="15621" max="15621" width="56" style="61" bestFit="1" customWidth="1"/>
    <col min="15622" max="15622" width="2.6640625" style="61" customWidth="1"/>
    <col min="15623" max="15623" width="16.6640625" style="61" bestFit="1" customWidth="1"/>
    <col min="15624" max="15624" width="2.6640625" style="61" customWidth="1"/>
    <col min="15625" max="15625" width="12.6640625" style="61" customWidth="1"/>
    <col min="15626" max="15626" width="12.5546875" style="61" customWidth="1"/>
    <col min="15627" max="15627" width="12.33203125" style="61" customWidth="1"/>
    <col min="15628" max="15628" width="11.6640625" style="61" customWidth="1"/>
    <col min="15629" max="15629" width="12.109375" style="61" customWidth="1"/>
    <col min="15630" max="15630" width="12.33203125" style="61" customWidth="1"/>
    <col min="15631" max="15631" width="11.6640625" style="61" customWidth="1"/>
    <col min="15632" max="15632" width="12" style="61" customWidth="1"/>
    <col min="15633" max="15633" width="12.109375" style="61" customWidth="1"/>
    <col min="15634" max="15634" width="11.6640625" style="61" customWidth="1"/>
    <col min="15635" max="15635" width="12" style="61" customWidth="1"/>
    <col min="15636" max="15636" width="12.33203125" style="61" customWidth="1"/>
    <col min="15637" max="15637" width="12.88671875" style="61" customWidth="1"/>
    <col min="15638" max="15638" width="17.109375" style="61" customWidth="1"/>
    <col min="15639" max="15640" width="13.33203125" style="61" customWidth="1"/>
    <col min="15641" max="15641" width="13.88671875" style="61" customWidth="1"/>
    <col min="15642" max="15642" width="16.88671875" style="61" customWidth="1"/>
    <col min="15643" max="15643" width="13.33203125" style="61" customWidth="1"/>
    <col min="15644" max="15644" width="13.44140625" style="61" customWidth="1"/>
    <col min="15645" max="15645" width="14.5546875" style="61" customWidth="1"/>
    <col min="15646" max="15646" width="14.6640625" style="61" customWidth="1"/>
    <col min="15647" max="15647" width="13.6640625" style="61" customWidth="1"/>
    <col min="15648" max="15648" width="51.33203125" style="61" customWidth="1"/>
    <col min="15649" max="15654" width="9.109375" style="61"/>
    <col min="15655" max="15655" width="0" style="61" hidden="1" customWidth="1"/>
    <col min="15656" max="15872" width="9.109375" style="61"/>
    <col min="15873" max="15873" width="3.5546875" style="61" bestFit="1" customWidth="1"/>
    <col min="15874" max="15876" width="2.33203125" style="61" customWidth="1"/>
    <col min="15877" max="15877" width="56" style="61" bestFit="1" customWidth="1"/>
    <col min="15878" max="15878" width="2.6640625" style="61" customWidth="1"/>
    <col min="15879" max="15879" width="16.6640625" style="61" bestFit="1" customWidth="1"/>
    <col min="15880" max="15880" width="2.6640625" style="61" customWidth="1"/>
    <col min="15881" max="15881" width="12.6640625" style="61" customWidth="1"/>
    <col min="15882" max="15882" width="12.5546875" style="61" customWidth="1"/>
    <col min="15883" max="15883" width="12.33203125" style="61" customWidth="1"/>
    <col min="15884" max="15884" width="11.6640625" style="61" customWidth="1"/>
    <col min="15885" max="15885" width="12.109375" style="61" customWidth="1"/>
    <col min="15886" max="15886" width="12.33203125" style="61" customWidth="1"/>
    <col min="15887" max="15887" width="11.6640625" style="61" customWidth="1"/>
    <col min="15888" max="15888" width="12" style="61" customWidth="1"/>
    <col min="15889" max="15889" width="12.109375" style="61" customWidth="1"/>
    <col min="15890" max="15890" width="11.6640625" style="61" customWidth="1"/>
    <col min="15891" max="15891" width="12" style="61" customWidth="1"/>
    <col min="15892" max="15892" width="12.33203125" style="61" customWidth="1"/>
    <col min="15893" max="15893" width="12.88671875" style="61" customWidth="1"/>
    <col min="15894" max="15894" width="17.109375" style="61" customWidth="1"/>
    <col min="15895" max="15896" width="13.33203125" style="61" customWidth="1"/>
    <col min="15897" max="15897" width="13.88671875" style="61" customWidth="1"/>
    <col min="15898" max="15898" width="16.88671875" style="61" customWidth="1"/>
    <col min="15899" max="15899" width="13.33203125" style="61" customWidth="1"/>
    <col min="15900" max="15900" width="13.44140625" style="61" customWidth="1"/>
    <col min="15901" max="15901" width="14.5546875" style="61" customWidth="1"/>
    <col min="15902" max="15902" width="14.6640625" style="61" customWidth="1"/>
    <col min="15903" max="15903" width="13.6640625" style="61" customWidth="1"/>
    <col min="15904" max="15904" width="51.33203125" style="61" customWidth="1"/>
    <col min="15905" max="15910" width="9.109375" style="61"/>
    <col min="15911" max="15911" width="0" style="61" hidden="1" customWidth="1"/>
    <col min="15912" max="16128" width="9.109375" style="61"/>
    <col min="16129" max="16129" width="3.5546875" style="61" bestFit="1" customWidth="1"/>
    <col min="16130" max="16132" width="2.33203125" style="61" customWidth="1"/>
    <col min="16133" max="16133" width="56" style="61" bestFit="1" customWidth="1"/>
    <col min="16134" max="16134" width="2.6640625" style="61" customWidth="1"/>
    <col min="16135" max="16135" width="16.6640625" style="61" bestFit="1" customWidth="1"/>
    <col min="16136" max="16136" width="2.6640625" style="61" customWidth="1"/>
    <col min="16137" max="16137" width="12.6640625" style="61" customWidth="1"/>
    <col min="16138" max="16138" width="12.5546875" style="61" customWidth="1"/>
    <col min="16139" max="16139" width="12.33203125" style="61" customWidth="1"/>
    <col min="16140" max="16140" width="11.6640625" style="61" customWidth="1"/>
    <col min="16141" max="16141" width="12.109375" style="61" customWidth="1"/>
    <col min="16142" max="16142" width="12.33203125" style="61" customWidth="1"/>
    <col min="16143" max="16143" width="11.6640625" style="61" customWidth="1"/>
    <col min="16144" max="16144" width="12" style="61" customWidth="1"/>
    <col min="16145" max="16145" width="12.109375" style="61" customWidth="1"/>
    <col min="16146" max="16146" width="11.6640625" style="61" customWidth="1"/>
    <col min="16147" max="16147" width="12" style="61" customWidth="1"/>
    <col min="16148" max="16148" width="12.33203125" style="61" customWidth="1"/>
    <col min="16149" max="16149" width="12.88671875" style="61" customWidth="1"/>
    <col min="16150" max="16150" width="17.109375" style="61" customWidth="1"/>
    <col min="16151" max="16152" width="13.33203125" style="61" customWidth="1"/>
    <col min="16153" max="16153" width="13.88671875" style="61" customWidth="1"/>
    <col min="16154" max="16154" width="16.88671875" style="61" customWidth="1"/>
    <col min="16155" max="16155" width="13.33203125" style="61" customWidth="1"/>
    <col min="16156" max="16156" width="13.44140625" style="61" customWidth="1"/>
    <col min="16157" max="16157" width="14.5546875" style="61" customWidth="1"/>
    <col min="16158" max="16158" width="14.6640625" style="61" customWidth="1"/>
    <col min="16159" max="16159" width="13.6640625" style="61" customWidth="1"/>
    <col min="16160" max="16160" width="51.33203125" style="61" customWidth="1"/>
    <col min="16161" max="16166" width="9.109375" style="61"/>
    <col min="16167" max="16167" width="0" style="61" hidden="1" customWidth="1"/>
    <col min="16168" max="16384" width="9.109375" style="61"/>
  </cols>
  <sheetData>
    <row r="1" spans="1:34" s="263" customFormat="1" ht="10.8" hidden="1" thickBot="1">
      <c r="A1" s="263">
        <v>1</v>
      </c>
      <c r="E1" s="262"/>
      <c r="F1" s="262"/>
      <c r="G1" s="261"/>
      <c r="H1" s="260"/>
      <c r="I1" s="351">
        <v>1</v>
      </c>
      <c r="J1" s="260"/>
      <c r="K1" s="351"/>
      <c r="L1" s="351">
        <v>2</v>
      </c>
      <c r="M1" s="351"/>
      <c r="N1" s="351"/>
      <c r="O1" s="351">
        <v>3</v>
      </c>
      <c r="P1" s="351"/>
      <c r="Q1" s="351"/>
      <c r="R1" s="351">
        <v>4</v>
      </c>
      <c r="S1" s="351"/>
      <c r="T1" s="351"/>
      <c r="U1" s="260">
        <v>5</v>
      </c>
      <c r="V1" s="352"/>
      <c r="W1" s="352"/>
      <c r="X1" s="352"/>
      <c r="Y1" s="352"/>
      <c r="Z1" s="352"/>
      <c r="AA1" s="352"/>
      <c r="AB1" s="352"/>
    </row>
    <row r="2" spans="1:34" s="1" customFormat="1" ht="19.5" customHeight="1" thickTop="1">
      <c r="A2" s="259">
        <f>A1+1</f>
        <v>2</v>
      </c>
      <c r="B2" s="891"/>
      <c r="C2" s="888"/>
      <c r="D2" s="888"/>
      <c r="E2" s="892" t="str">
        <f>QTR_MSG</f>
        <v/>
      </c>
      <c r="F2" s="888"/>
      <c r="G2" s="888"/>
      <c r="H2" s="888"/>
      <c r="I2" s="1018" t="str">
        <f>IF(School="",Mssg1,School)</f>
        <v>Please enter school name on tab - "1) Name of School"</v>
      </c>
      <c r="J2" s="1018"/>
      <c r="K2" s="1018"/>
      <c r="L2" s="1018"/>
      <c r="M2" s="1018"/>
      <c r="N2" s="1018"/>
      <c r="O2" s="1018"/>
      <c r="P2" s="1018"/>
      <c r="Q2" s="1018"/>
      <c r="R2" s="1018"/>
      <c r="S2" s="1018"/>
      <c r="T2" s="1021"/>
      <c r="U2" s="1017" t="str">
        <f>I2</f>
        <v>Please enter school name on tab - "1) Name of School"</v>
      </c>
      <c r="V2" s="1018"/>
      <c r="W2" s="1018"/>
      <c r="X2" s="1018"/>
      <c r="Y2" s="1018"/>
      <c r="Z2" s="1018"/>
      <c r="AA2" s="1018"/>
      <c r="AB2" s="1018"/>
      <c r="AC2" s="1018"/>
      <c r="AD2" s="1018"/>
      <c r="AE2" s="1018"/>
      <c r="AF2" s="257"/>
    </row>
    <row r="3" spans="1:34" s="1" customFormat="1" ht="19.5" customHeight="1" thickBot="1">
      <c r="A3" s="259">
        <f t="shared" ref="A3:A66" si="0">A2+1</f>
        <v>3</v>
      </c>
      <c r="B3" s="889"/>
      <c r="C3" s="890"/>
      <c r="D3" s="890"/>
      <c r="E3" s="890"/>
      <c r="F3" s="890"/>
      <c r="G3" s="890"/>
      <c r="H3" s="890"/>
      <c r="I3" s="1022" t="s">
        <v>229</v>
      </c>
      <c r="J3" s="1022"/>
      <c r="K3" s="1022"/>
      <c r="L3" s="1022"/>
      <c r="M3" s="1022"/>
      <c r="N3" s="1022"/>
      <c r="O3" s="1022"/>
      <c r="P3" s="1022"/>
      <c r="Q3" s="1022"/>
      <c r="R3" s="1022"/>
      <c r="S3" s="1022"/>
      <c r="T3" s="1023"/>
      <c r="U3" s="980" t="s">
        <v>229</v>
      </c>
      <c r="V3" s="980"/>
      <c r="W3" s="980"/>
      <c r="X3" s="980"/>
      <c r="Y3" s="980"/>
      <c r="Z3" s="980"/>
      <c r="AA3" s="980"/>
      <c r="AB3" s="980"/>
      <c r="AC3" s="980"/>
      <c r="AD3" s="980"/>
      <c r="AE3" s="981"/>
      <c r="AF3" s="272" t="s">
        <v>97</v>
      </c>
    </row>
    <row r="4" spans="1:34" s="1" customFormat="1" ht="18.600000000000001" thickTop="1">
      <c r="A4" s="259">
        <f t="shared" si="0"/>
        <v>4</v>
      </c>
      <c r="C4" s="887"/>
      <c r="D4" s="887"/>
      <c r="E4" s="887"/>
      <c r="F4" s="887"/>
      <c r="G4" s="887"/>
      <c r="H4" s="887"/>
      <c r="I4" s="1024" t="str">
        <f>IF(CONTROL!J12=0,Mssg2,AcadYr1)</f>
        <v>2016-17</v>
      </c>
      <c r="J4" s="1024"/>
      <c r="K4" s="1024"/>
      <c r="L4" s="1024"/>
      <c r="M4" s="1024"/>
      <c r="N4" s="1024"/>
      <c r="O4" s="1024"/>
      <c r="P4" s="1024"/>
      <c r="Q4" s="1024"/>
      <c r="R4" s="1024"/>
      <c r="S4" s="1024"/>
      <c r="T4" s="1025"/>
      <c r="U4" s="1017" t="str">
        <f>I4</f>
        <v>2016-17</v>
      </c>
      <c r="V4" s="1018"/>
      <c r="W4" s="1018"/>
      <c r="X4" s="1018"/>
      <c r="Y4" s="1018"/>
      <c r="Z4" s="1018"/>
      <c r="AA4" s="1018"/>
      <c r="AB4" s="1018"/>
      <c r="AC4" s="1018"/>
      <c r="AD4" s="1018"/>
      <c r="AE4" s="1018"/>
      <c r="AF4" s="253"/>
    </row>
    <row r="5" spans="1:34" s="1" customFormat="1" ht="7.95" hidden="1" customHeight="1">
      <c r="A5" s="259">
        <f t="shared" si="0"/>
        <v>5</v>
      </c>
      <c r="B5" s="353"/>
      <c r="C5" s="354"/>
      <c r="D5" s="354"/>
      <c r="E5" s="355"/>
      <c r="F5" s="355"/>
      <c r="G5" s="356"/>
      <c r="H5" s="357"/>
      <c r="I5" s="358"/>
      <c r="J5" s="357"/>
      <c r="K5" s="357"/>
      <c r="L5" s="359"/>
      <c r="M5" s="359"/>
      <c r="N5" s="359"/>
      <c r="O5" s="359"/>
      <c r="P5" s="359"/>
      <c r="Q5" s="359"/>
      <c r="R5" s="359"/>
      <c r="S5" s="359"/>
      <c r="T5" s="360"/>
      <c r="U5" s="83"/>
      <c r="V5" s="318"/>
      <c r="W5" s="318"/>
      <c r="X5" s="318"/>
      <c r="Y5" s="318"/>
      <c r="Z5" s="318"/>
      <c r="AA5" s="318"/>
      <c r="AB5" s="318"/>
      <c r="AC5" s="69"/>
      <c r="AD5" s="69"/>
      <c r="AE5" s="361"/>
      <c r="AF5" s="247"/>
    </row>
    <row r="6" spans="1:34" s="1" customFormat="1">
      <c r="A6" s="259">
        <f t="shared" si="0"/>
        <v>6</v>
      </c>
      <c r="B6" s="626" t="s">
        <v>23</v>
      </c>
      <c r="C6" s="612"/>
      <c r="D6" s="612"/>
      <c r="E6" s="613"/>
      <c r="F6" s="613"/>
      <c r="H6" s="615"/>
      <c r="I6" s="616">
        <f>IF(I18&gt;0,I65,0)</f>
        <v>0</v>
      </c>
      <c r="J6" s="615">
        <f>J65</f>
        <v>0</v>
      </c>
      <c r="K6" s="617">
        <f>K65</f>
        <v>0</v>
      </c>
      <c r="L6" s="616">
        <f>IF(L18&gt;0,L65,0)</f>
        <v>0</v>
      </c>
      <c r="M6" s="615">
        <f>M65</f>
        <v>0</v>
      </c>
      <c r="N6" s="617">
        <f>N65</f>
        <v>0</v>
      </c>
      <c r="O6" s="616">
        <f>IF(O18&gt;0,O65,0)</f>
        <v>0</v>
      </c>
      <c r="P6" s="615">
        <f>P65</f>
        <v>0</v>
      </c>
      <c r="Q6" s="617">
        <f>Q65</f>
        <v>0</v>
      </c>
      <c r="R6" s="616">
        <f>IF(R18&gt;0,R65,0)</f>
        <v>0</v>
      </c>
      <c r="S6" s="615">
        <f t="shared" ref="S6:AE6" si="1">S65</f>
        <v>0</v>
      </c>
      <c r="T6" s="618">
        <f t="shared" si="1"/>
        <v>0</v>
      </c>
      <c r="U6" s="619">
        <f t="shared" si="1"/>
        <v>0</v>
      </c>
      <c r="V6" s="620">
        <f t="shared" si="1"/>
        <v>0</v>
      </c>
      <c r="W6" s="620">
        <f t="shared" si="1"/>
        <v>0</v>
      </c>
      <c r="X6" s="620">
        <f t="shared" si="1"/>
        <v>0</v>
      </c>
      <c r="Y6" s="621">
        <f t="shared" si="1"/>
        <v>0</v>
      </c>
      <c r="Z6" s="620">
        <f t="shared" si="1"/>
        <v>0</v>
      </c>
      <c r="AA6" s="620">
        <f t="shared" si="1"/>
        <v>0</v>
      </c>
      <c r="AB6" s="620">
        <f t="shared" si="1"/>
        <v>0</v>
      </c>
      <c r="AC6" s="621">
        <f t="shared" si="1"/>
        <v>0</v>
      </c>
      <c r="AD6" s="615">
        <f t="shared" si="1"/>
        <v>0</v>
      </c>
      <c r="AE6" s="622">
        <f t="shared" si="1"/>
        <v>0</v>
      </c>
      <c r="AF6" s="246"/>
    </row>
    <row r="7" spans="1:34" s="1" customFormat="1" ht="18">
      <c r="A7" s="259">
        <f t="shared" si="0"/>
        <v>7</v>
      </c>
      <c r="B7" s="65" t="s">
        <v>0</v>
      </c>
      <c r="C7" s="603"/>
      <c r="D7" s="66"/>
      <c r="E7" s="69"/>
      <c r="F7" s="69"/>
      <c r="G7" s="59"/>
      <c r="H7" s="71"/>
      <c r="I7" s="245">
        <f>IF(I18&gt;0,I155,0)</f>
        <v>0</v>
      </c>
      <c r="J7" s="71">
        <f>J155</f>
        <v>0</v>
      </c>
      <c r="K7" s="362">
        <f>K155</f>
        <v>0</v>
      </c>
      <c r="L7" s="245">
        <f>IF(L18&gt;0,L155,0)</f>
        <v>0</v>
      </c>
      <c r="M7" s="71">
        <f>M155</f>
        <v>0</v>
      </c>
      <c r="N7" s="362">
        <f>N155</f>
        <v>0</v>
      </c>
      <c r="O7" s="245">
        <f>IF(O18&gt;0,O155,0)</f>
        <v>0</v>
      </c>
      <c r="P7" s="71">
        <f>P155</f>
        <v>0</v>
      </c>
      <c r="Q7" s="362">
        <f>Q155</f>
        <v>0</v>
      </c>
      <c r="R7" s="245">
        <f>IF(R18&gt;0,R155,0)</f>
        <v>0</v>
      </c>
      <c r="S7" s="71">
        <f t="shared" ref="S7:AE7" si="2">S155</f>
        <v>0</v>
      </c>
      <c r="T7" s="243">
        <f t="shared" si="2"/>
        <v>0</v>
      </c>
      <c r="U7" s="363">
        <f t="shared" si="2"/>
        <v>0</v>
      </c>
      <c r="V7" s="70">
        <f t="shared" si="2"/>
        <v>0</v>
      </c>
      <c r="W7" s="70">
        <f t="shared" si="2"/>
        <v>0</v>
      </c>
      <c r="X7" s="70">
        <f t="shared" si="2"/>
        <v>0</v>
      </c>
      <c r="Y7" s="364">
        <f t="shared" si="2"/>
        <v>0</v>
      </c>
      <c r="Z7" s="70">
        <f t="shared" si="2"/>
        <v>0</v>
      </c>
      <c r="AA7" s="70">
        <f t="shared" si="2"/>
        <v>0</v>
      </c>
      <c r="AB7" s="70">
        <f t="shared" si="2"/>
        <v>0</v>
      </c>
      <c r="AC7" s="364">
        <f t="shared" si="2"/>
        <v>0</v>
      </c>
      <c r="AD7" s="71">
        <f t="shared" si="2"/>
        <v>0</v>
      </c>
      <c r="AE7" s="365">
        <f t="shared" si="2"/>
        <v>0</v>
      </c>
      <c r="AF7" s="246"/>
    </row>
    <row r="8" spans="1:34" s="1" customFormat="1">
      <c r="A8" s="259">
        <f t="shared" si="0"/>
        <v>8</v>
      </c>
      <c r="B8" s="65" t="s">
        <v>22</v>
      </c>
      <c r="C8" s="66"/>
      <c r="D8" s="66"/>
      <c r="E8" s="69"/>
      <c r="F8" s="69"/>
      <c r="G8" s="59"/>
      <c r="H8" s="71"/>
      <c r="I8" s="245">
        <f>IF(I$18&lt;&gt;0,I157,0)</f>
        <v>0</v>
      </c>
      <c r="J8" s="71">
        <f>J157</f>
        <v>0</v>
      </c>
      <c r="K8" s="242">
        <f>K157</f>
        <v>0</v>
      </c>
      <c r="L8" s="245">
        <f>IF(L$18&lt;&gt;0,L157,0)</f>
        <v>0</v>
      </c>
      <c r="M8" s="71">
        <f>M157</f>
        <v>0</v>
      </c>
      <c r="N8" s="242">
        <f>N157</f>
        <v>0</v>
      </c>
      <c r="O8" s="245">
        <f>IF(O$18&lt;&gt;0,O157,0)</f>
        <v>0</v>
      </c>
      <c r="P8" s="71">
        <f>P157</f>
        <v>0</v>
      </c>
      <c r="Q8" s="242">
        <f>Q157</f>
        <v>0</v>
      </c>
      <c r="R8" s="245">
        <f>IF(R$18&lt;&gt;0,R157,0)</f>
        <v>0</v>
      </c>
      <c r="S8" s="71">
        <f>S157</f>
        <v>0</v>
      </c>
      <c r="T8" s="72">
        <f>T157</f>
        <v>0</v>
      </c>
      <c r="U8" s="363">
        <f>U157</f>
        <v>0</v>
      </c>
      <c r="V8" s="70">
        <f>V157</f>
        <v>0</v>
      </c>
      <c r="W8" s="70">
        <f>W157</f>
        <v>0</v>
      </c>
      <c r="X8" s="70">
        <f t="shared" ref="X8:AE8" si="3">X157</f>
        <v>0</v>
      </c>
      <c r="Y8" s="364">
        <f t="shared" si="3"/>
        <v>0</v>
      </c>
      <c r="Z8" s="70">
        <f t="shared" si="3"/>
        <v>0</v>
      </c>
      <c r="AA8" s="70">
        <f t="shared" si="3"/>
        <v>0</v>
      </c>
      <c r="AB8" s="70">
        <f t="shared" si="3"/>
        <v>0</v>
      </c>
      <c r="AC8" s="364">
        <f t="shared" si="3"/>
        <v>0</v>
      </c>
      <c r="AD8" s="71">
        <f t="shared" si="3"/>
        <v>0</v>
      </c>
      <c r="AE8" s="365">
        <f t="shared" si="3"/>
        <v>0</v>
      </c>
      <c r="AF8" s="246"/>
    </row>
    <row r="9" spans="1:34" s="368" customFormat="1">
      <c r="A9" s="259">
        <f t="shared" si="0"/>
        <v>9</v>
      </c>
      <c r="B9" s="73" t="s">
        <v>230</v>
      </c>
      <c r="C9" s="74"/>
      <c r="D9" s="74"/>
      <c r="E9" s="251"/>
      <c r="F9" s="251"/>
      <c r="G9" s="67"/>
      <c r="H9" s="78"/>
      <c r="I9" s="623">
        <f>IF(I161&gt;0,I177,0)</f>
        <v>0</v>
      </c>
      <c r="J9" s="78">
        <f>J177</f>
        <v>0</v>
      </c>
      <c r="K9" s="237">
        <f>K177</f>
        <v>0</v>
      </c>
      <c r="L9" s="623">
        <f>IF(L161&gt;0,L177,0)</f>
        <v>0</v>
      </c>
      <c r="M9" s="78">
        <f>M177</f>
        <v>0</v>
      </c>
      <c r="N9" s="237">
        <f>N177</f>
        <v>0</v>
      </c>
      <c r="O9" s="623">
        <f>IF(O161&gt;0,O177,0)</f>
        <v>0</v>
      </c>
      <c r="P9" s="78">
        <f>P177</f>
        <v>0</v>
      </c>
      <c r="Q9" s="237">
        <f>Q177</f>
        <v>0</v>
      </c>
      <c r="R9" s="623">
        <f>IF(R161&gt;0,R177,0)</f>
        <v>0</v>
      </c>
      <c r="S9" s="78">
        <f>S177</f>
        <v>0</v>
      </c>
      <c r="T9" s="80">
        <f>T177</f>
        <v>0</v>
      </c>
      <c r="U9" s="624">
        <f>U177</f>
        <v>0</v>
      </c>
      <c r="V9" s="79">
        <f>V177</f>
        <v>0</v>
      </c>
      <c r="W9" s="79">
        <f>W177</f>
        <v>0</v>
      </c>
      <c r="X9" s="79"/>
      <c r="Y9" s="134"/>
      <c r="Z9" s="625">
        <f>Z177</f>
        <v>0</v>
      </c>
      <c r="AA9" s="77">
        <f>U9-Z9</f>
        <v>0</v>
      </c>
      <c r="AB9" s="78"/>
      <c r="AC9" s="372"/>
      <c r="AD9" s="78">
        <f>AD177</f>
        <v>0</v>
      </c>
      <c r="AE9" s="373"/>
      <c r="AF9" s="367"/>
    </row>
    <row r="10" spans="1:34" s="368" customFormat="1" hidden="1">
      <c r="A10" s="259">
        <f t="shared" si="0"/>
        <v>10</v>
      </c>
      <c r="B10" s="73" t="s">
        <v>231</v>
      </c>
      <c r="C10" s="74"/>
      <c r="D10" s="74"/>
      <c r="E10" s="251"/>
      <c r="F10" s="251"/>
      <c r="G10" s="67"/>
      <c r="H10" s="78"/>
      <c r="I10" s="239">
        <v>0</v>
      </c>
      <c r="J10" s="98">
        <f>IF('4.) Yearly Budget'!$K$18&gt;0,'4.) Yearly Budget'!K10,'4.) Yearly Budget'!J10)</f>
        <v>0</v>
      </c>
      <c r="K10" s="237">
        <f>IF(I161&gt;0,I10-J10,0)</f>
        <v>0</v>
      </c>
      <c r="L10" s="239">
        <v>0</v>
      </c>
      <c r="M10" s="98">
        <f>IF('4.) Yearly Budget'!$N$18&gt;0,'4.) Yearly Budget'!N10,'4.) Yearly Budget'!M10)</f>
        <v>0</v>
      </c>
      <c r="N10" s="237">
        <f>IF(L161&gt;0,L10-M10,0)</f>
        <v>0</v>
      </c>
      <c r="O10" s="239">
        <v>0</v>
      </c>
      <c r="P10" s="98">
        <f>IF('4.) Yearly Budget'!$Q$18&gt;0,'4.) Yearly Budget'!Q10,'4.) Yearly Budget'!P10)</f>
        <v>0</v>
      </c>
      <c r="Q10" s="237">
        <f>IF(O161&gt;0,O10-P10,0)</f>
        <v>0</v>
      </c>
      <c r="R10" s="239">
        <v>0</v>
      </c>
      <c r="S10" s="98">
        <f>IF('4.) Yearly Budget'!$T$18&gt;0,'4.) Yearly Budget'!T10,'4.) Yearly Budget'!S10)</f>
        <v>0</v>
      </c>
      <c r="T10" s="80">
        <f>IF(R161&gt;0,R10-S10,0)</f>
        <v>0</v>
      </c>
      <c r="U10" s="369">
        <f>IF(R10&gt;0,R10,IF(O10&gt;0,O10,IF(L10&gt;0,L10,IF(I10&gt;0,I10,0))))</f>
        <v>0</v>
      </c>
      <c r="V10" s="370">
        <f>IF(R10&gt;0,S10,IF(O10&gt;0,P10,IF(L10&gt;0,M10,IF(I10&gt;0,J10,0))))</f>
        <v>0</v>
      </c>
      <c r="W10" s="79">
        <f>U10-V10</f>
        <v>0</v>
      </c>
      <c r="X10" s="79"/>
      <c r="Y10" s="366"/>
      <c r="Z10" s="371">
        <f>IF(R$161&gt;0,'4.) Yearly Budget'!S10,IF(O$161&gt;0,'4.) Yearly Budget'!P10,IF(L10&gt;0,'4.) Yearly Budget'!M10,IF(I$161&gt;0,'4.) Yearly Budget'!J10,0))))</f>
        <v>0</v>
      </c>
      <c r="AA10" s="77">
        <f>U10-Z10</f>
        <v>0</v>
      </c>
      <c r="AB10" s="78"/>
      <c r="AC10" s="364"/>
      <c r="AD10" s="78">
        <f>IF(AD9&lt;&gt;0,'4.) Yearly Budget'!I10,0)</f>
        <v>0</v>
      </c>
      <c r="AE10" s="373"/>
      <c r="AF10" s="367"/>
    </row>
    <row r="11" spans="1:34" s="1" customFormat="1" ht="24.75" customHeight="1">
      <c r="A11" s="259">
        <f t="shared" si="0"/>
        <v>11</v>
      </c>
      <c r="B11" s="81"/>
      <c r="C11" s="82"/>
      <c r="D11" s="82"/>
      <c r="E11" s="69"/>
      <c r="F11" s="69"/>
      <c r="G11" s="59"/>
      <c r="H11" s="83"/>
      <c r="S11" s="250"/>
      <c r="T11" s="248"/>
      <c r="U11" s="83"/>
      <c r="V11" s="318"/>
      <c r="W11" s="318"/>
      <c r="X11" s="318"/>
      <c r="Y11" s="319"/>
      <c r="Z11" s="318"/>
      <c r="AA11" s="318"/>
      <c r="AB11" s="318"/>
      <c r="AC11" s="611"/>
      <c r="AD11" s="319"/>
      <c r="AE11" s="374"/>
      <c r="AF11" s="247"/>
    </row>
    <row r="12" spans="1:34" s="1" customFormat="1" ht="12" customHeight="1">
      <c r="A12" s="259">
        <f t="shared" si="0"/>
        <v>12</v>
      </c>
      <c r="B12" s="375"/>
      <c r="C12" s="274"/>
      <c r="D12" s="274"/>
      <c r="E12" s="274"/>
      <c r="F12" s="69"/>
      <c r="G12" s="59"/>
      <c r="H12" s="83"/>
      <c r="I12" s="1019" t="s">
        <v>233</v>
      </c>
      <c r="J12" s="1012"/>
      <c r="K12" s="1020"/>
      <c r="L12" s="1019" t="s">
        <v>234</v>
      </c>
      <c r="M12" s="1012"/>
      <c r="N12" s="1020"/>
      <c r="O12" s="1019" t="s">
        <v>235</v>
      </c>
      <c r="P12" s="1012"/>
      <c r="Q12" s="1020"/>
      <c r="R12" s="1019" t="s">
        <v>236</v>
      </c>
      <c r="S12" s="1012"/>
      <c r="T12" s="1013"/>
      <c r="U12" s="1011" t="s">
        <v>310</v>
      </c>
      <c r="V12" s="1012"/>
      <c r="W12" s="1012"/>
      <c r="X12" s="1012"/>
      <c r="Y12" s="1012"/>
      <c r="Z12" s="1012"/>
      <c r="AA12" s="1012"/>
      <c r="AB12" s="1012"/>
      <c r="AC12" s="1012"/>
      <c r="AD12" s="1012"/>
      <c r="AE12" s="1013"/>
      <c r="AF12" s="247"/>
    </row>
    <row r="13" spans="1:34" s="85" customFormat="1" ht="60">
      <c r="A13" s="259">
        <f t="shared" si="0"/>
        <v>13</v>
      </c>
      <c r="B13" s="1014" t="s">
        <v>371</v>
      </c>
      <c r="C13" s="1015"/>
      <c r="D13" s="1015"/>
      <c r="E13" s="1015"/>
      <c r="F13" s="1015"/>
      <c r="G13" s="1016"/>
      <c r="H13" s="319"/>
      <c r="I13" s="268" t="s">
        <v>311</v>
      </c>
      <c r="J13" s="269" t="s">
        <v>312</v>
      </c>
      <c r="K13" s="270" t="s">
        <v>239</v>
      </c>
      <c r="L13" s="268" t="s">
        <v>311</v>
      </c>
      <c r="M13" s="269" t="s">
        <v>312</v>
      </c>
      <c r="N13" s="270" t="s">
        <v>239</v>
      </c>
      <c r="O13" s="268" t="s">
        <v>311</v>
      </c>
      <c r="P13" s="269" t="s">
        <v>312</v>
      </c>
      <c r="Q13" s="270" t="s">
        <v>239</v>
      </c>
      <c r="R13" s="268" t="s">
        <v>311</v>
      </c>
      <c r="S13" s="269" t="s">
        <v>312</v>
      </c>
      <c r="T13" s="271" t="s">
        <v>239</v>
      </c>
      <c r="U13" s="376" t="s">
        <v>311</v>
      </c>
      <c r="V13" s="269" t="s">
        <v>313</v>
      </c>
      <c r="W13" s="269" t="s">
        <v>314</v>
      </c>
      <c r="X13" s="269" t="s">
        <v>315</v>
      </c>
      <c r="Y13" s="269" t="s">
        <v>316</v>
      </c>
      <c r="Z13" s="269" t="s">
        <v>317</v>
      </c>
      <c r="AA13" s="269" t="s">
        <v>318</v>
      </c>
      <c r="AB13" s="269" t="s">
        <v>319</v>
      </c>
      <c r="AC13" s="269" t="s">
        <v>320</v>
      </c>
      <c r="AD13" s="269" t="s">
        <v>321</v>
      </c>
      <c r="AE13" s="271" t="s">
        <v>322</v>
      </c>
      <c r="AF13" s="247"/>
      <c r="AH13" s="1"/>
    </row>
    <row r="14" spans="1:34" s="85" customFormat="1" ht="7.5" customHeight="1">
      <c r="A14" s="259">
        <f t="shared" si="0"/>
        <v>14</v>
      </c>
      <c r="B14" s="86"/>
      <c r="C14" s="87"/>
      <c r="D14" s="87"/>
      <c r="E14" s="88"/>
      <c r="F14" s="88"/>
      <c r="G14" s="89"/>
      <c r="H14" s="90"/>
      <c r="I14" s="90"/>
      <c r="J14" s="90"/>
      <c r="K14" s="90"/>
      <c r="L14" s="90"/>
      <c r="M14" s="90"/>
      <c r="N14" s="90"/>
      <c r="O14" s="90"/>
      <c r="P14" s="90"/>
      <c r="Q14" s="90"/>
      <c r="R14" s="90"/>
      <c r="S14" s="90"/>
      <c r="T14" s="729"/>
      <c r="U14" s="710"/>
      <c r="V14" s="90"/>
      <c r="W14" s="90"/>
      <c r="X14" s="90"/>
      <c r="Y14" s="90"/>
      <c r="Z14" s="90"/>
      <c r="AA14" s="90"/>
      <c r="AB14" s="90"/>
      <c r="AC14" s="90"/>
      <c r="AD14" s="90"/>
      <c r="AE14" s="91"/>
      <c r="AF14" s="276"/>
      <c r="AH14" s="1"/>
    </row>
    <row r="15" spans="1:34" s="68" customFormat="1" ht="12.75" customHeight="1">
      <c r="A15" s="259">
        <f t="shared" si="0"/>
        <v>15</v>
      </c>
      <c r="B15" s="92" t="s">
        <v>24</v>
      </c>
      <c r="C15" s="93"/>
      <c r="D15" s="93"/>
      <c r="E15" s="94"/>
      <c r="F15" s="94"/>
      <c r="G15" s="57"/>
      <c r="H15" s="95"/>
      <c r="I15"/>
      <c r="J15"/>
      <c r="K15"/>
      <c r="L15"/>
      <c r="M15"/>
      <c r="N15"/>
      <c r="O15"/>
      <c r="P15"/>
      <c r="Q15"/>
      <c r="R15"/>
      <c r="S15"/>
      <c r="T15" s="827"/>
      <c r="U15" s="375"/>
      <c r="V15" s="274"/>
      <c r="W15" s="274"/>
      <c r="X15" s="274"/>
      <c r="Y15" s="274"/>
      <c r="Z15" s="274"/>
      <c r="AA15" s="294"/>
      <c r="AB15" s="294"/>
      <c r="AC15" s="294"/>
      <c r="AD15" s="294"/>
      <c r="AE15" s="377"/>
      <c r="AF15" s="276"/>
    </row>
    <row r="16" spans="1:34" s="68" customFormat="1" ht="12" customHeight="1">
      <c r="A16" s="259">
        <f t="shared" si="0"/>
        <v>16</v>
      </c>
      <c r="B16" s="92"/>
      <c r="C16" s="93" t="s">
        <v>25</v>
      </c>
      <c r="D16" s="93"/>
      <c r="E16" s="94"/>
      <c r="F16" s="94"/>
      <c r="G16" s="57"/>
      <c r="H16" s="95"/>
      <c r="I16"/>
      <c r="J16"/>
      <c r="K16"/>
      <c r="L16"/>
      <c r="M16"/>
      <c r="N16"/>
      <c r="O16"/>
      <c r="P16"/>
      <c r="Q16"/>
      <c r="R16"/>
      <c r="S16"/>
      <c r="T16" s="827"/>
      <c r="U16" s="375"/>
      <c r="V16" s="274"/>
      <c r="W16" s="274"/>
      <c r="X16" s="274"/>
      <c r="Y16" s="274"/>
      <c r="Z16" s="274"/>
      <c r="AA16" s="95"/>
      <c r="AB16" s="95"/>
      <c r="AC16" s="95"/>
      <c r="AD16" s="95"/>
      <c r="AE16" s="118"/>
      <c r="AF16" s="276"/>
    </row>
    <row r="17" spans="1:39" s="68" customFormat="1" ht="15.6" thickBot="1">
      <c r="A17" s="259">
        <f t="shared" si="0"/>
        <v>17</v>
      </c>
      <c r="B17" s="96"/>
      <c r="C17" s="50"/>
      <c r="D17" s="97" t="str">
        <f>'4.) Yearly Budget'!D17</f>
        <v>Per Pupil Revenue</v>
      </c>
      <c r="E17" s="94"/>
      <c r="F17" s="94"/>
      <c r="G17" s="277" t="s">
        <v>240</v>
      </c>
      <c r="H17" s="95"/>
      <c r="I17"/>
      <c r="J17" s="98"/>
      <c r="K17" s="98"/>
      <c r="L17"/>
      <c r="M17" s="98"/>
      <c r="N17" s="98"/>
      <c r="O17"/>
      <c r="P17" s="98"/>
      <c r="Q17" s="98"/>
      <c r="R17"/>
      <c r="S17" s="98"/>
      <c r="T17" s="99"/>
      <c r="U17" s="711"/>
      <c r="V17" s="98"/>
      <c r="W17" s="98"/>
      <c r="X17" s="98"/>
      <c r="Y17" s="378"/>
      <c r="Z17" s="98"/>
      <c r="AA17" s="98"/>
      <c r="AB17" s="98"/>
      <c r="AC17" s="98"/>
      <c r="AD17" s="98"/>
      <c r="AE17" s="99"/>
      <c r="AF17" s="379"/>
    </row>
    <row r="18" spans="1:39" s="68" customFormat="1" ht="16.2" thickTop="1" thickBot="1">
      <c r="A18" s="259">
        <f t="shared" si="0"/>
        <v>18</v>
      </c>
      <c r="B18" s="96"/>
      <c r="C18" s="50"/>
      <c r="D18" s="50"/>
      <c r="E18" s="53" t="str">
        <f>CONTROL!B52</f>
        <v>-</v>
      </c>
      <c r="F18" s="53"/>
      <c r="G18" s="322">
        <f>CONTROL!C52</f>
        <v>0</v>
      </c>
      <c r="H18" s="95"/>
      <c r="I18" s="278"/>
      <c r="J18" s="102">
        <f>IF('4.) Yearly Budget'!$K$18&gt;0,'4.) Yearly Budget'!K18,'4.) Yearly Budget'!J18)</f>
        <v>0</v>
      </c>
      <c r="K18" s="380">
        <f t="shared" ref="K18:K33" si="4">IF(I$18&lt;&gt;0,I18-J18,0)</f>
        <v>0</v>
      </c>
      <c r="L18" s="278"/>
      <c r="M18" s="102">
        <f>IF('4.) Yearly Budget'!$N$18&gt;0,'4.) Yearly Budget'!N18,'4.) Yearly Budget'!M18)</f>
        <v>0</v>
      </c>
      <c r="N18" s="380">
        <f t="shared" ref="N18:N33" si="5">IF(L$18&lt;&gt;0,L18-M18,0)</f>
        <v>0</v>
      </c>
      <c r="O18" s="278"/>
      <c r="P18" s="102">
        <f>IF('4.) Yearly Budget'!$Q$18&gt;0,'4.) Yearly Budget'!Q18,'4.) Yearly Budget'!P18)</f>
        <v>0</v>
      </c>
      <c r="Q18" s="380">
        <f t="shared" ref="Q18:Q33" si="6">IF(O$18&lt;&gt;0,O18-P18,0)</f>
        <v>0</v>
      </c>
      <c r="R18" s="278"/>
      <c r="S18" s="102">
        <f>IF('4.) Yearly Budget'!$T$18&gt;0,'4.) Yearly Budget'!T18,'4.) Yearly Budget'!S18)</f>
        <v>0</v>
      </c>
      <c r="T18" s="105">
        <f t="shared" ref="T18:T33" si="7">IF(R$18&lt;&gt;0,R18-S18,0)</f>
        <v>0</v>
      </c>
      <c r="U18" s="381">
        <f t="shared" ref="U18:U33" si="8">IF(I$18&lt;&gt;0,I18,0)+IF(L$18&lt;&gt;0,L18,0)+IF(O$18&lt;&gt;0,O18,0)+IF(R$18&lt;&gt;0,R18,0)</f>
        <v>0</v>
      </c>
      <c r="V18" s="382">
        <f t="shared" ref="V18:V33" si="9">SUM(IF(I$18&lt;&gt;0,J18,0)+IF(L$18&lt;&gt;0,M18,0)+IF(O$18&lt;&gt;0,P18,0)+IF(R$18&lt;&gt;0,S18,0))</f>
        <v>0</v>
      </c>
      <c r="W18" s="382">
        <f t="shared" ref="W18:W33" si="10">U18-V18</f>
        <v>0</v>
      </c>
      <c r="X18" s="382">
        <f>'4.) Yearly Budget'!W18</f>
        <v>0</v>
      </c>
      <c r="Y18" s="383">
        <f t="shared" ref="Y18:Y33" si="11">IF(U18&lt;&gt;0,U18-X18,IF(U18=0,-X18,0))</f>
        <v>0</v>
      </c>
      <c r="Z18" s="384">
        <f>SUM(IF(I$18&lt;&gt;0,'4.) Yearly Budget'!J18,0)+IF(L$18&lt;&gt;0,'4.) Yearly Budget'!M18,0)+IF(O$18&lt;&gt;0,'4.) Yearly Budget'!P18,0)+IF(R$18&lt;&gt;0,'4.) Yearly Budget'!S18,0))</f>
        <v>0</v>
      </c>
      <c r="AA18" s="384">
        <f t="shared" ref="AA18:AA33" si="12">U18-Z18</f>
        <v>0</v>
      </c>
      <c r="AB18" s="384">
        <f>'4.) Yearly Budget'!V18</f>
        <v>0</v>
      </c>
      <c r="AC18" s="385">
        <f t="shared" ref="AC18:AC33" si="13">IF(U18&lt;&gt;0,U18-AB18,IF(U18=0,-AB18,0))</f>
        <v>0</v>
      </c>
      <c r="AD18" s="384">
        <f>IF(U$18&lt;&gt;0,'4.) Yearly Budget'!I18/$AM$18,0)</f>
        <v>0</v>
      </c>
      <c r="AE18" s="105">
        <f t="shared" ref="AE18:AE33" si="14">U18-AD18</f>
        <v>0</v>
      </c>
      <c r="AF18" s="280"/>
      <c r="AM18" s="386">
        <f>IF(R18&gt;0,1,IF(O18&gt;0,4/3,IF(L18&gt;0,2,4)))</f>
        <v>4</v>
      </c>
    </row>
    <row r="19" spans="1:39" s="68" customFormat="1" ht="15.6" thickTop="1">
      <c r="A19" s="259">
        <f t="shared" si="0"/>
        <v>19</v>
      </c>
      <c r="B19" s="96"/>
      <c r="C19" s="50"/>
      <c r="D19" s="50"/>
      <c r="E19" s="53" t="str">
        <f>CONTROL!B53</f>
        <v>-</v>
      </c>
      <c r="F19" s="53"/>
      <c r="G19" s="322">
        <f>CONTROL!C53</f>
        <v>0</v>
      </c>
      <c r="H19" s="95"/>
      <c r="I19" s="278"/>
      <c r="J19" s="102">
        <f>IF('4.) Yearly Budget'!$K$18&gt;0,'4.) Yearly Budget'!K19,'4.) Yearly Budget'!J19)</f>
        <v>0</v>
      </c>
      <c r="K19" s="380">
        <f t="shared" si="4"/>
        <v>0</v>
      </c>
      <c r="L19" s="278"/>
      <c r="M19" s="102">
        <f>IF('4.) Yearly Budget'!$N$18&gt;0,'4.) Yearly Budget'!N19,'4.) Yearly Budget'!M19)</f>
        <v>0</v>
      </c>
      <c r="N19" s="380">
        <f t="shared" si="5"/>
        <v>0</v>
      </c>
      <c r="O19" s="278"/>
      <c r="P19" s="102">
        <f>IF('4.) Yearly Budget'!$Q$18&gt;0,'4.) Yearly Budget'!Q19,'4.) Yearly Budget'!P19)</f>
        <v>0</v>
      </c>
      <c r="Q19" s="380">
        <f t="shared" si="6"/>
        <v>0</v>
      </c>
      <c r="R19" s="278"/>
      <c r="S19" s="102">
        <f>IF('4.) Yearly Budget'!$T$18&gt;0,'4.) Yearly Budget'!T19,'4.) Yearly Budget'!S19)</f>
        <v>0</v>
      </c>
      <c r="T19" s="105">
        <f t="shared" si="7"/>
        <v>0</v>
      </c>
      <c r="U19" s="279">
        <f t="shared" si="8"/>
        <v>0</v>
      </c>
      <c r="V19" s="382">
        <f t="shared" si="9"/>
        <v>0</v>
      </c>
      <c r="W19" s="382">
        <f t="shared" si="10"/>
        <v>0</v>
      </c>
      <c r="X19" s="382">
        <f>'4.) Yearly Budget'!W19</f>
        <v>0</v>
      </c>
      <c r="Y19" s="383">
        <f t="shared" si="11"/>
        <v>0</v>
      </c>
      <c r="Z19" s="384">
        <f>SUM(IF(I$18&lt;&gt;0,'4.) Yearly Budget'!J19,0)+IF(L$18&lt;&gt;0,'4.) Yearly Budget'!M19,0)+IF(O$18&lt;&gt;0,'4.) Yearly Budget'!P19,0)+IF(R$18&lt;&gt;0,'4.) Yearly Budget'!S19,0))</f>
        <v>0</v>
      </c>
      <c r="AA19" s="384">
        <f t="shared" si="12"/>
        <v>0</v>
      </c>
      <c r="AB19" s="384">
        <f>'4.) Yearly Budget'!V19</f>
        <v>0</v>
      </c>
      <c r="AC19" s="385">
        <f t="shared" si="13"/>
        <v>0</v>
      </c>
      <c r="AD19" s="384">
        <f>IF(U$18&lt;&gt;0,'4.) Yearly Budget'!I19/$AM$18,0)</f>
        <v>0</v>
      </c>
      <c r="AE19" s="105">
        <f t="shared" si="14"/>
        <v>0</v>
      </c>
      <c r="AF19" s="280"/>
    </row>
    <row r="20" spans="1:39" s="68" customFormat="1">
      <c r="A20" s="259">
        <f t="shared" si="0"/>
        <v>20</v>
      </c>
      <c r="B20" s="96"/>
      <c r="C20" s="50"/>
      <c r="D20" s="50"/>
      <c r="E20" s="53" t="str">
        <f>CONTROL!B54</f>
        <v>-</v>
      </c>
      <c r="F20" s="53"/>
      <c r="G20" s="322">
        <f>CONTROL!C54</f>
        <v>0</v>
      </c>
      <c r="H20" s="95"/>
      <c r="I20" s="278"/>
      <c r="J20" s="102">
        <f>IF('4.) Yearly Budget'!$K$18&gt;0,'4.) Yearly Budget'!K20,'4.) Yearly Budget'!J20)</f>
        <v>0</v>
      </c>
      <c r="K20" s="380">
        <f t="shared" si="4"/>
        <v>0</v>
      </c>
      <c r="L20" s="278"/>
      <c r="M20" s="102">
        <f>IF('4.) Yearly Budget'!$N$18&gt;0,'4.) Yearly Budget'!N20,'4.) Yearly Budget'!M20)</f>
        <v>0</v>
      </c>
      <c r="N20" s="380">
        <f t="shared" si="5"/>
        <v>0</v>
      </c>
      <c r="O20" s="278"/>
      <c r="P20" s="102">
        <f>IF('4.) Yearly Budget'!$Q$18&gt;0,'4.) Yearly Budget'!Q20,'4.) Yearly Budget'!P20)</f>
        <v>0</v>
      </c>
      <c r="Q20" s="380">
        <f t="shared" si="6"/>
        <v>0</v>
      </c>
      <c r="R20" s="278"/>
      <c r="S20" s="102">
        <f>IF('4.) Yearly Budget'!$T$18&gt;0,'4.) Yearly Budget'!T20,'4.) Yearly Budget'!S20)</f>
        <v>0</v>
      </c>
      <c r="T20" s="105">
        <f t="shared" si="7"/>
        <v>0</v>
      </c>
      <c r="U20" s="279">
        <f t="shared" si="8"/>
        <v>0</v>
      </c>
      <c r="V20" s="382">
        <f t="shared" si="9"/>
        <v>0</v>
      </c>
      <c r="W20" s="382">
        <f t="shared" si="10"/>
        <v>0</v>
      </c>
      <c r="X20" s="382">
        <f>'4.) Yearly Budget'!W20</f>
        <v>0</v>
      </c>
      <c r="Y20" s="383">
        <f t="shared" si="11"/>
        <v>0</v>
      </c>
      <c r="Z20" s="384">
        <f>SUM(IF(I$18&lt;&gt;0,'4.) Yearly Budget'!J20,0)+IF(L$18&lt;&gt;0,'4.) Yearly Budget'!M20,0)+IF(O$18&lt;&gt;0,'4.) Yearly Budget'!P20,0)+IF(R$18&lt;&gt;0,'4.) Yearly Budget'!S20,0))</f>
        <v>0</v>
      </c>
      <c r="AA20" s="384">
        <f t="shared" si="12"/>
        <v>0</v>
      </c>
      <c r="AB20" s="384">
        <f>'4.) Yearly Budget'!V20</f>
        <v>0</v>
      </c>
      <c r="AC20" s="385">
        <f t="shared" si="13"/>
        <v>0</v>
      </c>
      <c r="AD20" s="384">
        <f>IF(U$18&lt;&gt;0,'4.) Yearly Budget'!I20/$AM$18,0)</f>
        <v>0</v>
      </c>
      <c r="AE20" s="105">
        <f t="shared" si="14"/>
        <v>0</v>
      </c>
      <c r="AF20" s="280"/>
    </row>
    <row r="21" spans="1:39" s="68" customFormat="1">
      <c r="A21" s="259">
        <f t="shared" si="0"/>
        <v>21</v>
      </c>
      <c r="B21" s="96"/>
      <c r="C21" s="50"/>
      <c r="D21" s="50"/>
      <c r="E21" s="53" t="str">
        <f>CONTROL!B55</f>
        <v>-</v>
      </c>
      <c r="F21" s="53"/>
      <c r="G21" s="322">
        <f>CONTROL!C55</f>
        <v>0</v>
      </c>
      <c r="H21" s="95"/>
      <c r="I21" s="278"/>
      <c r="J21" s="102">
        <f>IF('4.) Yearly Budget'!$K$18&gt;0,'4.) Yearly Budget'!K21,'4.) Yearly Budget'!J21)</f>
        <v>0</v>
      </c>
      <c r="K21" s="380">
        <f t="shared" si="4"/>
        <v>0</v>
      </c>
      <c r="L21" s="278"/>
      <c r="M21" s="102">
        <f>IF('4.) Yearly Budget'!$N$18&gt;0,'4.) Yearly Budget'!N21,'4.) Yearly Budget'!M21)</f>
        <v>0</v>
      </c>
      <c r="N21" s="380">
        <f t="shared" si="5"/>
        <v>0</v>
      </c>
      <c r="O21" s="278"/>
      <c r="P21" s="102">
        <f>IF('4.) Yearly Budget'!$Q$18&gt;0,'4.) Yearly Budget'!Q21,'4.) Yearly Budget'!P21)</f>
        <v>0</v>
      </c>
      <c r="Q21" s="380">
        <f t="shared" si="6"/>
        <v>0</v>
      </c>
      <c r="R21" s="278"/>
      <c r="S21" s="102">
        <f>IF('4.) Yearly Budget'!$T$18&gt;0,'4.) Yearly Budget'!T21,'4.) Yearly Budget'!S21)</f>
        <v>0</v>
      </c>
      <c r="T21" s="105">
        <f t="shared" si="7"/>
        <v>0</v>
      </c>
      <c r="U21" s="279">
        <f t="shared" si="8"/>
        <v>0</v>
      </c>
      <c r="V21" s="382">
        <f t="shared" si="9"/>
        <v>0</v>
      </c>
      <c r="W21" s="382">
        <f t="shared" si="10"/>
        <v>0</v>
      </c>
      <c r="X21" s="382">
        <f>'4.) Yearly Budget'!W21</f>
        <v>0</v>
      </c>
      <c r="Y21" s="383">
        <f t="shared" si="11"/>
        <v>0</v>
      </c>
      <c r="Z21" s="384">
        <f>SUM(IF(I$18&lt;&gt;0,'4.) Yearly Budget'!J21,0)+IF(L$18&lt;&gt;0,'4.) Yearly Budget'!M21,0)+IF(O$18&lt;&gt;0,'4.) Yearly Budget'!P21,0)+IF(R$18&lt;&gt;0,'4.) Yearly Budget'!S21,0))</f>
        <v>0</v>
      </c>
      <c r="AA21" s="384">
        <f t="shared" si="12"/>
        <v>0</v>
      </c>
      <c r="AB21" s="384">
        <f>'4.) Yearly Budget'!V21</f>
        <v>0</v>
      </c>
      <c r="AC21" s="385">
        <f t="shared" si="13"/>
        <v>0</v>
      </c>
      <c r="AD21" s="384">
        <f>IF(U$18&lt;&gt;0,'4.) Yearly Budget'!I21/$AM$18,0)</f>
        <v>0</v>
      </c>
      <c r="AE21" s="105">
        <f t="shared" si="14"/>
        <v>0</v>
      </c>
      <c r="AF21" s="280"/>
    </row>
    <row r="22" spans="1:39" s="68" customFormat="1">
      <c r="A22" s="259">
        <f t="shared" si="0"/>
        <v>22</v>
      </c>
      <c r="B22" s="96"/>
      <c r="C22" s="50"/>
      <c r="D22" s="50"/>
      <c r="E22" s="53" t="str">
        <f>CONTROL!B56</f>
        <v>-</v>
      </c>
      <c r="F22" s="53"/>
      <c r="G22" s="322">
        <f>CONTROL!C56</f>
        <v>0</v>
      </c>
      <c r="H22" s="95"/>
      <c r="I22" s="278"/>
      <c r="J22" s="102">
        <f>IF('4.) Yearly Budget'!$K$18&gt;0,'4.) Yearly Budget'!K22,'4.) Yearly Budget'!J22)</f>
        <v>0</v>
      </c>
      <c r="K22" s="380">
        <f t="shared" si="4"/>
        <v>0</v>
      </c>
      <c r="L22" s="278"/>
      <c r="M22" s="102">
        <f>IF('4.) Yearly Budget'!$N$18&gt;0,'4.) Yearly Budget'!N22,'4.) Yearly Budget'!M22)</f>
        <v>0</v>
      </c>
      <c r="N22" s="380">
        <f t="shared" si="5"/>
        <v>0</v>
      </c>
      <c r="O22" s="278"/>
      <c r="P22" s="102">
        <f>IF('4.) Yearly Budget'!$Q$18&gt;0,'4.) Yearly Budget'!Q22,'4.) Yearly Budget'!P22)</f>
        <v>0</v>
      </c>
      <c r="Q22" s="380">
        <f t="shared" si="6"/>
        <v>0</v>
      </c>
      <c r="R22" s="278"/>
      <c r="S22" s="102">
        <f>IF('4.) Yearly Budget'!$T$18&gt;0,'4.) Yearly Budget'!T22,'4.) Yearly Budget'!S22)</f>
        <v>0</v>
      </c>
      <c r="T22" s="105">
        <f t="shared" si="7"/>
        <v>0</v>
      </c>
      <c r="U22" s="279">
        <f t="shared" si="8"/>
        <v>0</v>
      </c>
      <c r="V22" s="382">
        <f t="shared" si="9"/>
        <v>0</v>
      </c>
      <c r="W22" s="382">
        <f t="shared" si="10"/>
        <v>0</v>
      </c>
      <c r="X22" s="382">
        <f>'4.) Yearly Budget'!W22</f>
        <v>0</v>
      </c>
      <c r="Y22" s="383">
        <f t="shared" si="11"/>
        <v>0</v>
      </c>
      <c r="Z22" s="384">
        <f>SUM(IF(I$18&lt;&gt;0,'4.) Yearly Budget'!J22,0)+IF(L$18&lt;&gt;0,'4.) Yearly Budget'!M22,0)+IF(O$18&lt;&gt;0,'4.) Yearly Budget'!P22,0)+IF(R$18&lt;&gt;0,'4.) Yearly Budget'!S22,0))</f>
        <v>0</v>
      </c>
      <c r="AA22" s="384">
        <f t="shared" si="12"/>
        <v>0</v>
      </c>
      <c r="AB22" s="384">
        <f>'4.) Yearly Budget'!V22</f>
        <v>0</v>
      </c>
      <c r="AC22" s="385">
        <f t="shared" si="13"/>
        <v>0</v>
      </c>
      <c r="AD22" s="384">
        <f>IF(U$18&lt;&gt;0,'4.) Yearly Budget'!I22/$AM$18,0)</f>
        <v>0</v>
      </c>
      <c r="AE22" s="105">
        <f t="shared" si="14"/>
        <v>0</v>
      </c>
      <c r="AF22" s="280"/>
    </row>
    <row r="23" spans="1:39" s="68" customFormat="1">
      <c r="A23" s="259">
        <f t="shared" si="0"/>
        <v>23</v>
      </c>
      <c r="B23" s="96"/>
      <c r="C23" s="50"/>
      <c r="D23" s="50"/>
      <c r="E23" s="53" t="str">
        <f>CONTROL!B57</f>
        <v>-</v>
      </c>
      <c r="F23" s="53"/>
      <c r="G23" s="322">
        <f>CONTROL!C57</f>
        <v>0</v>
      </c>
      <c r="H23" s="95"/>
      <c r="I23" s="278"/>
      <c r="J23" s="102">
        <f>IF('4.) Yearly Budget'!$K$18&gt;0,'4.) Yearly Budget'!K23,'4.) Yearly Budget'!J23)</f>
        <v>0</v>
      </c>
      <c r="K23" s="380">
        <f t="shared" si="4"/>
        <v>0</v>
      </c>
      <c r="L23" s="278"/>
      <c r="M23" s="102">
        <f>IF('4.) Yearly Budget'!$N$18&gt;0,'4.) Yearly Budget'!N23,'4.) Yearly Budget'!M23)</f>
        <v>0</v>
      </c>
      <c r="N23" s="380">
        <f t="shared" si="5"/>
        <v>0</v>
      </c>
      <c r="O23" s="278"/>
      <c r="P23" s="102">
        <f>IF('4.) Yearly Budget'!$Q$18&gt;0,'4.) Yearly Budget'!Q23,'4.) Yearly Budget'!P23)</f>
        <v>0</v>
      </c>
      <c r="Q23" s="380">
        <f t="shared" si="6"/>
        <v>0</v>
      </c>
      <c r="R23" s="278"/>
      <c r="S23" s="102">
        <f>IF('4.) Yearly Budget'!$T$18&gt;0,'4.) Yearly Budget'!T23,'4.) Yearly Budget'!S23)</f>
        <v>0</v>
      </c>
      <c r="T23" s="105">
        <f t="shared" si="7"/>
        <v>0</v>
      </c>
      <c r="U23" s="279">
        <f t="shared" si="8"/>
        <v>0</v>
      </c>
      <c r="V23" s="382">
        <f t="shared" si="9"/>
        <v>0</v>
      </c>
      <c r="W23" s="382">
        <f t="shared" si="10"/>
        <v>0</v>
      </c>
      <c r="X23" s="382">
        <f>'4.) Yearly Budget'!W23</f>
        <v>0</v>
      </c>
      <c r="Y23" s="383">
        <f t="shared" si="11"/>
        <v>0</v>
      </c>
      <c r="Z23" s="384">
        <f>SUM(IF(I$18&lt;&gt;0,'4.) Yearly Budget'!J23,0)+IF(L$18&lt;&gt;0,'4.) Yearly Budget'!M23,0)+IF(O$18&lt;&gt;0,'4.) Yearly Budget'!P23,0)+IF(R$18&lt;&gt;0,'4.) Yearly Budget'!S23,0))</f>
        <v>0</v>
      </c>
      <c r="AA23" s="384">
        <f t="shared" si="12"/>
        <v>0</v>
      </c>
      <c r="AB23" s="384">
        <f>'4.) Yearly Budget'!V23</f>
        <v>0</v>
      </c>
      <c r="AC23" s="385">
        <f t="shared" si="13"/>
        <v>0</v>
      </c>
      <c r="AD23" s="384">
        <f>IF(U$18&lt;&gt;0,'4.) Yearly Budget'!I23/$AM$18,0)</f>
        <v>0</v>
      </c>
      <c r="AE23" s="105">
        <f t="shared" si="14"/>
        <v>0</v>
      </c>
      <c r="AF23" s="280"/>
    </row>
    <row r="24" spans="1:39" s="68" customFormat="1">
      <c r="A24" s="259">
        <f t="shared" si="0"/>
        <v>24</v>
      </c>
      <c r="B24" s="96"/>
      <c r="C24" s="50"/>
      <c r="D24" s="50"/>
      <c r="E24" s="53" t="str">
        <f>CONTROL!B58</f>
        <v>-</v>
      </c>
      <c r="F24" s="53"/>
      <c r="G24" s="322">
        <f>CONTROL!C58</f>
        <v>0</v>
      </c>
      <c r="H24" s="95"/>
      <c r="I24" s="278"/>
      <c r="J24" s="102">
        <f>IF('4.) Yearly Budget'!$K$18&gt;0,'4.) Yearly Budget'!K24,'4.) Yearly Budget'!J24)</f>
        <v>0</v>
      </c>
      <c r="K24" s="380">
        <f t="shared" si="4"/>
        <v>0</v>
      </c>
      <c r="L24" s="278"/>
      <c r="M24" s="102">
        <f>IF('4.) Yearly Budget'!$N$18&gt;0,'4.) Yearly Budget'!N24,'4.) Yearly Budget'!M24)</f>
        <v>0</v>
      </c>
      <c r="N24" s="380">
        <f t="shared" si="5"/>
        <v>0</v>
      </c>
      <c r="O24" s="278"/>
      <c r="P24" s="102">
        <f>IF('4.) Yearly Budget'!$Q$18&gt;0,'4.) Yearly Budget'!Q24,'4.) Yearly Budget'!P24)</f>
        <v>0</v>
      </c>
      <c r="Q24" s="380">
        <f t="shared" si="6"/>
        <v>0</v>
      </c>
      <c r="R24" s="278"/>
      <c r="S24" s="102">
        <f>IF('4.) Yearly Budget'!$T$18&gt;0,'4.) Yearly Budget'!T24,'4.) Yearly Budget'!S24)</f>
        <v>0</v>
      </c>
      <c r="T24" s="105">
        <f t="shared" si="7"/>
        <v>0</v>
      </c>
      <c r="U24" s="279">
        <f t="shared" si="8"/>
        <v>0</v>
      </c>
      <c r="V24" s="382">
        <f t="shared" si="9"/>
        <v>0</v>
      </c>
      <c r="W24" s="382">
        <f t="shared" si="10"/>
        <v>0</v>
      </c>
      <c r="X24" s="382">
        <f>'4.) Yearly Budget'!W24</f>
        <v>0</v>
      </c>
      <c r="Y24" s="383">
        <f t="shared" si="11"/>
        <v>0</v>
      </c>
      <c r="Z24" s="384">
        <f>SUM(IF(I$18&lt;&gt;0,'4.) Yearly Budget'!J24,0)+IF(L$18&lt;&gt;0,'4.) Yearly Budget'!M24,0)+IF(O$18&lt;&gt;0,'4.) Yearly Budget'!P24,0)+IF(R$18&lt;&gt;0,'4.) Yearly Budget'!S24,0))</f>
        <v>0</v>
      </c>
      <c r="AA24" s="384">
        <f t="shared" si="12"/>
        <v>0</v>
      </c>
      <c r="AB24" s="384">
        <f>'4.) Yearly Budget'!V24</f>
        <v>0</v>
      </c>
      <c r="AC24" s="385">
        <f t="shared" si="13"/>
        <v>0</v>
      </c>
      <c r="AD24" s="384">
        <f>IF(U$18&lt;&gt;0,'4.) Yearly Budget'!I24/$AM$18,0)</f>
        <v>0</v>
      </c>
      <c r="AE24" s="105">
        <f t="shared" si="14"/>
        <v>0</v>
      </c>
      <c r="AF24" s="280"/>
    </row>
    <row r="25" spans="1:39" s="68" customFormat="1">
      <c r="A25" s="259">
        <f t="shared" si="0"/>
        <v>25</v>
      </c>
      <c r="B25" s="96"/>
      <c r="C25" s="50"/>
      <c r="D25" s="50"/>
      <c r="E25" s="53" t="str">
        <f>CONTROL!B59</f>
        <v>-</v>
      </c>
      <c r="F25" s="53"/>
      <c r="G25" s="322">
        <f>CONTROL!C59</f>
        <v>0</v>
      </c>
      <c r="H25" s="95"/>
      <c r="I25" s="278"/>
      <c r="J25" s="102">
        <f>IF('4.) Yearly Budget'!$K$18&gt;0,'4.) Yearly Budget'!K25,'4.) Yearly Budget'!J25)</f>
        <v>0</v>
      </c>
      <c r="K25" s="380">
        <f t="shared" si="4"/>
        <v>0</v>
      </c>
      <c r="L25" s="278"/>
      <c r="M25" s="102">
        <f>IF('4.) Yearly Budget'!$N$18&gt;0,'4.) Yearly Budget'!N25,'4.) Yearly Budget'!M25)</f>
        <v>0</v>
      </c>
      <c r="N25" s="380">
        <f t="shared" si="5"/>
        <v>0</v>
      </c>
      <c r="O25" s="278"/>
      <c r="P25" s="102">
        <f>IF('4.) Yearly Budget'!$Q$18&gt;0,'4.) Yearly Budget'!Q25,'4.) Yearly Budget'!P25)</f>
        <v>0</v>
      </c>
      <c r="Q25" s="380">
        <f t="shared" si="6"/>
        <v>0</v>
      </c>
      <c r="R25" s="278"/>
      <c r="S25" s="102">
        <f>IF('4.) Yearly Budget'!$T$18&gt;0,'4.) Yearly Budget'!T25,'4.) Yearly Budget'!S25)</f>
        <v>0</v>
      </c>
      <c r="T25" s="105">
        <f t="shared" si="7"/>
        <v>0</v>
      </c>
      <c r="U25" s="279">
        <f t="shared" si="8"/>
        <v>0</v>
      </c>
      <c r="V25" s="382">
        <f t="shared" si="9"/>
        <v>0</v>
      </c>
      <c r="W25" s="382">
        <f t="shared" si="10"/>
        <v>0</v>
      </c>
      <c r="X25" s="382">
        <f>'4.) Yearly Budget'!W25</f>
        <v>0</v>
      </c>
      <c r="Y25" s="383">
        <f t="shared" si="11"/>
        <v>0</v>
      </c>
      <c r="Z25" s="384">
        <f>SUM(IF(I$18&lt;&gt;0,'4.) Yearly Budget'!J25,0)+IF(L$18&lt;&gt;0,'4.) Yearly Budget'!M25,0)+IF(O$18&lt;&gt;0,'4.) Yearly Budget'!P25,0)+IF(R$18&lt;&gt;0,'4.) Yearly Budget'!S25,0))</f>
        <v>0</v>
      </c>
      <c r="AA25" s="384">
        <f t="shared" si="12"/>
        <v>0</v>
      </c>
      <c r="AB25" s="384">
        <f>'4.) Yearly Budget'!V25</f>
        <v>0</v>
      </c>
      <c r="AC25" s="385">
        <f t="shared" si="13"/>
        <v>0</v>
      </c>
      <c r="AD25" s="384">
        <f>IF(U$18&lt;&gt;0,'4.) Yearly Budget'!I25/$AM$18,0)</f>
        <v>0</v>
      </c>
      <c r="AE25" s="105">
        <f t="shared" si="14"/>
        <v>0</v>
      </c>
      <c r="AF25" s="280"/>
    </row>
    <row r="26" spans="1:39" s="68" customFormat="1">
      <c r="A26" s="259">
        <f t="shared" si="0"/>
        <v>26</v>
      </c>
      <c r="B26" s="96"/>
      <c r="C26" s="50"/>
      <c r="D26" s="50"/>
      <c r="E26" s="53" t="str">
        <f>CONTROL!B60</f>
        <v>-</v>
      </c>
      <c r="F26" s="53"/>
      <c r="G26" s="322">
        <f>CONTROL!C60</f>
        <v>0</v>
      </c>
      <c r="H26" s="95"/>
      <c r="I26" s="278"/>
      <c r="J26" s="102">
        <f>IF('4.) Yearly Budget'!$K$18&gt;0,'4.) Yearly Budget'!K26,'4.) Yearly Budget'!J26)</f>
        <v>0</v>
      </c>
      <c r="K26" s="380">
        <f t="shared" si="4"/>
        <v>0</v>
      </c>
      <c r="L26" s="278"/>
      <c r="M26" s="102">
        <f>IF('4.) Yearly Budget'!$N$18&gt;0,'4.) Yearly Budget'!N26,'4.) Yearly Budget'!M26)</f>
        <v>0</v>
      </c>
      <c r="N26" s="380">
        <f t="shared" si="5"/>
        <v>0</v>
      </c>
      <c r="O26" s="278"/>
      <c r="P26" s="102">
        <f>IF('4.) Yearly Budget'!$Q$18&gt;0,'4.) Yearly Budget'!Q26,'4.) Yearly Budget'!P26)</f>
        <v>0</v>
      </c>
      <c r="Q26" s="380">
        <f t="shared" si="6"/>
        <v>0</v>
      </c>
      <c r="R26" s="278"/>
      <c r="S26" s="102">
        <f>IF('4.) Yearly Budget'!$T$18&gt;0,'4.) Yearly Budget'!T26,'4.) Yearly Budget'!S26)</f>
        <v>0</v>
      </c>
      <c r="T26" s="105">
        <f t="shared" si="7"/>
        <v>0</v>
      </c>
      <c r="U26" s="279">
        <f t="shared" si="8"/>
        <v>0</v>
      </c>
      <c r="V26" s="382">
        <f t="shared" si="9"/>
        <v>0</v>
      </c>
      <c r="W26" s="382">
        <f t="shared" si="10"/>
        <v>0</v>
      </c>
      <c r="X26" s="382">
        <f>'4.) Yearly Budget'!W26</f>
        <v>0</v>
      </c>
      <c r="Y26" s="383">
        <f t="shared" si="11"/>
        <v>0</v>
      </c>
      <c r="Z26" s="384">
        <f>SUM(IF(I$18&lt;&gt;0,'4.) Yearly Budget'!J26,0)+IF(L$18&lt;&gt;0,'4.) Yearly Budget'!M26,0)+IF(O$18&lt;&gt;0,'4.) Yearly Budget'!P26,0)+IF(R$18&lt;&gt;0,'4.) Yearly Budget'!S26,0))</f>
        <v>0</v>
      </c>
      <c r="AA26" s="384">
        <f t="shared" si="12"/>
        <v>0</v>
      </c>
      <c r="AB26" s="384">
        <f>'4.) Yearly Budget'!V26</f>
        <v>0</v>
      </c>
      <c r="AC26" s="385">
        <f t="shared" si="13"/>
        <v>0</v>
      </c>
      <c r="AD26" s="384">
        <f>IF(U$18&lt;&gt;0,'4.) Yearly Budget'!I26/$AM$18,0)</f>
        <v>0</v>
      </c>
      <c r="AE26" s="105">
        <f t="shared" si="14"/>
        <v>0</v>
      </c>
      <c r="AF26" s="280"/>
    </row>
    <row r="27" spans="1:39" s="68" customFormat="1">
      <c r="A27" s="259">
        <f t="shared" si="0"/>
        <v>27</v>
      </c>
      <c r="B27" s="96"/>
      <c r="C27" s="50"/>
      <c r="D27" s="50"/>
      <c r="E27" s="53" t="str">
        <f>CONTROL!B61</f>
        <v>-</v>
      </c>
      <c r="F27" s="53"/>
      <c r="G27" s="322">
        <f>CONTROL!C61</f>
        <v>0</v>
      </c>
      <c r="H27" s="95"/>
      <c r="I27" s="278"/>
      <c r="J27" s="102">
        <f>IF('4.) Yearly Budget'!$K$18&gt;0,'4.) Yearly Budget'!K27,'4.) Yearly Budget'!J27)</f>
        <v>0</v>
      </c>
      <c r="K27" s="380">
        <f t="shared" si="4"/>
        <v>0</v>
      </c>
      <c r="L27" s="278"/>
      <c r="M27" s="102">
        <f>IF('4.) Yearly Budget'!$N$18&gt;0,'4.) Yearly Budget'!N27,'4.) Yearly Budget'!M27)</f>
        <v>0</v>
      </c>
      <c r="N27" s="380">
        <f t="shared" si="5"/>
        <v>0</v>
      </c>
      <c r="O27" s="278"/>
      <c r="P27" s="102">
        <f>IF('4.) Yearly Budget'!$Q$18&gt;0,'4.) Yearly Budget'!Q27,'4.) Yearly Budget'!P27)</f>
        <v>0</v>
      </c>
      <c r="Q27" s="380">
        <f t="shared" si="6"/>
        <v>0</v>
      </c>
      <c r="R27" s="278"/>
      <c r="S27" s="102">
        <f>IF('4.) Yearly Budget'!$T$18&gt;0,'4.) Yearly Budget'!T27,'4.) Yearly Budget'!S27)</f>
        <v>0</v>
      </c>
      <c r="T27" s="105">
        <f t="shared" si="7"/>
        <v>0</v>
      </c>
      <c r="U27" s="279">
        <f t="shared" si="8"/>
        <v>0</v>
      </c>
      <c r="V27" s="382">
        <f t="shared" si="9"/>
        <v>0</v>
      </c>
      <c r="W27" s="382">
        <f t="shared" si="10"/>
        <v>0</v>
      </c>
      <c r="X27" s="382">
        <f>'4.) Yearly Budget'!W27</f>
        <v>0</v>
      </c>
      <c r="Y27" s="383">
        <f t="shared" si="11"/>
        <v>0</v>
      </c>
      <c r="Z27" s="384">
        <f>SUM(IF(I$18&lt;&gt;0,'4.) Yearly Budget'!J27,0)+IF(L$18&lt;&gt;0,'4.) Yearly Budget'!M27,0)+IF(O$18&lt;&gt;0,'4.) Yearly Budget'!P27,0)+IF(R$18&lt;&gt;0,'4.) Yearly Budget'!S27,0))</f>
        <v>0</v>
      </c>
      <c r="AA27" s="384">
        <f t="shared" si="12"/>
        <v>0</v>
      </c>
      <c r="AB27" s="384">
        <f>'4.) Yearly Budget'!V27</f>
        <v>0</v>
      </c>
      <c r="AC27" s="385">
        <f t="shared" si="13"/>
        <v>0</v>
      </c>
      <c r="AD27" s="384">
        <f>IF(U$18&lt;&gt;0,'4.) Yearly Budget'!I27/$AM$18,0)</f>
        <v>0</v>
      </c>
      <c r="AE27" s="105">
        <f t="shared" si="14"/>
        <v>0</v>
      </c>
      <c r="AF27" s="280"/>
    </row>
    <row r="28" spans="1:39" s="68" customFormat="1">
      <c r="A28" s="259">
        <f t="shared" si="0"/>
        <v>28</v>
      </c>
      <c r="B28" s="96"/>
      <c r="C28" s="50"/>
      <c r="D28" s="50"/>
      <c r="E28" s="53" t="str">
        <f>CONTROL!B62</f>
        <v>-</v>
      </c>
      <c r="F28" s="53"/>
      <c r="G28" s="322">
        <f>CONTROL!C62</f>
        <v>0</v>
      </c>
      <c r="H28" s="95"/>
      <c r="I28" s="278"/>
      <c r="J28" s="102">
        <f>IF('4.) Yearly Budget'!$K$18&gt;0,'4.) Yearly Budget'!K28,'4.) Yearly Budget'!J28)</f>
        <v>0</v>
      </c>
      <c r="K28" s="380">
        <f t="shared" si="4"/>
        <v>0</v>
      </c>
      <c r="L28" s="278"/>
      <c r="M28" s="102">
        <f>IF('4.) Yearly Budget'!$N$18&gt;0,'4.) Yearly Budget'!N28,'4.) Yearly Budget'!M28)</f>
        <v>0</v>
      </c>
      <c r="N28" s="380">
        <f t="shared" si="5"/>
        <v>0</v>
      </c>
      <c r="O28" s="278"/>
      <c r="P28" s="102">
        <f>IF('4.) Yearly Budget'!$Q$18&gt;0,'4.) Yearly Budget'!Q28,'4.) Yearly Budget'!P28)</f>
        <v>0</v>
      </c>
      <c r="Q28" s="380">
        <f t="shared" si="6"/>
        <v>0</v>
      </c>
      <c r="R28" s="278"/>
      <c r="S28" s="102">
        <f>IF('4.) Yearly Budget'!$T$18&gt;0,'4.) Yearly Budget'!T28,'4.) Yearly Budget'!S28)</f>
        <v>0</v>
      </c>
      <c r="T28" s="105">
        <f t="shared" si="7"/>
        <v>0</v>
      </c>
      <c r="U28" s="279">
        <f t="shared" si="8"/>
        <v>0</v>
      </c>
      <c r="V28" s="382">
        <f t="shared" si="9"/>
        <v>0</v>
      </c>
      <c r="W28" s="382">
        <f t="shared" si="10"/>
        <v>0</v>
      </c>
      <c r="X28" s="382">
        <f>'4.) Yearly Budget'!W28</f>
        <v>0</v>
      </c>
      <c r="Y28" s="383">
        <f t="shared" si="11"/>
        <v>0</v>
      </c>
      <c r="Z28" s="384">
        <f>SUM(IF(I$18&lt;&gt;0,'4.) Yearly Budget'!J28,0)+IF(L$18&lt;&gt;0,'4.) Yearly Budget'!M28,0)+IF(O$18&lt;&gt;0,'4.) Yearly Budget'!P28,0)+IF(R$18&lt;&gt;0,'4.) Yearly Budget'!S28,0))</f>
        <v>0</v>
      </c>
      <c r="AA28" s="384">
        <f t="shared" si="12"/>
        <v>0</v>
      </c>
      <c r="AB28" s="384">
        <f>'4.) Yearly Budget'!V28</f>
        <v>0</v>
      </c>
      <c r="AC28" s="385">
        <f t="shared" si="13"/>
        <v>0</v>
      </c>
      <c r="AD28" s="384">
        <f>IF(U$18&lt;&gt;0,'4.) Yearly Budget'!I28/$AM$18,0)</f>
        <v>0</v>
      </c>
      <c r="AE28" s="105">
        <f t="shared" si="14"/>
        <v>0</v>
      </c>
      <c r="AF28" s="280"/>
    </row>
    <row r="29" spans="1:39" s="68" customFormat="1">
      <c r="A29" s="259">
        <f t="shared" si="0"/>
        <v>29</v>
      </c>
      <c r="B29" s="96"/>
      <c r="C29" s="50"/>
      <c r="D29" s="50"/>
      <c r="E29" s="53" t="str">
        <f>CONTROL!B63</f>
        <v>-</v>
      </c>
      <c r="F29" s="53"/>
      <c r="G29" s="322">
        <f>CONTROL!C63</f>
        <v>0</v>
      </c>
      <c r="H29" s="95"/>
      <c r="I29" s="278"/>
      <c r="J29" s="102">
        <f>IF('4.) Yearly Budget'!$K$18&gt;0,'4.) Yearly Budget'!K29,'4.) Yearly Budget'!J29)</f>
        <v>0</v>
      </c>
      <c r="K29" s="380">
        <f t="shared" si="4"/>
        <v>0</v>
      </c>
      <c r="L29" s="278"/>
      <c r="M29" s="102">
        <f>IF('4.) Yearly Budget'!$N$18&gt;0,'4.) Yearly Budget'!N29,'4.) Yearly Budget'!M29)</f>
        <v>0</v>
      </c>
      <c r="N29" s="380">
        <f t="shared" si="5"/>
        <v>0</v>
      </c>
      <c r="O29" s="278"/>
      <c r="P29" s="102">
        <f>IF('4.) Yearly Budget'!$Q$18&gt;0,'4.) Yearly Budget'!Q29,'4.) Yearly Budget'!P29)</f>
        <v>0</v>
      </c>
      <c r="Q29" s="380">
        <f t="shared" si="6"/>
        <v>0</v>
      </c>
      <c r="R29" s="278"/>
      <c r="S29" s="102">
        <f>IF('4.) Yearly Budget'!$T$18&gt;0,'4.) Yearly Budget'!T29,'4.) Yearly Budget'!S29)</f>
        <v>0</v>
      </c>
      <c r="T29" s="105">
        <f t="shared" si="7"/>
        <v>0</v>
      </c>
      <c r="U29" s="279">
        <f t="shared" si="8"/>
        <v>0</v>
      </c>
      <c r="V29" s="382">
        <f t="shared" si="9"/>
        <v>0</v>
      </c>
      <c r="W29" s="382">
        <f t="shared" si="10"/>
        <v>0</v>
      </c>
      <c r="X29" s="382">
        <f>'4.) Yearly Budget'!W29</f>
        <v>0</v>
      </c>
      <c r="Y29" s="383">
        <f t="shared" si="11"/>
        <v>0</v>
      </c>
      <c r="Z29" s="384">
        <f>SUM(IF(I$18&lt;&gt;0,'4.) Yearly Budget'!J29,0)+IF(L$18&lt;&gt;0,'4.) Yearly Budget'!M29,0)+IF(O$18&lt;&gt;0,'4.) Yearly Budget'!P29,0)+IF(R$18&lt;&gt;0,'4.) Yearly Budget'!S29,0))</f>
        <v>0</v>
      </c>
      <c r="AA29" s="384">
        <f t="shared" si="12"/>
        <v>0</v>
      </c>
      <c r="AB29" s="384">
        <f>'4.) Yearly Budget'!V29</f>
        <v>0</v>
      </c>
      <c r="AC29" s="385">
        <f t="shared" si="13"/>
        <v>0</v>
      </c>
      <c r="AD29" s="384">
        <f>IF(U$18&lt;&gt;0,'4.) Yearly Budget'!I29/$AM$18,0)</f>
        <v>0</v>
      </c>
      <c r="AE29" s="105">
        <f t="shared" si="14"/>
        <v>0</v>
      </c>
      <c r="AF29" s="280"/>
    </row>
    <row r="30" spans="1:39" s="68" customFormat="1">
      <c r="A30" s="259">
        <f t="shared" si="0"/>
        <v>30</v>
      </c>
      <c r="B30" s="96"/>
      <c r="C30" s="50"/>
      <c r="D30" s="50"/>
      <c r="E30" s="53" t="str">
        <f>CONTROL!B64</f>
        <v>-</v>
      </c>
      <c r="F30" s="53"/>
      <c r="G30" s="322">
        <f>CONTROL!C64</f>
        <v>0</v>
      </c>
      <c r="H30" s="95"/>
      <c r="I30" s="278"/>
      <c r="J30" s="102">
        <f>IF('4.) Yearly Budget'!$K$18&gt;0,'4.) Yearly Budget'!K30,'4.) Yearly Budget'!J30)</f>
        <v>0</v>
      </c>
      <c r="K30" s="380">
        <f t="shared" si="4"/>
        <v>0</v>
      </c>
      <c r="L30" s="278"/>
      <c r="M30" s="102">
        <f>IF('4.) Yearly Budget'!$N$18&gt;0,'4.) Yearly Budget'!N30,'4.) Yearly Budget'!M30)</f>
        <v>0</v>
      </c>
      <c r="N30" s="380">
        <f t="shared" si="5"/>
        <v>0</v>
      </c>
      <c r="O30" s="278"/>
      <c r="P30" s="102">
        <f>IF('4.) Yearly Budget'!$Q$18&gt;0,'4.) Yearly Budget'!Q30,'4.) Yearly Budget'!P30)</f>
        <v>0</v>
      </c>
      <c r="Q30" s="380">
        <f t="shared" si="6"/>
        <v>0</v>
      </c>
      <c r="R30" s="278"/>
      <c r="S30" s="102">
        <f>IF('4.) Yearly Budget'!$T$18&gt;0,'4.) Yearly Budget'!T30,'4.) Yearly Budget'!S30)</f>
        <v>0</v>
      </c>
      <c r="T30" s="105">
        <f t="shared" si="7"/>
        <v>0</v>
      </c>
      <c r="U30" s="279">
        <f t="shared" si="8"/>
        <v>0</v>
      </c>
      <c r="V30" s="382">
        <f t="shared" si="9"/>
        <v>0</v>
      </c>
      <c r="W30" s="382">
        <f t="shared" si="10"/>
        <v>0</v>
      </c>
      <c r="X30" s="382">
        <f>'4.) Yearly Budget'!W30</f>
        <v>0</v>
      </c>
      <c r="Y30" s="383">
        <f t="shared" si="11"/>
        <v>0</v>
      </c>
      <c r="Z30" s="384">
        <f>SUM(IF(I$18&lt;&gt;0,'4.) Yearly Budget'!J30,0)+IF(L$18&lt;&gt;0,'4.) Yearly Budget'!M30,0)+IF(O$18&lt;&gt;0,'4.) Yearly Budget'!P30,0)+IF(R$18&lt;&gt;0,'4.) Yearly Budget'!S30,0))</f>
        <v>0</v>
      </c>
      <c r="AA30" s="384">
        <f t="shared" si="12"/>
        <v>0</v>
      </c>
      <c r="AB30" s="384">
        <f>'4.) Yearly Budget'!V30</f>
        <v>0</v>
      </c>
      <c r="AC30" s="385">
        <f t="shared" si="13"/>
        <v>0</v>
      </c>
      <c r="AD30" s="384">
        <f>IF(U$18&lt;&gt;0,'4.) Yearly Budget'!I30/$AM$18,0)</f>
        <v>0</v>
      </c>
      <c r="AE30" s="105">
        <f t="shared" si="14"/>
        <v>0</v>
      </c>
      <c r="AF30" s="280"/>
    </row>
    <row r="31" spans="1:39" s="68" customFormat="1">
      <c r="A31" s="259">
        <f t="shared" si="0"/>
        <v>31</v>
      </c>
      <c r="B31" s="96"/>
      <c r="C31" s="50"/>
      <c r="D31" s="50"/>
      <c r="E31" s="53" t="str">
        <f>CONTROL!B65</f>
        <v>-</v>
      </c>
      <c r="F31" s="53"/>
      <c r="G31" s="322">
        <f>CONTROL!C65</f>
        <v>0</v>
      </c>
      <c r="H31" s="95"/>
      <c r="I31" s="278"/>
      <c r="J31" s="102">
        <f>IF('4.) Yearly Budget'!$K$18&gt;0,'4.) Yearly Budget'!K31,'4.) Yearly Budget'!J31)</f>
        <v>0</v>
      </c>
      <c r="K31" s="380">
        <f t="shared" si="4"/>
        <v>0</v>
      </c>
      <c r="L31" s="278"/>
      <c r="M31" s="102">
        <f>IF('4.) Yearly Budget'!$N$18&gt;0,'4.) Yearly Budget'!N31,'4.) Yearly Budget'!M31)</f>
        <v>0</v>
      </c>
      <c r="N31" s="380">
        <f t="shared" si="5"/>
        <v>0</v>
      </c>
      <c r="O31" s="278"/>
      <c r="P31" s="102">
        <f>IF('4.) Yearly Budget'!$Q$18&gt;0,'4.) Yearly Budget'!Q31,'4.) Yearly Budget'!P31)</f>
        <v>0</v>
      </c>
      <c r="Q31" s="380">
        <f t="shared" si="6"/>
        <v>0</v>
      </c>
      <c r="R31" s="278"/>
      <c r="S31" s="102">
        <f>IF('4.) Yearly Budget'!$T$18&gt;0,'4.) Yearly Budget'!T31,'4.) Yearly Budget'!S31)</f>
        <v>0</v>
      </c>
      <c r="T31" s="105">
        <f t="shared" si="7"/>
        <v>0</v>
      </c>
      <c r="U31" s="279">
        <f t="shared" si="8"/>
        <v>0</v>
      </c>
      <c r="V31" s="382">
        <f t="shared" si="9"/>
        <v>0</v>
      </c>
      <c r="W31" s="382">
        <f t="shared" si="10"/>
        <v>0</v>
      </c>
      <c r="X31" s="382">
        <f>'4.) Yearly Budget'!W31</f>
        <v>0</v>
      </c>
      <c r="Y31" s="383">
        <f t="shared" si="11"/>
        <v>0</v>
      </c>
      <c r="Z31" s="384">
        <f>SUM(IF(I$18&lt;&gt;0,'4.) Yearly Budget'!J31,0)+IF(L$18&lt;&gt;0,'4.) Yearly Budget'!M31,0)+IF(O$18&lt;&gt;0,'4.) Yearly Budget'!P31,0)+IF(R$18&lt;&gt;0,'4.) Yearly Budget'!S31,0))</f>
        <v>0</v>
      </c>
      <c r="AA31" s="384">
        <f t="shared" si="12"/>
        <v>0</v>
      </c>
      <c r="AB31" s="384">
        <f>'4.) Yearly Budget'!V31</f>
        <v>0</v>
      </c>
      <c r="AC31" s="385">
        <f t="shared" si="13"/>
        <v>0</v>
      </c>
      <c r="AD31" s="384">
        <f>IF(U$18&lt;&gt;0,'4.) Yearly Budget'!I31/$AM$18,0)</f>
        <v>0</v>
      </c>
      <c r="AE31" s="105">
        <f t="shared" si="14"/>
        <v>0</v>
      </c>
      <c r="AF31" s="280"/>
    </row>
    <row r="32" spans="1:39" s="68" customFormat="1">
      <c r="A32" s="259">
        <f t="shared" si="0"/>
        <v>32</v>
      </c>
      <c r="B32" s="96"/>
      <c r="C32" s="50"/>
      <c r="D32" s="50"/>
      <c r="E32" s="53" t="str">
        <f>CONTROL!B66</f>
        <v>-</v>
      </c>
      <c r="F32" s="53"/>
      <c r="G32" s="322">
        <f>CONTROL!C66</f>
        <v>0</v>
      </c>
      <c r="H32" s="95"/>
      <c r="I32" s="278"/>
      <c r="J32" s="102">
        <f>IF('4.) Yearly Budget'!$K$18&gt;0,'4.) Yearly Budget'!K32,'4.) Yearly Budget'!J32)</f>
        <v>0</v>
      </c>
      <c r="K32" s="380">
        <f t="shared" si="4"/>
        <v>0</v>
      </c>
      <c r="L32" s="278"/>
      <c r="M32" s="102">
        <f>IF('4.) Yearly Budget'!$N$18&gt;0,'4.) Yearly Budget'!N32,'4.) Yearly Budget'!M32)</f>
        <v>0</v>
      </c>
      <c r="N32" s="380">
        <f t="shared" si="5"/>
        <v>0</v>
      </c>
      <c r="O32" s="278"/>
      <c r="P32" s="102">
        <f>IF('4.) Yearly Budget'!$Q$18&gt;0,'4.) Yearly Budget'!Q32,'4.) Yearly Budget'!P32)</f>
        <v>0</v>
      </c>
      <c r="Q32" s="380">
        <f t="shared" si="6"/>
        <v>0</v>
      </c>
      <c r="R32" s="278"/>
      <c r="S32" s="102">
        <f>IF('4.) Yearly Budget'!$T$18&gt;0,'4.) Yearly Budget'!T32,'4.) Yearly Budget'!S32)</f>
        <v>0</v>
      </c>
      <c r="T32" s="105">
        <f t="shared" si="7"/>
        <v>0</v>
      </c>
      <c r="U32" s="279">
        <f t="shared" si="8"/>
        <v>0</v>
      </c>
      <c r="V32" s="382">
        <f t="shared" si="9"/>
        <v>0</v>
      </c>
      <c r="W32" s="382">
        <f t="shared" si="10"/>
        <v>0</v>
      </c>
      <c r="X32" s="382">
        <f>'4.) Yearly Budget'!W32</f>
        <v>0</v>
      </c>
      <c r="Y32" s="383">
        <f t="shared" si="11"/>
        <v>0</v>
      </c>
      <c r="Z32" s="384">
        <f>SUM(IF(I$18&lt;&gt;0,'4.) Yearly Budget'!J32,0)+IF(L$18&lt;&gt;0,'4.) Yearly Budget'!M32,0)+IF(O$18&lt;&gt;0,'4.) Yearly Budget'!P32,0)+IF(R$18&lt;&gt;0,'4.) Yearly Budget'!S32,0))</f>
        <v>0</v>
      </c>
      <c r="AA32" s="384">
        <f t="shared" si="12"/>
        <v>0</v>
      </c>
      <c r="AB32" s="384">
        <f>'4.) Yearly Budget'!V32</f>
        <v>0</v>
      </c>
      <c r="AC32" s="385">
        <f t="shared" si="13"/>
        <v>0</v>
      </c>
      <c r="AD32" s="384">
        <f>IF(U$18&lt;&gt;0,'4.) Yearly Budget'!I32/$AM$18,0)</f>
        <v>0</v>
      </c>
      <c r="AE32" s="105">
        <f t="shared" si="14"/>
        <v>0</v>
      </c>
      <c r="AF32" s="280"/>
    </row>
    <row r="33" spans="1:32" s="68" customFormat="1">
      <c r="A33" s="259">
        <f t="shared" si="0"/>
        <v>33</v>
      </c>
      <c r="B33" s="96"/>
      <c r="C33" s="50"/>
      <c r="D33" s="50"/>
      <c r="E33" s="53" t="str">
        <f>"ALL OTHER School Districts: ( Count = "&amp;CONTROL!C104&amp;" )"</f>
        <v>ALL OTHER School Districts: ( Count = 0 )</v>
      </c>
      <c r="F33" s="53"/>
      <c r="G33" s="631">
        <f>CONTROL!F105</f>
        <v>0</v>
      </c>
      <c r="H33" s="95"/>
      <c r="I33" s="832"/>
      <c r="J33" s="102">
        <f>IF('4.) Yearly Budget'!$K$18&gt;0,'4.) Yearly Budget'!K33,'4.) Yearly Budget'!J33)</f>
        <v>0</v>
      </c>
      <c r="K33" s="380">
        <f t="shared" si="4"/>
        <v>0</v>
      </c>
      <c r="L33" s="278"/>
      <c r="M33" s="102">
        <f>IF('4.) Yearly Budget'!$N$18&gt;0,'4.) Yearly Budget'!N33,'4.) Yearly Budget'!M33)</f>
        <v>0</v>
      </c>
      <c r="N33" s="380">
        <f t="shared" si="5"/>
        <v>0</v>
      </c>
      <c r="O33" s="278"/>
      <c r="P33" s="102">
        <f>IF('4.) Yearly Budget'!$Q$18&gt;0,'4.) Yearly Budget'!Q33,'4.) Yearly Budget'!P33)</f>
        <v>0</v>
      </c>
      <c r="Q33" s="380">
        <f t="shared" si="6"/>
        <v>0</v>
      </c>
      <c r="R33" s="278"/>
      <c r="S33" s="102">
        <f>IF('4.) Yearly Budget'!$T$18&gt;0,'4.) Yearly Budget'!T33,'4.) Yearly Budget'!S33)</f>
        <v>0</v>
      </c>
      <c r="T33" s="105">
        <f t="shared" si="7"/>
        <v>0</v>
      </c>
      <c r="U33" s="279">
        <f t="shared" si="8"/>
        <v>0</v>
      </c>
      <c r="V33" s="382">
        <f t="shared" si="9"/>
        <v>0</v>
      </c>
      <c r="W33" s="382">
        <f t="shared" si="10"/>
        <v>0</v>
      </c>
      <c r="X33" s="382">
        <f>'4.) Yearly Budget'!W33</f>
        <v>0</v>
      </c>
      <c r="Y33" s="383">
        <f t="shared" si="11"/>
        <v>0</v>
      </c>
      <c r="Z33" s="384">
        <f>SUM(IF(I$18&lt;&gt;0,'4.) Yearly Budget'!J33,0)+IF(L$18&lt;&gt;0,'4.) Yearly Budget'!M33,0)+IF(O$18&lt;&gt;0,'4.) Yearly Budget'!P33,0)+IF(R$18&lt;&gt;0,'4.) Yearly Budget'!S33,0))</f>
        <v>0</v>
      </c>
      <c r="AA33" s="384">
        <f t="shared" si="12"/>
        <v>0</v>
      </c>
      <c r="AB33" s="384">
        <f>'4.) Yearly Budget'!V33</f>
        <v>0</v>
      </c>
      <c r="AC33" s="385">
        <f t="shared" si="13"/>
        <v>0</v>
      </c>
      <c r="AD33" s="384">
        <f>IF(U$18&lt;&gt;0,'4.) Yearly Budget'!I33/$AM$18,0)</f>
        <v>0</v>
      </c>
      <c r="AE33" s="105">
        <f t="shared" si="14"/>
        <v>0</v>
      </c>
      <c r="AF33" s="280"/>
    </row>
    <row r="34" spans="1:32" s="389" customFormat="1">
      <c r="A34" s="281">
        <f t="shared" si="0"/>
        <v>34</v>
      </c>
      <c r="B34" s="282"/>
      <c r="C34" s="140"/>
      <c r="D34" s="140" t="str">
        <f>'4.) Yearly Budget'!D34</f>
        <v>TOTAL Per Pupil Revenue (Weighted Average Per Pupil Funding)</v>
      </c>
      <c r="E34" s="53"/>
      <c r="F34"/>
      <c r="G34" s="632">
        <f>'4.) Yearly Budget'!G34</f>
        <v>0</v>
      </c>
      <c r="H34" s="95"/>
      <c r="I34" s="778">
        <f t="shared" ref="I34:AE34" si="15">SUM(I18:I33)</f>
        <v>0</v>
      </c>
      <c r="J34" s="158">
        <f t="shared" si="15"/>
        <v>0</v>
      </c>
      <c r="K34" s="387">
        <f t="shared" si="15"/>
        <v>0</v>
      </c>
      <c r="L34" s="102">
        <f t="shared" si="15"/>
        <v>0</v>
      </c>
      <c r="M34" s="158">
        <f t="shared" si="15"/>
        <v>0</v>
      </c>
      <c r="N34" s="387">
        <f t="shared" si="15"/>
        <v>0</v>
      </c>
      <c r="O34" s="102">
        <f t="shared" si="15"/>
        <v>0</v>
      </c>
      <c r="P34" s="158">
        <f t="shared" si="15"/>
        <v>0</v>
      </c>
      <c r="Q34" s="387">
        <f t="shared" si="15"/>
        <v>0</v>
      </c>
      <c r="R34" s="102">
        <f t="shared" si="15"/>
        <v>0</v>
      </c>
      <c r="S34" s="158">
        <f t="shared" si="15"/>
        <v>0</v>
      </c>
      <c r="T34" s="103">
        <f t="shared" si="15"/>
        <v>0</v>
      </c>
      <c r="U34" s="285">
        <f t="shared" si="15"/>
        <v>0</v>
      </c>
      <c r="V34" s="156">
        <f t="shared" si="15"/>
        <v>0</v>
      </c>
      <c r="W34" s="156">
        <f t="shared" si="15"/>
        <v>0</v>
      </c>
      <c r="X34" s="156">
        <f t="shared" si="15"/>
        <v>0</v>
      </c>
      <c r="Y34" s="383">
        <f t="shared" si="15"/>
        <v>0</v>
      </c>
      <c r="Z34" s="380">
        <f t="shared" si="15"/>
        <v>0</v>
      </c>
      <c r="AA34" s="387">
        <f t="shared" si="15"/>
        <v>0</v>
      </c>
      <c r="AB34" s="387">
        <f t="shared" si="15"/>
        <v>0</v>
      </c>
      <c r="AC34" s="387">
        <f t="shared" si="15"/>
        <v>0</v>
      </c>
      <c r="AD34" s="380">
        <f t="shared" si="15"/>
        <v>0</v>
      </c>
      <c r="AE34" s="388">
        <f t="shared" si="15"/>
        <v>0</v>
      </c>
      <c r="AF34" s="284"/>
    </row>
    <row r="35" spans="1:32" s="68" customFormat="1">
      <c r="A35" s="259">
        <f t="shared" si="0"/>
        <v>35</v>
      </c>
      <c r="B35" s="96"/>
      <c r="C35" s="50"/>
      <c r="D35" s="50" t="str">
        <f>'4.) Yearly Budget'!D35</f>
        <v>Special Education Revenue</v>
      </c>
      <c r="E35" s="94"/>
      <c r="F35" s="94"/>
      <c r="G35" s="57"/>
      <c r="H35" s="95"/>
      <c r="I35" s="832"/>
      <c r="J35" s="102">
        <f>IF('4.) Yearly Budget'!$K$18&gt;0,'4.) Yearly Budget'!K35,'4.) Yearly Budget'!J35)</f>
        <v>0</v>
      </c>
      <c r="K35" s="380">
        <f>IF(I$18&lt;&gt;0,I35-J35,0)</f>
        <v>0</v>
      </c>
      <c r="L35" s="100"/>
      <c r="M35" s="102">
        <f>IF('4.) Yearly Budget'!$N$18&gt;0,'4.) Yearly Budget'!N35,'4.) Yearly Budget'!M35)</f>
        <v>0</v>
      </c>
      <c r="N35" s="380">
        <f>IF(L$18&lt;&gt;0,L35-M35,0)</f>
        <v>0</v>
      </c>
      <c r="O35" s="100"/>
      <c r="P35" s="102">
        <f>IF('4.) Yearly Budget'!$Q$18&gt;0,'4.) Yearly Budget'!Q35,'4.) Yearly Budget'!P35)</f>
        <v>0</v>
      </c>
      <c r="Q35" s="380">
        <f>IF(O$18&lt;&gt;0,O35-P35,0)</f>
        <v>0</v>
      </c>
      <c r="R35" s="100"/>
      <c r="S35" s="102">
        <f>IF('4.) Yearly Budget'!$T$18&gt;0,'4.) Yearly Budget'!T35,'4.) Yearly Budget'!S35)</f>
        <v>0</v>
      </c>
      <c r="T35" s="105">
        <f>IF(R$18&lt;&gt;0,R35-S35,0)</f>
        <v>0</v>
      </c>
      <c r="U35" s="279">
        <f>IF(I$18&lt;&gt;0,I35,0)+IF(L$18&lt;&gt;0,L35,0)+IF(O$18&lt;&gt;0,O35,0)+IF(R$18&lt;&gt;0,R35,0)</f>
        <v>0</v>
      </c>
      <c r="V35" s="382">
        <f>SUM(IF(I$18&lt;&gt;0,J35,0)+IF(L$18&lt;&gt;0,M35,0)+IF(O$18&lt;&gt;0,P35,0)+IF(R$18&lt;&gt;0,S35,0))</f>
        <v>0</v>
      </c>
      <c r="W35" s="382">
        <f>U35-V35</f>
        <v>0</v>
      </c>
      <c r="X35" s="382">
        <f>'4.) Yearly Budget'!W35</f>
        <v>0</v>
      </c>
      <c r="Y35" s="383">
        <f>IF(U35&lt;&gt;0,U35-X35,IF(U35=0,-X35,0))</f>
        <v>0</v>
      </c>
      <c r="Z35" s="384">
        <f>SUM(IF(I$18&lt;&gt;0,'4.) Yearly Budget'!J35,0)+IF(L$18&lt;&gt;0,'4.) Yearly Budget'!M35,0)+IF(O$18&lt;&gt;0,'4.) Yearly Budget'!P35,0)+IF(R$18&lt;&gt;0,'4.) Yearly Budget'!S35,0))</f>
        <v>0</v>
      </c>
      <c r="AA35" s="384">
        <f>U35-Z35</f>
        <v>0</v>
      </c>
      <c r="AB35" s="384">
        <f>'4.) Yearly Budget'!V35</f>
        <v>0</v>
      </c>
      <c r="AC35" s="385">
        <f>IF(U35&lt;&gt;0,U35-AB35,IF(U35=0,-AB35,0))</f>
        <v>0</v>
      </c>
      <c r="AD35" s="384">
        <f>IF(U$18&lt;&gt;0,'4.) Yearly Budget'!I35/$AM$18,0)</f>
        <v>0</v>
      </c>
      <c r="AE35" s="105">
        <f>U35-AD35</f>
        <v>0</v>
      </c>
      <c r="AF35" s="280"/>
    </row>
    <row r="36" spans="1:32" s="68" customFormat="1">
      <c r="A36" s="259">
        <f t="shared" si="0"/>
        <v>36</v>
      </c>
      <c r="B36" s="96"/>
      <c r="C36" s="50"/>
      <c r="D36" s="50" t="str">
        <f>'4.) Yearly Budget'!D36</f>
        <v>Grants</v>
      </c>
      <c r="E36" s="94"/>
      <c r="F36" s="94"/>
      <c r="G36" s="57"/>
      <c r="H36" s="95"/>
      <c r="I36" s="104"/>
      <c r="J36" s="104"/>
      <c r="K36" s="104"/>
      <c r="L36" s="104"/>
      <c r="M36" s="104"/>
      <c r="N36" s="104"/>
      <c r="O36" s="104"/>
      <c r="P36" s="104"/>
      <c r="Q36" s="104"/>
      <c r="R36" s="104"/>
      <c r="S36" s="104"/>
      <c r="T36" s="105"/>
      <c r="U36" s="285"/>
      <c r="V36" s="390"/>
      <c r="W36" s="390"/>
      <c r="X36" s="390"/>
      <c r="Y36" s="390"/>
      <c r="Z36" s="390"/>
      <c r="AA36" s="390"/>
      <c r="AB36" s="390"/>
      <c r="AC36" s="104"/>
      <c r="AD36" s="390"/>
      <c r="AE36" s="105"/>
      <c r="AF36" s="280"/>
    </row>
    <row r="37" spans="1:32" s="68" customFormat="1">
      <c r="A37" s="259">
        <f t="shared" si="0"/>
        <v>37</v>
      </c>
      <c r="B37" s="96"/>
      <c r="C37" s="50"/>
      <c r="D37" s="50"/>
      <c r="E37" s="120" t="str">
        <f>'4.) Yearly Budget'!E37</f>
        <v>Stimulus</v>
      </c>
      <c r="F37" s="120"/>
      <c r="G37" s="56"/>
      <c r="H37" s="95"/>
      <c r="I37" s="278"/>
      <c r="J37" s="102">
        <f>IF('4.) Yearly Budget'!$K$18&gt;0,'4.) Yearly Budget'!K37,'4.) Yearly Budget'!J37)</f>
        <v>0</v>
      </c>
      <c r="K37" s="380">
        <f>IF(I$18&lt;&gt;0,I37-J37,0)</f>
        <v>0</v>
      </c>
      <c r="L37" s="100"/>
      <c r="M37" s="102">
        <f>IF('4.) Yearly Budget'!$N$18&gt;0,'4.) Yearly Budget'!N37,'4.) Yearly Budget'!M37)</f>
        <v>0</v>
      </c>
      <c r="N37" s="380">
        <f>IF(L$18&lt;&gt;0,L37-M37,0)</f>
        <v>0</v>
      </c>
      <c r="O37" s="100"/>
      <c r="P37" s="102">
        <f>IF('4.) Yearly Budget'!$Q$18&gt;0,'4.) Yearly Budget'!Q37,'4.) Yearly Budget'!P37)</f>
        <v>0</v>
      </c>
      <c r="Q37" s="380">
        <f>IF(O$18&lt;&gt;0,O37-P37,0)</f>
        <v>0</v>
      </c>
      <c r="R37" s="100"/>
      <c r="S37" s="102">
        <f>IF('4.) Yearly Budget'!$T$18&gt;0,'4.) Yearly Budget'!T37,'4.) Yearly Budget'!S37)</f>
        <v>0</v>
      </c>
      <c r="T37" s="105">
        <f>IF(R$18&lt;&gt;0,R37-S37,0)</f>
        <v>0</v>
      </c>
      <c r="U37" s="279">
        <f>IF(I$18&lt;&gt;0,I37,0)+IF(L$18&lt;&gt;0,L37,0)+IF(O$18&lt;&gt;0,O37,0)+IF(R$18&lt;&gt;0,R37,0)</f>
        <v>0</v>
      </c>
      <c r="V37" s="382">
        <f>SUM(IF(I$18&lt;&gt;0,J37,0)+IF(L$18&lt;&gt;0,M37,0)+IF(O$18&lt;&gt;0,P37,0)+IF(R$18&lt;&gt;0,S37,0))</f>
        <v>0</v>
      </c>
      <c r="W37" s="382">
        <f>U37-V37</f>
        <v>0</v>
      </c>
      <c r="X37" s="382">
        <f>'4.) Yearly Budget'!W37</f>
        <v>0</v>
      </c>
      <c r="Y37" s="383">
        <f>IF(U37&lt;&gt;0,U37-X37,IF(U37=0,-X37,0))</f>
        <v>0</v>
      </c>
      <c r="Z37" s="384">
        <f>SUM(IF(I$18&lt;&gt;0,'4.) Yearly Budget'!J37,0)+IF(L$18&lt;&gt;0,'4.) Yearly Budget'!M37,0)+IF(O$18&lt;&gt;0,'4.) Yearly Budget'!P37,0)+IF(R$18&lt;&gt;0,'4.) Yearly Budget'!S37,0))</f>
        <v>0</v>
      </c>
      <c r="AA37" s="384">
        <f>U37-Z37</f>
        <v>0</v>
      </c>
      <c r="AB37" s="384">
        <f>'4.) Yearly Budget'!V37</f>
        <v>0</v>
      </c>
      <c r="AC37" s="385">
        <f>IF(U37&lt;&gt;0,U37-AB37,IF(U37=0,-AB37,0))</f>
        <v>0</v>
      </c>
      <c r="AD37" s="384">
        <f>IF(U$18&lt;&gt;0,'4.) Yearly Budget'!I37/$AM$18,0)</f>
        <v>0</v>
      </c>
      <c r="AE37" s="105">
        <f>U37-AD37</f>
        <v>0</v>
      </c>
      <c r="AF37" s="280"/>
    </row>
    <row r="38" spans="1:32" s="68" customFormat="1">
      <c r="A38" s="259">
        <f t="shared" si="0"/>
        <v>38</v>
      </c>
      <c r="B38" s="96"/>
      <c r="C38" s="50"/>
      <c r="D38" s="50"/>
      <c r="E38" s="120" t="str">
        <f>'4.) Yearly Budget'!E38</f>
        <v>DYCD (Department of Youth and Community Development)</v>
      </c>
      <c r="F38" s="120"/>
      <c r="G38" s="56"/>
      <c r="H38" s="95"/>
      <c r="I38" s="278"/>
      <c r="J38" s="102">
        <f>IF('4.) Yearly Budget'!$K$18&gt;0,'4.) Yearly Budget'!K38,'4.) Yearly Budget'!J38)</f>
        <v>0</v>
      </c>
      <c r="K38" s="380">
        <f>IF(I$18&lt;&gt;0,I38-J38,0)</f>
        <v>0</v>
      </c>
      <c r="L38" s="100"/>
      <c r="M38" s="102">
        <f>IF('4.) Yearly Budget'!$N$18&gt;0,'4.) Yearly Budget'!N38,'4.) Yearly Budget'!M38)</f>
        <v>0</v>
      </c>
      <c r="N38" s="380">
        <f>IF(L$18&lt;&gt;0,L38-M38,0)</f>
        <v>0</v>
      </c>
      <c r="O38" s="100"/>
      <c r="P38" s="102">
        <f>IF('4.) Yearly Budget'!$Q$18&gt;0,'4.) Yearly Budget'!Q38,'4.) Yearly Budget'!P38)</f>
        <v>0</v>
      </c>
      <c r="Q38" s="380">
        <f>IF(O$18&lt;&gt;0,O38-P38,0)</f>
        <v>0</v>
      </c>
      <c r="R38" s="100"/>
      <c r="S38" s="102">
        <f>IF('4.) Yearly Budget'!$T$18&gt;0,'4.) Yearly Budget'!T38,'4.) Yearly Budget'!S38)</f>
        <v>0</v>
      </c>
      <c r="T38" s="105">
        <f>IF(R$18&lt;&gt;0,R38-S38,0)</f>
        <v>0</v>
      </c>
      <c r="U38" s="279">
        <f>IF(I$18&lt;&gt;0,I38,0)+IF(L$18&lt;&gt;0,L38,0)+IF(O$18&lt;&gt;0,O38,0)+IF(R$18&lt;&gt;0,R38,0)</f>
        <v>0</v>
      </c>
      <c r="V38" s="382">
        <f>SUM(IF(I$18&lt;&gt;0,J38,0)+IF(L$18&lt;&gt;0,M38,0)+IF(O$18&lt;&gt;0,P38,0)+IF(R$18&lt;&gt;0,S38,0))</f>
        <v>0</v>
      </c>
      <c r="W38" s="382">
        <f>U38-V38</f>
        <v>0</v>
      </c>
      <c r="X38" s="382">
        <f>'4.) Yearly Budget'!W38</f>
        <v>0</v>
      </c>
      <c r="Y38" s="383">
        <f>IF(U38&lt;&gt;0,U38-X38,IF(U38=0,-X38,0))</f>
        <v>0</v>
      </c>
      <c r="Z38" s="384">
        <f>SUM(IF(I$18&lt;&gt;0,'4.) Yearly Budget'!J38,0)+IF(L$18&lt;&gt;0,'4.) Yearly Budget'!M38,0)+IF(O$18&lt;&gt;0,'4.) Yearly Budget'!P38,0)+IF(R$18&lt;&gt;0,'4.) Yearly Budget'!S38,0))</f>
        <v>0</v>
      </c>
      <c r="AA38" s="384">
        <f>U38-Z38</f>
        <v>0</v>
      </c>
      <c r="AB38" s="384">
        <f>'4.) Yearly Budget'!V38</f>
        <v>0</v>
      </c>
      <c r="AC38" s="385">
        <f>IF(U38&lt;&gt;0,U38-AB38,IF(U38=0,-AB38,0))</f>
        <v>0</v>
      </c>
      <c r="AD38" s="384">
        <f>IF(U$18&lt;&gt;0,'4.) Yearly Budget'!I38/$AM$18,0)</f>
        <v>0</v>
      </c>
      <c r="AE38" s="105">
        <f>U38-AD38</f>
        <v>0</v>
      </c>
      <c r="AF38" s="280"/>
    </row>
    <row r="39" spans="1:32" s="68" customFormat="1">
      <c r="A39" s="259">
        <f t="shared" si="0"/>
        <v>39</v>
      </c>
      <c r="B39" s="96"/>
      <c r="C39" s="50"/>
      <c r="D39" s="50"/>
      <c r="E39" s="120" t="str">
        <f>'4.) Yearly Budget'!E39</f>
        <v>Other</v>
      </c>
      <c r="F39" s="120"/>
      <c r="G39" s="56"/>
      <c r="H39" s="95"/>
      <c r="I39" s="278"/>
      <c r="J39" s="102">
        <f>IF('4.) Yearly Budget'!$K$18&gt;0,'4.) Yearly Budget'!K39,'4.) Yearly Budget'!J39)</f>
        <v>0</v>
      </c>
      <c r="K39" s="380">
        <f>IF(I$18&lt;&gt;0,I39-J39,0)</f>
        <v>0</v>
      </c>
      <c r="L39" s="100"/>
      <c r="M39" s="102">
        <f>IF('4.) Yearly Budget'!$N$18&gt;0,'4.) Yearly Budget'!N39,'4.) Yearly Budget'!M39)</f>
        <v>0</v>
      </c>
      <c r="N39" s="380">
        <f>IF(L$18&lt;&gt;0,L39-M39,0)</f>
        <v>0</v>
      </c>
      <c r="O39" s="100"/>
      <c r="P39" s="102">
        <f>IF('4.) Yearly Budget'!$Q$18&gt;0,'4.) Yearly Budget'!Q39,'4.) Yearly Budget'!P39)</f>
        <v>0</v>
      </c>
      <c r="Q39" s="380">
        <f>IF(O$18&lt;&gt;0,O39-P39,0)</f>
        <v>0</v>
      </c>
      <c r="R39" s="100"/>
      <c r="S39" s="102">
        <f>IF('4.) Yearly Budget'!$T$18&gt;0,'4.) Yearly Budget'!T39,'4.) Yearly Budget'!S39)</f>
        <v>0</v>
      </c>
      <c r="T39" s="105">
        <f>IF(R$18&lt;&gt;0,R39-S39,0)</f>
        <v>0</v>
      </c>
      <c r="U39" s="279">
        <f>IF(I$18&lt;&gt;0,I39,0)+IF(L$18&lt;&gt;0,L39,0)+IF(O$18&lt;&gt;0,O39,0)+IF(R$18&lt;&gt;0,R39,0)</f>
        <v>0</v>
      </c>
      <c r="V39" s="382">
        <f>SUM(IF(I$18&lt;&gt;0,J39,0)+IF(L$18&lt;&gt;0,M39,0)+IF(O$18&lt;&gt;0,P39,0)+IF(R$18&lt;&gt;0,S39,0))</f>
        <v>0</v>
      </c>
      <c r="W39" s="382">
        <f>U39-V39</f>
        <v>0</v>
      </c>
      <c r="X39" s="382">
        <f>'4.) Yearly Budget'!W39</f>
        <v>0</v>
      </c>
      <c r="Y39" s="383">
        <f>IF(U39&lt;&gt;0,U39-X39,IF(U39=0,-X39,0))</f>
        <v>0</v>
      </c>
      <c r="Z39" s="384">
        <f>SUM(IF(I$18&lt;&gt;0,'4.) Yearly Budget'!J39,0)+IF(L$18&lt;&gt;0,'4.) Yearly Budget'!M39,0)+IF(O$18&lt;&gt;0,'4.) Yearly Budget'!P39,0)+IF(R$18&lt;&gt;0,'4.) Yearly Budget'!S39,0))</f>
        <v>0</v>
      </c>
      <c r="AA39" s="384">
        <f>U39-Z39</f>
        <v>0</v>
      </c>
      <c r="AB39" s="384">
        <f>'4.) Yearly Budget'!V39</f>
        <v>0</v>
      </c>
      <c r="AC39" s="385">
        <f>IF(U39&lt;&gt;0,U39-AB39,IF(U39=0,-AB39,0))</f>
        <v>0</v>
      </c>
      <c r="AD39" s="384">
        <f>IF(U$18&lt;&gt;0,'4.) Yearly Budget'!I39/$AM$18,0)</f>
        <v>0</v>
      </c>
      <c r="AE39" s="105">
        <f>U39-AD39</f>
        <v>0</v>
      </c>
      <c r="AF39" s="280"/>
    </row>
    <row r="40" spans="1:32" s="68" customFormat="1" ht="16.8">
      <c r="A40" s="259">
        <f t="shared" si="0"/>
        <v>40</v>
      </c>
      <c r="B40" s="96"/>
      <c r="C40" s="50"/>
      <c r="D40" s="97" t="str">
        <f>'4.) Yearly Budget'!D40</f>
        <v>Other</v>
      </c>
      <c r="E40" s="94"/>
      <c r="F40" s="94"/>
      <c r="G40" s="57"/>
      <c r="H40" s="95"/>
      <c r="I40" s="286"/>
      <c r="J40" s="573">
        <f>IF('4.) Yearly Budget'!$K$18&gt;0,'4.) Yearly Budget'!K40,'4.) Yearly Budget'!J40)</f>
        <v>0</v>
      </c>
      <c r="K40" s="391">
        <f>IF(I$18&lt;&gt;0,I40-J40,0)</f>
        <v>0</v>
      </c>
      <c r="L40" s="106"/>
      <c r="M40" s="573">
        <f>IF('4.) Yearly Budget'!$N$18&gt;0,'4.) Yearly Budget'!N40,'4.) Yearly Budget'!M40)</f>
        <v>0</v>
      </c>
      <c r="N40" s="391">
        <f>IF(L$18&lt;&gt;0,L40-M40,0)</f>
        <v>0</v>
      </c>
      <c r="O40" s="106"/>
      <c r="P40" s="573">
        <f>IF('4.) Yearly Budget'!$Q$18&gt;0,'4.) Yearly Budget'!Q40,'4.) Yearly Budget'!P40)</f>
        <v>0</v>
      </c>
      <c r="Q40" s="391">
        <f>IF(O$18&lt;&gt;0,O40-P40,0)</f>
        <v>0</v>
      </c>
      <c r="R40" s="106"/>
      <c r="S40" s="573">
        <f>IF('4.) Yearly Budget'!$T$18&gt;0,'4.) Yearly Budget'!T40,'4.) Yearly Budget'!S40)</f>
        <v>0</v>
      </c>
      <c r="T40" s="392">
        <f>IF(R$18&lt;&gt;0,R40-S40,0)</f>
        <v>0</v>
      </c>
      <c r="U40" s="287">
        <f>IF(I$18&lt;&gt;0,I40,0)+IF(L$18&lt;&gt;0,L40,0)+IF(O$18&lt;&gt;0,O40,0)+IF(R$18&lt;&gt;0,R40,0)</f>
        <v>0</v>
      </c>
      <c r="V40" s="393">
        <f>SUM(IF(I$18&lt;&gt;0,J40,0)+IF(L$18&lt;&gt;0,M40,0)+IF(O$18&lt;&gt;0,P40,0)+IF(R$18&lt;&gt;0,S40,0))</f>
        <v>0</v>
      </c>
      <c r="W40" s="393">
        <f>U40-V40</f>
        <v>0</v>
      </c>
      <c r="X40" s="393">
        <f>'4.) Yearly Budget'!W40</f>
        <v>0</v>
      </c>
      <c r="Y40" s="394">
        <f>IF(U40&lt;&gt;0,U40-X40,IF(U40=0,-X40,0))</f>
        <v>0</v>
      </c>
      <c r="Z40" s="395">
        <f>SUM(IF(I$18&lt;&gt;0,'4.) Yearly Budget'!J40,0)+IF(L$18&lt;&gt;0,'4.) Yearly Budget'!M40,0)+IF(O$18&lt;&gt;0,'4.) Yearly Budget'!P40,0)+IF(R$18&lt;&gt;0,'4.) Yearly Budget'!S40,0))</f>
        <v>0</v>
      </c>
      <c r="AA40" s="395">
        <f>U40-Z40</f>
        <v>0</v>
      </c>
      <c r="AB40" s="395">
        <f>'4.) Yearly Budget'!V40</f>
        <v>0</v>
      </c>
      <c r="AC40" s="396">
        <f>IF(U40&lt;&gt;0,U40-AB40,IF(U40=0,-AB40,0))</f>
        <v>0</v>
      </c>
      <c r="AD40" s="395">
        <f>IF(U$18&lt;&gt;0,'4.) Yearly Budget'!I40/$AM$18,0)</f>
        <v>0</v>
      </c>
      <c r="AE40" s="392">
        <f>U40-AD40</f>
        <v>0</v>
      </c>
      <c r="AF40" s="280"/>
    </row>
    <row r="41" spans="1:32" s="68" customFormat="1">
      <c r="A41" s="259">
        <f t="shared" si="0"/>
        <v>41</v>
      </c>
      <c r="B41" s="96"/>
      <c r="C41" s="50" t="str">
        <f>'4.) Yearly Budget'!C41</f>
        <v>TOTAL REVENUE FROM STATE SOURCES</v>
      </c>
      <c r="D41" s="97"/>
      <c r="E41" s="94"/>
      <c r="F41" s="94"/>
      <c r="G41" s="57"/>
      <c r="H41" s="95"/>
      <c r="I41" s="283">
        <f t="shared" ref="I41:AE41" si="16">SUM(I34:I40)</f>
        <v>0</v>
      </c>
      <c r="J41" s="158">
        <f t="shared" si="16"/>
        <v>0</v>
      </c>
      <c r="K41" s="387">
        <f t="shared" si="16"/>
        <v>0</v>
      </c>
      <c r="L41" s="102">
        <f t="shared" si="16"/>
        <v>0</v>
      </c>
      <c r="M41" s="158">
        <f t="shared" si="16"/>
        <v>0</v>
      </c>
      <c r="N41" s="387">
        <f t="shared" si="16"/>
        <v>0</v>
      </c>
      <c r="O41" s="102">
        <f t="shared" si="16"/>
        <v>0</v>
      </c>
      <c r="P41" s="158">
        <f t="shared" si="16"/>
        <v>0</v>
      </c>
      <c r="Q41" s="387">
        <f t="shared" si="16"/>
        <v>0</v>
      </c>
      <c r="R41" s="102">
        <f t="shared" si="16"/>
        <v>0</v>
      </c>
      <c r="S41" s="158">
        <f t="shared" si="16"/>
        <v>0</v>
      </c>
      <c r="T41" s="103">
        <f t="shared" si="16"/>
        <v>0</v>
      </c>
      <c r="U41" s="279">
        <f t="shared" si="16"/>
        <v>0</v>
      </c>
      <c r="V41" s="156">
        <f t="shared" si="16"/>
        <v>0</v>
      </c>
      <c r="W41" s="156">
        <f t="shared" si="16"/>
        <v>0</v>
      </c>
      <c r="X41" s="156">
        <f t="shared" si="16"/>
        <v>0</v>
      </c>
      <c r="Y41" s="387">
        <f t="shared" si="16"/>
        <v>0</v>
      </c>
      <c r="Z41" s="104">
        <f t="shared" si="16"/>
        <v>0</v>
      </c>
      <c r="AA41" s="104">
        <f t="shared" si="16"/>
        <v>0</v>
      </c>
      <c r="AB41" s="104">
        <f t="shared" si="16"/>
        <v>0</v>
      </c>
      <c r="AC41" s="385">
        <f t="shared" si="16"/>
        <v>0</v>
      </c>
      <c r="AD41" s="104">
        <f t="shared" si="16"/>
        <v>0</v>
      </c>
      <c r="AE41" s="105">
        <f t="shared" si="16"/>
        <v>0</v>
      </c>
      <c r="AF41" s="280"/>
    </row>
    <row r="42" spans="1:32" s="94" customFormat="1" ht="7.5" customHeight="1">
      <c r="A42" s="259">
        <f t="shared" si="0"/>
        <v>42</v>
      </c>
      <c r="B42" s="96"/>
      <c r="C42" s="50"/>
      <c r="D42" s="50"/>
      <c r="E42" s="53"/>
      <c r="F42" s="53"/>
      <c r="G42" s="51"/>
      <c r="H42" s="95"/>
      <c r="I42" s="107"/>
      <c r="J42" s="107"/>
      <c r="K42" s="107"/>
      <c r="L42" s="107"/>
      <c r="M42" s="107"/>
      <c r="N42" s="107"/>
      <c r="O42" s="107"/>
      <c r="P42" s="107"/>
      <c r="Q42" s="107"/>
      <c r="R42" s="107"/>
      <c r="S42" s="107"/>
      <c r="T42" s="108"/>
      <c r="U42" s="107"/>
      <c r="V42" s="107"/>
      <c r="W42" s="107"/>
      <c r="X42" s="107"/>
      <c r="Y42" s="107"/>
      <c r="Z42" s="107"/>
      <c r="AA42" s="107"/>
      <c r="AB42" s="107"/>
      <c r="AC42" s="107"/>
      <c r="AD42" s="107"/>
      <c r="AE42" s="108"/>
      <c r="AF42" s="280"/>
    </row>
    <row r="43" spans="1:32" s="68" customFormat="1">
      <c r="A43" s="259">
        <f t="shared" si="0"/>
        <v>43</v>
      </c>
      <c r="B43" s="92"/>
      <c r="C43" s="93" t="s">
        <v>31</v>
      </c>
      <c r="D43" s="93"/>
      <c r="E43" s="53"/>
      <c r="F43" s="53"/>
      <c r="G43" s="51"/>
      <c r="H43" s="95"/>
      <c r="I43" s="98"/>
      <c r="J43" s="98"/>
      <c r="K43" s="98"/>
      <c r="L43" s="98"/>
      <c r="M43" s="98"/>
      <c r="N43" s="98"/>
      <c r="O43" s="98"/>
      <c r="P43" s="98"/>
      <c r="Q43" s="98"/>
      <c r="R43" s="98"/>
      <c r="S43" s="98"/>
      <c r="T43" s="99"/>
      <c r="U43" s="98"/>
      <c r="V43" s="98"/>
      <c r="W43" s="98"/>
      <c r="X43" s="98"/>
      <c r="Y43" s="98"/>
      <c r="Z43" s="98"/>
      <c r="AA43" s="98"/>
      <c r="AB43" s="98"/>
      <c r="AC43" s="98"/>
      <c r="AD43" s="98"/>
      <c r="AE43" s="99"/>
      <c r="AF43" s="280"/>
    </row>
    <row r="44" spans="1:32" s="68" customFormat="1">
      <c r="A44" s="259">
        <f t="shared" si="0"/>
        <v>44</v>
      </c>
      <c r="B44" s="96"/>
      <c r="C44" s="50"/>
      <c r="D44" s="97" t="s">
        <v>32</v>
      </c>
      <c r="E44" s="94"/>
      <c r="F44" s="94"/>
      <c r="G44" s="57"/>
      <c r="H44" s="95"/>
      <c r="I44" s="278"/>
      <c r="J44" s="102">
        <f>IF('4.) Yearly Budget'!$K$18&gt;0,'4.) Yearly Budget'!K44,'4.) Yearly Budget'!J44)</f>
        <v>0</v>
      </c>
      <c r="K44" s="385">
        <f>IF(I$18&lt;&gt;0,I44-J44,0)</f>
        <v>0</v>
      </c>
      <c r="L44" s="100"/>
      <c r="M44" s="102">
        <f>IF('4.) Yearly Budget'!$N$18&gt;0,'4.) Yearly Budget'!N44,'4.) Yearly Budget'!M44)</f>
        <v>0</v>
      </c>
      <c r="N44" s="385">
        <f>IF(L$18&lt;&gt;0,L44-M44,0)</f>
        <v>0</v>
      </c>
      <c r="O44" s="100"/>
      <c r="P44" s="102">
        <f>IF('4.) Yearly Budget'!$Q$18&gt;0,'4.) Yearly Budget'!Q44,'4.) Yearly Budget'!P44)</f>
        <v>0</v>
      </c>
      <c r="Q44" s="385">
        <f>IF(O$18&lt;&gt;0,O44-P44,0)</f>
        <v>0</v>
      </c>
      <c r="R44" s="100"/>
      <c r="S44" s="102">
        <f>IF('4.) Yearly Budget'!$T$18&gt;0,'4.) Yearly Budget'!T44,'4.) Yearly Budget'!S44)</f>
        <v>0</v>
      </c>
      <c r="T44" s="105">
        <f>IF(R$18&lt;&gt;0,R44-S44,0)</f>
        <v>0</v>
      </c>
      <c r="U44" s="279">
        <f>IF(I$18&lt;&gt;0,I44,0)+IF(L$18&lt;&gt;0,L44,0)+IF(O$18&lt;&gt;0,O44,0)+IF(R$18&lt;&gt;0,R44,0)</f>
        <v>0</v>
      </c>
      <c r="V44" s="382">
        <f>SUM(IF(I$18&lt;&gt;0,J44,0)+IF(L$18&lt;&gt;0,M44,0)+IF(O$18&lt;&gt;0,P44,0)+IF(R$18&lt;&gt;0,S44,0))</f>
        <v>0</v>
      </c>
      <c r="W44" s="382">
        <f>U44-V44</f>
        <v>0</v>
      </c>
      <c r="X44" s="382">
        <f>'4.) Yearly Budget'!W44</f>
        <v>0</v>
      </c>
      <c r="Y44" s="383">
        <f>IF(U44&lt;&gt;0,U44-X44,IF(U44=0,-X44,0))</f>
        <v>0</v>
      </c>
      <c r="Z44" s="384">
        <f>SUM(IF(I$18&lt;&gt;0,'4.) Yearly Budget'!J44,0)+IF(L$18&lt;&gt;0,'4.) Yearly Budget'!M44,0)+IF(O$18&lt;&gt;0,'4.) Yearly Budget'!P44,0)+IF(R$18&lt;&gt;0,'4.) Yearly Budget'!S44,0))</f>
        <v>0</v>
      </c>
      <c r="AA44" s="384">
        <f>U44-Z44</f>
        <v>0</v>
      </c>
      <c r="AB44" s="384">
        <f>'4.) Yearly Budget'!V44</f>
        <v>0</v>
      </c>
      <c r="AC44" s="385">
        <f>IF(U44&lt;&gt;0,U44-AB44,IF(U44=0,-AB44,0))</f>
        <v>0</v>
      </c>
      <c r="AD44" s="384">
        <f>IF(U$18&lt;&gt;0,'4.) Yearly Budget'!I44/$AM$18,0)</f>
        <v>0</v>
      </c>
      <c r="AE44" s="105">
        <f>U44-AD44</f>
        <v>0</v>
      </c>
      <c r="AF44" s="280"/>
    </row>
    <row r="45" spans="1:32" s="68" customFormat="1">
      <c r="A45" s="259">
        <f t="shared" si="0"/>
        <v>45</v>
      </c>
      <c r="B45" s="96"/>
      <c r="C45" s="50"/>
      <c r="D45" s="97" t="s">
        <v>33</v>
      </c>
      <c r="E45" s="94"/>
      <c r="F45" s="94"/>
      <c r="G45" s="57"/>
      <c r="H45" s="95"/>
      <c r="I45" s="278"/>
      <c r="J45" s="102">
        <f>IF('4.) Yearly Budget'!$K$18&gt;0,'4.) Yearly Budget'!K45,'4.) Yearly Budget'!J45)</f>
        <v>0</v>
      </c>
      <c r="K45" s="385">
        <f>IF(I$18&lt;&gt;0,I45-J45,0)</f>
        <v>0</v>
      </c>
      <c r="L45" s="100"/>
      <c r="M45" s="102">
        <f>IF('4.) Yearly Budget'!$N$18&gt;0,'4.) Yearly Budget'!N45,'4.) Yearly Budget'!M45)</f>
        <v>0</v>
      </c>
      <c r="N45" s="385">
        <f>IF(L$18&lt;&gt;0,L45-M45,0)</f>
        <v>0</v>
      </c>
      <c r="O45" s="100"/>
      <c r="P45" s="102">
        <f>IF('4.) Yearly Budget'!$Q$18&gt;0,'4.) Yearly Budget'!Q45,'4.) Yearly Budget'!P45)</f>
        <v>0</v>
      </c>
      <c r="Q45" s="385">
        <f>IF(O$18&lt;&gt;0,O45-P45,0)</f>
        <v>0</v>
      </c>
      <c r="R45" s="100"/>
      <c r="S45" s="102">
        <f>IF('4.) Yearly Budget'!$T$18&gt;0,'4.) Yearly Budget'!T45,'4.) Yearly Budget'!S45)</f>
        <v>0</v>
      </c>
      <c r="T45" s="105">
        <f>IF(R$18&lt;&gt;0,R45-S45,0)</f>
        <v>0</v>
      </c>
      <c r="U45" s="279">
        <f>IF(I$18&lt;&gt;0,I45,0)+IF(L$18&lt;&gt;0,L45,0)+IF(O$18&lt;&gt;0,O45,0)+IF(R$18&lt;&gt;0,R45,0)</f>
        <v>0</v>
      </c>
      <c r="V45" s="382">
        <f>SUM(IF(I$18&lt;&gt;0,J45,0)+IF(L$18&lt;&gt;0,M45,0)+IF(O$18&lt;&gt;0,P45,0)+IF(R$18&lt;&gt;0,S45,0))</f>
        <v>0</v>
      </c>
      <c r="W45" s="382">
        <f>U45-V45</f>
        <v>0</v>
      </c>
      <c r="X45" s="382">
        <f>'4.) Yearly Budget'!W45</f>
        <v>0</v>
      </c>
      <c r="Y45" s="383">
        <f>IF(U45&lt;&gt;0,U45-X45,IF(U45=0,-X45,0))</f>
        <v>0</v>
      </c>
      <c r="Z45" s="384">
        <f>SUM(IF(I$18&lt;&gt;0,'4.) Yearly Budget'!J45,0)+IF(L$18&lt;&gt;0,'4.) Yearly Budget'!M45,0)+IF(O$18&lt;&gt;0,'4.) Yearly Budget'!P45,0)+IF(R$18&lt;&gt;0,'4.) Yearly Budget'!S45,0))</f>
        <v>0</v>
      </c>
      <c r="AA45" s="384">
        <f>U45-Z45</f>
        <v>0</v>
      </c>
      <c r="AB45" s="384">
        <f>'4.) Yearly Budget'!V45</f>
        <v>0</v>
      </c>
      <c r="AC45" s="385">
        <f>IF(U45&lt;&gt;0,U45-AB45,IF(U45=0,-AB45,0))</f>
        <v>0</v>
      </c>
      <c r="AD45" s="384">
        <f>IF(U$18&lt;&gt;0,'4.) Yearly Budget'!I45/$AM$18,0)</f>
        <v>0</v>
      </c>
      <c r="AE45" s="105">
        <f>U45-AD45</f>
        <v>0</v>
      </c>
      <c r="AF45" s="280"/>
    </row>
    <row r="46" spans="1:32" s="68" customFormat="1">
      <c r="A46" s="259">
        <f t="shared" si="0"/>
        <v>46</v>
      </c>
      <c r="B46" s="96"/>
      <c r="C46" s="50"/>
      <c r="D46" s="97" t="s">
        <v>34</v>
      </c>
      <c r="E46" s="94"/>
      <c r="F46" s="94"/>
      <c r="G46" s="57"/>
      <c r="H46" s="95"/>
      <c r="I46" s="278"/>
      <c r="J46" s="102">
        <f>IF('4.) Yearly Budget'!$K$18&gt;0,'4.) Yearly Budget'!K46,'4.) Yearly Budget'!J46)</f>
        <v>0</v>
      </c>
      <c r="K46" s="385">
        <f>IF(I$18&lt;&gt;0,I46-J46,0)</f>
        <v>0</v>
      </c>
      <c r="L46" s="100"/>
      <c r="M46" s="102">
        <f>IF('4.) Yearly Budget'!$N$18&gt;0,'4.) Yearly Budget'!N46,'4.) Yearly Budget'!M46)</f>
        <v>0</v>
      </c>
      <c r="N46" s="385">
        <f>IF(L$18&lt;&gt;0,L46-M46,0)</f>
        <v>0</v>
      </c>
      <c r="O46" s="100"/>
      <c r="P46" s="102">
        <f>IF('4.) Yearly Budget'!$Q$18&gt;0,'4.) Yearly Budget'!Q46,'4.) Yearly Budget'!P46)</f>
        <v>0</v>
      </c>
      <c r="Q46" s="385">
        <f>IF(O$18&lt;&gt;0,O46-P46,0)</f>
        <v>0</v>
      </c>
      <c r="R46" s="100"/>
      <c r="S46" s="102">
        <f>IF('4.) Yearly Budget'!$T$18&gt;0,'4.) Yearly Budget'!T46,'4.) Yearly Budget'!S46)</f>
        <v>0</v>
      </c>
      <c r="T46" s="105">
        <f>IF(R$18&lt;&gt;0,R46-S46,0)</f>
        <v>0</v>
      </c>
      <c r="U46" s="279">
        <f>IF(I$18&lt;&gt;0,I46,0)+IF(L$18&lt;&gt;0,L46,0)+IF(O$18&lt;&gt;0,O46,0)+IF(R$18&lt;&gt;0,R46,0)</f>
        <v>0</v>
      </c>
      <c r="V46" s="382">
        <f>SUM(IF(I$18&lt;&gt;0,J46,0)+IF(L$18&lt;&gt;0,M46,0)+IF(O$18&lt;&gt;0,P46,0)+IF(R$18&lt;&gt;0,S46,0))</f>
        <v>0</v>
      </c>
      <c r="W46" s="382">
        <f>U46-V46</f>
        <v>0</v>
      </c>
      <c r="X46" s="382">
        <f>'4.) Yearly Budget'!W46</f>
        <v>0</v>
      </c>
      <c r="Y46" s="383">
        <f>IF(U46&lt;&gt;0,U46-X46,IF(U46=0,-X46,0))</f>
        <v>0</v>
      </c>
      <c r="Z46" s="384">
        <f>SUM(IF(I$18&lt;&gt;0,'4.) Yearly Budget'!J46,0)+IF(L$18&lt;&gt;0,'4.) Yearly Budget'!M46,0)+IF(O$18&lt;&gt;0,'4.) Yearly Budget'!P46,0)+IF(R$18&lt;&gt;0,'4.) Yearly Budget'!S46,0))</f>
        <v>0</v>
      </c>
      <c r="AA46" s="384">
        <f>U46-Z46</f>
        <v>0</v>
      </c>
      <c r="AB46" s="384">
        <f>'4.) Yearly Budget'!V46</f>
        <v>0</v>
      </c>
      <c r="AC46" s="385">
        <f>IF(U46&lt;&gt;0,U46-AB46,IF(U46=0,-AB46,0))</f>
        <v>0</v>
      </c>
      <c r="AD46" s="384">
        <f>IF(U$18&lt;&gt;0,'4.) Yearly Budget'!I46/$AM$18,0)</f>
        <v>0</v>
      </c>
      <c r="AE46" s="105">
        <f>U46-AD46</f>
        <v>0</v>
      </c>
      <c r="AF46" s="280"/>
    </row>
    <row r="47" spans="1:32" s="68" customFormat="1">
      <c r="A47" s="259">
        <f t="shared" si="0"/>
        <v>47</v>
      </c>
      <c r="B47" s="96"/>
      <c r="C47" s="50"/>
      <c r="D47" s="97" t="s">
        <v>35</v>
      </c>
      <c r="E47" s="94"/>
      <c r="F47" s="94"/>
      <c r="G47" s="57"/>
      <c r="H47" s="95"/>
      <c r="I47" s="278"/>
      <c r="J47" s="102">
        <f>IF('4.) Yearly Budget'!$K$18&gt;0,'4.) Yearly Budget'!K47,'4.) Yearly Budget'!J47)</f>
        <v>0</v>
      </c>
      <c r="K47" s="385">
        <f>IF(I$18&lt;&gt;0,I47-J47,0)</f>
        <v>0</v>
      </c>
      <c r="L47" s="100"/>
      <c r="M47" s="102">
        <f>IF('4.) Yearly Budget'!$N$18&gt;0,'4.) Yearly Budget'!N47,'4.) Yearly Budget'!M47)</f>
        <v>0</v>
      </c>
      <c r="N47" s="385">
        <f>IF(L$18&lt;&gt;0,L47-M47,0)</f>
        <v>0</v>
      </c>
      <c r="O47" s="100"/>
      <c r="P47" s="102">
        <f>IF('4.) Yearly Budget'!$Q$18&gt;0,'4.) Yearly Budget'!Q47,'4.) Yearly Budget'!P47)</f>
        <v>0</v>
      </c>
      <c r="Q47" s="385">
        <f>IF(O$18&lt;&gt;0,O47-P47,0)</f>
        <v>0</v>
      </c>
      <c r="R47" s="100"/>
      <c r="S47" s="102">
        <f>IF('4.) Yearly Budget'!$T$18&gt;0,'4.) Yearly Budget'!T47,'4.) Yearly Budget'!S47)</f>
        <v>0</v>
      </c>
      <c r="T47" s="105">
        <f>IF(R$18&lt;&gt;0,R47-S47,0)</f>
        <v>0</v>
      </c>
      <c r="U47" s="279">
        <f>IF(I$18&lt;&gt;0,I47,0)+IF(L$18&lt;&gt;0,L47,0)+IF(O$18&lt;&gt;0,O47,0)+IF(R$18&lt;&gt;0,R47,0)</f>
        <v>0</v>
      </c>
      <c r="V47" s="382">
        <f>SUM(IF(I$18&lt;&gt;0,J47,0)+IF(L$18&lt;&gt;0,M47,0)+IF(O$18&lt;&gt;0,P47,0)+IF(R$18&lt;&gt;0,S47,0))</f>
        <v>0</v>
      </c>
      <c r="W47" s="382">
        <f>U47-V47</f>
        <v>0</v>
      </c>
      <c r="X47" s="382">
        <f>'4.) Yearly Budget'!W47</f>
        <v>0</v>
      </c>
      <c r="Y47" s="383">
        <f>IF(U47&lt;&gt;0,U47-X47,IF(U47=0,-X47,0))</f>
        <v>0</v>
      </c>
      <c r="Z47" s="384">
        <f>SUM(IF(I$18&lt;&gt;0,'4.) Yearly Budget'!J47,0)+IF(L$18&lt;&gt;0,'4.) Yearly Budget'!M47,0)+IF(O$18&lt;&gt;0,'4.) Yearly Budget'!P47,0)+IF(R$18&lt;&gt;0,'4.) Yearly Budget'!S47,0))</f>
        <v>0</v>
      </c>
      <c r="AA47" s="384">
        <f>U47-Z47</f>
        <v>0</v>
      </c>
      <c r="AB47" s="384">
        <f>'4.) Yearly Budget'!V47</f>
        <v>0</v>
      </c>
      <c r="AC47" s="385">
        <f>IF(U47&lt;&gt;0,U47-AB47,IF(U47=0,-AB47,0))</f>
        <v>0</v>
      </c>
      <c r="AD47" s="384">
        <f>IF(U$18&lt;&gt;0,'4.) Yearly Budget'!I47/$AM$18,0)</f>
        <v>0</v>
      </c>
      <c r="AE47" s="105">
        <f>U47-AD47</f>
        <v>0</v>
      </c>
      <c r="AF47" s="280"/>
    </row>
    <row r="48" spans="1:32" s="68" customFormat="1">
      <c r="A48" s="259">
        <f t="shared" si="0"/>
        <v>48</v>
      </c>
      <c r="B48" s="96"/>
      <c r="C48" s="50"/>
      <c r="D48" s="97" t="s">
        <v>27</v>
      </c>
      <c r="E48" s="94"/>
      <c r="F48" s="94"/>
      <c r="G48" s="57"/>
      <c r="H48" s="95"/>
      <c r="I48" s="104"/>
      <c r="J48" s="104"/>
      <c r="K48" s="104"/>
      <c r="L48" s="104"/>
      <c r="M48" s="104"/>
      <c r="N48" s="104"/>
      <c r="O48" s="104"/>
      <c r="P48" s="104"/>
      <c r="Q48" s="104"/>
      <c r="R48" s="104"/>
      <c r="S48" s="104"/>
      <c r="T48" s="105"/>
      <c r="U48" s="285"/>
      <c r="V48" s="390"/>
      <c r="W48" s="390"/>
      <c r="X48" s="390"/>
      <c r="Y48" s="390"/>
      <c r="Z48" s="390"/>
      <c r="AA48" s="390"/>
      <c r="AB48" s="390"/>
      <c r="AC48" s="104"/>
      <c r="AD48" s="390"/>
      <c r="AE48" s="105"/>
      <c r="AF48" s="280"/>
    </row>
    <row r="49" spans="1:32" s="68" customFormat="1">
      <c r="A49" s="259">
        <f t="shared" si="0"/>
        <v>49</v>
      </c>
      <c r="B49" s="96"/>
      <c r="C49" s="50"/>
      <c r="D49" s="50"/>
      <c r="E49" s="120" t="s">
        <v>36</v>
      </c>
      <c r="F49" s="120"/>
      <c r="G49" s="56"/>
      <c r="H49" s="95"/>
      <c r="I49" s="278"/>
      <c r="J49" s="102">
        <f>IF('4.) Yearly Budget'!$K$18&gt;0,'4.) Yearly Budget'!K49,'4.) Yearly Budget'!J49)</f>
        <v>0</v>
      </c>
      <c r="K49" s="385">
        <f>IF(I$18&lt;&gt;0,I49-J49,0)</f>
        <v>0</v>
      </c>
      <c r="L49" s="100"/>
      <c r="M49" s="102">
        <f>IF('4.) Yearly Budget'!$N$18&gt;0,'4.) Yearly Budget'!N49,'4.) Yearly Budget'!M49)</f>
        <v>0</v>
      </c>
      <c r="N49" s="385">
        <f>IF(L$18&lt;&gt;0,L49-M49,0)</f>
        <v>0</v>
      </c>
      <c r="O49" s="100"/>
      <c r="P49" s="102">
        <f>IF('4.) Yearly Budget'!$Q$18&gt;0,'4.) Yearly Budget'!Q49,'4.) Yearly Budget'!P49)</f>
        <v>0</v>
      </c>
      <c r="Q49" s="385">
        <f>IF(O$18&lt;&gt;0,O49-P49,0)</f>
        <v>0</v>
      </c>
      <c r="R49" s="100"/>
      <c r="S49" s="102">
        <f>IF('4.) Yearly Budget'!$T$18&gt;0,'4.) Yearly Budget'!T49,'4.) Yearly Budget'!S49)</f>
        <v>0</v>
      </c>
      <c r="T49" s="105">
        <f>IF(R$18&lt;&gt;0,R49-S49,0)</f>
        <v>0</v>
      </c>
      <c r="U49" s="279">
        <f>IF(I$18&lt;&gt;0,I49,0)+IF(L$18&lt;&gt;0,L49,0)+IF(O$18&lt;&gt;0,O49,0)+IF(R$18&lt;&gt;0,R49,0)</f>
        <v>0</v>
      </c>
      <c r="V49" s="382">
        <f>SUM(IF(I$18&lt;&gt;0,J49,0)+IF(L$18&lt;&gt;0,M49,0)+IF(O$18&lt;&gt;0,P49,0)+IF(R$18&lt;&gt;0,S49,0))</f>
        <v>0</v>
      </c>
      <c r="W49" s="382">
        <f>U49-V49</f>
        <v>0</v>
      </c>
      <c r="X49" s="382">
        <f>'4.) Yearly Budget'!W49</f>
        <v>0</v>
      </c>
      <c r="Y49" s="383">
        <f>IF(U49&lt;&gt;0,U49-X49,IF(U49=0,-X49,0))</f>
        <v>0</v>
      </c>
      <c r="Z49" s="384">
        <f>SUM(IF(I$18&lt;&gt;0,'4.) Yearly Budget'!J49,0)+IF(L$18&lt;&gt;0,'4.) Yearly Budget'!M49,0)+IF(O$18&lt;&gt;0,'4.) Yearly Budget'!P49,0)+IF(R$18&lt;&gt;0,'4.) Yearly Budget'!S49,0))</f>
        <v>0</v>
      </c>
      <c r="AA49" s="384">
        <f>U49-Z49</f>
        <v>0</v>
      </c>
      <c r="AB49" s="384">
        <f>'4.) Yearly Budget'!V49</f>
        <v>0</v>
      </c>
      <c r="AC49" s="385">
        <f>IF(U49&lt;&gt;0,U49-AB49,IF(U49=0,-AB49,0))</f>
        <v>0</v>
      </c>
      <c r="AD49" s="384">
        <f>IF(U$18&lt;&gt;0,'4.) Yearly Budget'!I49/$AM$18,0)</f>
        <v>0</v>
      </c>
      <c r="AE49" s="105">
        <f>U49-AD49</f>
        <v>0</v>
      </c>
      <c r="AF49" s="280"/>
    </row>
    <row r="50" spans="1:32" s="68" customFormat="1">
      <c r="A50" s="259">
        <f t="shared" si="0"/>
        <v>50</v>
      </c>
      <c r="B50" s="96"/>
      <c r="C50" s="50"/>
      <c r="D50" s="50"/>
      <c r="E50" s="120" t="s">
        <v>29</v>
      </c>
      <c r="F50" s="120"/>
      <c r="G50" s="56"/>
      <c r="H50" s="95"/>
      <c r="I50" s="278"/>
      <c r="J50" s="102">
        <f>IF('4.) Yearly Budget'!$K$18&gt;0,'4.) Yearly Budget'!K50,'4.) Yearly Budget'!J50)</f>
        <v>0</v>
      </c>
      <c r="K50" s="385">
        <f>IF(I$18&lt;&gt;0,I50-J50,0)</f>
        <v>0</v>
      </c>
      <c r="L50" s="100"/>
      <c r="M50" s="102">
        <f>IF('4.) Yearly Budget'!$N$18&gt;0,'4.) Yearly Budget'!N50,'4.) Yearly Budget'!M50)</f>
        <v>0</v>
      </c>
      <c r="N50" s="385">
        <f>IF(L$18&lt;&gt;0,L50-M50,0)</f>
        <v>0</v>
      </c>
      <c r="O50" s="100"/>
      <c r="P50" s="102">
        <f>IF('4.) Yearly Budget'!$Q$18&gt;0,'4.) Yearly Budget'!Q50,'4.) Yearly Budget'!P50)</f>
        <v>0</v>
      </c>
      <c r="Q50" s="385">
        <f>IF(O$18&lt;&gt;0,O50-P50,0)</f>
        <v>0</v>
      </c>
      <c r="R50" s="100"/>
      <c r="S50" s="102">
        <f>IF('4.) Yearly Budget'!$T$18&gt;0,'4.) Yearly Budget'!T50,'4.) Yearly Budget'!S50)</f>
        <v>0</v>
      </c>
      <c r="T50" s="105">
        <f>IF(R$18&lt;&gt;0,R50-S50,0)</f>
        <v>0</v>
      </c>
      <c r="U50" s="279">
        <f>IF(I$18&lt;&gt;0,I50,0)+IF(L$18&lt;&gt;0,L50,0)+IF(O$18&lt;&gt;0,O50,0)+IF(R$18&lt;&gt;0,R50,0)</f>
        <v>0</v>
      </c>
      <c r="V50" s="382">
        <f>SUM(IF(I$18&lt;&gt;0,J50,0)+IF(L$18&lt;&gt;0,M50,0)+IF(O$18&lt;&gt;0,P50,0)+IF(R$18&lt;&gt;0,S50,0))</f>
        <v>0</v>
      </c>
      <c r="W50" s="382">
        <f>U50-V50</f>
        <v>0</v>
      </c>
      <c r="X50" s="382">
        <f>'4.) Yearly Budget'!W50</f>
        <v>0</v>
      </c>
      <c r="Y50" s="383">
        <f>IF(U50&lt;&gt;0,U50-X50,IF(U50=0,-X50,0))</f>
        <v>0</v>
      </c>
      <c r="Z50" s="384">
        <f>SUM(IF(I$18&lt;&gt;0,'4.) Yearly Budget'!J50,0)+IF(L$18&lt;&gt;0,'4.) Yearly Budget'!M50,0)+IF(O$18&lt;&gt;0,'4.) Yearly Budget'!P50,0)+IF(R$18&lt;&gt;0,'4.) Yearly Budget'!S50,0))</f>
        <v>0</v>
      </c>
      <c r="AA50" s="384">
        <f>U50-Z50</f>
        <v>0</v>
      </c>
      <c r="AB50" s="384">
        <f>'4.) Yearly Budget'!V50</f>
        <v>0</v>
      </c>
      <c r="AC50" s="385">
        <f>IF(U50&lt;&gt;0,U50-AB50,IF(U50=0,-AB50,0))</f>
        <v>0</v>
      </c>
      <c r="AD50" s="384">
        <f>IF(U$18&lt;&gt;0,'4.) Yearly Budget'!I50/$AM$18,0)</f>
        <v>0</v>
      </c>
      <c r="AE50" s="105">
        <f>U50-AD50</f>
        <v>0</v>
      </c>
      <c r="AF50" s="280"/>
    </row>
    <row r="51" spans="1:32" s="68" customFormat="1" ht="16.8">
      <c r="A51" s="259">
        <f t="shared" si="0"/>
        <v>51</v>
      </c>
      <c r="B51" s="96"/>
      <c r="C51" s="50"/>
      <c r="D51" s="97" t="s">
        <v>37</v>
      </c>
      <c r="E51" s="94"/>
      <c r="F51" s="94"/>
      <c r="G51" s="57"/>
      <c r="H51" s="95"/>
      <c r="I51" s="286"/>
      <c r="J51" s="573">
        <f>IF('4.) Yearly Budget'!$K$18&gt;0,'4.) Yearly Budget'!K51,'4.) Yearly Budget'!J51)</f>
        <v>0</v>
      </c>
      <c r="K51" s="396">
        <f>IF(I$18&lt;&gt;0,I51-J51,0)</f>
        <v>0</v>
      </c>
      <c r="L51" s="106"/>
      <c r="M51" s="573">
        <f>IF('4.) Yearly Budget'!$N$18&gt;0,'4.) Yearly Budget'!N51,'4.) Yearly Budget'!M51)</f>
        <v>0</v>
      </c>
      <c r="N51" s="396">
        <f>IF(L$18&lt;&gt;0,L51-M51,0)</f>
        <v>0</v>
      </c>
      <c r="O51" s="106"/>
      <c r="P51" s="573">
        <f>IF('4.) Yearly Budget'!$Q$18&gt;0,'4.) Yearly Budget'!Q51,'4.) Yearly Budget'!P51)</f>
        <v>0</v>
      </c>
      <c r="Q51" s="396">
        <f>IF(O$18&lt;&gt;0,O51-P51,0)</f>
        <v>0</v>
      </c>
      <c r="R51" s="106"/>
      <c r="S51" s="573">
        <f>IF('4.) Yearly Budget'!$T$18&gt;0,'4.) Yearly Budget'!T51,'4.) Yearly Budget'!S51)</f>
        <v>0</v>
      </c>
      <c r="T51" s="392">
        <f>IF(R$18&lt;&gt;0,R51-S51,0)</f>
        <v>0</v>
      </c>
      <c r="U51" s="287">
        <f>IF(I$18&lt;&gt;0,I51,0)+IF(L$18&lt;&gt;0,L51,0)+IF(O$18&lt;&gt;0,O51,0)+IF(R$18&lt;&gt;0,R51,0)</f>
        <v>0</v>
      </c>
      <c r="V51" s="393">
        <f>SUM(IF(I$18&lt;&gt;0,J51,0)+IF(L$18&lt;&gt;0,M51,0)+IF(O$18&lt;&gt;0,P51,0)+IF(R$18&lt;&gt;0,S51,0))</f>
        <v>0</v>
      </c>
      <c r="W51" s="393">
        <f>U51-V51</f>
        <v>0</v>
      </c>
      <c r="X51" s="393">
        <f>'4.) Yearly Budget'!W51</f>
        <v>0</v>
      </c>
      <c r="Y51" s="394">
        <f>IF(U51&lt;&gt;0,U51-X51,IF(U51=0,-X51,0))</f>
        <v>0</v>
      </c>
      <c r="Z51" s="395">
        <f>SUM(IF(I$18&lt;&gt;0,'4.) Yearly Budget'!J51,0)+IF(L$18&lt;&gt;0,'4.) Yearly Budget'!M51,0)+IF(O$18&lt;&gt;0,'4.) Yearly Budget'!P51,0)+IF(R$18&lt;&gt;0,'4.) Yearly Budget'!S51,0))</f>
        <v>0</v>
      </c>
      <c r="AA51" s="395">
        <f>U51-Z51</f>
        <v>0</v>
      </c>
      <c r="AB51" s="395">
        <f>'4.) Yearly Budget'!V51</f>
        <v>0</v>
      </c>
      <c r="AC51" s="396">
        <f>IF(U51&lt;&gt;0,U51-AB51,IF(U51=0,-AB51,0))</f>
        <v>0</v>
      </c>
      <c r="AD51" s="395">
        <f>IF(U$18&lt;&gt;0,'4.) Yearly Budget'!I51/$AM$18,0)</f>
        <v>0</v>
      </c>
      <c r="AE51" s="392">
        <f>U51-AD51</f>
        <v>0</v>
      </c>
      <c r="AF51" s="280"/>
    </row>
    <row r="52" spans="1:32" s="68" customFormat="1">
      <c r="A52" s="259">
        <f t="shared" si="0"/>
        <v>52</v>
      </c>
      <c r="B52" s="96"/>
      <c r="C52" s="50" t="s">
        <v>38</v>
      </c>
      <c r="D52" s="97"/>
      <c r="E52" s="94"/>
      <c r="F52" s="94"/>
      <c r="G52" s="57"/>
      <c r="H52" s="95"/>
      <c r="I52" s="283">
        <f t="shared" ref="I52:AE52" si="17">SUM(I44:I51)</f>
        <v>0</v>
      </c>
      <c r="J52" s="283">
        <f t="shared" si="17"/>
        <v>0</v>
      </c>
      <c r="K52" s="397">
        <f t="shared" si="17"/>
        <v>0</v>
      </c>
      <c r="L52" s="102">
        <f t="shared" si="17"/>
        <v>0</v>
      </c>
      <c r="M52" s="158">
        <f t="shared" si="17"/>
        <v>0</v>
      </c>
      <c r="N52" s="397">
        <f t="shared" si="17"/>
        <v>0</v>
      </c>
      <c r="O52" s="102">
        <f t="shared" si="17"/>
        <v>0</v>
      </c>
      <c r="P52" s="158">
        <f t="shared" si="17"/>
        <v>0</v>
      </c>
      <c r="Q52" s="397">
        <f t="shared" si="17"/>
        <v>0</v>
      </c>
      <c r="R52" s="102">
        <f t="shared" si="17"/>
        <v>0</v>
      </c>
      <c r="S52" s="158">
        <f t="shared" si="17"/>
        <v>0</v>
      </c>
      <c r="T52" s="103">
        <f t="shared" si="17"/>
        <v>0</v>
      </c>
      <c r="U52" s="285">
        <f t="shared" si="17"/>
        <v>0</v>
      </c>
      <c r="V52" s="398">
        <f t="shared" si="17"/>
        <v>0</v>
      </c>
      <c r="W52" s="398">
        <f t="shared" si="17"/>
        <v>0</v>
      </c>
      <c r="X52" s="398">
        <f t="shared" si="17"/>
        <v>0</v>
      </c>
      <c r="Y52" s="104">
        <f t="shared" si="17"/>
        <v>0</v>
      </c>
      <c r="Z52" s="399">
        <f t="shared" si="17"/>
        <v>0</v>
      </c>
      <c r="AA52" s="135">
        <f t="shared" si="17"/>
        <v>0</v>
      </c>
      <c r="AB52" s="135">
        <f t="shared" si="17"/>
        <v>0</v>
      </c>
      <c r="AC52" s="397">
        <f t="shared" si="17"/>
        <v>0</v>
      </c>
      <c r="AD52" s="399">
        <f t="shared" si="17"/>
        <v>0</v>
      </c>
      <c r="AE52" s="105">
        <f t="shared" si="17"/>
        <v>0</v>
      </c>
      <c r="AF52" s="280"/>
    </row>
    <row r="53" spans="1:32" s="94" customFormat="1" ht="7.5" customHeight="1">
      <c r="A53" s="259">
        <f t="shared" si="0"/>
        <v>53</v>
      </c>
      <c r="B53" s="96"/>
      <c r="C53" s="50"/>
      <c r="D53" s="50"/>
      <c r="E53" s="53"/>
      <c r="F53" s="53"/>
      <c r="G53" s="51"/>
      <c r="H53" s="95"/>
      <c r="I53" s="107"/>
      <c r="J53" s="107"/>
      <c r="K53" s="107"/>
      <c r="L53" s="107"/>
      <c r="M53" s="107"/>
      <c r="N53" s="107"/>
      <c r="O53" s="107"/>
      <c r="P53" s="107"/>
      <c r="Q53" s="107"/>
      <c r="R53" s="107"/>
      <c r="S53" s="107"/>
      <c r="T53" s="108"/>
      <c r="U53" s="107"/>
      <c r="V53" s="107"/>
      <c r="W53" s="107"/>
      <c r="X53" s="107"/>
      <c r="Y53" s="107"/>
      <c r="Z53" s="107"/>
      <c r="AA53" s="107"/>
      <c r="AB53" s="107"/>
      <c r="AC53" s="107"/>
      <c r="AD53" s="107"/>
      <c r="AE53" s="108"/>
      <c r="AF53" s="280"/>
    </row>
    <row r="54" spans="1:32" s="68" customFormat="1">
      <c r="A54" s="259">
        <f t="shared" si="0"/>
        <v>54</v>
      </c>
      <c r="B54" s="92"/>
      <c r="C54" s="93" t="s">
        <v>39</v>
      </c>
      <c r="D54" s="93"/>
      <c r="E54" s="53"/>
      <c r="F54" s="53"/>
      <c r="G54" s="51"/>
      <c r="H54" s="95"/>
      <c r="I54" s="98"/>
      <c r="J54" s="98"/>
      <c r="K54" s="98"/>
      <c r="L54" s="98"/>
      <c r="M54" s="98"/>
      <c r="N54" s="98"/>
      <c r="O54" s="98"/>
      <c r="P54" s="98"/>
      <c r="Q54" s="98"/>
      <c r="R54" s="98"/>
      <c r="S54" s="98"/>
      <c r="T54" s="99"/>
      <c r="U54" s="98"/>
      <c r="V54" s="98"/>
      <c r="W54" s="98"/>
      <c r="X54" s="98"/>
      <c r="Y54" s="98"/>
      <c r="Z54" s="98"/>
      <c r="AA54" s="98"/>
      <c r="AB54" s="98"/>
      <c r="AC54" s="98"/>
      <c r="AD54" s="98"/>
      <c r="AE54" s="99"/>
      <c r="AF54" s="280"/>
    </row>
    <row r="55" spans="1:32" s="68" customFormat="1">
      <c r="A55" s="259">
        <f t="shared" si="0"/>
        <v>55</v>
      </c>
      <c r="B55" s="96"/>
      <c r="C55" s="50"/>
      <c r="D55" s="97" t="s">
        <v>40</v>
      </c>
      <c r="E55" s="94"/>
      <c r="F55" s="94"/>
      <c r="G55" s="57"/>
      <c r="H55" s="95"/>
      <c r="I55" s="278"/>
      <c r="J55" s="102">
        <f>IF('4.) Yearly Budget'!$K$18&gt;0,'4.) Yearly Budget'!K55,'4.) Yearly Budget'!J55)</f>
        <v>0</v>
      </c>
      <c r="K55" s="385">
        <f t="shared" ref="K55:K62" si="18">IF(I$18&lt;&gt;0,I55-J55,0)</f>
        <v>0</v>
      </c>
      <c r="L55" s="100"/>
      <c r="M55" s="102">
        <f>IF('4.) Yearly Budget'!$N$18&gt;0,'4.) Yearly Budget'!N55,'4.) Yearly Budget'!M55)</f>
        <v>0</v>
      </c>
      <c r="N55" s="385">
        <f t="shared" ref="N55:N62" si="19">IF(L$18&lt;&gt;0,L55-M55,0)</f>
        <v>0</v>
      </c>
      <c r="O55" s="100"/>
      <c r="P55" s="102">
        <f>IF('4.) Yearly Budget'!$Q$18&gt;0,'4.) Yearly Budget'!Q55,'4.) Yearly Budget'!P55)</f>
        <v>0</v>
      </c>
      <c r="Q55" s="385">
        <f t="shared" ref="Q55:Q62" si="20">IF(O$18&lt;&gt;0,O55-P55,0)</f>
        <v>0</v>
      </c>
      <c r="R55" s="100"/>
      <c r="S55" s="102">
        <f>IF('4.) Yearly Budget'!$T$18&gt;0,'4.) Yearly Budget'!T55,'4.) Yearly Budget'!S55)</f>
        <v>0</v>
      </c>
      <c r="T55" s="105">
        <f t="shared" ref="T55:T62" si="21">IF(R$18&lt;&gt;0,R55-S55,0)</f>
        <v>0</v>
      </c>
      <c r="U55" s="279">
        <f t="shared" ref="U55:U62" si="22">IF(I$18&lt;&gt;0,I55,0)+IF(L$18&lt;&gt;0,L55,0)+IF(O$18&lt;&gt;0,O55,0)+IF(R$18&lt;&gt;0,R55,0)</f>
        <v>0</v>
      </c>
      <c r="V55" s="382">
        <f t="shared" ref="V55:V62" si="23">SUM(IF(I$18&lt;&gt;0,J55,0)+IF(L$18&lt;&gt;0,M55,0)+IF(O$18&lt;&gt;0,P55,0)+IF(R$18&lt;&gt;0,S55,0))</f>
        <v>0</v>
      </c>
      <c r="W55" s="382">
        <f t="shared" ref="W55:W62" si="24">U55-V55</f>
        <v>0</v>
      </c>
      <c r="X55" s="382">
        <f>'4.) Yearly Budget'!W55</f>
        <v>0</v>
      </c>
      <c r="Y55" s="383">
        <f t="shared" ref="Y55:Y62" si="25">IF(U55&lt;&gt;0,U55-X55,IF(U55=0,-X55,0))</f>
        <v>0</v>
      </c>
      <c r="Z55" s="384">
        <f>SUM(IF(I$18&lt;&gt;0,'4.) Yearly Budget'!J55,0)+IF(L$18&lt;&gt;0,'4.) Yearly Budget'!M55,0)+IF(O$18&lt;&gt;0,'4.) Yearly Budget'!P55,0)+IF(R$18&lt;&gt;0,'4.) Yearly Budget'!S55,0))</f>
        <v>0</v>
      </c>
      <c r="AA55" s="384">
        <f t="shared" ref="AA55:AA62" si="26">U55-Z55</f>
        <v>0</v>
      </c>
      <c r="AB55" s="384">
        <f>'4.) Yearly Budget'!V55</f>
        <v>0</v>
      </c>
      <c r="AC55" s="385">
        <f t="shared" ref="AC55:AC62" si="27">IF(U55&lt;&gt;0,U55-AB55,IF(U55=0,-AB55,0))</f>
        <v>0</v>
      </c>
      <c r="AD55" s="384">
        <f>IF(U$18&lt;&gt;0,'4.) Yearly Budget'!I55/$AM$18,0)</f>
        <v>0</v>
      </c>
      <c r="AE55" s="105">
        <f t="shared" ref="AE55:AE62" si="28">U55-AD55</f>
        <v>0</v>
      </c>
      <c r="AF55" s="280"/>
    </row>
    <row r="56" spans="1:32" s="68" customFormat="1">
      <c r="A56" s="259">
        <f t="shared" si="0"/>
        <v>56</v>
      </c>
      <c r="B56" s="96"/>
      <c r="C56" s="50"/>
      <c r="D56" s="97" t="s">
        <v>41</v>
      </c>
      <c r="E56" s="94"/>
      <c r="F56" s="94"/>
      <c r="G56" s="57"/>
      <c r="H56" s="95"/>
      <c r="I56" s="278"/>
      <c r="J56" s="102">
        <f>IF('4.) Yearly Budget'!$K$18&gt;0,'4.) Yearly Budget'!K56,'4.) Yearly Budget'!J56)</f>
        <v>0</v>
      </c>
      <c r="K56" s="385">
        <f t="shared" si="18"/>
        <v>0</v>
      </c>
      <c r="L56" s="100"/>
      <c r="M56" s="102">
        <f>IF('4.) Yearly Budget'!$N$18&gt;0,'4.) Yearly Budget'!N56,'4.) Yearly Budget'!M56)</f>
        <v>0</v>
      </c>
      <c r="N56" s="385">
        <f t="shared" si="19"/>
        <v>0</v>
      </c>
      <c r="O56" s="100"/>
      <c r="P56" s="102">
        <f>IF('4.) Yearly Budget'!$Q$18&gt;0,'4.) Yearly Budget'!Q56,'4.) Yearly Budget'!P56)</f>
        <v>0</v>
      </c>
      <c r="Q56" s="385">
        <f t="shared" si="20"/>
        <v>0</v>
      </c>
      <c r="R56" s="100"/>
      <c r="S56" s="102">
        <f>IF('4.) Yearly Budget'!$T$18&gt;0,'4.) Yearly Budget'!T56,'4.) Yearly Budget'!S56)</f>
        <v>0</v>
      </c>
      <c r="T56" s="105">
        <f t="shared" si="21"/>
        <v>0</v>
      </c>
      <c r="U56" s="279">
        <f t="shared" si="22"/>
        <v>0</v>
      </c>
      <c r="V56" s="382">
        <f t="shared" si="23"/>
        <v>0</v>
      </c>
      <c r="W56" s="382">
        <f t="shared" si="24"/>
        <v>0</v>
      </c>
      <c r="X56" s="382">
        <f>'4.) Yearly Budget'!W56</f>
        <v>0</v>
      </c>
      <c r="Y56" s="383">
        <f t="shared" si="25"/>
        <v>0</v>
      </c>
      <c r="Z56" s="384">
        <f>SUM(IF(I$18&lt;&gt;0,'4.) Yearly Budget'!J56,0)+IF(L$18&lt;&gt;0,'4.) Yearly Budget'!M56,0)+IF(O$18&lt;&gt;0,'4.) Yearly Budget'!P56,0)+IF(R$18&lt;&gt;0,'4.) Yearly Budget'!S56,0))</f>
        <v>0</v>
      </c>
      <c r="AA56" s="384">
        <f t="shared" si="26"/>
        <v>0</v>
      </c>
      <c r="AB56" s="384">
        <f>'4.) Yearly Budget'!V56</f>
        <v>0</v>
      </c>
      <c r="AC56" s="385">
        <f t="shared" si="27"/>
        <v>0</v>
      </c>
      <c r="AD56" s="384">
        <f>IF(U$18&lt;&gt;0,'4.) Yearly Budget'!I56/$AM$18,0)</f>
        <v>0</v>
      </c>
      <c r="AE56" s="105">
        <f t="shared" si="28"/>
        <v>0</v>
      </c>
      <c r="AF56" s="280"/>
    </row>
    <row r="57" spans="1:32" s="68" customFormat="1">
      <c r="A57" s="259">
        <f t="shared" si="0"/>
        <v>57</v>
      </c>
      <c r="B57" s="96"/>
      <c r="C57" s="50"/>
      <c r="D57" s="97" t="s">
        <v>42</v>
      </c>
      <c r="E57" s="94"/>
      <c r="F57" s="94"/>
      <c r="G57" s="57"/>
      <c r="H57" s="95"/>
      <c r="I57" s="278"/>
      <c r="J57" s="102">
        <f>IF('4.) Yearly Budget'!$K$18&gt;0,'4.) Yearly Budget'!K57,'4.) Yearly Budget'!J57)</f>
        <v>0</v>
      </c>
      <c r="K57" s="385">
        <f t="shared" si="18"/>
        <v>0</v>
      </c>
      <c r="L57" s="100"/>
      <c r="M57" s="102">
        <f>IF('4.) Yearly Budget'!$N$18&gt;0,'4.) Yearly Budget'!N57,'4.) Yearly Budget'!M57)</f>
        <v>0</v>
      </c>
      <c r="N57" s="385">
        <f t="shared" si="19"/>
        <v>0</v>
      </c>
      <c r="O57" s="100"/>
      <c r="P57" s="102">
        <f>IF('4.) Yearly Budget'!$Q$18&gt;0,'4.) Yearly Budget'!Q57,'4.) Yearly Budget'!P57)</f>
        <v>0</v>
      </c>
      <c r="Q57" s="385">
        <f t="shared" si="20"/>
        <v>0</v>
      </c>
      <c r="R57" s="100"/>
      <c r="S57" s="102">
        <f>IF('4.) Yearly Budget'!$T$18&gt;0,'4.) Yearly Budget'!T57,'4.) Yearly Budget'!S57)</f>
        <v>0</v>
      </c>
      <c r="T57" s="105">
        <f t="shared" si="21"/>
        <v>0</v>
      </c>
      <c r="U57" s="279">
        <f t="shared" si="22"/>
        <v>0</v>
      </c>
      <c r="V57" s="382">
        <f t="shared" si="23"/>
        <v>0</v>
      </c>
      <c r="W57" s="382">
        <f t="shared" si="24"/>
        <v>0</v>
      </c>
      <c r="X57" s="382">
        <f>'4.) Yearly Budget'!W57</f>
        <v>0</v>
      </c>
      <c r="Y57" s="383">
        <f t="shared" si="25"/>
        <v>0</v>
      </c>
      <c r="Z57" s="384">
        <f>SUM(IF(I$18&lt;&gt;0,'4.) Yearly Budget'!J57,0)+IF(L$18&lt;&gt;0,'4.) Yearly Budget'!M57,0)+IF(O$18&lt;&gt;0,'4.) Yearly Budget'!P57,0)+IF(R$18&lt;&gt;0,'4.) Yearly Budget'!S57,0))</f>
        <v>0</v>
      </c>
      <c r="AA57" s="384">
        <f t="shared" si="26"/>
        <v>0</v>
      </c>
      <c r="AB57" s="384">
        <f>'4.) Yearly Budget'!V57</f>
        <v>0</v>
      </c>
      <c r="AC57" s="385">
        <f t="shared" si="27"/>
        <v>0</v>
      </c>
      <c r="AD57" s="384">
        <f>IF(U$18&lt;&gt;0,'4.) Yearly Budget'!I57/$AM$18,0)</f>
        <v>0</v>
      </c>
      <c r="AE57" s="105">
        <f t="shared" si="28"/>
        <v>0</v>
      </c>
      <c r="AF57" s="280"/>
    </row>
    <row r="58" spans="1:32" s="68" customFormat="1">
      <c r="A58" s="259">
        <f t="shared" si="0"/>
        <v>58</v>
      </c>
      <c r="B58" s="96"/>
      <c r="C58" s="50"/>
      <c r="D58" s="97" t="s">
        <v>43</v>
      </c>
      <c r="E58" s="94"/>
      <c r="F58" s="94"/>
      <c r="G58" s="57"/>
      <c r="H58" s="95"/>
      <c r="I58" s="278"/>
      <c r="J58" s="102">
        <f>IF('4.) Yearly Budget'!$K$18&gt;0,'4.) Yearly Budget'!K58,'4.) Yearly Budget'!J58)</f>
        <v>0</v>
      </c>
      <c r="K58" s="385">
        <f t="shared" si="18"/>
        <v>0</v>
      </c>
      <c r="L58" s="100"/>
      <c r="M58" s="102">
        <f>IF('4.) Yearly Budget'!$N$18&gt;0,'4.) Yearly Budget'!N58,'4.) Yearly Budget'!M58)</f>
        <v>0</v>
      </c>
      <c r="N58" s="385">
        <f t="shared" si="19"/>
        <v>0</v>
      </c>
      <c r="O58" s="100"/>
      <c r="P58" s="102">
        <f>IF('4.) Yearly Budget'!$Q$18&gt;0,'4.) Yearly Budget'!Q58,'4.) Yearly Budget'!P58)</f>
        <v>0</v>
      </c>
      <c r="Q58" s="385">
        <f t="shared" si="20"/>
        <v>0</v>
      </c>
      <c r="R58" s="100"/>
      <c r="S58" s="102">
        <f>IF('4.) Yearly Budget'!$T$18&gt;0,'4.) Yearly Budget'!T58,'4.) Yearly Budget'!S58)</f>
        <v>0</v>
      </c>
      <c r="T58" s="105">
        <f t="shared" si="21"/>
        <v>0</v>
      </c>
      <c r="U58" s="279">
        <f t="shared" si="22"/>
        <v>0</v>
      </c>
      <c r="V58" s="382">
        <f t="shared" si="23"/>
        <v>0</v>
      </c>
      <c r="W58" s="382">
        <f t="shared" si="24"/>
        <v>0</v>
      </c>
      <c r="X58" s="382">
        <f>'4.) Yearly Budget'!W58</f>
        <v>0</v>
      </c>
      <c r="Y58" s="383">
        <f t="shared" si="25"/>
        <v>0</v>
      </c>
      <c r="Z58" s="384">
        <f>SUM(IF(I$18&lt;&gt;0,'4.) Yearly Budget'!J58,0)+IF(L$18&lt;&gt;0,'4.) Yearly Budget'!M58,0)+IF(O$18&lt;&gt;0,'4.) Yearly Budget'!P58,0)+IF(R$18&lt;&gt;0,'4.) Yearly Budget'!S58,0))</f>
        <v>0</v>
      </c>
      <c r="AA58" s="384">
        <f t="shared" si="26"/>
        <v>0</v>
      </c>
      <c r="AB58" s="384">
        <f>'4.) Yearly Budget'!V58</f>
        <v>0</v>
      </c>
      <c r="AC58" s="385">
        <f t="shared" si="27"/>
        <v>0</v>
      </c>
      <c r="AD58" s="384">
        <f>IF(U$18&lt;&gt;0,'4.) Yearly Budget'!I58/$AM$18,0)</f>
        <v>0</v>
      </c>
      <c r="AE58" s="105">
        <f t="shared" si="28"/>
        <v>0</v>
      </c>
      <c r="AF58" s="280"/>
    </row>
    <row r="59" spans="1:32" s="68" customFormat="1">
      <c r="A59" s="259">
        <f t="shared" si="0"/>
        <v>59</v>
      </c>
      <c r="B59" s="96"/>
      <c r="C59" s="50"/>
      <c r="D59" s="97" t="s">
        <v>44</v>
      </c>
      <c r="E59" s="94"/>
      <c r="F59" s="94"/>
      <c r="G59" s="57"/>
      <c r="H59" s="95"/>
      <c r="I59" s="278"/>
      <c r="J59" s="102">
        <f>IF('4.) Yearly Budget'!$K$18&gt;0,'4.) Yearly Budget'!K59,'4.) Yearly Budget'!J59)</f>
        <v>0</v>
      </c>
      <c r="K59" s="385">
        <f t="shared" si="18"/>
        <v>0</v>
      </c>
      <c r="L59" s="100"/>
      <c r="M59" s="102">
        <f>IF('4.) Yearly Budget'!$N$18&gt;0,'4.) Yearly Budget'!N59,'4.) Yearly Budget'!M59)</f>
        <v>0</v>
      </c>
      <c r="N59" s="385">
        <f t="shared" si="19"/>
        <v>0</v>
      </c>
      <c r="O59" s="100"/>
      <c r="P59" s="102">
        <f>IF('4.) Yearly Budget'!$Q$18&gt;0,'4.) Yearly Budget'!Q59,'4.) Yearly Budget'!P59)</f>
        <v>0</v>
      </c>
      <c r="Q59" s="385">
        <f t="shared" si="20"/>
        <v>0</v>
      </c>
      <c r="R59" s="100"/>
      <c r="S59" s="102">
        <f>IF('4.) Yearly Budget'!$T$18&gt;0,'4.) Yearly Budget'!T59,'4.) Yearly Budget'!S59)</f>
        <v>0</v>
      </c>
      <c r="T59" s="105">
        <f t="shared" si="21"/>
        <v>0</v>
      </c>
      <c r="U59" s="279">
        <f t="shared" si="22"/>
        <v>0</v>
      </c>
      <c r="V59" s="382">
        <f t="shared" si="23"/>
        <v>0</v>
      </c>
      <c r="W59" s="382">
        <f t="shared" si="24"/>
        <v>0</v>
      </c>
      <c r="X59" s="382">
        <f>'4.) Yearly Budget'!W59</f>
        <v>0</v>
      </c>
      <c r="Y59" s="383">
        <f t="shared" si="25"/>
        <v>0</v>
      </c>
      <c r="Z59" s="384">
        <f>SUM(IF(I$18&lt;&gt;0,'4.) Yearly Budget'!J59,0)+IF(L$18&lt;&gt;0,'4.) Yearly Budget'!M59,0)+IF(O$18&lt;&gt;0,'4.) Yearly Budget'!P59,0)+IF(R$18&lt;&gt;0,'4.) Yearly Budget'!S59,0))</f>
        <v>0</v>
      </c>
      <c r="AA59" s="384">
        <f t="shared" si="26"/>
        <v>0</v>
      </c>
      <c r="AB59" s="384">
        <f>'4.) Yearly Budget'!V59</f>
        <v>0</v>
      </c>
      <c r="AC59" s="385">
        <f t="shared" si="27"/>
        <v>0</v>
      </c>
      <c r="AD59" s="384">
        <f>IF(U$18&lt;&gt;0,'4.) Yearly Budget'!I59/$AM$18,0)</f>
        <v>0</v>
      </c>
      <c r="AE59" s="105">
        <f t="shared" si="28"/>
        <v>0</v>
      </c>
      <c r="AF59" s="280"/>
    </row>
    <row r="60" spans="1:32" s="68" customFormat="1">
      <c r="A60" s="259">
        <f t="shared" si="0"/>
        <v>60</v>
      </c>
      <c r="B60" s="96"/>
      <c r="C60" s="50"/>
      <c r="D60" s="97" t="s">
        <v>45</v>
      </c>
      <c r="E60" s="94"/>
      <c r="F60" s="94"/>
      <c r="G60" s="57"/>
      <c r="H60" s="95"/>
      <c r="I60" s="278"/>
      <c r="J60" s="102">
        <f>IF('4.) Yearly Budget'!$K$18&gt;0,'4.) Yearly Budget'!K60,'4.) Yearly Budget'!J60)</f>
        <v>0</v>
      </c>
      <c r="K60" s="385">
        <f t="shared" si="18"/>
        <v>0</v>
      </c>
      <c r="L60" s="100"/>
      <c r="M60" s="102">
        <f>IF('4.) Yearly Budget'!$N$18&gt;0,'4.) Yearly Budget'!N60,'4.) Yearly Budget'!M60)</f>
        <v>0</v>
      </c>
      <c r="N60" s="385">
        <f t="shared" si="19"/>
        <v>0</v>
      </c>
      <c r="O60" s="100"/>
      <c r="P60" s="102">
        <f>IF('4.) Yearly Budget'!$Q$18&gt;0,'4.) Yearly Budget'!Q60,'4.) Yearly Budget'!P60)</f>
        <v>0</v>
      </c>
      <c r="Q60" s="385">
        <f t="shared" si="20"/>
        <v>0</v>
      </c>
      <c r="R60" s="100"/>
      <c r="S60" s="102">
        <f>IF('4.) Yearly Budget'!$T$18&gt;0,'4.) Yearly Budget'!T60,'4.) Yearly Budget'!S60)</f>
        <v>0</v>
      </c>
      <c r="T60" s="105">
        <f t="shared" si="21"/>
        <v>0</v>
      </c>
      <c r="U60" s="279">
        <f t="shared" si="22"/>
        <v>0</v>
      </c>
      <c r="V60" s="382">
        <f t="shared" si="23"/>
        <v>0</v>
      </c>
      <c r="W60" s="382">
        <f t="shared" si="24"/>
        <v>0</v>
      </c>
      <c r="X60" s="382">
        <f>'4.) Yearly Budget'!W60</f>
        <v>0</v>
      </c>
      <c r="Y60" s="383">
        <f t="shared" si="25"/>
        <v>0</v>
      </c>
      <c r="Z60" s="384">
        <f>SUM(IF(I$18&lt;&gt;0,'4.) Yearly Budget'!J60,0)+IF(L$18&lt;&gt;0,'4.) Yearly Budget'!M60,0)+IF(O$18&lt;&gt;0,'4.) Yearly Budget'!P60,0)+IF(R$18&lt;&gt;0,'4.) Yearly Budget'!S60,0))</f>
        <v>0</v>
      </c>
      <c r="AA60" s="384">
        <f t="shared" si="26"/>
        <v>0</v>
      </c>
      <c r="AB60" s="384">
        <f>'4.) Yearly Budget'!V60</f>
        <v>0</v>
      </c>
      <c r="AC60" s="385">
        <f t="shared" si="27"/>
        <v>0</v>
      </c>
      <c r="AD60" s="384">
        <f>IF(U$18&lt;&gt;0,'4.) Yearly Budget'!I60/$AM$18,0)</f>
        <v>0</v>
      </c>
      <c r="AE60" s="105">
        <f t="shared" si="28"/>
        <v>0</v>
      </c>
      <c r="AF60" s="280"/>
    </row>
    <row r="61" spans="1:32" s="68" customFormat="1">
      <c r="A61" s="259">
        <f t="shared" si="0"/>
        <v>61</v>
      </c>
      <c r="B61" s="96"/>
      <c r="C61" s="50"/>
      <c r="D61" s="97" t="s">
        <v>46</v>
      </c>
      <c r="E61" s="94"/>
      <c r="F61" s="94"/>
      <c r="G61" s="57"/>
      <c r="H61" s="95"/>
      <c r="I61" s="278"/>
      <c r="J61" s="102">
        <f>IF('4.) Yearly Budget'!$K$18&gt;0,'4.) Yearly Budget'!K61,'4.) Yearly Budget'!J61)</f>
        <v>0</v>
      </c>
      <c r="K61" s="385">
        <f t="shared" si="18"/>
        <v>0</v>
      </c>
      <c r="L61" s="100"/>
      <c r="M61" s="102">
        <f>IF('4.) Yearly Budget'!$N$18&gt;0,'4.) Yearly Budget'!N61,'4.) Yearly Budget'!M61)</f>
        <v>0</v>
      </c>
      <c r="N61" s="385">
        <f t="shared" si="19"/>
        <v>0</v>
      </c>
      <c r="O61" s="100"/>
      <c r="P61" s="102">
        <f>IF('4.) Yearly Budget'!$Q$18&gt;0,'4.) Yearly Budget'!Q61,'4.) Yearly Budget'!P61)</f>
        <v>0</v>
      </c>
      <c r="Q61" s="385">
        <f t="shared" si="20"/>
        <v>0</v>
      </c>
      <c r="R61" s="100"/>
      <c r="S61" s="102">
        <f>IF('4.) Yearly Budget'!$T$18&gt;0,'4.) Yearly Budget'!T61,'4.) Yearly Budget'!S61)</f>
        <v>0</v>
      </c>
      <c r="T61" s="105">
        <f t="shared" si="21"/>
        <v>0</v>
      </c>
      <c r="U61" s="279">
        <f t="shared" si="22"/>
        <v>0</v>
      </c>
      <c r="V61" s="382">
        <f t="shared" si="23"/>
        <v>0</v>
      </c>
      <c r="W61" s="382">
        <f t="shared" si="24"/>
        <v>0</v>
      </c>
      <c r="X61" s="382">
        <f>'4.) Yearly Budget'!W61</f>
        <v>0</v>
      </c>
      <c r="Y61" s="383">
        <f t="shared" si="25"/>
        <v>0</v>
      </c>
      <c r="Z61" s="384">
        <f>SUM(IF(I$18&lt;&gt;0,'4.) Yearly Budget'!J61,0)+IF(L$18&lt;&gt;0,'4.) Yearly Budget'!M61,0)+IF(O$18&lt;&gt;0,'4.) Yearly Budget'!P61,0)+IF(R$18&lt;&gt;0,'4.) Yearly Budget'!S61,0))</f>
        <v>0</v>
      </c>
      <c r="AA61" s="384">
        <f t="shared" si="26"/>
        <v>0</v>
      </c>
      <c r="AB61" s="384">
        <f>'4.) Yearly Budget'!V61</f>
        <v>0</v>
      </c>
      <c r="AC61" s="385">
        <f t="shared" si="27"/>
        <v>0</v>
      </c>
      <c r="AD61" s="384">
        <f>IF(U$18&lt;&gt;0,'4.) Yearly Budget'!I61/$AM$18,0)</f>
        <v>0</v>
      </c>
      <c r="AE61" s="105">
        <f t="shared" si="28"/>
        <v>0</v>
      </c>
      <c r="AF61" s="280"/>
    </row>
    <row r="62" spans="1:32" s="68" customFormat="1" ht="16.8">
      <c r="A62" s="259">
        <f t="shared" si="0"/>
        <v>62</v>
      </c>
      <c r="B62" s="96"/>
      <c r="C62" s="50"/>
      <c r="D62" s="97" t="s">
        <v>47</v>
      </c>
      <c r="E62" s="94"/>
      <c r="F62" s="94"/>
      <c r="G62" s="57"/>
      <c r="H62" s="95"/>
      <c r="I62" s="286"/>
      <c r="J62" s="573">
        <f>IF('4.) Yearly Budget'!$K$18&gt;0,'4.) Yearly Budget'!K62,'4.) Yearly Budget'!J62)</f>
        <v>0</v>
      </c>
      <c r="K62" s="396">
        <f t="shared" si="18"/>
        <v>0</v>
      </c>
      <c r="L62" s="106"/>
      <c r="M62" s="573">
        <f>IF('4.) Yearly Budget'!$N$18&gt;0,'4.) Yearly Budget'!N62,'4.) Yearly Budget'!M62)</f>
        <v>0</v>
      </c>
      <c r="N62" s="396">
        <f t="shared" si="19"/>
        <v>0</v>
      </c>
      <c r="O62" s="106"/>
      <c r="P62" s="573">
        <f>IF('4.) Yearly Budget'!$Q$18&gt;0,'4.) Yearly Budget'!Q62,'4.) Yearly Budget'!P62)</f>
        <v>0</v>
      </c>
      <c r="Q62" s="396">
        <f t="shared" si="20"/>
        <v>0</v>
      </c>
      <c r="R62" s="106"/>
      <c r="S62" s="573">
        <f>IF('4.) Yearly Budget'!$T$18&gt;0,'4.) Yearly Budget'!T62,'4.) Yearly Budget'!S62)</f>
        <v>0</v>
      </c>
      <c r="T62" s="392">
        <f t="shared" si="21"/>
        <v>0</v>
      </c>
      <c r="U62" s="287">
        <f t="shared" si="22"/>
        <v>0</v>
      </c>
      <c r="V62" s="393">
        <f t="shared" si="23"/>
        <v>0</v>
      </c>
      <c r="W62" s="393">
        <f t="shared" si="24"/>
        <v>0</v>
      </c>
      <c r="X62" s="393">
        <f>'4.) Yearly Budget'!W62</f>
        <v>0</v>
      </c>
      <c r="Y62" s="394">
        <f t="shared" si="25"/>
        <v>0</v>
      </c>
      <c r="Z62" s="395">
        <f>SUM(IF(I$18&lt;&gt;0,'4.) Yearly Budget'!J62,0)+IF(L$18&lt;&gt;0,'4.) Yearly Budget'!M62,0)+IF(O$18&lt;&gt;0,'4.) Yearly Budget'!P62,0)+IF(R$18&lt;&gt;0,'4.) Yearly Budget'!S62,0))</f>
        <v>0</v>
      </c>
      <c r="AA62" s="395">
        <f t="shared" si="26"/>
        <v>0</v>
      </c>
      <c r="AB62" s="395">
        <f>'4.) Yearly Budget'!V62</f>
        <v>0</v>
      </c>
      <c r="AC62" s="396">
        <f t="shared" si="27"/>
        <v>0</v>
      </c>
      <c r="AD62" s="395">
        <f>IF(U$18&lt;&gt;0,'4.) Yearly Budget'!I62/$AM$18,0)</f>
        <v>0</v>
      </c>
      <c r="AE62" s="392">
        <f t="shared" si="28"/>
        <v>0</v>
      </c>
      <c r="AF62" s="280"/>
    </row>
    <row r="63" spans="1:32" s="68" customFormat="1">
      <c r="A63" s="259">
        <f t="shared" si="0"/>
        <v>63</v>
      </c>
      <c r="B63" s="96"/>
      <c r="C63" s="50" t="s">
        <v>48</v>
      </c>
      <c r="D63" s="97"/>
      <c r="E63" s="94"/>
      <c r="F63" s="94"/>
      <c r="G63" s="57"/>
      <c r="H63" s="95"/>
      <c r="I63" s="283">
        <f t="shared" ref="I63:AE63" si="29">SUM(I55:I62)</f>
        <v>0</v>
      </c>
      <c r="J63" s="158">
        <f t="shared" si="29"/>
        <v>0</v>
      </c>
      <c r="K63" s="397">
        <f t="shared" si="29"/>
        <v>0</v>
      </c>
      <c r="L63" s="102">
        <f t="shared" si="29"/>
        <v>0</v>
      </c>
      <c r="M63" s="158">
        <f t="shared" si="29"/>
        <v>0</v>
      </c>
      <c r="N63" s="397">
        <f t="shared" si="29"/>
        <v>0</v>
      </c>
      <c r="O63" s="102">
        <f t="shared" si="29"/>
        <v>0</v>
      </c>
      <c r="P63" s="158">
        <f t="shared" si="29"/>
        <v>0</v>
      </c>
      <c r="Q63" s="397">
        <f t="shared" si="29"/>
        <v>0</v>
      </c>
      <c r="R63" s="102">
        <f t="shared" si="29"/>
        <v>0</v>
      </c>
      <c r="S63" s="158">
        <f t="shared" si="29"/>
        <v>0</v>
      </c>
      <c r="T63" s="103">
        <f t="shared" si="29"/>
        <v>0</v>
      </c>
      <c r="U63" s="285">
        <f t="shared" si="29"/>
        <v>0</v>
      </c>
      <c r="V63" s="398">
        <f t="shared" si="29"/>
        <v>0</v>
      </c>
      <c r="W63" s="398">
        <f t="shared" si="29"/>
        <v>0</v>
      </c>
      <c r="X63" s="398">
        <f t="shared" si="29"/>
        <v>0</v>
      </c>
      <c r="Y63" s="400">
        <f t="shared" si="29"/>
        <v>0</v>
      </c>
      <c r="Z63" s="104">
        <f t="shared" si="29"/>
        <v>0</v>
      </c>
      <c r="AA63" s="398">
        <f t="shared" si="29"/>
        <v>0</v>
      </c>
      <c r="AB63" s="401">
        <f t="shared" si="29"/>
        <v>0</v>
      </c>
      <c r="AC63" s="385">
        <f t="shared" si="29"/>
        <v>0</v>
      </c>
      <c r="AD63" s="104">
        <f t="shared" si="29"/>
        <v>0</v>
      </c>
      <c r="AE63" s="105">
        <f t="shared" si="29"/>
        <v>0</v>
      </c>
      <c r="AF63" s="280"/>
    </row>
    <row r="64" spans="1:32" s="94" customFormat="1">
      <c r="A64" s="259">
        <f t="shared" si="0"/>
        <v>64</v>
      </c>
      <c r="B64" s="96"/>
      <c r="C64" s="50"/>
      <c r="D64" s="97"/>
      <c r="G64" s="57"/>
      <c r="H64" s="95"/>
      <c r="I64" s="104"/>
      <c r="J64" s="104"/>
      <c r="K64" s="104"/>
      <c r="L64" s="104"/>
      <c r="M64" s="104"/>
      <c r="N64" s="104"/>
      <c r="O64" s="104"/>
      <c r="P64" s="104"/>
      <c r="Q64" s="104"/>
      <c r="R64" s="104"/>
      <c r="S64" s="104"/>
      <c r="T64" s="105"/>
      <c r="U64" s="104"/>
      <c r="V64" s="104"/>
      <c r="W64" s="104"/>
      <c r="X64" s="104"/>
      <c r="Y64" s="104"/>
      <c r="Z64" s="104"/>
      <c r="AA64" s="104"/>
      <c r="AB64" s="104"/>
      <c r="AC64" s="104"/>
      <c r="AD64" s="104"/>
      <c r="AE64" s="105"/>
      <c r="AF64" s="280"/>
    </row>
    <row r="65" spans="1:32" s="68" customFormat="1" ht="17.399999999999999" thickBot="1">
      <c r="A65" s="259">
        <f t="shared" si="0"/>
        <v>65</v>
      </c>
      <c r="B65" s="109" t="s">
        <v>49</v>
      </c>
      <c r="C65" s="110"/>
      <c r="D65" s="110"/>
      <c r="E65" s="111"/>
      <c r="F65" s="127"/>
      <c r="G65" s="112"/>
      <c r="H65" s="136"/>
      <c r="I65" s="288">
        <f t="shared" ref="I65:AE65" si="30">I63+I52+I41</f>
        <v>0</v>
      </c>
      <c r="J65" s="114">
        <f t="shared" si="30"/>
        <v>0</v>
      </c>
      <c r="K65" s="402">
        <f t="shared" si="30"/>
        <v>0</v>
      </c>
      <c r="L65" s="113">
        <f t="shared" si="30"/>
        <v>0</v>
      </c>
      <c r="M65" s="114">
        <f t="shared" si="30"/>
        <v>0</v>
      </c>
      <c r="N65" s="402">
        <f t="shared" si="30"/>
        <v>0</v>
      </c>
      <c r="O65" s="113">
        <f t="shared" si="30"/>
        <v>0</v>
      </c>
      <c r="P65" s="114">
        <f t="shared" si="30"/>
        <v>0</v>
      </c>
      <c r="Q65" s="402">
        <f t="shared" si="30"/>
        <v>0</v>
      </c>
      <c r="R65" s="113">
        <f t="shared" si="30"/>
        <v>0</v>
      </c>
      <c r="S65" s="114">
        <f t="shared" si="30"/>
        <v>0</v>
      </c>
      <c r="T65" s="115">
        <f t="shared" si="30"/>
        <v>0</v>
      </c>
      <c r="U65" s="403">
        <f t="shared" si="30"/>
        <v>0</v>
      </c>
      <c r="V65" s="404">
        <f t="shared" si="30"/>
        <v>0</v>
      </c>
      <c r="W65" s="404">
        <f t="shared" si="30"/>
        <v>0</v>
      </c>
      <c r="X65" s="404">
        <f t="shared" si="30"/>
        <v>0</v>
      </c>
      <c r="Y65" s="405">
        <f t="shared" si="30"/>
        <v>0</v>
      </c>
      <c r="Z65" s="406">
        <f t="shared" si="30"/>
        <v>0</v>
      </c>
      <c r="AA65" s="404">
        <f t="shared" si="30"/>
        <v>0</v>
      </c>
      <c r="AB65" s="404">
        <f t="shared" si="30"/>
        <v>0</v>
      </c>
      <c r="AC65" s="407">
        <f t="shared" si="30"/>
        <v>0</v>
      </c>
      <c r="AD65" s="406">
        <f t="shared" si="30"/>
        <v>0</v>
      </c>
      <c r="AE65" s="408">
        <f t="shared" si="30"/>
        <v>0</v>
      </c>
      <c r="AF65" s="290"/>
    </row>
    <row r="66" spans="1:32" s="94" customFormat="1" ht="7.5" customHeight="1" thickTop="1">
      <c r="A66" s="259">
        <f t="shared" si="0"/>
        <v>66</v>
      </c>
      <c r="B66" s="93"/>
      <c r="C66" s="93"/>
      <c r="D66" s="93"/>
      <c r="G66" s="57"/>
      <c r="H66" s="95"/>
      <c r="I66" s="95"/>
      <c r="J66" s="95"/>
      <c r="K66" s="95"/>
      <c r="L66" s="95"/>
      <c r="M66" s="95"/>
      <c r="N66" s="95"/>
      <c r="O66" s="95"/>
      <c r="P66" s="95"/>
      <c r="Q66" s="95"/>
      <c r="R66" s="95"/>
      <c r="S66" s="95"/>
      <c r="T66" s="95"/>
      <c r="U66" s="828"/>
      <c r="V66" s="292"/>
      <c r="W66" s="292"/>
      <c r="X66" s="292"/>
      <c r="Y66" s="292"/>
      <c r="Z66" s="292"/>
      <c r="AA66" s="292"/>
      <c r="AB66" s="292"/>
      <c r="AC66" s="292"/>
      <c r="AD66" s="292"/>
      <c r="AE66" s="292"/>
      <c r="AF66" s="409"/>
    </row>
    <row r="67" spans="1:32" s="94" customFormat="1" ht="7.5" hidden="1" customHeight="1">
      <c r="A67" s="259">
        <f t="shared" ref="A67:A130" si="31">A66+1</f>
        <v>67</v>
      </c>
      <c r="B67" s="92"/>
      <c r="C67" s="93"/>
      <c r="D67" s="93"/>
      <c r="G67" s="57"/>
      <c r="H67" s="95"/>
      <c r="I67" s="95"/>
      <c r="J67" s="95"/>
      <c r="K67" s="95"/>
      <c r="L67" s="95"/>
      <c r="M67" s="95"/>
      <c r="N67" s="95"/>
      <c r="O67" s="95"/>
      <c r="P67" s="95"/>
      <c r="Q67" s="95"/>
      <c r="R67" s="95"/>
      <c r="S67" s="95"/>
      <c r="T67" s="95"/>
      <c r="U67" s="829"/>
      <c r="V67" s="95"/>
      <c r="W67" s="95"/>
      <c r="X67" s="95"/>
      <c r="Y67" s="95"/>
      <c r="Z67" s="95"/>
      <c r="AA67" s="95"/>
      <c r="AB67" s="95"/>
      <c r="AC67" s="95"/>
      <c r="AD67" s="95"/>
      <c r="AE67" s="118"/>
      <c r="AF67" s="293"/>
    </row>
    <row r="68" spans="1:32" s="68" customFormat="1">
      <c r="A68" s="259">
        <f t="shared" si="31"/>
        <v>68</v>
      </c>
      <c r="B68" s="92" t="s">
        <v>50</v>
      </c>
      <c r="C68" s="93"/>
      <c r="D68" s="93"/>
      <c r="E68" s="94"/>
      <c r="F68" s="94"/>
      <c r="G68" s="57" t="str">
        <f>"Quarter "&amp;COUNTIF('3.) Staffing Plan'!$O$44:$R$44,"&gt;0")</f>
        <v>Quarter 0</v>
      </c>
      <c r="H68" s="95"/>
      <c r="I68" s="95"/>
      <c r="J68" s="95"/>
      <c r="K68" s="95"/>
      <c r="L68" s="95"/>
      <c r="M68" s="95"/>
      <c r="N68" s="95"/>
      <c r="O68" s="95"/>
      <c r="P68" s="95"/>
      <c r="Q68" s="95"/>
      <c r="R68" s="95"/>
      <c r="S68" s="95"/>
      <c r="T68" s="95"/>
      <c r="U68" s="829"/>
      <c r="V68" s="95"/>
      <c r="W68" s="95"/>
      <c r="X68" s="95"/>
      <c r="Y68" s="95"/>
      <c r="Z68" s="95"/>
      <c r="AA68" s="95"/>
      <c r="AB68" s="95"/>
      <c r="AC68" s="95"/>
      <c r="AD68" s="95"/>
      <c r="AE68" s="118"/>
      <c r="AF68" s="293"/>
    </row>
    <row r="69" spans="1:32" s="68" customFormat="1">
      <c r="A69" s="259">
        <f t="shared" si="31"/>
        <v>69</v>
      </c>
      <c r="B69" s="96"/>
      <c r="C69" s="119" t="s">
        <v>76</v>
      </c>
      <c r="D69" s="50"/>
      <c r="E69" s="94"/>
      <c r="F69" s="94"/>
      <c r="G69" s="57" t="s">
        <v>20</v>
      </c>
      <c r="H69" s="95"/>
      <c r="I69"/>
      <c r="J69"/>
      <c r="K69"/>
      <c r="L69"/>
      <c r="M69"/>
      <c r="N69"/>
      <c r="O69"/>
      <c r="P69"/>
      <c r="Q69"/>
      <c r="R69"/>
      <c r="S69" s="98"/>
      <c r="T69" s="98"/>
      <c r="U69" s="830"/>
      <c r="V69" s="95"/>
      <c r="W69" s="95"/>
      <c r="X69" s="95"/>
      <c r="Y69" s="95"/>
      <c r="Z69" s="95"/>
      <c r="AA69" s="95"/>
      <c r="AB69" s="95"/>
      <c r="AC69" s="95"/>
      <c r="AD69" s="95"/>
      <c r="AE69" s="118"/>
      <c r="AF69" s="293"/>
    </row>
    <row r="70" spans="1:32" s="68" customFormat="1">
      <c r="A70" s="259">
        <f t="shared" si="31"/>
        <v>70</v>
      </c>
      <c r="B70" s="96"/>
      <c r="C70" s="94"/>
      <c r="D70" s="54" t="s">
        <v>110</v>
      </c>
      <c r="E70" s="120"/>
      <c r="F70" s="120"/>
      <c r="G70" s="630">
        <f>IFERROR(INDEX('3.) Staffing Plan'!O13:R13,COUNTIF('3.) Staffing Plan'!$O$44:$R$44,"&gt;0")),0)</f>
        <v>0</v>
      </c>
      <c r="H70" s="95"/>
      <c r="I70" s="278"/>
      <c r="J70" s="102">
        <f>IF('4.) Yearly Budget'!$K$18&gt;0,'4.) Yearly Budget'!K70,'4.) Yearly Budget'!J70)</f>
        <v>0</v>
      </c>
      <c r="K70" s="385">
        <f t="shared" ref="K70:K75" si="32">IF(I$18&lt;&gt;0,J70-I70,0)</f>
        <v>0</v>
      </c>
      <c r="L70" s="278"/>
      <c r="M70" s="102">
        <f>IF('4.) Yearly Budget'!$N$18&gt;0,'4.) Yearly Budget'!N70,'4.) Yearly Budget'!M70)</f>
        <v>0</v>
      </c>
      <c r="N70" s="385">
        <f t="shared" ref="N70:N75" si="33">IF(L$18&lt;&gt;0,M70-L70,0)</f>
        <v>0</v>
      </c>
      <c r="O70" s="278"/>
      <c r="P70" s="102">
        <f>IF('4.) Yearly Budget'!$Q$18&gt;0,'4.) Yearly Budget'!Q70,'4.) Yearly Budget'!P70)</f>
        <v>0</v>
      </c>
      <c r="Q70" s="385">
        <f t="shared" ref="Q70:Q75" si="34">IF(O$18&lt;&gt;0,P70-O70,0)</f>
        <v>0</v>
      </c>
      <c r="R70" s="278"/>
      <c r="S70" s="102">
        <f>IF('4.) Yearly Budget'!$T$18&gt;0,'4.) Yearly Budget'!T70,'4.) Yearly Budget'!S70)</f>
        <v>0</v>
      </c>
      <c r="T70" s="105">
        <f t="shared" ref="T70:T75" si="35">IF(R$18&lt;&gt;0,S70-R70,0)</f>
        <v>0</v>
      </c>
      <c r="U70" s="279">
        <f t="shared" ref="U70:U75" si="36">IF(I$18&lt;&gt;0,I70,0)+IF(L$18&lt;&gt;0,L70,0)+IF(O$18&lt;&gt;0,O70,0)+IF(R$18&lt;&gt;0,R70,0)</f>
        <v>0</v>
      </c>
      <c r="V70" s="382">
        <f t="shared" ref="V70:V75" si="37">SUM(IF(I$18&lt;&gt;0,J70,0)+IF(L$18&lt;&gt;0,M70,0)+IF(O$18&lt;&gt;0,P70,0)+IF(R$18&lt;&gt;0,S70,0))</f>
        <v>0</v>
      </c>
      <c r="W70" s="382">
        <f t="shared" ref="W70:W75" si="38">V70-U70</f>
        <v>0</v>
      </c>
      <c r="X70" s="382">
        <f>'4.) Yearly Budget'!W70</f>
        <v>0</v>
      </c>
      <c r="Y70" s="383">
        <f t="shared" ref="Y70:Y75" si="39">IF(U70&lt;&gt;0,X70-U70,IF(U70=0,X70,0))</f>
        <v>0</v>
      </c>
      <c r="Z70" s="384">
        <f>SUM(IF(I$18&lt;&gt;0,'4.) Yearly Budget'!J70,0)+IF(L$18&lt;&gt;0,'4.) Yearly Budget'!M70,0)+IF(O$18&lt;&gt;0,'4.) Yearly Budget'!P70,0)+IF(R$18&lt;&gt;0,'4.) Yearly Budget'!S70,0))</f>
        <v>0</v>
      </c>
      <c r="AA70" s="384">
        <f t="shared" ref="AA70:AA75" si="40">Z70-U70</f>
        <v>0</v>
      </c>
      <c r="AB70" s="384">
        <f>'4.) Yearly Budget'!V70</f>
        <v>0</v>
      </c>
      <c r="AC70" s="385">
        <f t="shared" ref="AC70:AC75" si="41">IF(U70&lt;&gt;0,AB70-U70,IF(U70=0,AB70,0))</f>
        <v>0</v>
      </c>
      <c r="AD70" s="384">
        <f>IF(U$18&lt;&gt;0,'4.) Yearly Budget'!I70/$AM$18,0)</f>
        <v>0</v>
      </c>
      <c r="AE70" s="105">
        <f t="shared" ref="AE70:AE75" si="42">AD70-U70</f>
        <v>0</v>
      </c>
      <c r="AF70" s="293"/>
    </row>
    <row r="71" spans="1:32" s="68" customFormat="1">
      <c r="A71" s="259">
        <f t="shared" si="31"/>
        <v>71</v>
      </c>
      <c r="B71" s="96"/>
      <c r="C71" s="94"/>
      <c r="D71" s="54" t="s">
        <v>111</v>
      </c>
      <c r="E71" s="120"/>
      <c r="F71" s="120"/>
      <c r="G71" s="630">
        <f>IFERROR(INDEX('3.) Staffing Plan'!O14:R14,COUNTIF('3.) Staffing Plan'!$O$44:$R$44,"&gt;0")),0)</f>
        <v>0</v>
      </c>
      <c r="H71" s="95"/>
      <c r="I71" s="278"/>
      <c r="J71" s="102">
        <f>IF('4.) Yearly Budget'!$K$18&gt;0,'4.) Yearly Budget'!K71,'4.) Yearly Budget'!J71)</f>
        <v>0</v>
      </c>
      <c r="K71" s="385">
        <f t="shared" si="32"/>
        <v>0</v>
      </c>
      <c r="L71" s="278"/>
      <c r="M71" s="102">
        <f>IF('4.) Yearly Budget'!$N$18&gt;0,'4.) Yearly Budget'!N71,'4.) Yearly Budget'!M71)</f>
        <v>0</v>
      </c>
      <c r="N71" s="385">
        <f t="shared" si="33"/>
        <v>0</v>
      </c>
      <c r="O71" s="278"/>
      <c r="P71" s="102">
        <f>IF('4.) Yearly Budget'!$Q$18&gt;0,'4.) Yearly Budget'!Q71,'4.) Yearly Budget'!P71)</f>
        <v>0</v>
      </c>
      <c r="Q71" s="385">
        <f t="shared" si="34"/>
        <v>0</v>
      </c>
      <c r="R71" s="278"/>
      <c r="S71" s="102">
        <f>IF('4.) Yearly Budget'!$T$18&gt;0,'4.) Yearly Budget'!T71,'4.) Yearly Budget'!S71)</f>
        <v>0</v>
      </c>
      <c r="T71" s="105">
        <f t="shared" si="35"/>
        <v>0</v>
      </c>
      <c r="U71" s="279">
        <f t="shared" si="36"/>
        <v>0</v>
      </c>
      <c r="V71" s="382">
        <f t="shared" si="37"/>
        <v>0</v>
      </c>
      <c r="W71" s="382">
        <f t="shared" si="38"/>
        <v>0</v>
      </c>
      <c r="X71" s="382">
        <f>'4.) Yearly Budget'!W71</f>
        <v>0</v>
      </c>
      <c r="Y71" s="383">
        <f t="shared" si="39"/>
        <v>0</v>
      </c>
      <c r="Z71" s="384">
        <f>SUM(IF(I$18&lt;&gt;0,'4.) Yearly Budget'!J71,0)+IF(L$18&lt;&gt;0,'4.) Yearly Budget'!M71,0)+IF(O$18&lt;&gt;0,'4.) Yearly Budget'!P71,0)+IF(R$18&lt;&gt;0,'4.) Yearly Budget'!S71,0))</f>
        <v>0</v>
      </c>
      <c r="AA71" s="384">
        <f t="shared" si="40"/>
        <v>0</v>
      </c>
      <c r="AB71" s="384">
        <f>'4.) Yearly Budget'!V71</f>
        <v>0</v>
      </c>
      <c r="AC71" s="385">
        <f t="shared" si="41"/>
        <v>0</v>
      </c>
      <c r="AD71" s="384">
        <f>IF(U$18&lt;&gt;0,'4.) Yearly Budget'!I71/$AM$18,0)</f>
        <v>0</v>
      </c>
      <c r="AE71" s="105">
        <f t="shared" si="42"/>
        <v>0</v>
      </c>
      <c r="AF71" s="293"/>
    </row>
    <row r="72" spans="1:32" s="68" customFormat="1">
      <c r="A72" s="259">
        <f t="shared" si="31"/>
        <v>72</v>
      </c>
      <c r="B72" s="96"/>
      <c r="C72" s="94"/>
      <c r="D72" s="54" t="s">
        <v>112</v>
      </c>
      <c r="E72" s="120"/>
      <c r="F72" s="120"/>
      <c r="G72" s="630">
        <f>IFERROR(INDEX('3.) Staffing Plan'!O15:R15,COUNTIF('3.) Staffing Plan'!$O$44:$R$44,"&gt;0")),0)</f>
        <v>0</v>
      </c>
      <c r="H72" s="95"/>
      <c r="I72" s="278"/>
      <c r="J72" s="102">
        <f>IF('4.) Yearly Budget'!$K$18&gt;0,'4.) Yearly Budget'!K72,'4.) Yearly Budget'!J72)</f>
        <v>0</v>
      </c>
      <c r="K72" s="385">
        <f t="shared" si="32"/>
        <v>0</v>
      </c>
      <c r="L72" s="278"/>
      <c r="M72" s="102">
        <f>IF('4.) Yearly Budget'!$N$18&gt;0,'4.) Yearly Budget'!N72,'4.) Yearly Budget'!M72)</f>
        <v>0</v>
      </c>
      <c r="N72" s="385">
        <f t="shared" si="33"/>
        <v>0</v>
      </c>
      <c r="O72" s="278"/>
      <c r="P72" s="102">
        <f>IF('4.) Yearly Budget'!$Q$18&gt;0,'4.) Yearly Budget'!Q72,'4.) Yearly Budget'!P72)</f>
        <v>0</v>
      </c>
      <c r="Q72" s="385">
        <f t="shared" si="34"/>
        <v>0</v>
      </c>
      <c r="R72" s="278"/>
      <c r="S72" s="102">
        <f>IF('4.) Yearly Budget'!$T$18&gt;0,'4.) Yearly Budget'!T72,'4.) Yearly Budget'!S72)</f>
        <v>0</v>
      </c>
      <c r="T72" s="105">
        <f t="shared" si="35"/>
        <v>0</v>
      </c>
      <c r="U72" s="279">
        <f t="shared" si="36"/>
        <v>0</v>
      </c>
      <c r="V72" s="382">
        <f t="shared" si="37"/>
        <v>0</v>
      </c>
      <c r="W72" s="382">
        <f t="shared" si="38"/>
        <v>0</v>
      </c>
      <c r="X72" s="382">
        <f>'4.) Yearly Budget'!W72</f>
        <v>0</v>
      </c>
      <c r="Y72" s="383">
        <f t="shared" si="39"/>
        <v>0</v>
      </c>
      <c r="Z72" s="384">
        <f>SUM(IF(I$18&lt;&gt;0,'4.) Yearly Budget'!J72,0)+IF(L$18&lt;&gt;0,'4.) Yearly Budget'!M72,0)+IF(O$18&lt;&gt;0,'4.) Yearly Budget'!P72,0)+IF(R$18&lt;&gt;0,'4.) Yearly Budget'!S72,0))</f>
        <v>0</v>
      </c>
      <c r="AA72" s="384">
        <f t="shared" si="40"/>
        <v>0</v>
      </c>
      <c r="AB72" s="384">
        <f>'4.) Yearly Budget'!V72</f>
        <v>0</v>
      </c>
      <c r="AC72" s="385">
        <f t="shared" si="41"/>
        <v>0</v>
      </c>
      <c r="AD72" s="384">
        <f>IF(U$18&lt;&gt;0,'4.) Yearly Budget'!I72/$AM$18,0)</f>
        <v>0</v>
      </c>
      <c r="AE72" s="105">
        <f t="shared" si="42"/>
        <v>0</v>
      </c>
      <c r="AF72" s="293"/>
    </row>
    <row r="73" spans="1:32" s="68" customFormat="1">
      <c r="A73" s="259">
        <f t="shared" si="31"/>
        <v>73</v>
      </c>
      <c r="B73" s="96"/>
      <c r="C73" s="94"/>
      <c r="D73" s="54" t="s">
        <v>98</v>
      </c>
      <c r="E73" s="120"/>
      <c r="F73" s="120"/>
      <c r="G73" s="630">
        <f>IFERROR(INDEX('3.) Staffing Plan'!O16:R16,COUNTIF('3.) Staffing Plan'!$O$44:$R$44,"&gt;0")),0)</f>
        <v>0</v>
      </c>
      <c r="H73" s="95"/>
      <c r="I73" s="278"/>
      <c r="J73" s="102">
        <f>IF('4.) Yearly Budget'!$K$18&gt;0,'4.) Yearly Budget'!K73,'4.) Yearly Budget'!J73)</f>
        <v>0</v>
      </c>
      <c r="K73" s="385">
        <f t="shared" si="32"/>
        <v>0</v>
      </c>
      <c r="L73" s="278"/>
      <c r="M73" s="102">
        <f>IF('4.) Yearly Budget'!$N$18&gt;0,'4.) Yearly Budget'!N73,'4.) Yearly Budget'!M73)</f>
        <v>0</v>
      </c>
      <c r="N73" s="385">
        <f t="shared" si="33"/>
        <v>0</v>
      </c>
      <c r="O73" s="278"/>
      <c r="P73" s="102">
        <f>IF('4.) Yearly Budget'!$Q$18&gt;0,'4.) Yearly Budget'!Q73,'4.) Yearly Budget'!P73)</f>
        <v>0</v>
      </c>
      <c r="Q73" s="385">
        <f t="shared" si="34"/>
        <v>0</v>
      </c>
      <c r="R73" s="278"/>
      <c r="S73" s="102">
        <f>IF('4.) Yearly Budget'!$T$18&gt;0,'4.) Yearly Budget'!T73,'4.) Yearly Budget'!S73)</f>
        <v>0</v>
      </c>
      <c r="T73" s="105">
        <f t="shared" si="35"/>
        <v>0</v>
      </c>
      <c r="U73" s="279">
        <f t="shared" si="36"/>
        <v>0</v>
      </c>
      <c r="V73" s="382">
        <f t="shared" si="37"/>
        <v>0</v>
      </c>
      <c r="W73" s="382">
        <f t="shared" si="38"/>
        <v>0</v>
      </c>
      <c r="X73" s="382">
        <f>'4.) Yearly Budget'!W73</f>
        <v>0</v>
      </c>
      <c r="Y73" s="383">
        <f t="shared" si="39"/>
        <v>0</v>
      </c>
      <c r="Z73" s="384">
        <f>SUM(IF(I$18&lt;&gt;0,'4.) Yearly Budget'!J73,0)+IF(L$18&lt;&gt;0,'4.) Yearly Budget'!M73,0)+IF(O$18&lt;&gt;0,'4.) Yearly Budget'!P73,0)+IF(R$18&lt;&gt;0,'4.) Yearly Budget'!S73,0))</f>
        <v>0</v>
      </c>
      <c r="AA73" s="384">
        <f t="shared" si="40"/>
        <v>0</v>
      </c>
      <c r="AB73" s="384">
        <f>'4.) Yearly Budget'!V73</f>
        <v>0</v>
      </c>
      <c r="AC73" s="385">
        <f t="shared" si="41"/>
        <v>0</v>
      </c>
      <c r="AD73" s="384">
        <f>IF(U$18&lt;&gt;0,'4.) Yearly Budget'!I73/$AM$18,0)</f>
        <v>0</v>
      </c>
      <c r="AE73" s="105">
        <f t="shared" si="42"/>
        <v>0</v>
      </c>
      <c r="AF73" s="293"/>
    </row>
    <row r="74" spans="1:32" s="68" customFormat="1">
      <c r="A74" s="259">
        <f t="shared" si="31"/>
        <v>74</v>
      </c>
      <c r="B74" s="96"/>
      <c r="C74" s="94"/>
      <c r="D74" s="54" t="s">
        <v>99</v>
      </c>
      <c r="E74" s="120"/>
      <c r="F74" s="120"/>
      <c r="G74" s="630">
        <f>IFERROR(INDEX('3.) Staffing Plan'!O17:R17,COUNTIF('3.) Staffing Plan'!$O$44:$R$44,"&gt;0")),0)</f>
        <v>0</v>
      </c>
      <c r="H74" s="95"/>
      <c r="I74" s="278"/>
      <c r="J74" s="102">
        <f>IF('4.) Yearly Budget'!$K$18&gt;0,'4.) Yearly Budget'!K74,'4.) Yearly Budget'!J74)</f>
        <v>0</v>
      </c>
      <c r="K74" s="385">
        <f t="shared" si="32"/>
        <v>0</v>
      </c>
      <c r="L74" s="278"/>
      <c r="M74" s="102">
        <f>IF('4.) Yearly Budget'!$N$18&gt;0,'4.) Yearly Budget'!N74,'4.) Yearly Budget'!M74)</f>
        <v>0</v>
      </c>
      <c r="N74" s="385">
        <f t="shared" si="33"/>
        <v>0</v>
      </c>
      <c r="O74" s="278"/>
      <c r="P74" s="102">
        <f>IF('4.) Yearly Budget'!$Q$18&gt;0,'4.) Yearly Budget'!Q74,'4.) Yearly Budget'!P74)</f>
        <v>0</v>
      </c>
      <c r="Q74" s="385">
        <f t="shared" si="34"/>
        <v>0</v>
      </c>
      <c r="R74" s="278"/>
      <c r="S74" s="102">
        <f>IF('4.) Yearly Budget'!$T$18&gt;0,'4.) Yearly Budget'!T74,'4.) Yearly Budget'!S74)</f>
        <v>0</v>
      </c>
      <c r="T74" s="105">
        <f t="shared" si="35"/>
        <v>0</v>
      </c>
      <c r="U74" s="279">
        <f t="shared" si="36"/>
        <v>0</v>
      </c>
      <c r="V74" s="382">
        <f t="shared" si="37"/>
        <v>0</v>
      </c>
      <c r="W74" s="382">
        <f t="shared" si="38"/>
        <v>0</v>
      </c>
      <c r="X74" s="382">
        <f>'4.) Yearly Budget'!W74</f>
        <v>0</v>
      </c>
      <c r="Y74" s="383">
        <f t="shared" si="39"/>
        <v>0</v>
      </c>
      <c r="Z74" s="384">
        <f>SUM(IF(I$18&lt;&gt;0,'4.) Yearly Budget'!J74,0)+IF(L$18&lt;&gt;0,'4.) Yearly Budget'!M74,0)+IF(O$18&lt;&gt;0,'4.) Yearly Budget'!P74,0)+IF(R$18&lt;&gt;0,'4.) Yearly Budget'!S74,0))</f>
        <v>0</v>
      </c>
      <c r="AA74" s="384">
        <f t="shared" si="40"/>
        <v>0</v>
      </c>
      <c r="AB74" s="384">
        <f>'4.) Yearly Budget'!V74</f>
        <v>0</v>
      </c>
      <c r="AC74" s="385">
        <f t="shared" si="41"/>
        <v>0</v>
      </c>
      <c r="AD74" s="384">
        <f>IF(U$18&lt;&gt;0,'4.) Yearly Budget'!I74/$AM$18,0)</f>
        <v>0</v>
      </c>
      <c r="AE74" s="105">
        <f t="shared" si="42"/>
        <v>0</v>
      </c>
      <c r="AF74" s="293"/>
    </row>
    <row r="75" spans="1:32" s="68" customFormat="1" ht="16.8">
      <c r="A75" s="259">
        <f t="shared" si="31"/>
        <v>75</v>
      </c>
      <c r="B75" s="96"/>
      <c r="C75" s="94"/>
      <c r="D75" s="54" t="s">
        <v>113</v>
      </c>
      <c r="E75" s="120"/>
      <c r="F75" s="120"/>
      <c r="G75" s="633">
        <f>IFERROR(INDEX('3.) Staffing Plan'!O18:R18,COUNTIF('3.) Staffing Plan'!$O$44:$R$44,"&gt;0")),0)</f>
        <v>0</v>
      </c>
      <c r="H75" s="95"/>
      <c r="I75" s="286"/>
      <c r="J75" s="573">
        <f>IF('4.) Yearly Budget'!$K$18&gt;0,'4.) Yearly Budget'!K75,'4.) Yearly Budget'!J75)</f>
        <v>0</v>
      </c>
      <c r="K75" s="396">
        <f t="shared" si="32"/>
        <v>0</v>
      </c>
      <c r="L75" s="286"/>
      <c r="M75" s="573">
        <f>IF('4.) Yearly Budget'!$N$18&gt;0,'4.) Yearly Budget'!N75,'4.) Yearly Budget'!M75)</f>
        <v>0</v>
      </c>
      <c r="N75" s="396">
        <f t="shared" si="33"/>
        <v>0</v>
      </c>
      <c r="O75" s="286"/>
      <c r="P75" s="573">
        <f>IF('4.) Yearly Budget'!$Q$18&gt;0,'4.) Yearly Budget'!Q75,'4.) Yearly Budget'!P75)</f>
        <v>0</v>
      </c>
      <c r="Q75" s="396">
        <f t="shared" si="34"/>
        <v>0</v>
      </c>
      <c r="R75" s="286"/>
      <c r="S75" s="573">
        <f>IF('4.) Yearly Budget'!$T$18&gt;0,'4.) Yearly Budget'!T75,'4.) Yearly Budget'!S75)</f>
        <v>0</v>
      </c>
      <c r="T75" s="392">
        <f t="shared" si="35"/>
        <v>0</v>
      </c>
      <c r="U75" s="287">
        <f t="shared" si="36"/>
        <v>0</v>
      </c>
      <c r="V75" s="393">
        <f t="shared" si="37"/>
        <v>0</v>
      </c>
      <c r="W75" s="393">
        <f t="shared" si="38"/>
        <v>0</v>
      </c>
      <c r="X75" s="393">
        <f>'4.) Yearly Budget'!W75</f>
        <v>0</v>
      </c>
      <c r="Y75" s="394">
        <f t="shared" si="39"/>
        <v>0</v>
      </c>
      <c r="Z75" s="395">
        <f>SUM(IF(I$18&lt;&gt;0,'4.) Yearly Budget'!J75,0)+IF(L$18&lt;&gt;0,'4.) Yearly Budget'!M75,0)+IF(O$18&lt;&gt;0,'4.) Yearly Budget'!P75,0)+IF(R$18&lt;&gt;0,'4.) Yearly Budget'!S75,0))</f>
        <v>0</v>
      </c>
      <c r="AA75" s="395">
        <f t="shared" si="40"/>
        <v>0</v>
      </c>
      <c r="AB75" s="395">
        <f>'4.) Yearly Budget'!V75</f>
        <v>0</v>
      </c>
      <c r="AC75" s="396">
        <f t="shared" si="41"/>
        <v>0</v>
      </c>
      <c r="AD75" s="395">
        <f>IF(U$18&lt;&gt;0,'4.) Yearly Budget'!I75/$AM$18,0)</f>
        <v>0</v>
      </c>
      <c r="AE75" s="392">
        <f t="shared" si="42"/>
        <v>0</v>
      </c>
      <c r="AF75" s="293"/>
    </row>
    <row r="76" spans="1:32" s="68" customFormat="1">
      <c r="A76" s="259">
        <f t="shared" si="31"/>
        <v>76</v>
      </c>
      <c r="B76" s="96"/>
      <c r="C76" s="55" t="s">
        <v>75</v>
      </c>
      <c r="D76" s="94"/>
      <c r="E76" s="120"/>
      <c r="F76" s="120"/>
      <c r="G76" s="630">
        <f>SUM(G70:G75)</f>
        <v>0</v>
      </c>
      <c r="H76" s="95"/>
      <c r="I76" s="668">
        <f t="shared" ref="I76:AE76" si="43">SUM(I70:I75)</f>
        <v>0</v>
      </c>
      <c r="J76" s="52">
        <f t="shared" si="43"/>
        <v>0</v>
      </c>
      <c r="K76" s="410">
        <f t="shared" si="43"/>
        <v>0</v>
      </c>
      <c r="L76" s="52">
        <f t="shared" ref="L76" si="44">SUM(L70:L75)</f>
        <v>0</v>
      </c>
      <c r="M76" s="52">
        <f t="shared" si="43"/>
        <v>0</v>
      </c>
      <c r="N76" s="410">
        <f t="shared" si="43"/>
        <v>0</v>
      </c>
      <c r="O76" s="52">
        <f t="shared" ref="O76" si="45">SUM(O70:O75)</f>
        <v>0</v>
      </c>
      <c r="P76" s="52">
        <f t="shared" si="43"/>
        <v>0</v>
      </c>
      <c r="Q76" s="410">
        <f t="shared" si="43"/>
        <v>0</v>
      </c>
      <c r="R76" s="52">
        <f t="shared" ref="R76" si="46">SUM(R70:R75)</f>
        <v>0</v>
      </c>
      <c r="S76" s="52">
        <f t="shared" si="43"/>
        <v>0</v>
      </c>
      <c r="T76" s="122">
        <f t="shared" si="43"/>
        <v>0</v>
      </c>
      <c r="U76" s="296">
        <f t="shared" si="43"/>
        <v>0</v>
      </c>
      <c r="V76" s="52">
        <f t="shared" si="43"/>
        <v>0</v>
      </c>
      <c r="W76" s="52">
        <f t="shared" si="43"/>
        <v>0</v>
      </c>
      <c r="X76" s="52">
        <f t="shared" si="43"/>
        <v>0</v>
      </c>
      <c r="Y76" s="411">
        <f t="shared" si="43"/>
        <v>0</v>
      </c>
      <c r="Z76" s="121">
        <f t="shared" si="43"/>
        <v>0</v>
      </c>
      <c r="AA76" s="121">
        <f t="shared" si="43"/>
        <v>0</v>
      </c>
      <c r="AB76" s="121">
        <f t="shared" si="43"/>
        <v>0</v>
      </c>
      <c r="AC76" s="410">
        <f t="shared" si="43"/>
        <v>0</v>
      </c>
      <c r="AD76" s="121">
        <f t="shared" si="43"/>
        <v>0</v>
      </c>
      <c r="AE76" s="412">
        <f t="shared" si="43"/>
        <v>0</v>
      </c>
      <c r="AF76" s="293"/>
    </row>
    <row r="77" spans="1:32" s="68" customFormat="1" ht="7.5" customHeight="1">
      <c r="A77" s="259">
        <f t="shared" si="31"/>
        <v>77</v>
      </c>
      <c r="B77" s="96"/>
      <c r="C77" s="94"/>
      <c r="D77" s="120"/>
      <c r="E77" s="120"/>
      <c r="F77" s="120"/>
      <c r="G77" s="634"/>
      <c r="H77" s="95"/>
      <c r="I77" s="95"/>
      <c r="J77" s="95"/>
      <c r="K77" s="95"/>
      <c r="L77" s="95"/>
      <c r="M77" s="95"/>
      <c r="N77" s="95"/>
      <c r="O77" s="95"/>
      <c r="P77" s="95"/>
      <c r="Q77" s="95"/>
      <c r="R77" s="95"/>
      <c r="S77" s="95"/>
      <c r="T77" s="118"/>
      <c r="U77" s="95"/>
      <c r="V77" s="95"/>
      <c r="W77" s="95"/>
      <c r="X77" s="95"/>
      <c r="Y77" s="95"/>
      <c r="Z77" s="95"/>
      <c r="AA77" s="95"/>
      <c r="AB77" s="95"/>
      <c r="AC77" s="95"/>
      <c r="AD77" s="95"/>
      <c r="AE77" s="118"/>
      <c r="AF77" s="293"/>
    </row>
    <row r="78" spans="1:32" s="68" customFormat="1">
      <c r="A78" s="259">
        <f t="shared" si="31"/>
        <v>78</v>
      </c>
      <c r="B78" s="96"/>
      <c r="C78" s="119" t="s">
        <v>77</v>
      </c>
      <c r="D78" s="50"/>
      <c r="E78" s="94"/>
      <c r="F78" s="94"/>
      <c r="G78" s="635"/>
      <c r="H78" s="95"/>
      <c r="I78" s="98"/>
      <c r="J78" s="98"/>
      <c r="K78" s="98"/>
      <c r="L78" s="98"/>
      <c r="M78" s="98"/>
      <c r="N78" s="98"/>
      <c r="O78" s="98"/>
      <c r="P78" s="98"/>
      <c r="Q78" s="98"/>
      <c r="R78" s="98"/>
      <c r="S78" s="98"/>
      <c r="T78" s="99"/>
      <c r="U78" s="95"/>
      <c r="V78" s="95"/>
      <c r="W78" s="95"/>
      <c r="X78" s="95"/>
      <c r="Y78" s="95"/>
      <c r="Z78" s="95"/>
      <c r="AA78" s="95"/>
      <c r="AB78" s="95"/>
      <c r="AC78" s="95"/>
      <c r="AD78" s="95"/>
      <c r="AE78" s="118"/>
      <c r="AF78" s="293"/>
    </row>
    <row r="79" spans="1:32" s="68" customFormat="1">
      <c r="A79" s="259">
        <f t="shared" si="31"/>
        <v>79</v>
      </c>
      <c r="B79" s="96"/>
      <c r="C79" s="94"/>
      <c r="D79" s="54" t="s">
        <v>51</v>
      </c>
      <c r="E79" s="120"/>
      <c r="F79" s="120"/>
      <c r="G79" s="630">
        <f>IFERROR(INDEX('3.) Staffing Plan'!O24:R24,COUNTIF('3.) Staffing Plan'!$O$44:$R$44,"&gt;0")),0)</f>
        <v>0</v>
      </c>
      <c r="H79" s="299"/>
      <c r="I79" s="278"/>
      <c r="J79" s="102">
        <f>IF('4.) Yearly Budget'!$K$18&gt;0,'4.) Yearly Budget'!K79,'4.) Yearly Budget'!J79)</f>
        <v>0</v>
      </c>
      <c r="K79" s="385">
        <f t="shared" ref="K79:K86" si="47">IF(I$18&lt;&gt;0,J79-I79,0)</f>
        <v>0</v>
      </c>
      <c r="L79" s="278"/>
      <c r="M79" s="102">
        <f>IF('4.) Yearly Budget'!$N$18&gt;0,'4.) Yearly Budget'!N79,'4.) Yearly Budget'!M79)</f>
        <v>0</v>
      </c>
      <c r="N79" s="385">
        <f t="shared" ref="N79:N86" si="48">IF(L$18&lt;&gt;0,M79-L79,0)</f>
        <v>0</v>
      </c>
      <c r="O79" s="278"/>
      <c r="P79" s="102">
        <f>IF('4.) Yearly Budget'!$Q$18&gt;0,'4.) Yearly Budget'!Q79,'4.) Yearly Budget'!P79)</f>
        <v>0</v>
      </c>
      <c r="Q79" s="385">
        <f t="shared" ref="Q79:Q86" si="49">IF(O$18&lt;&gt;0,P79-O79,0)</f>
        <v>0</v>
      </c>
      <c r="R79" s="278"/>
      <c r="S79" s="102">
        <f>IF('4.) Yearly Budget'!$T$18&gt;0,'4.) Yearly Budget'!T79,'4.) Yearly Budget'!S79)</f>
        <v>0</v>
      </c>
      <c r="T79" s="105">
        <f t="shared" ref="T79:T86" si="50">IF(R$18&lt;&gt;0,S79-R79,0)</f>
        <v>0</v>
      </c>
      <c r="U79" s="279">
        <f t="shared" ref="U79:U86" si="51">IF(I$18&lt;&gt;0,I79,0)+IF(L$18&lt;&gt;0,L79,0)+IF(O$18&lt;&gt;0,O79,0)+IF(R$18&lt;&gt;0,R79,0)</f>
        <v>0</v>
      </c>
      <c r="V79" s="382">
        <f t="shared" ref="V79:V86" si="52">SUM(IF(I$18&lt;&gt;0,J79,0)+IF(L$18&lt;&gt;0,M79,0)+IF(O$18&lt;&gt;0,P79,0)+IF(R$18&lt;&gt;0,S79,0))</f>
        <v>0</v>
      </c>
      <c r="W79" s="382">
        <f t="shared" ref="W79:W86" si="53">V79-U79</f>
        <v>0</v>
      </c>
      <c r="X79" s="382">
        <f>'4.) Yearly Budget'!W79</f>
        <v>0</v>
      </c>
      <c r="Y79" s="383">
        <f t="shared" ref="Y79:Y86" si="54">IF(U79&lt;&gt;0,X79-U79,IF(U79=0,X79,0))</f>
        <v>0</v>
      </c>
      <c r="Z79" s="384">
        <f>SUM(IF(I$18&lt;&gt;0,'4.) Yearly Budget'!J79,0)+IF(L$18&lt;&gt;0,'4.) Yearly Budget'!M79,0)+IF(O$18&lt;&gt;0,'4.) Yearly Budget'!P79,0)+IF(R$18&lt;&gt;0,'4.) Yearly Budget'!S79,0))</f>
        <v>0</v>
      </c>
      <c r="AA79" s="384">
        <f t="shared" ref="AA79:AA86" si="55">Z79-U79</f>
        <v>0</v>
      </c>
      <c r="AB79" s="384">
        <f>'4.) Yearly Budget'!V79</f>
        <v>0</v>
      </c>
      <c r="AC79" s="385">
        <f t="shared" ref="AC79:AC86" si="56">IF(U79&lt;&gt;0,AB79-U79,IF(U79=0,AB79,0))</f>
        <v>0</v>
      </c>
      <c r="AD79" s="384">
        <f>IF(U$18&lt;&gt;0,'4.) Yearly Budget'!I79/$AM$18,0)</f>
        <v>0</v>
      </c>
      <c r="AE79" s="105">
        <f t="shared" ref="AE79:AE86" si="57">AD79-U79</f>
        <v>0</v>
      </c>
      <c r="AF79" s="293"/>
    </row>
    <row r="80" spans="1:32" s="68" customFormat="1">
      <c r="A80" s="259">
        <f t="shared" si="31"/>
        <v>80</v>
      </c>
      <c r="B80" s="96"/>
      <c r="C80" s="94"/>
      <c r="D80" s="54" t="s">
        <v>52</v>
      </c>
      <c r="E80" s="120"/>
      <c r="F80" s="120"/>
      <c r="G80" s="630">
        <f>IFERROR(INDEX('3.) Staffing Plan'!O25:R25,COUNTIF('3.) Staffing Plan'!$O$44:$R$44,"&gt;0")),0)</f>
        <v>0</v>
      </c>
      <c r="H80" s="299"/>
      <c r="I80" s="278"/>
      <c r="J80" s="102">
        <f>IF('4.) Yearly Budget'!$K$18&gt;0,'4.) Yearly Budget'!K80,'4.) Yearly Budget'!J80)</f>
        <v>0</v>
      </c>
      <c r="K80" s="385">
        <f t="shared" si="47"/>
        <v>0</v>
      </c>
      <c r="L80" s="278"/>
      <c r="M80" s="102">
        <f>IF('4.) Yearly Budget'!$N$18&gt;0,'4.) Yearly Budget'!N80,'4.) Yearly Budget'!M80)</f>
        <v>0</v>
      </c>
      <c r="N80" s="385">
        <f t="shared" si="48"/>
        <v>0</v>
      </c>
      <c r="O80" s="278"/>
      <c r="P80" s="102">
        <f>IF('4.) Yearly Budget'!$Q$18&gt;0,'4.) Yearly Budget'!Q80,'4.) Yearly Budget'!P80)</f>
        <v>0</v>
      </c>
      <c r="Q80" s="385">
        <f t="shared" si="49"/>
        <v>0</v>
      </c>
      <c r="R80" s="278"/>
      <c r="S80" s="102">
        <f>IF('4.) Yearly Budget'!$T$18&gt;0,'4.) Yearly Budget'!T80,'4.) Yearly Budget'!S80)</f>
        <v>0</v>
      </c>
      <c r="T80" s="105">
        <f t="shared" si="50"/>
        <v>0</v>
      </c>
      <c r="U80" s="279">
        <f t="shared" si="51"/>
        <v>0</v>
      </c>
      <c r="V80" s="382">
        <f t="shared" si="52"/>
        <v>0</v>
      </c>
      <c r="W80" s="382">
        <f t="shared" si="53"/>
        <v>0</v>
      </c>
      <c r="X80" s="382">
        <f>'4.) Yearly Budget'!W80</f>
        <v>0</v>
      </c>
      <c r="Y80" s="383">
        <f t="shared" si="54"/>
        <v>0</v>
      </c>
      <c r="Z80" s="384">
        <f>SUM(IF(I$18&lt;&gt;0,'4.) Yearly Budget'!J80,0)+IF(L$18&lt;&gt;0,'4.) Yearly Budget'!M80,0)+IF(O$18&lt;&gt;0,'4.) Yearly Budget'!P80,0)+IF(R$18&lt;&gt;0,'4.) Yearly Budget'!S80,0))</f>
        <v>0</v>
      </c>
      <c r="AA80" s="384">
        <f t="shared" si="55"/>
        <v>0</v>
      </c>
      <c r="AB80" s="384">
        <f>'4.) Yearly Budget'!V80</f>
        <v>0</v>
      </c>
      <c r="AC80" s="385">
        <f t="shared" si="56"/>
        <v>0</v>
      </c>
      <c r="AD80" s="384">
        <f>IF(U$18&lt;&gt;0,'4.) Yearly Budget'!I80/$AM$18,0)</f>
        <v>0</v>
      </c>
      <c r="AE80" s="105">
        <f t="shared" si="57"/>
        <v>0</v>
      </c>
      <c r="AF80" s="293"/>
    </row>
    <row r="81" spans="1:32" s="68" customFormat="1">
      <c r="A81" s="259">
        <f t="shared" si="31"/>
        <v>81</v>
      </c>
      <c r="B81" s="96"/>
      <c r="C81" s="94"/>
      <c r="D81" s="54" t="s">
        <v>10</v>
      </c>
      <c r="E81" s="120"/>
      <c r="F81" s="120"/>
      <c r="G81" s="630">
        <f>IFERROR(INDEX('3.) Staffing Plan'!O26:R26,COUNTIF('3.) Staffing Plan'!$O$44:$R$44,"&gt;0")),0)</f>
        <v>0</v>
      </c>
      <c r="H81" s="299"/>
      <c r="I81" s="278"/>
      <c r="J81" s="102">
        <f>IF('4.) Yearly Budget'!$K$18&gt;0,'4.) Yearly Budget'!K81,'4.) Yearly Budget'!J81)</f>
        <v>0</v>
      </c>
      <c r="K81" s="385">
        <f t="shared" si="47"/>
        <v>0</v>
      </c>
      <c r="L81" s="278"/>
      <c r="M81" s="102">
        <f>IF('4.) Yearly Budget'!$N$18&gt;0,'4.) Yearly Budget'!N81,'4.) Yearly Budget'!M81)</f>
        <v>0</v>
      </c>
      <c r="N81" s="385">
        <f t="shared" si="48"/>
        <v>0</v>
      </c>
      <c r="O81" s="278"/>
      <c r="P81" s="102">
        <f>IF('4.) Yearly Budget'!$Q$18&gt;0,'4.) Yearly Budget'!Q81,'4.) Yearly Budget'!P81)</f>
        <v>0</v>
      </c>
      <c r="Q81" s="385">
        <f t="shared" si="49"/>
        <v>0</v>
      </c>
      <c r="R81" s="278"/>
      <c r="S81" s="102">
        <f>IF('4.) Yearly Budget'!$T$18&gt;0,'4.) Yearly Budget'!T81,'4.) Yearly Budget'!S81)</f>
        <v>0</v>
      </c>
      <c r="T81" s="105">
        <f t="shared" si="50"/>
        <v>0</v>
      </c>
      <c r="U81" s="279">
        <f t="shared" si="51"/>
        <v>0</v>
      </c>
      <c r="V81" s="382">
        <f t="shared" si="52"/>
        <v>0</v>
      </c>
      <c r="W81" s="382">
        <f t="shared" si="53"/>
        <v>0</v>
      </c>
      <c r="X81" s="382">
        <f>'4.) Yearly Budget'!W81</f>
        <v>0</v>
      </c>
      <c r="Y81" s="383">
        <f t="shared" si="54"/>
        <v>0</v>
      </c>
      <c r="Z81" s="384">
        <f>SUM(IF(I$18&lt;&gt;0,'4.) Yearly Budget'!J81,0)+IF(L$18&lt;&gt;0,'4.) Yearly Budget'!M81,0)+IF(O$18&lt;&gt;0,'4.) Yearly Budget'!P81,0)+IF(R$18&lt;&gt;0,'4.) Yearly Budget'!S81,0))</f>
        <v>0</v>
      </c>
      <c r="AA81" s="384">
        <f t="shared" si="55"/>
        <v>0</v>
      </c>
      <c r="AB81" s="384">
        <f>'4.) Yearly Budget'!V81</f>
        <v>0</v>
      </c>
      <c r="AC81" s="385">
        <f t="shared" si="56"/>
        <v>0</v>
      </c>
      <c r="AD81" s="384">
        <f>IF(U$18&lt;&gt;0,'4.) Yearly Budget'!I81/$AM$18,0)</f>
        <v>0</v>
      </c>
      <c r="AE81" s="105">
        <f t="shared" si="57"/>
        <v>0</v>
      </c>
      <c r="AF81" s="293"/>
    </row>
    <row r="82" spans="1:32" s="68" customFormat="1">
      <c r="A82" s="259">
        <f t="shared" si="31"/>
        <v>82</v>
      </c>
      <c r="B82" s="96"/>
      <c r="C82" s="94"/>
      <c r="D82" s="54" t="s">
        <v>11</v>
      </c>
      <c r="E82" s="120"/>
      <c r="F82" s="120"/>
      <c r="G82" s="630">
        <f>IFERROR(INDEX('3.) Staffing Plan'!O27:R27,COUNTIF('3.) Staffing Plan'!$O$44:$R$44,"&gt;0")),0)</f>
        <v>0</v>
      </c>
      <c r="H82" s="299"/>
      <c r="I82" s="278"/>
      <c r="J82" s="102">
        <f>IF('4.) Yearly Budget'!$K$18&gt;0,'4.) Yearly Budget'!K82,'4.) Yearly Budget'!J82)</f>
        <v>0</v>
      </c>
      <c r="K82" s="385">
        <f t="shared" si="47"/>
        <v>0</v>
      </c>
      <c r="L82" s="278"/>
      <c r="M82" s="102">
        <f>IF('4.) Yearly Budget'!$N$18&gt;0,'4.) Yearly Budget'!N82,'4.) Yearly Budget'!M82)</f>
        <v>0</v>
      </c>
      <c r="N82" s="385">
        <f t="shared" si="48"/>
        <v>0</v>
      </c>
      <c r="O82" s="278"/>
      <c r="P82" s="102">
        <f>IF('4.) Yearly Budget'!$Q$18&gt;0,'4.) Yearly Budget'!Q82,'4.) Yearly Budget'!P82)</f>
        <v>0</v>
      </c>
      <c r="Q82" s="385">
        <f t="shared" si="49"/>
        <v>0</v>
      </c>
      <c r="R82" s="278"/>
      <c r="S82" s="102">
        <f>IF('4.) Yearly Budget'!$T$18&gt;0,'4.) Yearly Budget'!T82,'4.) Yearly Budget'!S82)</f>
        <v>0</v>
      </c>
      <c r="T82" s="105">
        <f t="shared" si="50"/>
        <v>0</v>
      </c>
      <c r="U82" s="279">
        <f t="shared" si="51"/>
        <v>0</v>
      </c>
      <c r="V82" s="382">
        <f t="shared" si="52"/>
        <v>0</v>
      </c>
      <c r="W82" s="382">
        <f t="shared" si="53"/>
        <v>0</v>
      </c>
      <c r="X82" s="382">
        <f>'4.) Yearly Budget'!W82</f>
        <v>0</v>
      </c>
      <c r="Y82" s="383">
        <f t="shared" si="54"/>
        <v>0</v>
      </c>
      <c r="Z82" s="384">
        <f>SUM(IF(I$18&lt;&gt;0,'4.) Yearly Budget'!J82,0)+IF(L$18&lt;&gt;0,'4.) Yearly Budget'!M82,0)+IF(O$18&lt;&gt;0,'4.) Yearly Budget'!P82,0)+IF(R$18&lt;&gt;0,'4.) Yearly Budget'!S82,0))</f>
        <v>0</v>
      </c>
      <c r="AA82" s="384">
        <f t="shared" si="55"/>
        <v>0</v>
      </c>
      <c r="AB82" s="384">
        <f>'4.) Yearly Budget'!V82</f>
        <v>0</v>
      </c>
      <c r="AC82" s="385">
        <f t="shared" si="56"/>
        <v>0</v>
      </c>
      <c r="AD82" s="384">
        <f>IF(U$18&lt;&gt;0,'4.) Yearly Budget'!I82/$AM$18,0)</f>
        <v>0</v>
      </c>
      <c r="AE82" s="105">
        <f t="shared" si="57"/>
        <v>0</v>
      </c>
      <c r="AF82" s="293"/>
    </row>
    <row r="83" spans="1:32" s="68" customFormat="1">
      <c r="A83" s="259">
        <f t="shared" si="31"/>
        <v>83</v>
      </c>
      <c r="B83" s="96"/>
      <c r="C83" s="94"/>
      <c r="D83" s="54" t="s">
        <v>12</v>
      </c>
      <c r="E83" s="120"/>
      <c r="F83" s="120"/>
      <c r="G83" s="630">
        <f>IFERROR(INDEX('3.) Staffing Plan'!O28:R28,COUNTIF('3.) Staffing Plan'!$O$44:$R$44,"&gt;0")),0)</f>
        <v>0</v>
      </c>
      <c r="H83" s="299"/>
      <c r="I83" s="278"/>
      <c r="J83" s="102">
        <f>IF('4.) Yearly Budget'!$K$18&gt;0,'4.) Yearly Budget'!K83,'4.) Yearly Budget'!J83)</f>
        <v>0</v>
      </c>
      <c r="K83" s="385">
        <f t="shared" si="47"/>
        <v>0</v>
      </c>
      <c r="L83" s="278"/>
      <c r="M83" s="102">
        <f>IF('4.) Yearly Budget'!$N$18&gt;0,'4.) Yearly Budget'!N83,'4.) Yearly Budget'!M83)</f>
        <v>0</v>
      </c>
      <c r="N83" s="385">
        <f t="shared" si="48"/>
        <v>0</v>
      </c>
      <c r="O83" s="278"/>
      <c r="P83" s="102">
        <f>IF('4.) Yearly Budget'!$Q$18&gt;0,'4.) Yearly Budget'!Q83,'4.) Yearly Budget'!P83)</f>
        <v>0</v>
      </c>
      <c r="Q83" s="385">
        <f t="shared" si="49"/>
        <v>0</v>
      </c>
      <c r="R83" s="278"/>
      <c r="S83" s="102">
        <f>IF('4.) Yearly Budget'!$T$18&gt;0,'4.) Yearly Budget'!T83,'4.) Yearly Budget'!S83)</f>
        <v>0</v>
      </c>
      <c r="T83" s="105">
        <f t="shared" si="50"/>
        <v>0</v>
      </c>
      <c r="U83" s="279">
        <f t="shared" si="51"/>
        <v>0</v>
      </c>
      <c r="V83" s="382">
        <f t="shared" si="52"/>
        <v>0</v>
      </c>
      <c r="W83" s="382">
        <f t="shared" si="53"/>
        <v>0</v>
      </c>
      <c r="X83" s="382">
        <f>'4.) Yearly Budget'!W83</f>
        <v>0</v>
      </c>
      <c r="Y83" s="383">
        <f t="shared" si="54"/>
        <v>0</v>
      </c>
      <c r="Z83" s="384">
        <f>SUM(IF(I$18&lt;&gt;0,'4.) Yearly Budget'!J83,0)+IF(L$18&lt;&gt;0,'4.) Yearly Budget'!M83,0)+IF(O$18&lt;&gt;0,'4.) Yearly Budget'!P83,0)+IF(R$18&lt;&gt;0,'4.) Yearly Budget'!S83,0))</f>
        <v>0</v>
      </c>
      <c r="AA83" s="384">
        <f t="shared" si="55"/>
        <v>0</v>
      </c>
      <c r="AB83" s="384">
        <f>'4.) Yearly Budget'!V83</f>
        <v>0</v>
      </c>
      <c r="AC83" s="385">
        <f t="shared" si="56"/>
        <v>0</v>
      </c>
      <c r="AD83" s="384">
        <f>IF(U$18&lt;&gt;0,'4.) Yearly Budget'!I83/$AM$18,0)</f>
        <v>0</v>
      </c>
      <c r="AE83" s="105">
        <f t="shared" si="57"/>
        <v>0</v>
      </c>
      <c r="AF83" s="293"/>
    </row>
    <row r="84" spans="1:32" s="68" customFormat="1">
      <c r="A84" s="259">
        <f t="shared" si="31"/>
        <v>84</v>
      </c>
      <c r="B84" s="96"/>
      <c r="C84" s="94"/>
      <c r="D84" s="54" t="s">
        <v>13</v>
      </c>
      <c r="E84" s="120"/>
      <c r="F84" s="120"/>
      <c r="G84" s="630">
        <f>IFERROR(INDEX('3.) Staffing Plan'!O29:R29,COUNTIF('3.) Staffing Plan'!$O$44:$R$44,"&gt;0")),0)</f>
        <v>0</v>
      </c>
      <c r="H84" s="299"/>
      <c r="I84" s="278"/>
      <c r="J84" s="102">
        <f>IF('4.) Yearly Budget'!$K$18&gt;0,'4.) Yearly Budget'!K84,'4.) Yearly Budget'!J84)</f>
        <v>0</v>
      </c>
      <c r="K84" s="385">
        <f t="shared" si="47"/>
        <v>0</v>
      </c>
      <c r="L84" s="278"/>
      <c r="M84" s="102">
        <f>IF('4.) Yearly Budget'!$N$18&gt;0,'4.) Yearly Budget'!N84,'4.) Yearly Budget'!M84)</f>
        <v>0</v>
      </c>
      <c r="N84" s="385">
        <f t="shared" si="48"/>
        <v>0</v>
      </c>
      <c r="O84" s="278"/>
      <c r="P84" s="102">
        <f>IF('4.) Yearly Budget'!$Q$18&gt;0,'4.) Yearly Budget'!Q84,'4.) Yearly Budget'!P84)</f>
        <v>0</v>
      </c>
      <c r="Q84" s="385">
        <f t="shared" si="49"/>
        <v>0</v>
      </c>
      <c r="R84" s="278"/>
      <c r="S84" s="102">
        <f>IF('4.) Yearly Budget'!$T$18&gt;0,'4.) Yearly Budget'!T84,'4.) Yearly Budget'!S84)</f>
        <v>0</v>
      </c>
      <c r="T84" s="105">
        <f t="shared" si="50"/>
        <v>0</v>
      </c>
      <c r="U84" s="279">
        <f t="shared" si="51"/>
        <v>0</v>
      </c>
      <c r="V84" s="382">
        <f t="shared" si="52"/>
        <v>0</v>
      </c>
      <c r="W84" s="382">
        <f t="shared" si="53"/>
        <v>0</v>
      </c>
      <c r="X84" s="382">
        <f>'4.) Yearly Budget'!W84</f>
        <v>0</v>
      </c>
      <c r="Y84" s="383">
        <f t="shared" si="54"/>
        <v>0</v>
      </c>
      <c r="Z84" s="384">
        <f>SUM(IF(I$18&lt;&gt;0,'4.) Yearly Budget'!J84,0)+IF(L$18&lt;&gt;0,'4.) Yearly Budget'!M84,0)+IF(O$18&lt;&gt;0,'4.) Yearly Budget'!P84,0)+IF(R$18&lt;&gt;0,'4.) Yearly Budget'!S84,0))</f>
        <v>0</v>
      </c>
      <c r="AA84" s="384">
        <f t="shared" si="55"/>
        <v>0</v>
      </c>
      <c r="AB84" s="384">
        <f>'4.) Yearly Budget'!V84</f>
        <v>0</v>
      </c>
      <c r="AC84" s="385">
        <f t="shared" si="56"/>
        <v>0</v>
      </c>
      <c r="AD84" s="384">
        <f>IF(U$18&lt;&gt;0,'4.) Yearly Budget'!I84/$AM$18,0)</f>
        <v>0</v>
      </c>
      <c r="AE84" s="105">
        <f t="shared" si="57"/>
        <v>0</v>
      </c>
      <c r="AF84" s="293"/>
    </row>
    <row r="85" spans="1:32" s="68" customFormat="1">
      <c r="A85" s="259">
        <f t="shared" si="31"/>
        <v>85</v>
      </c>
      <c r="B85" s="96"/>
      <c r="C85" s="94"/>
      <c r="D85" s="54" t="s">
        <v>73</v>
      </c>
      <c r="E85" s="120"/>
      <c r="F85" s="120"/>
      <c r="G85" s="630">
        <f>IFERROR(INDEX('3.) Staffing Plan'!O30:R30,COUNTIF('3.) Staffing Plan'!$O$44:$R$44,"&gt;0")),0)</f>
        <v>0</v>
      </c>
      <c r="H85" s="299"/>
      <c r="I85" s="278"/>
      <c r="J85" s="102">
        <f>IF('4.) Yearly Budget'!$K$18&gt;0,'4.) Yearly Budget'!K85,'4.) Yearly Budget'!J85)</f>
        <v>0</v>
      </c>
      <c r="K85" s="385">
        <f t="shared" si="47"/>
        <v>0</v>
      </c>
      <c r="L85" s="278"/>
      <c r="M85" s="102">
        <f>IF('4.) Yearly Budget'!$N$18&gt;0,'4.) Yearly Budget'!N85,'4.) Yearly Budget'!M85)</f>
        <v>0</v>
      </c>
      <c r="N85" s="385">
        <f t="shared" si="48"/>
        <v>0</v>
      </c>
      <c r="O85" s="278"/>
      <c r="P85" s="102">
        <f>IF('4.) Yearly Budget'!$Q$18&gt;0,'4.) Yearly Budget'!Q85,'4.) Yearly Budget'!P85)</f>
        <v>0</v>
      </c>
      <c r="Q85" s="385">
        <f t="shared" si="49"/>
        <v>0</v>
      </c>
      <c r="R85" s="278"/>
      <c r="S85" s="102">
        <f>IF('4.) Yearly Budget'!$T$18&gt;0,'4.) Yearly Budget'!T85,'4.) Yearly Budget'!S85)</f>
        <v>0</v>
      </c>
      <c r="T85" s="105">
        <f t="shared" si="50"/>
        <v>0</v>
      </c>
      <c r="U85" s="279">
        <f t="shared" si="51"/>
        <v>0</v>
      </c>
      <c r="V85" s="382">
        <f t="shared" si="52"/>
        <v>0</v>
      </c>
      <c r="W85" s="382">
        <f t="shared" si="53"/>
        <v>0</v>
      </c>
      <c r="X85" s="382">
        <f>'4.) Yearly Budget'!W85</f>
        <v>0</v>
      </c>
      <c r="Y85" s="383">
        <f t="shared" si="54"/>
        <v>0</v>
      </c>
      <c r="Z85" s="384">
        <f>SUM(IF(I$18&lt;&gt;0,'4.) Yearly Budget'!J85,0)+IF(L$18&lt;&gt;0,'4.) Yearly Budget'!M85,0)+IF(O$18&lt;&gt;0,'4.) Yearly Budget'!P85,0)+IF(R$18&lt;&gt;0,'4.) Yearly Budget'!S85,0))</f>
        <v>0</v>
      </c>
      <c r="AA85" s="384">
        <f t="shared" si="55"/>
        <v>0</v>
      </c>
      <c r="AB85" s="384">
        <f>'4.) Yearly Budget'!V85</f>
        <v>0</v>
      </c>
      <c r="AC85" s="385">
        <f t="shared" si="56"/>
        <v>0</v>
      </c>
      <c r="AD85" s="384">
        <f>IF(U$18&lt;&gt;0,'4.) Yearly Budget'!I85/$AM$18,0)</f>
        <v>0</v>
      </c>
      <c r="AE85" s="105">
        <f t="shared" si="57"/>
        <v>0</v>
      </c>
      <c r="AF85" s="293"/>
    </row>
    <row r="86" spans="1:32" s="68" customFormat="1" ht="16.8">
      <c r="A86" s="259">
        <f t="shared" si="31"/>
        <v>86</v>
      </c>
      <c r="B86" s="96"/>
      <c r="C86" s="94"/>
      <c r="D86" s="58" t="s">
        <v>29</v>
      </c>
      <c r="E86" s="120"/>
      <c r="F86" s="120"/>
      <c r="G86" s="633">
        <f>IFERROR(INDEX('3.) Staffing Plan'!O31:R31,COUNTIF('3.) Staffing Plan'!$O$44:$R$44,"&gt;0")),0)</f>
        <v>0</v>
      </c>
      <c r="H86" s="299"/>
      <c r="I86" s="286"/>
      <c r="J86" s="573">
        <f>IF('4.) Yearly Budget'!$K$18&gt;0,'4.) Yearly Budget'!K86,'4.) Yearly Budget'!J86)</f>
        <v>0</v>
      </c>
      <c r="K86" s="396">
        <f t="shared" si="47"/>
        <v>0</v>
      </c>
      <c r="L86" s="286"/>
      <c r="M86" s="573">
        <f>IF('4.) Yearly Budget'!$N$18&gt;0,'4.) Yearly Budget'!N86,'4.) Yearly Budget'!M86)</f>
        <v>0</v>
      </c>
      <c r="N86" s="396">
        <f t="shared" si="48"/>
        <v>0</v>
      </c>
      <c r="O86" s="286"/>
      <c r="P86" s="573">
        <f>IF('4.) Yearly Budget'!$Q$18&gt;0,'4.) Yearly Budget'!Q86,'4.) Yearly Budget'!P86)</f>
        <v>0</v>
      </c>
      <c r="Q86" s="396">
        <f t="shared" si="49"/>
        <v>0</v>
      </c>
      <c r="R86" s="286"/>
      <c r="S86" s="573">
        <f>IF('4.) Yearly Budget'!$T$18&gt;0,'4.) Yearly Budget'!T86,'4.) Yearly Budget'!S86)</f>
        <v>0</v>
      </c>
      <c r="T86" s="392">
        <f t="shared" si="50"/>
        <v>0</v>
      </c>
      <c r="U86" s="287">
        <f t="shared" si="51"/>
        <v>0</v>
      </c>
      <c r="V86" s="393">
        <f t="shared" si="52"/>
        <v>0</v>
      </c>
      <c r="W86" s="393">
        <f t="shared" si="53"/>
        <v>0</v>
      </c>
      <c r="X86" s="393">
        <f>'4.) Yearly Budget'!W86</f>
        <v>0</v>
      </c>
      <c r="Y86" s="394">
        <f t="shared" si="54"/>
        <v>0</v>
      </c>
      <c r="Z86" s="395">
        <f>SUM(IF(I$18&lt;&gt;0,'4.) Yearly Budget'!J86,0)+IF(L$18&lt;&gt;0,'4.) Yearly Budget'!M86,0)+IF(O$18&lt;&gt;0,'4.) Yearly Budget'!P86,0)+IF(R$18&lt;&gt;0,'4.) Yearly Budget'!S86,0))</f>
        <v>0</v>
      </c>
      <c r="AA86" s="395">
        <f t="shared" si="55"/>
        <v>0</v>
      </c>
      <c r="AB86" s="395">
        <f>'4.) Yearly Budget'!V86</f>
        <v>0</v>
      </c>
      <c r="AC86" s="396">
        <f t="shared" si="56"/>
        <v>0</v>
      </c>
      <c r="AD86" s="395">
        <f>IF(U$18&lt;&gt;0,'4.) Yearly Budget'!I86/$AM$18,0)</f>
        <v>0</v>
      </c>
      <c r="AE86" s="392">
        <f t="shared" si="57"/>
        <v>0</v>
      </c>
      <c r="AF86" s="293"/>
    </row>
    <row r="87" spans="1:32" s="68" customFormat="1">
      <c r="A87" s="259">
        <f t="shared" si="31"/>
        <v>87</v>
      </c>
      <c r="B87" s="96"/>
      <c r="C87" s="55" t="s">
        <v>78</v>
      </c>
      <c r="D87" s="94"/>
      <c r="E87" s="120"/>
      <c r="F87" s="120"/>
      <c r="G87" s="630">
        <f>SUM(G79:G86)</f>
        <v>0</v>
      </c>
      <c r="H87" s="299"/>
      <c r="I87" s="668">
        <f t="shared" ref="I87:AE87" si="58">SUM(I79:I86)</f>
        <v>0</v>
      </c>
      <c r="J87" s="52">
        <f t="shared" si="58"/>
        <v>0</v>
      </c>
      <c r="K87" s="410">
        <f t="shared" si="58"/>
        <v>0</v>
      </c>
      <c r="L87" s="52">
        <f t="shared" ref="L87" si="59">SUM(L79:L86)</f>
        <v>0</v>
      </c>
      <c r="M87" s="52">
        <f t="shared" si="58"/>
        <v>0</v>
      </c>
      <c r="N87" s="410">
        <f t="shared" si="58"/>
        <v>0</v>
      </c>
      <c r="O87" s="52">
        <f t="shared" ref="O87" si="60">SUM(O79:O86)</f>
        <v>0</v>
      </c>
      <c r="P87" s="52">
        <f t="shared" si="58"/>
        <v>0</v>
      </c>
      <c r="Q87" s="410">
        <f t="shared" si="58"/>
        <v>0</v>
      </c>
      <c r="R87" s="52">
        <f t="shared" ref="R87" si="61">SUM(R79:R86)</f>
        <v>0</v>
      </c>
      <c r="S87" s="52">
        <f t="shared" si="58"/>
        <v>0</v>
      </c>
      <c r="T87" s="122">
        <f t="shared" si="58"/>
        <v>0</v>
      </c>
      <c r="U87" s="296">
        <f t="shared" si="58"/>
        <v>0</v>
      </c>
      <c r="V87" s="52">
        <f t="shared" si="58"/>
        <v>0</v>
      </c>
      <c r="W87" s="52">
        <f t="shared" si="58"/>
        <v>0</v>
      </c>
      <c r="X87" s="52">
        <f t="shared" si="58"/>
        <v>0</v>
      </c>
      <c r="Y87" s="411">
        <f t="shared" si="58"/>
        <v>0</v>
      </c>
      <c r="Z87" s="121">
        <f t="shared" si="58"/>
        <v>0</v>
      </c>
      <c r="AA87" s="121">
        <f t="shared" si="58"/>
        <v>0</v>
      </c>
      <c r="AB87" s="121">
        <f t="shared" si="58"/>
        <v>0</v>
      </c>
      <c r="AC87" s="410">
        <f t="shared" si="58"/>
        <v>0</v>
      </c>
      <c r="AD87" s="121">
        <f t="shared" si="58"/>
        <v>0</v>
      </c>
      <c r="AE87" s="413">
        <f t="shared" si="58"/>
        <v>0</v>
      </c>
      <c r="AF87" s="293"/>
    </row>
    <row r="88" spans="1:32" s="68" customFormat="1" ht="7.5" customHeight="1">
      <c r="A88" s="259">
        <f t="shared" si="31"/>
        <v>88</v>
      </c>
      <c r="B88" s="96"/>
      <c r="C88" s="94"/>
      <c r="D88" s="120"/>
      <c r="E88" s="120"/>
      <c r="F88" s="120"/>
      <c r="G88" s="634"/>
      <c r="H88" s="95"/>
      <c r="I88" s="95"/>
      <c r="J88" s="95"/>
      <c r="K88" s="95"/>
      <c r="L88" s="95"/>
      <c r="M88" s="95"/>
      <c r="N88" s="95"/>
      <c r="O88" s="95"/>
      <c r="P88" s="95"/>
      <c r="Q88" s="95"/>
      <c r="R88" s="95"/>
      <c r="S88" s="95"/>
      <c r="T88" s="118"/>
      <c r="U88" s="95"/>
      <c r="V88" s="95"/>
      <c r="W88" s="95"/>
      <c r="X88" s="95"/>
      <c r="Y88" s="95"/>
      <c r="Z88" s="95"/>
      <c r="AA88" s="95"/>
      <c r="AB88" s="95"/>
      <c r="AC88" s="95"/>
      <c r="AD88" s="95"/>
      <c r="AE88" s="118"/>
      <c r="AF88" s="293"/>
    </row>
    <row r="89" spans="1:32" s="68" customFormat="1">
      <c r="A89" s="259">
        <f t="shared" si="31"/>
        <v>89</v>
      </c>
      <c r="B89" s="96"/>
      <c r="C89" s="119" t="s">
        <v>79</v>
      </c>
      <c r="D89" s="50"/>
      <c r="E89" s="94"/>
      <c r="F89" s="94"/>
      <c r="G89" s="636"/>
      <c r="H89" s="95"/>
      <c r="I89" s="98"/>
      <c r="J89" s="98"/>
      <c r="K89" s="98"/>
      <c r="L89" s="98"/>
      <c r="M89" s="98"/>
      <c r="N89" s="98"/>
      <c r="O89" s="98"/>
      <c r="P89" s="98"/>
      <c r="Q89" s="98"/>
      <c r="R89" s="98"/>
      <c r="S89" s="98"/>
      <c r="T89" s="99"/>
      <c r="U89" s="95"/>
      <c r="V89" s="95"/>
      <c r="W89" s="95"/>
      <c r="X89" s="95"/>
      <c r="Y89" s="95"/>
      <c r="Z89" s="95"/>
      <c r="AA89" s="95"/>
      <c r="AB89" s="95"/>
      <c r="AC89" s="95"/>
      <c r="AD89" s="95"/>
      <c r="AE89" s="118"/>
      <c r="AF89" s="293"/>
    </row>
    <row r="90" spans="1:32" s="68" customFormat="1">
      <c r="A90" s="259">
        <f t="shared" si="31"/>
        <v>90</v>
      </c>
      <c r="B90" s="96"/>
      <c r="C90" s="94"/>
      <c r="D90" s="54" t="s">
        <v>100</v>
      </c>
      <c r="E90" s="120"/>
      <c r="F90" s="120"/>
      <c r="G90" s="630">
        <f>IFERROR(INDEX('3.) Staffing Plan'!O37:R37,COUNTIF('3.) Staffing Plan'!$O$44:$R$44,"&gt;0")),0)</f>
        <v>0</v>
      </c>
      <c r="H90" s="95"/>
      <c r="I90" s="278"/>
      <c r="J90" s="102">
        <f>IF('4.) Yearly Budget'!$K$18&gt;0,'4.) Yearly Budget'!K90,'4.) Yearly Budget'!J90)</f>
        <v>0</v>
      </c>
      <c r="K90" s="385">
        <f>IF(I$18&lt;&gt;0,J90-I90,0)</f>
        <v>0</v>
      </c>
      <c r="L90" s="278"/>
      <c r="M90" s="102">
        <f>IF('4.) Yearly Budget'!$N$18&gt;0,'4.) Yearly Budget'!N90,'4.) Yearly Budget'!M90)</f>
        <v>0</v>
      </c>
      <c r="N90" s="385">
        <f>IF(L$18&lt;&gt;0,M90-L90,0)</f>
        <v>0</v>
      </c>
      <c r="O90" s="278"/>
      <c r="P90" s="102">
        <f>IF('4.) Yearly Budget'!$Q$18&gt;0,'4.) Yearly Budget'!Q90,'4.) Yearly Budget'!P90)</f>
        <v>0</v>
      </c>
      <c r="Q90" s="385">
        <f>IF(O$18&lt;&gt;0,P90-O90,0)</f>
        <v>0</v>
      </c>
      <c r="R90" s="278"/>
      <c r="S90" s="102">
        <f>IF('4.) Yearly Budget'!$T$18&gt;0,'4.) Yearly Budget'!T90,'4.) Yearly Budget'!S90)</f>
        <v>0</v>
      </c>
      <c r="T90" s="105">
        <f>IF(R$18&lt;&gt;0,S90-R90,0)</f>
        <v>0</v>
      </c>
      <c r="U90" s="279">
        <f>IF(I$18&lt;&gt;0,I90,0)+IF(L$18&lt;&gt;0,L90,0)+IF(O$18&lt;&gt;0,O90,0)+IF(R$18&lt;&gt;0,R90,0)</f>
        <v>0</v>
      </c>
      <c r="V90" s="382">
        <f>SUM(IF(I$18&lt;&gt;0,J90,0)+IF(L$18&lt;&gt;0,M90,0)+IF(O$18&lt;&gt;0,P90,0)+IF(R$18&lt;&gt;0,S90,0))</f>
        <v>0</v>
      </c>
      <c r="W90" s="382">
        <f>V90-U90</f>
        <v>0</v>
      </c>
      <c r="X90" s="382">
        <f>'4.) Yearly Budget'!W90</f>
        <v>0</v>
      </c>
      <c r="Y90" s="383">
        <f>IF(U90&lt;&gt;0,X90-U90,IF(U90=0,X90,0))</f>
        <v>0</v>
      </c>
      <c r="Z90" s="384">
        <f>SUM(IF(I$18&lt;&gt;0,'4.) Yearly Budget'!J90,0)+IF(L$18&lt;&gt;0,'4.) Yearly Budget'!M90,0)+IF(O$18&lt;&gt;0,'4.) Yearly Budget'!P90,0)+IF(R$18&lt;&gt;0,'4.) Yearly Budget'!S90,0))</f>
        <v>0</v>
      </c>
      <c r="AA90" s="384">
        <f>Z90-U90</f>
        <v>0</v>
      </c>
      <c r="AB90" s="384">
        <f>'4.) Yearly Budget'!V90</f>
        <v>0</v>
      </c>
      <c r="AC90" s="385">
        <f>IF(U90&lt;&gt;0,AB90-U90,IF(U90=0,AB90,0))</f>
        <v>0</v>
      </c>
      <c r="AD90" s="384">
        <f>IF(U$18&lt;&gt;0,'4.) Yearly Budget'!I90/$AM$18,0)</f>
        <v>0</v>
      </c>
      <c r="AE90" s="105">
        <f>AD90-U90</f>
        <v>0</v>
      </c>
      <c r="AF90" s="293"/>
    </row>
    <row r="91" spans="1:32" s="68" customFormat="1">
      <c r="A91" s="259">
        <f t="shared" si="31"/>
        <v>91</v>
      </c>
      <c r="B91" s="96"/>
      <c r="C91" s="94"/>
      <c r="D91" s="54" t="s">
        <v>101</v>
      </c>
      <c r="E91" s="120"/>
      <c r="F91" s="120"/>
      <c r="G91" s="630">
        <f>IFERROR(INDEX('3.) Staffing Plan'!O38:R38,COUNTIF('3.) Staffing Plan'!$O$44:$R$44,"&gt;0")),0)</f>
        <v>0</v>
      </c>
      <c r="H91" s="95"/>
      <c r="I91" s="278"/>
      <c r="J91" s="102">
        <f>IF('4.) Yearly Budget'!$K$18&gt;0,'4.) Yearly Budget'!K91,'4.) Yearly Budget'!J91)</f>
        <v>0</v>
      </c>
      <c r="K91" s="385">
        <f>IF(I$18&lt;&gt;0,J91-I91,0)</f>
        <v>0</v>
      </c>
      <c r="L91" s="278"/>
      <c r="M91" s="102">
        <f>IF('4.) Yearly Budget'!$N$18&gt;0,'4.) Yearly Budget'!N91,'4.) Yearly Budget'!M91)</f>
        <v>0</v>
      </c>
      <c r="N91" s="385">
        <f>IF(L$18&lt;&gt;0,M91-L91,0)</f>
        <v>0</v>
      </c>
      <c r="O91" s="278"/>
      <c r="P91" s="102">
        <f>IF('4.) Yearly Budget'!$Q$18&gt;0,'4.) Yearly Budget'!Q91,'4.) Yearly Budget'!P91)</f>
        <v>0</v>
      </c>
      <c r="Q91" s="385">
        <f>IF(O$18&lt;&gt;0,P91-O91,0)</f>
        <v>0</v>
      </c>
      <c r="R91" s="278"/>
      <c r="S91" s="102">
        <f>IF('4.) Yearly Budget'!$T$18&gt;0,'4.) Yearly Budget'!T91,'4.) Yearly Budget'!S91)</f>
        <v>0</v>
      </c>
      <c r="T91" s="105">
        <f>IF(R$18&lt;&gt;0,S91-R91,0)</f>
        <v>0</v>
      </c>
      <c r="U91" s="279">
        <f>IF(I$18&lt;&gt;0,I91,0)+IF(L$18&lt;&gt;0,L91,0)+IF(O$18&lt;&gt;0,O91,0)+IF(R$18&lt;&gt;0,R91,0)</f>
        <v>0</v>
      </c>
      <c r="V91" s="382">
        <f>SUM(IF(I$18&lt;&gt;0,J91,0)+IF(L$18&lt;&gt;0,M91,0)+IF(O$18&lt;&gt;0,P91,0)+IF(R$18&lt;&gt;0,S91,0))</f>
        <v>0</v>
      </c>
      <c r="W91" s="382">
        <f>V91-U91</f>
        <v>0</v>
      </c>
      <c r="X91" s="382">
        <f>'4.) Yearly Budget'!W91</f>
        <v>0</v>
      </c>
      <c r="Y91" s="383">
        <f>IF(U91&lt;&gt;0,X91-U91,IF(U91=0,X91,0))</f>
        <v>0</v>
      </c>
      <c r="Z91" s="384">
        <f>SUM(IF(I$18&lt;&gt;0,'4.) Yearly Budget'!J91,0)+IF(L$18&lt;&gt;0,'4.) Yearly Budget'!M91,0)+IF(O$18&lt;&gt;0,'4.) Yearly Budget'!P91,0)+IF(R$18&lt;&gt;0,'4.) Yearly Budget'!S91,0))</f>
        <v>0</v>
      </c>
      <c r="AA91" s="384">
        <f>Z91-U91</f>
        <v>0</v>
      </c>
      <c r="AB91" s="384">
        <f>'4.) Yearly Budget'!V91</f>
        <v>0</v>
      </c>
      <c r="AC91" s="385">
        <f>IF(U91&lt;&gt;0,AB91-U91,IF(U91=0,AB91,0))</f>
        <v>0</v>
      </c>
      <c r="AD91" s="384">
        <f>IF(U$18&lt;&gt;0,'4.) Yearly Budget'!I91/$AM$18,0)</f>
        <v>0</v>
      </c>
      <c r="AE91" s="105">
        <f>AD91-U91</f>
        <v>0</v>
      </c>
      <c r="AF91" s="293"/>
    </row>
    <row r="92" spans="1:32" s="68" customFormat="1">
      <c r="A92" s="259">
        <f t="shared" si="31"/>
        <v>92</v>
      </c>
      <c r="B92" s="96"/>
      <c r="C92" s="94"/>
      <c r="D92" s="54" t="s">
        <v>102</v>
      </c>
      <c r="E92" s="120"/>
      <c r="F92" s="120"/>
      <c r="G92" s="630">
        <f>IFERROR(INDEX('3.) Staffing Plan'!O39:R39,COUNTIF('3.) Staffing Plan'!$O$44:$R$44,"&gt;0")),0)</f>
        <v>0</v>
      </c>
      <c r="H92" s="95"/>
      <c r="I92" s="278"/>
      <c r="J92" s="102">
        <f>IF('4.) Yearly Budget'!$K$18&gt;0,'4.) Yearly Budget'!K92,'4.) Yearly Budget'!J92)</f>
        <v>0</v>
      </c>
      <c r="K92" s="385">
        <f>IF(I$18&lt;&gt;0,J92-I92,0)</f>
        <v>0</v>
      </c>
      <c r="L92" s="278"/>
      <c r="M92" s="102">
        <f>IF('4.) Yearly Budget'!$N$18&gt;0,'4.) Yearly Budget'!N92,'4.) Yearly Budget'!M92)</f>
        <v>0</v>
      </c>
      <c r="N92" s="385">
        <f>IF(L$18&lt;&gt;0,M92-L92,0)</f>
        <v>0</v>
      </c>
      <c r="O92" s="278"/>
      <c r="P92" s="102">
        <f>IF('4.) Yearly Budget'!$Q$18&gt;0,'4.) Yearly Budget'!Q92,'4.) Yearly Budget'!P92)</f>
        <v>0</v>
      </c>
      <c r="Q92" s="385">
        <f>IF(O$18&lt;&gt;0,P92-O92,0)</f>
        <v>0</v>
      </c>
      <c r="R92" s="278"/>
      <c r="S92" s="102">
        <f>IF('4.) Yearly Budget'!$T$18&gt;0,'4.) Yearly Budget'!T92,'4.) Yearly Budget'!S92)</f>
        <v>0</v>
      </c>
      <c r="T92" s="105">
        <f>IF(R$18&lt;&gt;0,S92-R92,0)</f>
        <v>0</v>
      </c>
      <c r="U92" s="279">
        <f>IF(I$18&lt;&gt;0,I92,0)+IF(L$18&lt;&gt;0,L92,0)+IF(O$18&lt;&gt;0,O92,0)+IF(R$18&lt;&gt;0,R92,0)</f>
        <v>0</v>
      </c>
      <c r="V92" s="382">
        <f>SUM(IF(I$18&lt;&gt;0,J92,0)+IF(L$18&lt;&gt;0,M92,0)+IF(O$18&lt;&gt;0,P92,0)+IF(R$18&lt;&gt;0,S92,0))</f>
        <v>0</v>
      </c>
      <c r="W92" s="382">
        <f>V92-U92</f>
        <v>0</v>
      </c>
      <c r="X92" s="382">
        <f>'4.) Yearly Budget'!W92</f>
        <v>0</v>
      </c>
      <c r="Y92" s="383">
        <f>IF(U92&lt;&gt;0,X92-U92,IF(U92=0,X92,0))</f>
        <v>0</v>
      </c>
      <c r="Z92" s="384">
        <f>SUM(IF(I$18&lt;&gt;0,'4.) Yearly Budget'!J92,0)+IF(L$18&lt;&gt;0,'4.) Yearly Budget'!M92,0)+IF(O$18&lt;&gt;0,'4.) Yearly Budget'!P92,0)+IF(R$18&lt;&gt;0,'4.) Yearly Budget'!S92,0))</f>
        <v>0</v>
      </c>
      <c r="AA92" s="384">
        <f>Z92-U92</f>
        <v>0</v>
      </c>
      <c r="AB92" s="384">
        <f>'4.) Yearly Budget'!V92</f>
        <v>0</v>
      </c>
      <c r="AC92" s="385">
        <f>IF(U92&lt;&gt;0,AB92-U92,IF(U92=0,AB92,0))</f>
        <v>0</v>
      </c>
      <c r="AD92" s="384">
        <f>IF(U$18&lt;&gt;0,'4.) Yearly Budget'!I92/$AM$18,0)</f>
        <v>0</v>
      </c>
      <c r="AE92" s="105">
        <f>AD92-U92</f>
        <v>0</v>
      </c>
      <c r="AF92" s="293"/>
    </row>
    <row r="93" spans="1:32" s="68" customFormat="1">
      <c r="A93" s="259">
        <f t="shared" si="31"/>
        <v>93</v>
      </c>
      <c r="B93" s="96"/>
      <c r="C93" s="94"/>
      <c r="D93" s="54" t="s">
        <v>7</v>
      </c>
      <c r="E93" s="120"/>
      <c r="F93" s="120"/>
      <c r="G93" s="630">
        <f>IFERROR(INDEX('3.) Staffing Plan'!O40:R40,COUNTIF('3.) Staffing Plan'!$O$44:$R$44,"&gt;0")),0)</f>
        <v>0</v>
      </c>
      <c r="H93" s="95"/>
      <c r="I93" s="278"/>
      <c r="J93" s="102">
        <f>IF('4.) Yearly Budget'!$K$18&gt;0,'4.) Yearly Budget'!K93,'4.) Yearly Budget'!J93)</f>
        <v>0</v>
      </c>
      <c r="K93" s="385">
        <f>IF(I$18&lt;&gt;0,J93-I93,0)</f>
        <v>0</v>
      </c>
      <c r="L93" s="278"/>
      <c r="M93" s="102">
        <f>IF('4.) Yearly Budget'!$N$18&gt;0,'4.) Yearly Budget'!N93,'4.) Yearly Budget'!M93)</f>
        <v>0</v>
      </c>
      <c r="N93" s="385">
        <f>IF(L$18&lt;&gt;0,M93-L93,0)</f>
        <v>0</v>
      </c>
      <c r="O93" s="278"/>
      <c r="P93" s="102">
        <f>IF('4.) Yearly Budget'!$Q$18&gt;0,'4.) Yearly Budget'!Q93,'4.) Yearly Budget'!P93)</f>
        <v>0</v>
      </c>
      <c r="Q93" s="385">
        <f>IF(O$18&lt;&gt;0,P93-O93,0)</f>
        <v>0</v>
      </c>
      <c r="R93" s="278"/>
      <c r="S93" s="102">
        <f>IF('4.) Yearly Budget'!$T$18&gt;0,'4.) Yearly Budget'!T93,'4.) Yearly Budget'!S93)</f>
        <v>0</v>
      </c>
      <c r="T93" s="105">
        <f>IF(R$18&lt;&gt;0,S93-R93,0)</f>
        <v>0</v>
      </c>
      <c r="U93" s="279">
        <f>IF(I$18&lt;&gt;0,I93,0)+IF(L$18&lt;&gt;0,L93,0)+IF(O$18&lt;&gt;0,O93,0)+IF(R$18&lt;&gt;0,R93,0)</f>
        <v>0</v>
      </c>
      <c r="V93" s="382">
        <f>SUM(IF(I$18&lt;&gt;0,J93,0)+IF(L$18&lt;&gt;0,M93,0)+IF(O$18&lt;&gt;0,P93,0)+IF(R$18&lt;&gt;0,S93,0))</f>
        <v>0</v>
      </c>
      <c r="W93" s="382">
        <f>V93-U93</f>
        <v>0</v>
      </c>
      <c r="X93" s="382">
        <f>'4.) Yearly Budget'!W93</f>
        <v>0</v>
      </c>
      <c r="Y93" s="383">
        <f>IF(U93&lt;&gt;0,X93-U93,IF(U93=0,X93,0))</f>
        <v>0</v>
      </c>
      <c r="Z93" s="384">
        <f>SUM(IF(I$18&lt;&gt;0,'4.) Yearly Budget'!J93,0)+IF(L$18&lt;&gt;0,'4.) Yearly Budget'!M93,0)+IF(O$18&lt;&gt;0,'4.) Yearly Budget'!P93,0)+IF(R$18&lt;&gt;0,'4.) Yearly Budget'!S93,0))</f>
        <v>0</v>
      </c>
      <c r="AA93" s="384">
        <f>Z93-U93</f>
        <v>0</v>
      </c>
      <c r="AB93" s="384">
        <f>'4.) Yearly Budget'!V93</f>
        <v>0</v>
      </c>
      <c r="AC93" s="385">
        <f>IF(U93&lt;&gt;0,AB93-U93,IF(U93=0,AB93,0))</f>
        <v>0</v>
      </c>
      <c r="AD93" s="384">
        <f>IF(U$18&lt;&gt;0,'4.) Yearly Budget'!I93/$AM$18,0)</f>
        <v>0</v>
      </c>
      <c r="AE93" s="105">
        <f>AD93-U93</f>
        <v>0</v>
      </c>
      <c r="AF93" s="293"/>
    </row>
    <row r="94" spans="1:32" s="68" customFormat="1" ht="16.8">
      <c r="A94" s="259">
        <f t="shared" si="31"/>
        <v>94</v>
      </c>
      <c r="B94" s="96"/>
      <c r="C94" s="94"/>
      <c r="D94" s="54" t="s">
        <v>29</v>
      </c>
      <c r="E94" s="120"/>
      <c r="F94" s="120"/>
      <c r="G94" s="633">
        <f>IFERROR(INDEX('3.) Staffing Plan'!O41:R41,COUNTIF('3.) Staffing Plan'!$O$44:$R$44,"&gt;0")),0)</f>
        <v>0</v>
      </c>
      <c r="H94" s="95"/>
      <c r="I94" s="286"/>
      <c r="J94" s="573">
        <f>IF('4.) Yearly Budget'!$K$18&gt;0,'4.) Yearly Budget'!K94,'4.) Yearly Budget'!J94)</f>
        <v>0</v>
      </c>
      <c r="K94" s="396">
        <f>IF(I$18&lt;&gt;0,J94-I94,0)</f>
        <v>0</v>
      </c>
      <c r="L94" s="286"/>
      <c r="M94" s="573">
        <f>IF('4.) Yearly Budget'!$N$18&gt;0,'4.) Yearly Budget'!N94,'4.) Yearly Budget'!M94)</f>
        <v>0</v>
      </c>
      <c r="N94" s="396">
        <f>IF(L$18&lt;&gt;0,M94-L94,0)</f>
        <v>0</v>
      </c>
      <c r="O94" s="286"/>
      <c r="P94" s="573">
        <f>IF('4.) Yearly Budget'!$Q$18&gt;0,'4.) Yearly Budget'!Q94,'4.) Yearly Budget'!P94)</f>
        <v>0</v>
      </c>
      <c r="Q94" s="396">
        <f>IF(O$18&lt;&gt;0,P94-O94,0)</f>
        <v>0</v>
      </c>
      <c r="R94" s="286"/>
      <c r="S94" s="573">
        <f>IF('4.) Yearly Budget'!$T$18&gt;0,'4.) Yearly Budget'!T94,'4.) Yearly Budget'!S94)</f>
        <v>0</v>
      </c>
      <c r="T94" s="392">
        <f>IF(R$18&lt;&gt;0,S94-R94,0)</f>
        <v>0</v>
      </c>
      <c r="U94" s="287">
        <f>IF(I$18&lt;&gt;0,I94,0)+IF(L$18&lt;&gt;0,L94,0)+IF(O$18&lt;&gt;0,O94,0)+IF(R$18&lt;&gt;0,R94,0)</f>
        <v>0</v>
      </c>
      <c r="V94" s="393">
        <f>SUM(IF(I$18&lt;&gt;0,J94,0)+IF(L$18&lt;&gt;0,M94,0)+IF(O$18&lt;&gt;0,P94,0)+IF(R$18&lt;&gt;0,S94,0))</f>
        <v>0</v>
      </c>
      <c r="W94" s="393">
        <f>V94-U94</f>
        <v>0</v>
      </c>
      <c r="X94" s="393">
        <f>'4.) Yearly Budget'!W94</f>
        <v>0</v>
      </c>
      <c r="Y94" s="394">
        <f>IF(U94&lt;&gt;0,X94-U94,IF(U94=0,X94,0))</f>
        <v>0</v>
      </c>
      <c r="Z94" s="395">
        <f>SUM(IF(I$18&lt;&gt;0,'4.) Yearly Budget'!J94,0)+IF(L$18&lt;&gt;0,'4.) Yearly Budget'!M94,0)+IF(O$18&lt;&gt;0,'4.) Yearly Budget'!P94,0)+IF(R$18&lt;&gt;0,'4.) Yearly Budget'!S94,0))</f>
        <v>0</v>
      </c>
      <c r="AA94" s="395">
        <f>Z94-U94</f>
        <v>0</v>
      </c>
      <c r="AB94" s="395">
        <f>'4.) Yearly Budget'!V94</f>
        <v>0</v>
      </c>
      <c r="AC94" s="396">
        <f>IF(U94&lt;&gt;0,AB94-U94,IF(U94=0,AB94,0))</f>
        <v>0</v>
      </c>
      <c r="AD94" s="395">
        <f>IF(U$18&lt;&gt;0,'4.) Yearly Budget'!I94/$AM$18,0)</f>
        <v>0</v>
      </c>
      <c r="AE94" s="392">
        <f>AD94-U94</f>
        <v>0</v>
      </c>
      <c r="AF94" s="293"/>
    </row>
    <row r="95" spans="1:32" s="68" customFormat="1">
      <c r="A95" s="259">
        <f t="shared" si="31"/>
        <v>95</v>
      </c>
      <c r="B95" s="96"/>
      <c r="C95" s="55" t="s">
        <v>80</v>
      </c>
      <c r="D95" s="94"/>
      <c r="E95" s="120"/>
      <c r="F95" s="120"/>
      <c r="G95" s="630">
        <f>SUM(G90:G94)</f>
        <v>0</v>
      </c>
      <c r="H95" s="95"/>
      <c r="I95" s="668">
        <f t="shared" ref="I95:AE95" si="62">SUM(I90:I94)</f>
        <v>0</v>
      </c>
      <c r="J95" s="52">
        <f t="shared" si="62"/>
        <v>0</v>
      </c>
      <c r="K95" s="410">
        <f t="shared" si="62"/>
        <v>0</v>
      </c>
      <c r="L95" s="52">
        <f t="shared" ref="L95" si="63">SUM(L90:L94)</f>
        <v>0</v>
      </c>
      <c r="M95" s="52">
        <f t="shared" si="62"/>
        <v>0</v>
      </c>
      <c r="N95" s="410">
        <f t="shared" si="62"/>
        <v>0</v>
      </c>
      <c r="O95" s="52">
        <f t="shared" ref="O95" si="64">SUM(O90:O94)</f>
        <v>0</v>
      </c>
      <c r="P95" s="52">
        <f t="shared" si="62"/>
        <v>0</v>
      </c>
      <c r="Q95" s="410">
        <f t="shared" si="62"/>
        <v>0</v>
      </c>
      <c r="R95" s="52">
        <f t="shared" ref="R95" si="65">SUM(R90:R94)</f>
        <v>0</v>
      </c>
      <c r="S95" s="52">
        <f t="shared" si="62"/>
        <v>0</v>
      </c>
      <c r="T95" s="122">
        <f t="shared" si="62"/>
        <v>0</v>
      </c>
      <c r="U95" s="296">
        <f t="shared" si="62"/>
        <v>0</v>
      </c>
      <c r="V95" s="52">
        <f t="shared" si="62"/>
        <v>0</v>
      </c>
      <c r="W95" s="52">
        <f t="shared" si="62"/>
        <v>0</v>
      </c>
      <c r="X95" s="52">
        <f t="shared" si="62"/>
        <v>0</v>
      </c>
      <c r="Y95" s="411">
        <f t="shared" si="62"/>
        <v>0</v>
      </c>
      <c r="Z95" s="121">
        <f t="shared" si="62"/>
        <v>0</v>
      </c>
      <c r="AA95" s="121">
        <f t="shared" si="62"/>
        <v>0</v>
      </c>
      <c r="AB95" s="121">
        <f t="shared" si="62"/>
        <v>0</v>
      </c>
      <c r="AC95" s="410">
        <f t="shared" si="62"/>
        <v>0</v>
      </c>
      <c r="AD95" s="121">
        <f t="shared" si="62"/>
        <v>0</v>
      </c>
      <c r="AE95" s="412">
        <f t="shared" si="62"/>
        <v>0</v>
      </c>
      <c r="AF95" s="293"/>
    </row>
    <row r="96" spans="1:32" s="68" customFormat="1" ht="7.5" customHeight="1">
      <c r="A96" s="259">
        <f t="shared" si="31"/>
        <v>96</v>
      </c>
      <c r="B96" s="96"/>
      <c r="C96" s="94"/>
      <c r="D96" s="120"/>
      <c r="E96" s="120"/>
      <c r="F96" s="120"/>
      <c r="G96" s="634"/>
      <c r="H96" s="95"/>
      <c r="I96" s="104"/>
      <c r="J96" s="104"/>
      <c r="K96" s="104"/>
      <c r="L96" s="104"/>
      <c r="M96" s="104"/>
      <c r="N96" s="104"/>
      <c r="O96" s="104"/>
      <c r="P96" s="104"/>
      <c r="Q96" s="104"/>
      <c r="R96" s="104"/>
      <c r="S96" s="104"/>
      <c r="T96" s="105"/>
      <c r="U96" s="107"/>
      <c r="V96" s="107"/>
      <c r="W96" s="107"/>
      <c r="X96" s="107"/>
      <c r="Y96" s="107"/>
      <c r="Z96" s="107"/>
      <c r="AA96" s="107"/>
      <c r="AB96" s="107"/>
      <c r="AC96" s="107"/>
      <c r="AD96" s="107"/>
      <c r="AE96" s="107"/>
      <c r="AF96" s="293"/>
    </row>
    <row r="97" spans="1:32" s="68" customFormat="1">
      <c r="A97" s="259">
        <f t="shared" si="31"/>
        <v>97</v>
      </c>
      <c r="B97" s="96"/>
      <c r="C97" s="60" t="s">
        <v>81</v>
      </c>
      <c r="D97" s="50"/>
      <c r="E97" s="50"/>
      <c r="F97" s="50"/>
      <c r="G97" s="637">
        <f>G76+G87+G95</f>
        <v>0</v>
      </c>
      <c r="H97" s="95"/>
      <c r="I97" s="283">
        <f t="shared" ref="I97:AE97" si="66">I76+I87+I95</f>
        <v>0</v>
      </c>
      <c r="J97" s="158">
        <f t="shared" si="66"/>
        <v>0</v>
      </c>
      <c r="K97" s="397">
        <f t="shared" si="66"/>
        <v>0</v>
      </c>
      <c r="L97" s="158">
        <f t="shared" ref="L97" si="67">L76+L87+L95</f>
        <v>0</v>
      </c>
      <c r="M97" s="158">
        <f t="shared" si="66"/>
        <v>0</v>
      </c>
      <c r="N97" s="397">
        <f t="shared" si="66"/>
        <v>0</v>
      </c>
      <c r="O97" s="158">
        <f t="shared" ref="O97" si="68">O76+O87+O95</f>
        <v>0</v>
      </c>
      <c r="P97" s="158">
        <f t="shared" si="66"/>
        <v>0</v>
      </c>
      <c r="Q97" s="397">
        <f t="shared" si="66"/>
        <v>0</v>
      </c>
      <c r="R97" s="158">
        <f t="shared" ref="R97" si="69">R76+R87+R95</f>
        <v>0</v>
      </c>
      <c r="S97" s="158">
        <f t="shared" si="66"/>
        <v>0</v>
      </c>
      <c r="T97" s="103">
        <f t="shared" si="66"/>
        <v>0</v>
      </c>
      <c r="U97" s="279">
        <f t="shared" si="66"/>
        <v>0</v>
      </c>
      <c r="V97" s="158">
        <f t="shared" si="66"/>
        <v>0</v>
      </c>
      <c r="W97" s="158">
        <f t="shared" si="66"/>
        <v>0</v>
      </c>
      <c r="X97" s="158">
        <f t="shared" si="66"/>
        <v>0</v>
      </c>
      <c r="Y97" s="387">
        <f t="shared" si="66"/>
        <v>0</v>
      </c>
      <c r="Z97" s="102">
        <f t="shared" si="66"/>
        <v>0</v>
      </c>
      <c r="AA97" s="102">
        <f t="shared" si="66"/>
        <v>0</v>
      </c>
      <c r="AB97" s="102">
        <f t="shared" si="66"/>
        <v>0</v>
      </c>
      <c r="AC97" s="397">
        <f t="shared" si="66"/>
        <v>0</v>
      </c>
      <c r="AD97" s="102">
        <f t="shared" si="66"/>
        <v>0</v>
      </c>
      <c r="AE97" s="105">
        <f t="shared" si="66"/>
        <v>0</v>
      </c>
      <c r="AF97" s="293"/>
    </row>
    <row r="98" spans="1:32" s="68" customFormat="1" ht="7.5" customHeight="1">
      <c r="A98" s="259">
        <f t="shared" si="31"/>
        <v>98</v>
      </c>
      <c r="B98" s="96"/>
      <c r="C98" s="94"/>
      <c r="D98" s="120"/>
      <c r="E98" s="120"/>
      <c r="F98" s="120"/>
      <c r="G98" s="634"/>
      <c r="H98" s="95"/>
      <c r="I98" s="107"/>
      <c r="J98" s="107"/>
      <c r="K98" s="107"/>
      <c r="L98" s="107"/>
      <c r="M98" s="107"/>
      <c r="N98" s="107"/>
      <c r="O98" s="107"/>
      <c r="P98" s="107"/>
      <c r="Q98" s="107"/>
      <c r="R98" s="107"/>
      <c r="S98" s="107"/>
      <c r="T98" s="108"/>
      <c r="U98" s="107"/>
      <c r="V98" s="107"/>
      <c r="W98" s="107"/>
      <c r="X98" s="107"/>
      <c r="Y98" s="107"/>
      <c r="Z98" s="107"/>
      <c r="AA98" s="107"/>
      <c r="AB98" s="107"/>
      <c r="AC98" s="107"/>
      <c r="AD98" s="107"/>
      <c r="AE98" s="108"/>
      <c r="AF98" s="293"/>
    </row>
    <row r="99" spans="1:32" s="68" customFormat="1">
      <c r="A99" s="259">
        <f t="shared" si="31"/>
        <v>99</v>
      </c>
      <c r="B99" s="96"/>
      <c r="C99" s="119" t="s">
        <v>82</v>
      </c>
      <c r="D99" s="50"/>
      <c r="E99" s="50"/>
      <c r="F99" s="50"/>
      <c r="G99" s="636"/>
      <c r="H99" s="95"/>
      <c r="I99" s="98"/>
      <c r="J99" s="98"/>
      <c r="K99" s="98"/>
      <c r="L99" s="98"/>
      <c r="M99" s="98"/>
      <c r="N99" s="98"/>
      <c r="O99" s="98"/>
      <c r="P99" s="98"/>
      <c r="Q99" s="98"/>
      <c r="R99" s="98"/>
      <c r="S99" s="98"/>
      <c r="T99" s="99"/>
      <c r="U99" s="95"/>
      <c r="V99" s="95"/>
      <c r="W99" s="95"/>
      <c r="X99" s="95"/>
      <c r="Y99" s="95"/>
      <c r="Z99" s="95"/>
      <c r="AA99" s="95"/>
      <c r="AB99" s="95"/>
      <c r="AC99" s="95"/>
      <c r="AD99" s="95"/>
      <c r="AE99" s="118"/>
      <c r="AF99" s="293"/>
    </row>
    <row r="100" spans="1:32" s="68" customFormat="1">
      <c r="A100" s="259">
        <f t="shared" si="31"/>
        <v>100</v>
      </c>
      <c r="B100" s="96"/>
      <c r="C100" s="94"/>
      <c r="D100" s="54" t="s">
        <v>14</v>
      </c>
      <c r="E100" s="50"/>
      <c r="F100" s="50"/>
      <c r="G100" s="636"/>
      <c r="H100" s="95"/>
      <c r="I100" s="278"/>
      <c r="J100" s="102">
        <f>IF('4.) Yearly Budget'!$K$18&gt;0,'4.) Yearly Budget'!K100,'4.) Yearly Budget'!J100)</f>
        <v>0</v>
      </c>
      <c r="K100" s="385">
        <f>IF(I$18&lt;&gt;0,J100-I100,0)</f>
        <v>0</v>
      </c>
      <c r="L100" s="100"/>
      <c r="M100" s="102">
        <f>IF('4.) Yearly Budget'!$N$18&gt;0,'4.) Yearly Budget'!N100,'4.) Yearly Budget'!M100)</f>
        <v>0</v>
      </c>
      <c r="N100" s="385">
        <f>IF(L$18&lt;&gt;0,M100-L100,0)</f>
        <v>0</v>
      </c>
      <c r="O100" s="100"/>
      <c r="P100" s="102">
        <f>IF('4.) Yearly Budget'!$Q$18&gt;0,'4.) Yearly Budget'!Q100,'4.) Yearly Budget'!P100)</f>
        <v>0</v>
      </c>
      <c r="Q100" s="385">
        <f>IF(O$18&lt;&gt;0,P100-O100,0)</f>
        <v>0</v>
      </c>
      <c r="R100" s="100"/>
      <c r="S100" s="102">
        <f>IF('4.) Yearly Budget'!$T$18&gt;0,'4.) Yearly Budget'!T100,'4.) Yearly Budget'!S100)</f>
        <v>0</v>
      </c>
      <c r="T100" s="105">
        <f>IF(R$18&lt;&gt;0,S100-R100,0)</f>
        <v>0</v>
      </c>
      <c r="U100" s="279">
        <f>IF(I$18&lt;&gt;0,I100,0)+IF(L$18&lt;&gt;0,L100,0)+IF(O$18&lt;&gt;0,O100,0)+IF(R$18&lt;&gt;0,R100,0)</f>
        <v>0</v>
      </c>
      <c r="V100" s="382">
        <f>SUM(IF(I$18&lt;&gt;0,J100,0)+IF(L$18&lt;&gt;0,M100,0)+IF(O$18&lt;&gt;0,P100,0)+IF(R$18&lt;&gt;0,S100,0))</f>
        <v>0</v>
      </c>
      <c r="W100" s="382">
        <f>V100-U100</f>
        <v>0</v>
      </c>
      <c r="X100" s="382">
        <f>'4.) Yearly Budget'!W100</f>
        <v>0</v>
      </c>
      <c r="Y100" s="383">
        <f>IF(U100&lt;&gt;0,X100-U100,IF(U100=0,X100,0))</f>
        <v>0</v>
      </c>
      <c r="Z100" s="384">
        <f>SUM(IF(I$18&lt;&gt;0,'4.) Yearly Budget'!J100,0)+IF(L$18&lt;&gt;0,'4.) Yearly Budget'!M100,0)+IF(O$18&lt;&gt;0,'4.) Yearly Budget'!P100,0)+IF(R$18&lt;&gt;0,'4.) Yearly Budget'!S100,0))</f>
        <v>0</v>
      </c>
      <c r="AA100" s="384">
        <f>Z100-U100</f>
        <v>0</v>
      </c>
      <c r="AB100" s="384">
        <f>'4.) Yearly Budget'!V100</f>
        <v>0</v>
      </c>
      <c r="AC100" s="385">
        <f>IF(U100&lt;&gt;0,AB100-U100,IF(U100=0,AB100,0))</f>
        <v>0</v>
      </c>
      <c r="AD100" s="384">
        <f>IF(U$18&lt;&gt;0,'4.) Yearly Budget'!I100/$AM$18,0)</f>
        <v>0</v>
      </c>
      <c r="AE100" s="105">
        <f>AD100-U100</f>
        <v>0</v>
      </c>
      <c r="AF100" s="293"/>
    </row>
    <row r="101" spans="1:32" s="68" customFormat="1">
      <c r="A101" s="259">
        <f t="shared" si="31"/>
        <v>101</v>
      </c>
      <c r="B101" s="96"/>
      <c r="C101" s="94"/>
      <c r="D101" s="120" t="s">
        <v>69</v>
      </c>
      <c r="E101" s="50"/>
      <c r="F101" s="50"/>
      <c r="G101" s="636"/>
      <c r="H101" s="95"/>
      <c r="I101" s="278"/>
      <c r="J101" s="102">
        <f>IF('4.) Yearly Budget'!$K$18&gt;0,'4.) Yearly Budget'!K101,'4.) Yearly Budget'!J101)</f>
        <v>0</v>
      </c>
      <c r="K101" s="385">
        <f>IF(I$18&lt;&gt;0,J101-I101,0)</f>
        <v>0</v>
      </c>
      <c r="L101" s="100"/>
      <c r="M101" s="102">
        <f>IF('4.) Yearly Budget'!$N$18&gt;0,'4.) Yearly Budget'!N101,'4.) Yearly Budget'!M101)</f>
        <v>0</v>
      </c>
      <c r="N101" s="385">
        <f>IF(L$18&lt;&gt;0,M101-L101,0)</f>
        <v>0</v>
      </c>
      <c r="O101" s="100"/>
      <c r="P101" s="102">
        <f>IF('4.) Yearly Budget'!$Q$18&gt;0,'4.) Yearly Budget'!Q101,'4.) Yearly Budget'!P101)</f>
        <v>0</v>
      </c>
      <c r="Q101" s="385">
        <f>IF(O$18&lt;&gt;0,P101-O101,0)</f>
        <v>0</v>
      </c>
      <c r="R101" s="100"/>
      <c r="S101" s="102">
        <f>IF('4.) Yearly Budget'!$T$18&gt;0,'4.) Yearly Budget'!T101,'4.) Yearly Budget'!S101)</f>
        <v>0</v>
      </c>
      <c r="T101" s="105">
        <f>IF(R$18&lt;&gt;0,S101-R101,0)</f>
        <v>0</v>
      </c>
      <c r="U101" s="279">
        <f>IF(I$18&lt;&gt;0,I101,0)+IF(L$18&lt;&gt;0,L101,0)+IF(O$18&lt;&gt;0,O101,0)+IF(R$18&lt;&gt;0,R101,0)</f>
        <v>0</v>
      </c>
      <c r="V101" s="382">
        <f>SUM(IF(I$18&lt;&gt;0,J101,0)+IF(L$18&lt;&gt;0,M101,0)+IF(O$18&lt;&gt;0,P101,0)+IF(R$18&lt;&gt;0,S101,0))</f>
        <v>0</v>
      </c>
      <c r="W101" s="382">
        <f>V101-U101</f>
        <v>0</v>
      </c>
      <c r="X101" s="382">
        <f>'4.) Yearly Budget'!W101</f>
        <v>0</v>
      </c>
      <c r="Y101" s="383">
        <f>IF(U101&lt;&gt;0,X101-U101,IF(U101=0,X101,0))</f>
        <v>0</v>
      </c>
      <c r="Z101" s="384">
        <f>SUM(IF(I$18&lt;&gt;0,'4.) Yearly Budget'!J101,0)+IF(L$18&lt;&gt;0,'4.) Yearly Budget'!M101,0)+IF(O$18&lt;&gt;0,'4.) Yearly Budget'!P101,0)+IF(R$18&lt;&gt;0,'4.) Yearly Budget'!S101,0))</f>
        <v>0</v>
      </c>
      <c r="AA101" s="384">
        <f>Z101-U101</f>
        <v>0</v>
      </c>
      <c r="AB101" s="384">
        <f>'4.) Yearly Budget'!V101</f>
        <v>0</v>
      </c>
      <c r="AC101" s="385">
        <f>IF(U101&lt;&gt;0,AB101-U101,IF(U101=0,AB101,0))</f>
        <v>0</v>
      </c>
      <c r="AD101" s="384">
        <f>IF(U$18&lt;&gt;0,'4.) Yearly Budget'!I101/$AM$18,0)</f>
        <v>0</v>
      </c>
      <c r="AE101" s="105">
        <f>AD101-U101</f>
        <v>0</v>
      </c>
      <c r="AF101" s="293"/>
    </row>
    <row r="102" spans="1:32" s="68" customFormat="1" ht="16.8">
      <c r="A102" s="259">
        <f t="shared" si="31"/>
        <v>102</v>
      </c>
      <c r="B102" s="96"/>
      <c r="C102" s="94"/>
      <c r="D102" s="54" t="s">
        <v>58</v>
      </c>
      <c r="E102" s="50"/>
      <c r="F102" s="50"/>
      <c r="G102" s="636"/>
      <c r="H102" s="95"/>
      <c r="I102" s="286"/>
      <c r="J102" s="573">
        <f>IF('4.) Yearly Budget'!$K$18&gt;0,'4.) Yearly Budget'!K102,'4.) Yearly Budget'!J102)</f>
        <v>0</v>
      </c>
      <c r="K102" s="396">
        <f>IF(I$18&lt;&gt;0,J102-I102,0)</f>
        <v>0</v>
      </c>
      <c r="L102" s="106"/>
      <c r="M102" s="573">
        <f>IF('4.) Yearly Budget'!$N$18&gt;0,'4.) Yearly Budget'!N102,'4.) Yearly Budget'!M102)</f>
        <v>0</v>
      </c>
      <c r="N102" s="396">
        <f>IF(L$18&lt;&gt;0,M102-L102,0)</f>
        <v>0</v>
      </c>
      <c r="O102" s="106"/>
      <c r="P102" s="573">
        <f>IF('4.) Yearly Budget'!$Q$18&gt;0,'4.) Yearly Budget'!Q102,'4.) Yearly Budget'!P102)</f>
        <v>0</v>
      </c>
      <c r="Q102" s="396">
        <f>IF(O$18&lt;&gt;0,P102-O102,0)</f>
        <v>0</v>
      </c>
      <c r="R102" s="106"/>
      <c r="S102" s="573">
        <f>IF('4.) Yearly Budget'!$T$18&gt;0,'4.) Yearly Budget'!T102,'4.) Yearly Budget'!S102)</f>
        <v>0</v>
      </c>
      <c r="T102" s="392">
        <f>IF(R$18&lt;&gt;0,S102-R102,0)</f>
        <v>0</v>
      </c>
      <c r="U102" s="287">
        <f>IF(I$18&lt;&gt;0,I102,0)+IF(L$18&lt;&gt;0,L102,0)+IF(O$18&lt;&gt;0,O102,0)+IF(R$18&lt;&gt;0,R102,0)</f>
        <v>0</v>
      </c>
      <c r="V102" s="393">
        <f>SUM(IF(I$18&lt;&gt;0,J102,0)+IF(L$18&lt;&gt;0,M102,0)+IF(O$18&lt;&gt;0,P102,0)+IF(R$18&lt;&gt;0,S102,0))</f>
        <v>0</v>
      </c>
      <c r="W102" s="393">
        <f>V102-U102</f>
        <v>0</v>
      </c>
      <c r="X102" s="393">
        <f>'4.) Yearly Budget'!W102</f>
        <v>0</v>
      </c>
      <c r="Y102" s="394">
        <f>IF(U102&lt;&gt;0,X102-U102,IF(U102=0,X102,0))</f>
        <v>0</v>
      </c>
      <c r="Z102" s="395">
        <f>SUM(IF(I$18&lt;&gt;0,'4.) Yearly Budget'!J102,0)+IF(L$18&lt;&gt;0,'4.) Yearly Budget'!M102,0)+IF(O$18&lt;&gt;0,'4.) Yearly Budget'!P102,0)+IF(R$18&lt;&gt;0,'4.) Yearly Budget'!S102,0))</f>
        <v>0</v>
      </c>
      <c r="AA102" s="395">
        <f>Z102-U102</f>
        <v>0</v>
      </c>
      <c r="AB102" s="395">
        <f>'4.) Yearly Budget'!V102</f>
        <v>0</v>
      </c>
      <c r="AC102" s="396">
        <f>IF(U102&lt;&gt;0,AB102-U102,IF(U102=0,AB102,0))</f>
        <v>0</v>
      </c>
      <c r="AD102" s="395">
        <f>IF(U$18&lt;&gt;0,'4.) Yearly Budget'!I102/$AM$18,0)</f>
        <v>0</v>
      </c>
      <c r="AE102" s="392">
        <f>AD102-U102</f>
        <v>0</v>
      </c>
      <c r="AF102" s="293"/>
    </row>
    <row r="103" spans="1:32" s="68" customFormat="1">
      <c r="A103" s="259">
        <f t="shared" si="31"/>
        <v>103</v>
      </c>
      <c r="B103" s="96"/>
      <c r="C103" s="55" t="s">
        <v>83</v>
      </c>
      <c r="D103" s="50"/>
      <c r="E103" s="50"/>
      <c r="F103" s="50"/>
      <c r="G103" s="636"/>
      <c r="H103" s="95"/>
      <c r="I103" s="283">
        <f t="shared" ref="I103:AE103" si="70">SUM(I100:I102)</f>
        <v>0</v>
      </c>
      <c r="J103" s="158">
        <f t="shared" si="70"/>
        <v>0</v>
      </c>
      <c r="K103" s="397">
        <f t="shared" si="70"/>
        <v>0</v>
      </c>
      <c r="L103" s="102">
        <f t="shared" si="70"/>
        <v>0</v>
      </c>
      <c r="M103" s="158">
        <f t="shared" si="70"/>
        <v>0</v>
      </c>
      <c r="N103" s="397">
        <f t="shared" si="70"/>
        <v>0</v>
      </c>
      <c r="O103" s="102">
        <f t="shared" si="70"/>
        <v>0</v>
      </c>
      <c r="P103" s="158">
        <f t="shared" si="70"/>
        <v>0</v>
      </c>
      <c r="Q103" s="397">
        <f t="shared" si="70"/>
        <v>0</v>
      </c>
      <c r="R103" s="102">
        <f t="shared" si="70"/>
        <v>0</v>
      </c>
      <c r="S103" s="158">
        <f t="shared" si="70"/>
        <v>0</v>
      </c>
      <c r="T103" s="103">
        <f t="shared" si="70"/>
        <v>0</v>
      </c>
      <c r="U103" s="279">
        <f t="shared" si="70"/>
        <v>0</v>
      </c>
      <c r="V103" s="158">
        <f t="shared" si="70"/>
        <v>0</v>
      </c>
      <c r="W103" s="158">
        <f t="shared" si="70"/>
        <v>0</v>
      </c>
      <c r="X103" s="158">
        <f t="shared" si="70"/>
        <v>0</v>
      </c>
      <c r="Y103" s="387">
        <f t="shared" si="70"/>
        <v>0</v>
      </c>
      <c r="Z103" s="102">
        <f t="shared" si="70"/>
        <v>0</v>
      </c>
      <c r="AA103" s="102">
        <f t="shared" si="70"/>
        <v>0</v>
      </c>
      <c r="AB103" s="102">
        <f t="shared" si="70"/>
        <v>0</v>
      </c>
      <c r="AC103" s="397">
        <f t="shared" si="70"/>
        <v>0</v>
      </c>
      <c r="AD103" s="102">
        <f t="shared" si="70"/>
        <v>0</v>
      </c>
      <c r="AE103" s="105">
        <f t="shared" si="70"/>
        <v>0</v>
      </c>
      <c r="AF103" s="293"/>
    </row>
    <row r="104" spans="1:32" s="68" customFormat="1" ht="7.5" customHeight="1">
      <c r="A104" s="259">
        <f t="shared" si="31"/>
        <v>104</v>
      </c>
      <c r="B104" s="96"/>
      <c r="C104" s="94"/>
      <c r="D104" s="120"/>
      <c r="E104" s="120"/>
      <c r="F104" s="120"/>
      <c r="G104" s="634"/>
      <c r="H104" s="95"/>
      <c r="I104" s="104"/>
      <c r="J104" s="104"/>
      <c r="K104" s="104"/>
      <c r="L104" s="104"/>
      <c r="M104" s="104"/>
      <c r="N104" s="104"/>
      <c r="O104" s="104"/>
      <c r="P104" s="104"/>
      <c r="Q104" s="104"/>
      <c r="R104" s="104"/>
      <c r="S104" s="104"/>
      <c r="T104" s="105"/>
      <c r="U104" s="107"/>
      <c r="V104" s="107"/>
      <c r="W104" s="107"/>
      <c r="X104" s="107"/>
      <c r="Y104" s="107"/>
      <c r="Z104" s="107"/>
      <c r="AA104" s="107"/>
      <c r="AB104" s="107"/>
      <c r="AC104" s="107"/>
      <c r="AD104" s="107"/>
      <c r="AE104" s="108"/>
      <c r="AF104" s="293"/>
    </row>
    <row r="105" spans="1:32" s="94" customFormat="1">
      <c r="A105" s="259">
        <f t="shared" si="31"/>
        <v>105</v>
      </c>
      <c r="B105" s="96"/>
      <c r="C105" s="60" t="s">
        <v>84</v>
      </c>
      <c r="D105" s="50"/>
      <c r="E105" s="50"/>
      <c r="F105" s="50"/>
      <c r="G105" s="637">
        <f>G97</f>
        <v>0</v>
      </c>
      <c r="H105" s="95"/>
      <c r="I105" s="283">
        <f t="shared" ref="I105:AE105" si="71">I97+I103</f>
        <v>0</v>
      </c>
      <c r="J105" s="158">
        <f t="shared" si="71"/>
        <v>0</v>
      </c>
      <c r="K105" s="397">
        <f t="shared" si="71"/>
        <v>0</v>
      </c>
      <c r="L105" s="102">
        <f t="shared" si="71"/>
        <v>0</v>
      </c>
      <c r="M105" s="158">
        <f t="shared" si="71"/>
        <v>0</v>
      </c>
      <c r="N105" s="397">
        <f t="shared" si="71"/>
        <v>0</v>
      </c>
      <c r="O105" s="102">
        <f t="shared" si="71"/>
        <v>0</v>
      </c>
      <c r="P105" s="158">
        <f t="shared" si="71"/>
        <v>0</v>
      </c>
      <c r="Q105" s="397">
        <f t="shared" si="71"/>
        <v>0</v>
      </c>
      <c r="R105" s="102">
        <f t="shared" si="71"/>
        <v>0</v>
      </c>
      <c r="S105" s="158">
        <f t="shared" si="71"/>
        <v>0</v>
      </c>
      <c r="T105" s="103">
        <f t="shared" si="71"/>
        <v>0</v>
      </c>
      <c r="U105" s="279">
        <f t="shared" si="71"/>
        <v>0</v>
      </c>
      <c r="V105" s="158">
        <f t="shared" si="71"/>
        <v>0</v>
      </c>
      <c r="W105" s="158">
        <f t="shared" si="71"/>
        <v>0</v>
      </c>
      <c r="X105" s="158">
        <f t="shared" si="71"/>
        <v>0</v>
      </c>
      <c r="Y105" s="387">
        <f t="shared" si="71"/>
        <v>0</v>
      </c>
      <c r="Z105" s="102">
        <f t="shared" si="71"/>
        <v>0</v>
      </c>
      <c r="AA105" s="102">
        <f t="shared" si="71"/>
        <v>0</v>
      </c>
      <c r="AB105" s="102">
        <f t="shared" si="71"/>
        <v>0</v>
      </c>
      <c r="AC105" s="397">
        <f t="shared" si="71"/>
        <v>0</v>
      </c>
      <c r="AD105" s="102">
        <f t="shared" si="71"/>
        <v>0</v>
      </c>
      <c r="AE105" s="105">
        <f t="shared" si="71"/>
        <v>0</v>
      </c>
      <c r="AF105" s="293"/>
    </row>
    <row r="106" spans="1:32" s="68" customFormat="1" ht="7.5" customHeight="1">
      <c r="A106" s="259">
        <f t="shared" si="31"/>
        <v>106</v>
      </c>
      <c r="B106" s="96"/>
      <c r="C106" s="94"/>
      <c r="D106" s="94"/>
      <c r="E106" s="120"/>
      <c r="F106" s="120"/>
      <c r="G106" s="56"/>
      <c r="H106" s="95"/>
      <c r="I106" s="107"/>
      <c r="J106" s="107"/>
      <c r="K106" s="107"/>
      <c r="L106" s="107"/>
      <c r="M106" s="107"/>
      <c r="N106" s="107"/>
      <c r="O106" s="107"/>
      <c r="P106" s="107"/>
      <c r="Q106" s="107"/>
      <c r="R106" s="107"/>
      <c r="S106" s="107"/>
      <c r="T106" s="108"/>
      <c r="U106" s="107"/>
      <c r="V106" s="107"/>
      <c r="W106" s="107"/>
      <c r="X106" s="107"/>
      <c r="Y106" s="107"/>
      <c r="Z106" s="107"/>
      <c r="AA106" s="107"/>
      <c r="AB106" s="107"/>
      <c r="AC106" s="107"/>
      <c r="AD106" s="107"/>
      <c r="AE106" s="108"/>
      <c r="AF106" s="293"/>
    </row>
    <row r="107" spans="1:32" s="68" customFormat="1">
      <c r="A107" s="259">
        <f t="shared" si="31"/>
        <v>107</v>
      </c>
      <c r="B107" s="96"/>
      <c r="C107" s="119" t="s">
        <v>85</v>
      </c>
      <c r="D107" s="94"/>
      <c r="E107" s="120"/>
      <c r="F107" s="120"/>
      <c r="G107" s="56"/>
      <c r="H107" s="95"/>
      <c r="I107" s="98"/>
      <c r="J107" s="98"/>
      <c r="K107" s="98"/>
      <c r="L107" s="98"/>
      <c r="M107" s="98"/>
      <c r="N107" s="98"/>
      <c r="O107" s="98"/>
      <c r="P107" s="98"/>
      <c r="Q107" s="98"/>
      <c r="R107" s="98"/>
      <c r="S107" s="98"/>
      <c r="T107" s="99"/>
      <c r="U107" s="95"/>
      <c r="V107" s="95"/>
      <c r="W107" s="95"/>
      <c r="X107" s="95"/>
      <c r="Y107" s="95"/>
      <c r="Z107" s="95"/>
      <c r="AA107" s="95"/>
      <c r="AB107" s="95"/>
      <c r="AC107" s="95"/>
      <c r="AD107" s="95"/>
      <c r="AE107" s="118"/>
      <c r="AF107" s="293"/>
    </row>
    <row r="108" spans="1:32" s="68" customFormat="1">
      <c r="A108" s="259">
        <f t="shared" si="31"/>
        <v>108</v>
      </c>
      <c r="B108" s="96"/>
      <c r="C108" s="94"/>
      <c r="D108" s="50" t="s">
        <v>65</v>
      </c>
      <c r="E108" s="120"/>
      <c r="F108" s="120"/>
      <c r="G108" s="56"/>
      <c r="H108" s="95"/>
      <c r="I108" s="278"/>
      <c r="J108" s="102">
        <f>IF('4.) Yearly Budget'!$K$18&gt;0,'4.) Yearly Budget'!K108,'4.) Yearly Budget'!J108)</f>
        <v>0</v>
      </c>
      <c r="K108" s="385">
        <f t="shared" ref="K108:K116" si="72">IF(I$18&lt;&gt;0,J108-I108,0)</f>
        <v>0</v>
      </c>
      <c r="L108" s="100"/>
      <c r="M108" s="102">
        <f>IF('4.) Yearly Budget'!$N$18&gt;0,'4.) Yearly Budget'!N108,'4.) Yearly Budget'!M108)</f>
        <v>0</v>
      </c>
      <c r="N108" s="385">
        <f t="shared" ref="N108:N116" si="73">IF(L$18&lt;&gt;0,M108-L108,0)</f>
        <v>0</v>
      </c>
      <c r="O108" s="100"/>
      <c r="P108" s="102">
        <f>IF('4.) Yearly Budget'!$Q$18&gt;0,'4.) Yearly Budget'!Q108,'4.) Yearly Budget'!P108)</f>
        <v>0</v>
      </c>
      <c r="Q108" s="385">
        <f t="shared" ref="Q108:Q116" si="74">IF(O$18&lt;&gt;0,P108-O108,0)</f>
        <v>0</v>
      </c>
      <c r="R108" s="100"/>
      <c r="S108" s="102">
        <f>IF('4.) Yearly Budget'!$T$18&gt;0,'4.) Yearly Budget'!T108,'4.) Yearly Budget'!S108)</f>
        <v>0</v>
      </c>
      <c r="T108" s="105">
        <f t="shared" ref="T108:T116" si="75">IF(R$18&lt;&gt;0,S108-R108,0)</f>
        <v>0</v>
      </c>
      <c r="U108" s="279">
        <f t="shared" ref="U108:U116" si="76">IF(I$18&lt;&gt;0,I108,0)+IF(L$18&lt;&gt;0,L108,0)+IF(O$18&lt;&gt;0,O108,0)+IF(R$18&lt;&gt;0,R108,0)</f>
        <v>0</v>
      </c>
      <c r="V108" s="382">
        <f t="shared" ref="V108:V116" si="77">SUM(IF(I$18&lt;&gt;0,J108,0)+IF(L$18&lt;&gt;0,M108,0)+IF(O$18&lt;&gt;0,P108,0)+IF(R$18&lt;&gt;0,S108,0))</f>
        <v>0</v>
      </c>
      <c r="W108" s="382">
        <f t="shared" ref="W108:W116" si="78">V108-U108</f>
        <v>0</v>
      </c>
      <c r="X108" s="382">
        <f>'4.) Yearly Budget'!W108</f>
        <v>0</v>
      </c>
      <c r="Y108" s="383">
        <f t="shared" ref="Y108:Y116" si="79">IF(U108&lt;&gt;0,X108-U108,IF(U108=0,X108,0))</f>
        <v>0</v>
      </c>
      <c r="Z108" s="384">
        <f>SUM(IF(I$18&lt;&gt;0,'4.) Yearly Budget'!J108,0)+IF(L$18&lt;&gt;0,'4.) Yearly Budget'!M108,0)+IF(O$18&lt;&gt;0,'4.) Yearly Budget'!P108,0)+IF(R$18&lt;&gt;0,'4.) Yearly Budget'!S108,0))</f>
        <v>0</v>
      </c>
      <c r="AA108" s="384">
        <f t="shared" ref="AA108:AA116" si="80">Z108-U108</f>
        <v>0</v>
      </c>
      <c r="AB108" s="384">
        <f>'4.) Yearly Budget'!V108</f>
        <v>0</v>
      </c>
      <c r="AC108" s="385">
        <f t="shared" ref="AC108:AC116" si="81">IF(U108&lt;&gt;0,AB108-U108,IF(U108=0,AB108,0))</f>
        <v>0</v>
      </c>
      <c r="AD108" s="384">
        <f>IF(U$18&lt;&gt;0,'4.) Yearly Budget'!I108/$AM$18,0)</f>
        <v>0</v>
      </c>
      <c r="AE108" s="105">
        <f t="shared" ref="AE108:AE116" si="82">AD108-U108</f>
        <v>0</v>
      </c>
      <c r="AF108" s="293"/>
    </row>
    <row r="109" spans="1:32" s="68" customFormat="1">
      <c r="A109" s="259">
        <f t="shared" si="31"/>
        <v>109</v>
      </c>
      <c r="B109" s="96"/>
      <c r="C109" s="94"/>
      <c r="D109" s="54" t="s">
        <v>5</v>
      </c>
      <c r="E109" s="120"/>
      <c r="F109" s="120"/>
      <c r="G109" s="56"/>
      <c r="H109" s="95"/>
      <c r="I109" s="278"/>
      <c r="J109" s="102">
        <f>IF('4.) Yearly Budget'!$K$18&gt;0,'4.) Yearly Budget'!K109,'4.) Yearly Budget'!J109)</f>
        <v>0</v>
      </c>
      <c r="K109" s="385">
        <f t="shared" si="72"/>
        <v>0</v>
      </c>
      <c r="L109" s="100"/>
      <c r="M109" s="102">
        <f>IF('4.) Yearly Budget'!$N$18&gt;0,'4.) Yearly Budget'!N109,'4.) Yearly Budget'!M109)</f>
        <v>0</v>
      </c>
      <c r="N109" s="385">
        <f t="shared" si="73"/>
        <v>0</v>
      </c>
      <c r="O109" s="100"/>
      <c r="P109" s="102">
        <f>IF('4.) Yearly Budget'!$Q$18&gt;0,'4.) Yearly Budget'!Q109,'4.) Yearly Budget'!P109)</f>
        <v>0</v>
      </c>
      <c r="Q109" s="385">
        <f t="shared" si="74"/>
        <v>0</v>
      </c>
      <c r="R109" s="100"/>
      <c r="S109" s="102">
        <f>IF('4.) Yearly Budget'!$T$18&gt;0,'4.) Yearly Budget'!T109,'4.) Yearly Budget'!S109)</f>
        <v>0</v>
      </c>
      <c r="T109" s="105">
        <f t="shared" si="75"/>
        <v>0</v>
      </c>
      <c r="U109" s="279">
        <f t="shared" si="76"/>
        <v>0</v>
      </c>
      <c r="V109" s="382">
        <f t="shared" si="77"/>
        <v>0</v>
      </c>
      <c r="W109" s="382">
        <f t="shared" si="78"/>
        <v>0</v>
      </c>
      <c r="X109" s="382">
        <f>'4.) Yearly Budget'!W109</f>
        <v>0</v>
      </c>
      <c r="Y109" s="383">
        <f t="shared" si="79"/>
        <v>0</v>
      </c>
      <c r="Z109" s="384">
        <f>SUM(IF(I$18&lt;&gt;0,'4.) Yearly Budget'!J109,0)+IF(L$18&lt;&gt;0,'4.) Yearly Budget'!M109,0)+IF(O$18&lt;&gt;0,'4.) Yearly Budget'!P109,0)+IF(R$18&lt;&gt;0,'4.) Yearly Budget'!S109,0))</f>
        <v>0</v>
      </c>
      <c r="AA109" s="384">
        <f t="shared" si="80"/>
        <v>0</v>
      </c>
      <c r="AB109" s="384">
        <f>'4.) Yearly Budget'!V109</f>
        <v>0</v>
      </c>
      <c r="AC109" s="385">
        <f t="shared" si="81"/>
        <v>0</v>
      </c>
      <c r="AD109" s="384">
        <f>IF(U$18&lt;&gt;0,'4.) Yearly Budget'!I109/$AM$18,0)</f>
        <v>0</v>
      </c>
      <c r="AE109" s="105">
        <f t="shared" si="82"/>
        <v>0</v>
      </c>
      <c r="AF109" s="293"/>
    </row>
    <row r="110" spans="1:32" s="68" customFormat="1">
      <c r="A110" s="259">
        <f t="shared" si="31"/>
        <v>110</v>
      </c>
      <c r="B110" s="96"/>
      <c r="C110" s="94"/>
      <c r="D110" s="54" t="s">
        <v>66</v>
      </c>
      <c r="E110" s="120"/>
      <c r="F110" s="120"/>
      <c r="G110" s="56"/>
      <c r="H110" s="95"/>
      <c r="I110" s="278"/>
      <c r="J110" s="102">
        <f>IF('4.) Yearly Budget'!$K$18&gt;0,'4.) Yearly Budget'!K110,'4.) Yearly Budget'!J110)</f>
        <v>0</v>
      </c>
      <c r="K110" s="385">
        <f t="shared" si="72"/>
        <v>0</v>
      </c>
      <c r="L110" s="100"/>
      <c r="M110" s="102">
        <f>IF('4.) Yearly Budget'!$N$18&gt;0,'4.) Yearly Budget'!N110,'4.) Yearly Budget'!M110)</f>
        <v>0</v>
      </c>
      <c r="N110" s="385">
        <f t="shared" si="73"/>
        <v>0</v>
      </c>
      <c r="O110" s="100"/>
      <c r="P110" s="102">
        <f>IF('4.) Yearly Budget'!$Q$18&gt;0,'4.) Yearly Budget'!Q110,'4.) Yearly Budget'!P110)</f>
        <v>0</v>
      </c>
      <c r="Q110" s="385">
        <f t="shared" si="74"/>
        <v>0</v>
      </c>
      <c r="R110" s="100"/>
      <c r="S110" s="102">
        <f>IF('4.) Yearly Budget'!$T$18&gt;0,'4.) Yearly Budget'!T110,'4.) Yearly Budget'!S110)</f>
        <v>0</v>
      </c>
      <c r="T110" s="105">
        <f t="shared" si="75"/>
        <v>0</v>
      </c>
      <c r="U110" s="279">
        <f t="shared" si="76"/>
        <v>0</v>
      </c>
      <c r="V110" s="382">
        <f t="shared" si="77"/>
        <v>0</v>
      </c>
      <c r="W110" s="382">
        <f t="shared" si="78"/>
        <v>0</v>
      </c>
      <c r="X110" s="382">
        <f>'4.) Yearly Budget'!W110</f>
        <v>0</v>
      </c>
      <c r="Y110" s="383">
        <f t="shared" si="79"/>
        <v>0</v>
      </c>
      <c r="Z110" s="384">
        <f>SUM(IF(I$18&lt;&gt;0,'4.) Yearly Budget'!J110,0)+IF(L$18&lt;&gt;0,'4.) Yearly Budget'!M110,0)+IF(O$18&lt;&gt;0,'4.) Yearly Budget'!P110,0)+IF(R$18&lt;&gt;0,'4.) Yearly Budget'!S110,0))</f>
        <v>0</v>
      </c>
      <c r="AA110" s="384">
        <f t="shared" si="80"/>
        <v>0</v>
      </c>
      <c r="AB110" s="384">
        <f>'4.) Yearly Budget'!V110</f>
        <v>0</v>
      </c>
      <c r="AC110" s="385">
        <f t="shared" si="81"/>
        <v>0</v>
      </c>
      <c r="AD110" s="384">
        <f>IF(U$18&lt;&gt;0,'4.) Yearly Budget'!I110/$AM$18,0)</f>
        <v>0</v>
      </c>
      <c r="AE110" s="105">
        <f t="shared" si="82"/>
        <v>0</v>
      </c>
      <c r="AF110" s="293"/>
    </row>
    <row r="111" spans="1:32" s="68" customFormat="1">
      <c r="A111" s="259">
        <f t="shared" si="31"/>
        <v>111</v>
      </c>
      <c r="B111" s="96"/>
      <c r="C111" s="94"/>
      <c r="D111" s="54" t="s">
        <v>15</v>
      </c>
      <c r="E111" s="120"/>
      <c r="F111" s="120"/>
      <c r="G111" s="56"/>
      <c r="H111" s="95"/>
      <c r="I111" s="278"/>
      <c r="J111" s="102">
        <f>IF('4.) Yearly Budget'!$K$18&gt;0,'4.) Yearly Budget'!K111,'4.) Yearly Budget'!J111)</f>
        <v>0</v>
      </c>
      <c r="K111" s="385">
        <f t="shared" si="72"/>
        <v>0</v>
      </c>
      <c r="L111" s="100"/>
      <c r="M111" s="102">
        <f>IF('4.) Yearly Budget'!$N$18&gt;0,'4.) Yearly Budget'!N111,'4.) Yearly Budget'!M111)</f>
        <v>0</v>
      </c>
      <c r="N111" s="385">
        <f t="shared" si="73"/>
        <v>0</v>
      </c>
      <c r="O111" s="100"/>
      <c r="P111" s="102">
        <f>IF('4.) Yearly Budget'!$Q$18&gt;0,'4.) Yearly Budget'!Q111,'4.) Yearly Budget'!P111)</f>
        <v>0</v>
      </c>
      <c r="Q111" s="385">
        <f t="shared" si="74"/>
        <v>0</v>
      </c>
      <c r="R111" s="100"/>
      <c r="S111" s="102">
        <f>IF('4.) Yearly Budget'!$T$18&gt;0,'4.) Yearly Budget'!T111,'4.) Yearly Budget'!S111)</f>
        <v>0</v>
      </c>
      <c r="T111" s="105">
        <f t="shared" si="75"/>
        <v>0</v>
      </c>
      <c r="U111" s="279">
        <f t="shared" si="76"/>
        <v>0</v>
      </c>
      <c r="V111" s="382">
        <f t="shared" si="77"/>
        <v>0</v>
      </c>
      <c r="W111" s="382">
        <f t="shared" si="78"/>
        <v>0</v>
      </c>
      <c r="X111" s="382">
        <f>'4.) Yearly Budget'!W111</f>
        <v>0</v>
      </c>
      <c r="Y111" s="383">
        <f t="shared" si="79"/>
        <v>0</v>
      </c>
      <c r="Z111" s="384">
        <f>SUM(IF(I$18&lt;&gt;0,'4.) Yearly Budget'!J111,0)+IF(L$18&lt;&gt;0,'4.) Yearly Budget'!M111,0)+IF(O$18&lt;&gt;0,'4.) Yearly Budget'!P111,0)+IF(R$18&lt;&gt;0,'4.) Yearly Budget'!S111,0))</f>
        <v>0</v>
      </c>
      <c r="AA111" s="384">
        <f t="shared" si="80"/>
        <v>0</v>
      </c>
      <c r="AB111" s="384">
        <f>'4.) Yearly Budget'!V111</f>
        <v>0</v>
      </c>
      <c r="AC111" s="385">
        <f t="shared" si="81"/>
        <v>0</v>
      </c>
      <c r="AD111" s="384">
        <f>IF(U$18&lt;&gt;0,'4.) Yearly Budget'!I111/$AM$18,0)</f>
        <v>0</v>
      </c>
      <c r="AE111" s="105">
        <f t="shared" si="82"/>
        <v>0</v>
      </c>
      <c r="AF111" s="293"/>
    </row>
    <row r="112" spans="1:32" s="68" customFormat="1">
      <c r="A112" s="259">
        <f t="shared" si="31"/>
        <v>112</v>
      </c>
      <c r="B112" s="96"/>
      <c r="C112" s="94"/>
      <c r="D112" s="54" t="s">
        <v>57</v>
      </c>
      <c r="E112" s="120"/>
      <c r="F112" s="120"/>
      <c r="G112" s="56"/>
      <c r="H112" s="95"/>
      <c r="I112" s="278"/>
      <c r="J112" s="102">
        <f>IF('4.) Yearly Budget'!$K$18&gt;0,'4.) Yearly Budget'!K112,'4.) Yearly Budget'!J112)</f>
        <v>0</v>
      </c>
      <c r="K112" s="385">
        <f t="shared" si="72"/>
        <v>0</v>
      </c>
      <c r="L112" s="100"/>
      <c r="M112" s="102">
        <f>IF('4.) Yearly Budget'!$N$18&gt;0,'4.) Yearly Budget'!N112,'4.) Yearly Budget'!M112)</f>
        <v>0</v>
      </c>
      <c r="N112" s="385">
        <f t="shared" si="73"/>
        <v>0</v>
      </c>
      <c r="O112" s="100"/>
      <c r="P112" s="102">
        <f>IF('4.) Yearly Budget'!$Q$18&gt;0,'4.) Yearly Budget'!Q112,'4.) Yearly Budget'!P112)</f>
        <v>0</v>
      </c>
      <c r="Q112" s="385">
        <f t="shared" si="74"/>
        <v>0</v>
      </c>
      <c r="R112" s="100"/>
      <c r="S112" s="102">
        <f>IF('4.) Yearly Budget'!$T$18&gt;0,'4.) Yearly Budget'!T112,'4.) Yearly Budget'!S112)</f>
        <v>0</v>
      </c>
      <c r="T112" s="105">
        <f t="shared" si="75"/>
        <v>0</v>
      </c>
      <c r="U112" s="279">
        <f t="shared" si="76"/>
        <v>0</v>
      </c>
      <c r="V112" s="382">
        <f t="shared" si="77"/>
        <v>0</v>
      </c>
      <c r="W112" s="382">
        <f t="shared" si="78"/>
        <v>0</v>
      </c>
      <c r="X112" s="382">
        <f>'4.) Yearly Budget'!W112</f>
        <v>0</v>
      </c>
      <c r="Y112" s="383">
        <f t="shared" si="79"/>
        <v>0</v>
      </c>
      <c r="Z112" s="384">
        <f>SUM(IF(I$18&lt;&gt;0,'4.) Yearly Budget'!J112,0)+IF(L$18&lt;&gt;0,'4.) Yearly Budget'!M112,0)+IF(O$18&lt;&gt;0,'4.) Yearly Budget'!P112,0)+IF(R$18&lt;&gt;0,'4.) Yearly Budget'!S112,0))</f>
        <v>0</v>
      </c>
      <c r="AA112" s="384">
        <f t="shared" si="80"/>
        <v>0</v>
      </c>
      <c r="AB112" s="384">
        <f>'4.) Yearly Budget'!V112</f>
        <v>0</v>
      </c>
      <c r="AC112" s="385">
        <f t="shared" si="81"/>
        <v>0</v>
      </c>
      <c r="AD112" s="384">
        <f>IF(U$18&lt;&gt;0,'4.) Yearly Budget'!I112/$AM$18,0)</f>
        <v>0</v>
      </c>
      <c r="AE112" s="105">
        <f t="shared" si="82"/>
        <v>0</v>
      </c>
      <c r="AF112" s="293"/>
    </row>
    <row r="113" spans="1:32" s="68" customFormat="1">
      <c r="A113" s="259">
        <f t="shared" si="31"/>
        <v>113</v>
      </c>
      <c r="B113" s="96"/>
      <c r="C113" s="94"/>
      <c r="D113" s="54" t="s">
        <v>16</v>
      </c>
      <c r="E113" s="120"/>
      <c r="F113" s="120"/>
      <c r="G113" s="56"/>
      <c r="H113" s="95"/>
      <c r="I113" s="278"/>
      <c r="J113" s="102">
        <f>IF('4.) Yearly Budget'!$K$18&gt;0,'4.) Yearly Budget'!K113,'4.) Yearly Budget'!J113)</f>
        <v>0</v>
      </c>
      <c r="K113" s="385">
        <f t="shared" si="72"/>
        <v>0</v>
      </c>
      <c r="L113" s="100"/>
      <c r="M113" s="102">
        <f>IF('4.) Yearly Budget'!$N$18&gt;0,'4.) Yearly Budget'!N113,'4.) Yearly Budget'!M113)</f>
        <v>0</v>
      </c>
      <c r="N113" s="385">
        <f t="shared" si="73"/>
        <v>0</v>
      </c>
      <c r="O113" s="100"/>
      <c r="P113" s="102">
        <f>IF('4.) Yearly Budget'!$Q$18&gt;0,'4.) Yearly Budget'!Q113,'4.) Yearly Budget'!P113)</f>
        <v>0</v>
      </c>
      <c r="Q113" s="385">
        <f t="shared" si="74"/>
        <v>0</v>
      </c>
      <c r="R113" s="100"/>
      <c r="S113" s="102">
        <f>IF('4.) Yearly Budget'!$T$18&gt;0,'4.) Yearly Budget'!T113,'4.) Yearly Budget'!S113)</f>
        <v>0</v>
      </c>
      <c r="T113" s="105">
        <f t="shared" si="75"/>
        <v>0</v>
      </c>
      <c r="U113" s="279">
        <f t="shared" si="76"/>
        <v>0</v>
      </c>
      <c r="V113" s="382">
        <f t="shared" si="77"/>
        <v>0</v>
      </c>
      <c r="W113" s="382">
        <f t="shared" si="78"/>
        <v>0</v>
      </c>
      <c r="X113" s="382">
        <f>'4.) Yearly Budget'!W113</f>
        <v>0</v>
      </c>
      <c r="Y113" s="383">
        <f t="shared" si="79"/>
        <v>0</v>
      </c>
      <c r="Z113" s="384">
        <f>SUM(IF(I$18&lt;&gt;0,'4.) Yearly Budget'!J113,0)+IF(L$18&lt;&gt;0,'4.) Yearly Budget'!M113,0)+IF(O$18&lt;&gt;0,'4.) Yearly Budget'!P113,0)+IF(R$18&lt;&gt;0,'4.) Yearly Budget'!S113,0))</f>
        <v>0</v>
      </c>
      <c r="AA113" s="384">
        <f t="shared" si="80"/>
        <v>0</v>
      </c>
      <c r="AB113" s="384">
        <f>'4.) Yearly Budget'!V113</f>
        <v>0</v>
      </c>
      <c r="AC113" s="385">
        <f t="shared" si="81"/>
        <v>0</v>
      </c>
      <c r="AD113" s="384">
        <f>IF(U$18&lt;&gt;0,'4.) Yearly Budget'!I113/$AM$18,0)</f>
        <v>0</v>
      </c>
      <c r="AE113" s="105">
        <f t="shared" si="82"/>
        <v>0</v>
      </c>
      <c r="AF113" s="293"/>
    </row>
    <row r="114" spans="1:32" s="68" customFormat="1">
      <c r="A114" s="259">
        <f t="shared" si="31"/>
        <v>114</v>
      </c>
      <c r="B114" s="96"/>
      <c r="C114" s="94"/>
      <c r="D114" s="54" t="s">
        <v>17</v>
      </c>
      <c r="E114" s="120"/>
      <c r="F114" s="120"/>
      <c r="G114" s="56"/>
      <c r="H114" s="95"/>
      <c r="I114" s="278"/>
      <c r="J114" s="102">
        <f>IF('4.) Yearly Budget'!$K$18&gt;0,'4.) Yearly Budget'!K114,'4.) Yearly Budget'!J114)</f>
        <v>0</v>
      </c>
      <c r="K114" s="385">
        <f t="shared" si="72"/>
        <v>0</v>
      </c>
      <c r="L114" s="100"/>
      <c r="M114" s="102">
        <f>IF('4.) Yearly Budget'!$N$18&gt;0,'4.) Yearly Budget'!N114,'4.) Yearly Budget'!M114)</f>
        <v>0</v>
      </c>
      <c r="N114" s="385">
        <f t="shared" si="73"/>
        <v>0</v>
      </c>
      <c r="O114" s="100"/>
      <c r="P114" s="102">
        <f>IF('4.) Yearly Budget'!$Q$18&gt;0,'4.) Yearly Budget'!Q114,'4.) Yearly Budget'!P114)</f>
        <v>0</v>
      </c>
      <c r="Q114" s="385">
        <f t="shared" si="74"/>
        <v>0</v>
      </c>
      <c r="R114" s="100"/>
      <c r="S114" s="102">
        <f>IF('4.) Yearly Budget'!$T$18&gt;0,'4.) Yearly Budget'!T114,'4.) Yearly Budget'!S114)</f>
        <v>0</v>
      </c>
      <c r="T114" s="105">
        <f t="shared" si="75"/>
        <v>0</v>
      </c>
      <c r="U114" s="279">
        <f t="shared" si="76"/>
        <v>0</v>
      </c>
      <c r="V114" s="382">
        <f t="shared" si="77"/>
        <v>0</v>
      </c>
      <c r="W114" s="382">
        <f t="shared" si="78"/>
        <v>0</v>
      </c>
      <c r="X114" s="382">
        <f>'4.) Yearly Budget'!W114</f>
        <v>0</v>
      </c>
      <c r="Y114" s="383">
        <f t="shared" si="79"/>
        <v>0</v>
      </c>
      <c r="Z114" s="384">
        <f>SUM(IF(I$18&lt;&gt;0,'4.) Yearly Budget'!J114,0)+IF(L$18&lt;&gt;0,'4.) Yearly Budget'!M114,0)+IF(O$18&lt;&gt;0,'4.) Yearly Budget'!P114,0)+IF(R$18&lt;&gt;0,'4.) Yearly Budget'!S114,0))</f>
        <v>0</v>
      </c>
      <c r="AA114" s="384">
        <f t="shared" si="80"/>
        <v>0</v>
      </c>
      <c r="AB114" s="384">
        <f>'4.) Yearly Budget'!V114</f>
        <v>0</v>
      </c>
      <c r="AC114" s="385">
        <f t="shared" si="81"/>
        <v>0</v>
      </c>
      <c r="AD114" s="384">
        <f>IF(U$18&lt;&gt;0,'4.) Yearly Budget'!I114/$AM$18,0)</f>
        <v>0</v>
      </c>
      <c r="AE114" s="105">
        <f t="shared" si="82"/>
        <v>0</v>
      </c>
      <c r="AF114" s="293"/>
    </row>
    <row r="115" spans="1:32" s="68" customFormat="1">
      <c r="A115" s="259">
        <f t="shared" si="31"/>
        <v>115</v>
      </c>
      <c r="B115" s="96"/>
      <c r="C115" s="94"/>
      <c r="D115" s="54" t="s">
        <v>68</v>
      </c>
      <c r="E115" s="120"/>
      <c r="F115" s="120"/>
      <c r="G115" s="56"/>
      <c r="H115" s="95"/>
      <c r="I115" s="278"/>
      <c r="J115" s="102">
        <f>IF('4.) Yearly Budget'!$K$18&gt;0,'4.) Yearly Budget'!K115,'4.) Yearly Budget'!J115)</f>
        <v>0</v>
      </c>
      <c r="K115" s="385">
        <f t="shared" si="72"/>
        <v>0</v>
      </c>
      <c r="L115" s="100"/>
      <c r="M115" s="102">
        <f>IF('4.) Yearly Budget'!$N$18&gt;0,'4.) Yearly Budget'!N115,'4.) Yearly Budget'!M115)</f>
        <v>0</v>
      </c>
      <c r="N115" s="385">
        <f t="shared" si="73"/>
        <v>0</v>
      </c>
      <c r="O115" s="100"/>
      <c r="P115" s="102">
        <f>IF('4.) Yearly Budget'!$Q$18&gt;0,'4.) Yearly Budget'!Q115,'4.) Yearly Budget'!P115)</f>
        <v>0</v>
      </c>
      <c r="Q115" s="385">
        <f t="shared" si="74"/>
        <v>0</v>
      </c>
      <c r="R115" s="100"/>
      <c r="S115" s="102">
        <f>IF('4.) Yearly Budget'!$T$18&gt;0,'4.) Yearly Budget'!T115,'4.) Yearly Budget'!S115)</f>
        <v>0</v>
      </c>
      <c r="T115" s="105">
        <f t="shared" si="75"/>
        <v>0</v>
      </c>
      <c r="U115" s="279">
        <f t="shared" si="76"/>
        <v>0</v>
      </c>
      <c r="V115" s="382">
        <f t="shared" si="77"/>
        <v>0</v>
      </c>
      <c r="W115" s="382">
        <f t="shared" si="78"/>
        <v>0</v>
      </c>
      <c r="X115" s="382">
        <f>'4.) Yearly Budget'!W115</f>
        <v>0</v>
      </c>
      <c r="Y115" s="383">
        <f t="shared" si="79"/>
        <v>0</v>
      </c>
      <c r="Z115" s="384">
        <f>SUM(IF(I$18&lt;&gt;0,'4.) Yearly Budget'!J115,0)+IF(L$18&lt;&gt;0,'4.) Yearly Budget'!M115,0)+IF(O$18&lt;&gt;0,'4.) Yearly Budget'!P115,0)+IF(R$18&lt;&gt;0,'4.) Yearly Budget'!S115,0))</f>
        <v>0</v>
      </c>
      <c r="AA115" s="384">
        <f t="shared" si="80"/>
        <v>0</v>
      </c>
      <c r="AB115" s="384">
        <f>'4.) Yearly Budget'!V115</f>
        <v>0</v>
      </c>
      <c r="AC115" s="385">
        <f t="shared" si="81"/>
        <v>0</v>
      </c>
      <c r="AD115" s="384">
        <f>IF(U$18&lt;&gt;0,'4.) Yearly Budget'!I115/$AM$18,0)</f>
        <v>0</v>
      </c>
      <c r="AE115" s="105">
        <f t="shared" si="82"/>
        <v>0</v>
      </c>
      <c r="AF115" s="293"/>
    </row>
    <row r="116" spans="1:32" s="68" customFormat="1" ht="16.8">
      <c r="A116" s="259">
        <f t="shared" si="31"/>
        <v>116</v>
      </c>
      <c r="B116" s="96"/>
      <c r="C116" s="94"/>
      <c r="D116" s="50" t="s">
        <v>67</v>
      </c>
      <c r="E116" s="120"/>
      <c r="F116" s="120"/>
      <c r="G116" s="56"/>
      <c r="H116" s="95"/>
      <c r="I116" s="286"/>
      <c r="J116" s="573">
        <f>IF('4.) Yearly Budget'!$K$18&gt;0,'4.) Yearly Budget'!K116,'4.) Yearly Budget'!J116)</f>
        <v>0</v>
      </c>
      <c r="K116" s="396">
        <f t="shared" si="72"/>
        <v>0</v>
      </c>
      <c r="L116" s="106"/>
      <c r="M116" s="573">
        <f>IF('4.) Yearly Budget'!$N$18&gt;0,'4.) Yearly Budget'!N116,'4.) Yearly Budget'!M116)</f>
        <v>0</v>
      </c>
      <c r="N116" s="396">
        <f t="shared" si="73"/>
        <v>0</v>
      </c>
      <c r="O116" s="106"/>
      <c r="P116" s="573">
        <f>IF('4.) Yearly Budget'!$Q$18&gt;0,'4.) Yearly Budget'!Q116,'4.) Yearly Budget'!P116)</f>
        <v>0</v>
      </c>
      <c r="Q116" s="396">
        <f t="shared" si="74"/>
        <v>0</v>
      </c>
      <c r="R116" s="106"/>
      <c r="S116" s="573">
        <f>IF('4.) Yearly Budget'!$T$18&gt;0,'4.) Yearly Budget'!T116,'4.) Yearly Budget'!S116)</f>
        <v>0</v>
      </c>
      <c r="T116" s="392">
        <f t="shared" si="75"/>
        <v>0</v>
      </c>
      <c r="U116" s="287">
        <f t="shared" si="76"/>
        <v>0</v>
      </c>
      <c r="V116" s="393">
        <f t="shared" si="77"/>
        <v>0</v>
      </c>
      <c r="W116" s="393">
        <f t="shared" si="78"/>
        <v>0</v>
      </c>
      <c r="X116" s="393">
        <f>'4.) Yearly Budget'!W116</f>
        <v>0</v>
      </c>
      <c r="Y116" s="394">
        <f t="shared" si="79"/>
        <v>0</v>
      </c>
      <c r="Z116" s="395">
        <f>SUM(IF(I$18&lt;&gt;0,'4.) Yearly Budget'!J116,0)+IF(L$18&lt;&gt;0,'4.) Yearly Budget'!M116,0)+IF(O$18&lt;&gt;0,'4.) Yearly Budget'!P116,0)+IF(R$18&lt;&gt;0,'4.) Yearly Budget'!S116,0))</f>
        <v>0</v>
      </c>
      <c r="AA116" s="395">
        <f t="shared" si="80"/>
        <v>0</v>
      </c>
      <c r="AB116" s="395">
        <f>'4.) Yearly Budget'!V116</f>
        <v>0</v>
      </c>
      <c r="AC116" s="396">
        <f t="shared" si="81"/>
        <v>0</v>
      </c>
      <c r="AD116" s="395">
        <f>IF(U$18&lt;&gt;0,'4.) Yearly Budget'!I116/$AM$18,0)</f>
        <v>0</v>
      </c>
      <c r="AE116" s="392">
        <f t="shared" si="82"/>
        <v>0</v>
      </c>
      <c r="AF116" s="293"/>
    </row>
    <row r="117" spans="1:32" s="68" customFormat="1" ht="15.6" thickBot="1">
      <c r="A117" s="259">
        <f t="shared" si="31"/>
        <v>117</v>
      </c>
      <c r="B117" s="457"/>
      <c r="C117" s="458" t="s">
        <v>86</v>
      </c>
      <c r="D117" s="459"/>
      <c r="E117" s="460"/>
      <c r="F117" s="460"/>
      <c r="G117" s="461"/>
      <c r="H117" s="462"/>
      <c r="I117" s="463">
        <f t="shared" ref="I117:AE117" si="83">SUM(I108:I116)</f>
        <v>0</v>
      </c>
      <c r="J117" s="464">
        <f t="shared" si="83"/>
        <v>0</v>
      </c>
      <c r="K117" s="465">
        <f t="shared" si="83"/>
        <v>0</v>
      </c>
      <c r="L117" s="466">
        <f t="shared" si="83"/>
        <v>0</v>
      </c>
      <c r="M117" s="464">
        <f t="shared" si="83"/>
        <v>0</v>
      </c>
      <c r="N117" s="465">
        <f t="shared" si="83"/>
        <v>0</v>
      </c>
      <c r="O117" s="466">
        <f t="shared" si="83"/>
        <v>0</v>
      </c>
      <c r="P117" s="464">
        <f t="shared" si="83"/>
        <v>0</v>
      </c>
      <c r="Q117" s="465">
        <f t="shared" si="83"/>
        <v>0</v>
      </c>
      <c r="R117" s="466">
        <f t="shared" si="83"/>
        <v>0</v>
      </c>
      <c r="S117" s="464">
        <f t="shared" si="83"/>
        <v>0</v>
      </c>
      <c r="T117" s="467">
        <f t="shared" si="83"/>
        <v>0</v>
      </c>
      <c r="U117" s="468">
        <f t="shared" si="83"/>
        <v>0</v>
      </c>
      <c r="V117" s="464">
        <f t="shared" si="83"/>
        <v>0</v>
      </c>
      <c r="W117" s="464">
        <f t="shared" si="83"/>
        <v>0</v>
      </c>
      <c r="X117" s="464">
        <f t="shared" si="83"/>
        <v>0</v>
      </c>
      <c r="Y117" s="469">
        <f t="shared" si="83"/>
        <v>0</v>
      </c>
      <c r="Z117" s="466">
        <f t="shared" si="83"/>
        <v>0</v>
      </c>
      <c r="AA117" s="466">
        <f t="shared" si="83"/>
        <v>0</v>
      </c>
      <c r="AB117" s="466">
        <f t="shared" si="83"/>
        <v>0</v>
      </c>
      <c r="AC117" s="465">
        <f t="shared" si="83"/>
        <v>0</v>
      </c>
      <c r="AD117" s="466">
        <f t="shared" si="83"/>
        <v>0</v>
      </c>
      <c r="AE117" s="470">
        <f t="shared" si="83"/>
        <v>0</v>
      </c>
      <c r="AF117" s="471"/>
    </row>
    <row r="118" spans="1:32" s="68" customFormat="1" ht="7.5" customHeight="1">
      <c r="A118" s="259">
        <f t="shared" si="31"/>
        <v>118</v>
      </c>
      <c r="B118" s="96"/>
      <c r="C118" s="94"/>
      <c r="D118" s="120"/>
      <c r="E118" s="120"/>
      <c r="F118" s="120"/>
      <c r="G118" s="56"/>
      <c r="H118" s="95"/>
      <c r="I118" s="95"/>
      <c r="J118" s="95"/>
      <c r="K118" s="95"/>
      <c r="L118" s="95"/>
      <c r="M118" s="95"/>
      <c r="N118" s="95"/>
      <c r="O118" s="95"/>
      <c r="P118" s="95"/>
      <c r="Q118" s="95"/>
      <c r="R118" s="95"/>
      <c r="S118" s="95"/>
      <c r="T118" s="118"/>
      <c r="U118" s="95"/>
      <c r="V118" s="95"/>
      <c r="W118" s="95"/>
      <c r="X118" s="95"/>
      <c r="Y118" s="95"/>
      <c r="Z118" s="95"/>
      <c r="AA118" s="95"/>
      <c r="AB118" s="95"/>
      <c r="AC118" s="95"/>
      <c r="AD118" s="95"/>
      <c r="AE118" s="118"/>
      <c r="AF118" s="293"/>
    </row>
    <row r="119" spans="1:32" s="68" customFormat="1">
      <c r="A119" s="259">
        <f t="shared" si="31"/>
        <v>119</v>
      </c>
      <c r="B119" s="96"/>
      <c r="C119" s="119" t="s">
        <v>87</v>
      </c>
      <c r="D119" s="120"/>
      <c r="E119" s="120"/>
      <c r="F119" s="120"/>
      <c r="G119" s="56"/>
      <c r="H119" s="95"/>
      <c r="I119" s="98"/>
      <c r="J119" s="98"/>
      <c r="K119" s="98"/>
      <c r="L119" s="98"/>
      <c r="M119" s="98"/>
      <c r="N119" s="98"/>
      <c r="O119" s="98"/>
      <c r="P119" s="98"/>
      <c r="Q119" s="98"/>
      <c r="R119" s="98"/>
      <c r="S119" s="98"/>
      <c r="T119" s="99"/>
      <c r="U119" s="95"/>
      <c r="V119" s="95"/>
      <c r="W119" s="95"/>
      <c r="X119" s="95"/>
      <c r="Y119" s="95"/>
      <c r="Z119" s="95"/>
      <c r="AA119" s="95"/>
      <c r="AB119" s="95"/>
      <c r="AC119" s="95"/>
      <c r="AD119" s="95"/>
      <c r="AE119" s="118"/>
      <c r="AF119" s="293"/>
    </row>
    <row r="120" spans="1:32" s="68" customFormat="1">
      <c r="A120" s="259">
        <f t="shared" si="31"/>
        <v>120</v>
      </c>
      <c r="B120" s="96"/>
      <c r="C120" s="94"/>
      <c r="D120" s="54" t="s">
        <v>1</v>
      </c>
      <c r="E120" s="50"/>
      <c r="F120" s="50"/>
      <c r="G120" s="59"/>
      <c r="H120" s="95"/>
      <c r="I120" s="278"/>
      <c r="J120" s="102">
        <f>IF('4.) Yearly Budget'!$K$18&gt;0,'4.) Yearly Budget'!K120,'4.) Yearly Budget'!J120)</f>
        <v>0</v>
      </c>
      <c r="K120" s="385">
        <f t="shared" ref="K120:K139" si="84">IF(I$18&lt;&gt;0,J120-I120,0)</f>
        <v>0</v>
      </c>
      <c r="L120" s="100"/>
      <c r="M120" s="102">
        <f>IF('4.) Yearly Budget'!$N$18&gt;0,'4.) Yearly Budget'!N120,'4.) Yearly Budget'!M120)</f>
        <v>0</v>
      </c>
      <c r="N120" s="385">
        <f t="shared" ref="N120:N139" si="85">IF(L$18&lt;&gt;0,M120-L120,0)</f>
        <v>0</v>
      </c>
      <c r="O120" s="100"/>
      <c r="P120" s="102">
        <f>IF('4.) Yearly Budget'!$Q$18&gt;0,'4.) Yearly Budget'!Q120,'4.) Yearly Budget'!P120)</f>
        <v>0</v>
      </c>
      <c r="Q120" s="385">
        <f t="shared" ref="Q120:Q139" si="86">IF(O$18&lt;&gt;0,P120-O120,0)</f>
        <v>0</v>
      </c>
      <c r="R120" s="100"/>
      <c r="S120" s="102">
        <f>IF('4.) Yearly Budget'!$T$18&gt;0,'4.) Yearly Budget'!T120,'4.) Yearly Budget'!S120)</f>
        <v>0</v>
      </c>
      <c r="T120" s="105">
        <f t="shared" ref="T120:T139" si="87">IF(R$18&lt;&gt;0,S120-R120,0)</f>
        <v>0</v>
      </c>
      <c r="U120" s="279">
        <f t="shared" ref="U120:U139" si="88">IF(I$18&lt;&gt;0,I120,0)+IF(L$18&lt;&gt;0,L120,0)+IF(O$18&lt;&gt;0,O120,0)+IF(R$18&lt;&gt;0,R120,0)</f>
        <v>0</v>
      </c>
      <c r="V120" s="382">
        <f t="shared" ref="V120:V139" si="89">SUM(IF(I$18&lt;&gt;0,J120,0)+IF(L$18&lt;&gt;0,M120,0)+IF(O$18&lt;&gt;0,P120,0)+IF(R$18&lt;&gt;0,S120,0))</f>
        <v>0</v>
      </c>
      <c r="W120" s="382">
        <f t="shared" ref="W120:W139" si="90">V120-U120</f>
        <v>0</v>
      </c>
      <c r="X120" s="382">
        <f>'4.) Yearly Budget'!W120</f>
        <v>0</v>
      </c>
      <c r="Y120" s="383">
        <f t="shared" ref="Y120:Y139" si="91">IF(U120&lt;&gt;0,X120-U120,IF(U120=0,X120,0))</f>
        <v>0</v>
      </c>
      <c r="Z120" s="384">
        <f>SUM(IF(I$18&lt;&gt;0,'4.) Yearly Budget'!J120,0)+IF(L$18&lt;&gt;0,'4.) Yearly Budget'!M120,0)+IF(O$18&lt;&gt;0,'4.) Yearly Budget'!P120,0)+IF(R$18&lt;&gt;0,'4.) Yearly Budget'!S120,0))</f>
        <v>0</v>
      </c>
      <c r="AA120" s="384">
        <f t="shared" ref="AA120:AA139" si="92">Z120-U120</f>
        <v>0</v>
      </c>
      <c r="AB120" s="384">
        <f>'4.) Yearly Budget'!V120</f>
        <v>0</v>
      </c>
      <c r="AC120" s="385">
        <f t="shared" ref="AC120:AC139" si="93">IF(U120&lt;&gt;0,AB120-U120,IF(U120=0,AB120,0))</f>
        <v>0</v>
      </c>
      <c r="AD120" s="384">
        <f>IF(U$18&lt;&gt;0,'4.) Yearly Budget'!I120/$AM$18,0)</f>
        <v>0</v>
      </c>
      <c r="AE120" s="105">
        <f t="shared" ref="AE120:AE139" si="94">AD120-U120</f>
        <v>0</v>
      </c>
      <c r="AF120" s="293"/>
    </row>
    <row r="121" spans="1:32" s="68" customFormat="1">
      <c r="A121" s="259">
        <f t="shared" si="31"/>
        <v>121</v>
      </c>
      <c r="B121" s="96"/>
      <c r="C121" s="94"/>
      <c r="D121" s="54" t="s">
        <v>71</v>
      </c>
      <c r="E121" s="50"/>
      <c r="F121" s="50"/>
      <c r="G121" s="59"/>
      <c r="H121" s="95"/>
      <c r="I121" s="278"/>
      <c r="J121" s="102">
        <f>IF('4.) Yearly Budget'!$K$18&gt;0,'4.) Yearly Budget'!K121,'4.) Yearly Budget'!J121)</f>
        <v>0</v>
      </c>
      <c r="K121" s="385">
        <f t="shared" si="84"/>
        <v>0</v>
      </c>
      <c r="L121" s="100"/>
      <c r="M121" s="102">
        <f>IF('4.) Yearly Budget'!$N$18&gt;0,'4.) Yearly Budget'!N121,'4.) Yearly Budget'!M121)</f>
        <v>0</v>
      </c>
      <c r="N121" s="385">
        <f t="shared" si="85"/>
        <v>0</v>
      </c>
      <c r="O121" s="100"/>
      <c r="P121" s="102">
        <f>IF('4.) Yearly Budget'!$Q$18&gt;0,'4.) Yearly Budget'!Q121,'4.) Yearly Budget'!P121)</f>
        <v>0</v>
      </c>
      <c r="Q121" s="385">
        <f t="shared" si="86"/>
        <v>0</v>
      </c>
      <c r="R121" s="100"/>
      <c r="S121" s="102">
        <f>IF('4.) Yearly Budget'!$T$18&gt;0,'4.) Yearly Budget'!T121,'4.) Yearly Budget'!S121)</f>
        <v>0</v>
      </c>
      <c r="T121" s="105">
        <f t="shared" si="87"/>
        <v>0</v>
      </c>
      <c r="U121" s="279">
        <f t="shared" si="88"/>
        <v>0</v>
      </c>
      <c r="V121" s="382">
        <f t="shared" si="89"/>
        <v>0</v>
      </c>
      <c r="W121" s="382">
        <f t="shared" si="90"/>
        <v>0</v>
      </c>
      <c r="X121" s="382">
        <f>'4.) Yearly Budget'!W121</f>
        <v>0</v>
      </c>
      <c r="Y121" s="383">
        <f t="shared" si="91"/>
        <v>0</v>
      </c>
      <c r="Z121" s="384">
        <f>SUM(IF(I$18&lt;&gt;0,'4.) Yearly Budget'!J121,0)+IF(L$18&lt;&gt;0,'4.) Yearly Budget'!M121,0)+IF(O$18&lt;&gt;0,'4.) Yearly Budget'!P121,0)+IF(R$18&lt;&gt;0,'4.) Yearly Budget'!S121,0))</f>
        <v>0</v>
      </c>
      <c r="AA121" s="384">
        <f t="shared" si="92"/>
        <v>0</v>
      </c>
      <c r="AB121" s="384">
        <f>'4.) Yearly Budget'!V121</f>
        <v>0</v>
      </c>
      <c r="AC121" s="385">
        <f t="shared" si="93"/>
        <v>0</v>
      </c>
      <c r="AD121" s="384">
        <f>IF(U$18&lt;&gt;0,'4.) Yearly Budget'!I121/$AM$18,0)</f>
        <v>0</v>
      </c>
      <c r="AE121" s="105">
        <f t="shared" si="94"/>
        <v>0</v>
      </c>
      <c r="AF121" s="293"/>
    </row>
    <row r="122" spans="1:32" s="68" customFormat="1">
      <c r="A122" s="259">
        <f t="shared" si="31"/>
        <v>122</v>
      </c>
      <c r="B122" s="96"/>
      <c r="C122" s="94"/>
      <c r="D122" s="54" t="s">
        <v>64</v>
      </c>
      <c r="E122" s="50"/>
      <c r="F122" s="50"/>
      <c r="G122" s="59"/>
      <c r="H122" s="95"/>
      <c r="I122" s="278"/>
      <c r="J122" s="102">
        <f>IF('4.) Yearly Budget'!$K$18&gt;0,'4.) Yearly Budget'!K122,'4.) Yearly Budget'!J122)</f>
        <v>0</v>
      </c>
      <c r="K122" s="385">
        <f t="shared" si="84"/>
        <v>0</v>
      </c>
      <c r="L122" s="100"/>
      <c r="M122" s="102">
        <f>IF('4.) Yearly Budget'!$N$18&gt;0,'4.) Yearly Budget'!N122,'4.) Yearly Budget'!M122)</f>
        <v>0</v>
      </c>
      <c r="N122" s="385">
        <f t="shared" si="85"/>
        <v>0</v>
      </c>
      <c r="O122" s="100"/>
      <c r="P122" s="102">
        <f>IF('4.) Yearly Budget'!$Q$18&gt;0,'4.) Yearly Budget'!Q122,'4.) Yearly Budget'!P122)</f>
        <v>0</v>
      </c>
      <c r="Q122" s="385">
        <f t="shared" si="86"/>
        <v>0</v>
      </c>
      <c r="R122" s="100"/>
      <c r="S122" s="102">
        <f>IF('4.) Yearly Budget'!$T$18&gt;0,'4.) Yearly Budget'!T122,'4.) Yearly Budget'!S122)</f>
        <v>0</v>
      </c>
      <c r="T122" s="105">
        <f t="shared" si="87"/>
        <v>0</v>
      </c>
      <c r="U122" s="279">
        <f t="shared" si="88"/>
        <v>0</v>
      </c>
      <c r="V122" s="382">
        <f t="shared" si="89"/>
        <v>0</v>
      </c>
      <c r="W122" s="382">
        <f t="shared" si="90"/>
        <v>0</v>
      </c>
      <c r="X122" s="382">
        <f>'4.) Yearly Budget'!W122</f>
        <v>0</v>
      </c>
      <c r="Y122" s="383">
        <f t="shared" si="91"/>
        <v>0</v>
      </c>
      <c r="Z122" s="384">
        <f>SUM(IF(I$18&lt;&gt;0,'4.) Yearly Budget'!J122,0)+IF(L$18&lt;&gt;0,'4.) Yearly Budget'!M122,0)+IF(O$18&lt;&gt;0,'4.) Yearly Budget'!P122,0)+IF(R$18&lt;&gt;0,'4.) Yearly Budget'!S122,0))</f>
        <v>0</v>
      </c>
      <c r="AA122" s="384">
        <f t="shared" si="92"/>
        <v>0</v>
      </c>
      <c r="AB122" s="384">
        <f>'4.) Yearly Budget'!V122</f>
        <v>0</v>
      </c>
      <c r="AC122" s="385">
        <f t="shared" si="93"/>
        <v>0</v>
      </c>
      <c r="AD122" s="384">
        <f>IF(U$18&lt;&gt;0,'4.) Yearly Budget'!I122/$AM$18,0)</f>
        <v>0</v>
      </c>
      <c r="AE122" s="105">
        <f t="shared" si="94"/>
        <v>0</v>
      </c>
      <c r="AF122" s="293"/>
    </row>
    <row r="123" spans="1:32" s="68" customFormat="1">
      <c r="A123" s="259">
        <f t="shared" si="31"/>
        <v>123</v>
      </c>
      <c r="B123" s="96"/>
      <c r="C123" s="94"/>
      <c r="D123" s="54" t="s">
        <v>70</v>
      </c>
      <c r="E123" s="50"/>
      <c r="F123" s="50"/>
      <c r="G123" s="59"/>
      <c r="H123" s="95"/>
      <c r="I123" s="278"/>
      <c r="J123" s="102">
        <f>IF('4.) Yearly Budget'!$K$18&gt;0,'4.) Yearly Budget'!K123,'4.) Yearly Budget'!J123)</f>
        <v>0</v>
      </c>
      <c r="K123" s="385">
        <f t="shared" si="84"/>
        <v>0</v>
      </c>
      <c r="L123" s="100"/>
      <c r="M123" s="102">
        <f>IF('4.) Yearly Budget'!$N$18&gt;0,'4.) Yearly Budget'!N123,'4.) Yearly Budget'!M123)</f>
        <v>0</v>
      </c>
      <c r="N123" s="385">
        <f t="shared" si="85"/>
        <v>0</v>
      </c>
      <c r="O123" s="100"/>
      <c r="P123" s="102">
        <f>IF('4.) Yearly Budget'!$Q$18&gt;0,'4.) Yearly Budget'!Q123,'4.) Yearly Budget'!P123)</f>
        <v>0</v>
      </c>
      <c r="Q123" s="385">
        <f t="shared" si="86"/>
        <v>0</v>
      </c>
      <c r="R123" s="100"/>
      <c r="S123" s="102">
        <f>IF('4.) Yearly Budget'!$T$18&gt;0,'4.) Yearly Budget'!T123,'4.) Yearly Budget'!S123)</f>
        <v>0</v>
      </c>
      <c r="T123" s="105">
        <f t="shared" si="87"/>
        <v>0</v>
      </c>
      <c r="U123" s="279">
        <f t="shared" si="88"/>
        <v>0</v>
      </c>
      <c r="V123" s="382">
        <f t="shared" si="89"/>
        <v>0</v>
      </c>
      <c r="W123" s="382">
        <f t="shared" si="90"/>
        <v>0</v>
      </c>
      <c r="X123" s="382">
        <f>'4.) Yearly Budget'!W123</f>
        <v>0</v>
      </c>
      <c r="Y123" s="383">
        <f t="shared" si="91"/>
        <v>0</v>
      </c>
      <c r="Z123" s="384">
        <f>SUM(IF(I$18&lt;&gt;0,'4.) Yearly Budget'!J123,0)+IF(L$18&lt;&gt;0,'4.) Yearly Budget'!M123,0)+IF(O$18&lt;&gt;0,'4.) Yearly Budget'!P123,0)+IF(R$18&lt;&gt;0,'4.) Yearly Budget'!S123,0))</f>
        <v>0</v>
      </c>
      <c r="AA123" s="384">
        <f t="shared" si="92"/>
        <v>0</v>
      </c>
      <c r="AB123" s="384">
        <f>'4.) Yearly Budget'!V123</f>
        <v>0</v>
      </c>
      <c r="AC123" s="385">
        <f t="shared" si="93"/>
        <v>0</v>
      </c>
      <c r="AD123" s="384">
        <f>IF(U$18&lt;&gt;0,'4.) Yearly Budget'!I123/$AM$18,0)</f>
        <v>0</v>
      </c>
      <c r="AE123" s="105">
        <f t="shared" si="94"/>
        <v>0</v>
      </c>
      <c r="AF123" s="293"/>
    </row>
    <row r="124" spans="1:32" s="68" customFormat="1">
      <c r="A124" s="259">
        <f t="shared" si="31"/>
        <v>124</v>
      </c>
      <c r="B124" s="96"/>
      <c r="C124" s="94"/>
      <c r="D124" s="50" t="s">
        <v>72</v>
      </c>
      <c r="E124" s="50"/>
      <c r="F124" s="50"/>
      <c r="G124" s="59"/>
      <c r="H124" s="95"/>
      <c r="I124" s="278"/>
      <c r="J124" s="102">
        <f>IF('4.) Yearly Budget'!$K$18&gt;0,'4.) Yearly Budget'!K124,'4.) Yearly Budget'!J124)</f>
        <v>0</v>
      </c>
      <c r="K124" s="385">
        <f t="shared" si="84"/>
        <v>0</v>
      </c>
      <c r="L124" s="100"/>
      <c r="M124" s="102">
        <f>IF('4.) Yearly Budget'!$N$18&gt;0,'4.) Yearly Budget'!N124,'4.) Yearly Budget'!M124)</f>
        <v>0</v>
      </c>
      <c r="N124" s="385">
        <f t="shared" si="85"/>
        <v>0</v>
      </c>
      <c r="O124" s="100"/>
      <c r="P124" s="102">
        <f>IF('4.) Yearly Budget'!$Q$18&gt;0,'4.) Yearly Budget'!Q124,'4.) Yearly Budget'!P124)</f>
        <v>0</v>
      </c>
      <c r="Q124" s="385">
        <f t="shared" si="86"/>
        <v>0</v>
      </c>
      <c r="R124" s="100"/>
      <c r="S124" s="102">
        <f>IF('4.) Yearly Budget'!$T$18&gt;0,'4.) Yearly Budget'!T124,'4.) Yearly Budget'!S124)</f>
        <v>0</v>
      </c>
      <c r="T124" s="105">
        <f t="shared" si="87"/>
        <v>0</v>
      </c>
      <c r="U124" s="279">
        <f t="shared" si="88"/>
        <v>0</v>
      </c>
      <c r="V124" s="382">
        <f t="shared" si="89"/>
        <v>0</v>
      </c>
      <c r="W124" s="382">
        <f t="shared" si="90"/>
        <v>0</v>
      </c>
      <c r="X124" s="382">
        <f>'4.) Yearly Budget'!W124</f>
        <v>0</v>
      </c>
      <c r="Y124" s="383">
        <f t="shared" si="91"/>
        <v>0</v>
      </c>
      <c r="Z124" s="384">
        <f>SUM(IF(I$18&lt;&gt;0,'4.) Yearly Budget'!J124,0)+IF(L$18&lt;&gt;0,'4.) Yearly Budget'!M124,0)+IF(O$18&lt;&gt;0,'4.) Yearly Budget'!P124,0)+IF(R$18&lt;&gt;0,'4.) Yearly Budget'!S124,0))</f>
        <v>0</v>
      </c>
      <c r="AA124" s="384">
        <f t="shared" si="92"/>
        <v>0</v>
      </c>
      <c r="AB124" s="384">
        <f>'4.) Yearly Budget'!V124</f>
        <v>0</v>
      </c>
      <c r="AC124" s="385">
        <f t="shared" si="93"/>
        <v>0</v>
      </c>
      <c r="AD124" s="384">
        <f>IF(U$18&lt;&gt;0,'4.) Yearly Budget'!I124/$AM$18,0)</f>
        <v>0</v>
      </c>
      <c r="AE124" s="105">
        <f t="shared" si="94"/>
        <v>0</v>
      </c>
      <c r="AF124" s="293"/>
    </row>
    <row r="125" spans="1:32" s="68" customFormat="1">
      <c r="A125" s="259">
        <f t="shared" si="31"/>
        <v>125</v>
      </c>
      <c r="B125" s="96"/>
      <c r="C125" s="94"/>
      <c r="D125" s="50" t="s">
        <v>56</v>
      </c>
      <c r="E125" s="50"/>
      <c r="F125" s="50"/>
      <c r="G125" s="59"/>
      <c r="H125" s="95"/>
      <c r="I125" s="278"/>
      <c r="J125" s="102">
        <f>IF('4.) Yearly Budget'!$K$18&gt;0,'4.) Yearly Budget'!K125,'4.) Yearly Budget'!J125)</f>
        <v>0</v>
      </c>
      <c r="K125" s="385">
        <f t="shared" si="84"/>
        <v>0</v>
      </c>
      <c r="L125" s="100"/>
      <c r="M125" s="102">
        <f>IF('4.) Yearly Budget'!$N$18&gt;0,'4.) Yearly Budget'!N125,'4.) Yearly Budget'!M125)</f>
        <v>0</v>
      </c>
      <c r="N125" s="385">
        <f t="shared" si="85"/>
        <v>0</v>
      </c>
      <c r="O125" s="100"/>
      <c r="P125" s="102">
        <f>IF('4.) Yearly Budget'!$Q$18&gt;0,'4.) Yearly Budget'!Q125,'4.) Yearly Budget'!P125)</f>
        <v>0</v>
      </c>
      <c r="Q125" s="385">
        <f t="shared" si="86"/>
        <v>0</v>
      </c>
      <c r="R125" s="100"/>
      <c r="S125" s="102">
        <f>IF('4.) Yearly Budget'!$T$18&gt;0,'4.) Yearly Budget'!T125,'4.) Yearly Budget'!S125)</f>
        <v>0</v>
      </c>
      <c r="T125" s="105">
        <f t="shared" si="87"/>
        <v>0</v>
      </c>
      <c r="U125" s="279">
        <f t="shared" si="88"/>
        <v>0</v>
      </c>
      <c r="V125" s="382">
        <f t="shared" si="89"/>
        <v>0</v>
      </c>
      <c r="W125" s="382">
        <f t="shared" si="90"/>
        <v>0</v>
      </c>
      <c r="X125" s="382">
        <f>'4.) Yearly Budget'!W125</f>
        <v>0</v>
      </c>
      <c r="Y125" s="383">
        <f t="shared" si="91"/>
        <v>0</v>
      </c>
      <c r="Z125" s="384">
        <f>SUM(IF(I$18&lt;&gt;0,'4.) Yearly Budget'!J125,0)+IF(L$18&lt;&gt;0,'4.) Yearly Budget'!M125,0)+IF(O$18&lt;&gt;0,'4.) Yearly Budget'!P125,0)+IF(R$18&lt;&gt;0,'4.) Yearly Budget'!S125,0))</f>
        <v>0</v>
      </c>
      <c r="AA125" s="384">
        <f t="shared" si="92"/>
        <v>0</v>
      </c>
      <c r="AB125" s="384">
        <f>'4.) Yearly Budget'!V125</f>
        <v>0</v>
      </c>
      <c r="AC125" s="385">
        <f t="shared" si="93"/>
        <v>0</v>
      </c>
      <c r="AD125" s="384">
        <f>IF(U$18&lt;&gt;0,'4.) Yearly Budget'!I125/$AM$18,0)</f>
        <v>0</v>
      </c>
      <c r="AE125" s="105">
        <f t="shared" si="94"/>
        <v>0</v>
      </c>
      <c r="AF125" s="293"/>
    </row>
    <row r="126" spans="1:32" s="68" customFormat="1">
      <c r="A126" s="259">
        <f t="shared" si="31"/>
        <v>126</v>
      </c>
      <c r="B126" s="96"/>
      <c r="C126" s="94"/>
      <c r="D126" s="54" t="s">
        <v>62</v>
      </c>
      <c r="E126" s="50"/>
      <c r="F126" s="50"/>
      <c r="G126" s="59"/>
      <c r="H126" s="95"/>
      <c r="I126" s="278"/>
      <c r="J126" s="102">
        <f>IF('4.) Yearly Budget'!$K$18&gt;0,'4.) Yearly Budget'!K126,'4.) Yearly Budget'!J126)</f>
        <v>0</v>
      </c>
      <c r="K126" s="385">
        <f t="shared" si="84"/>
        <v>0</v>
      </c>
      <c r="L126" s="100"/>
      <c r="M126" s="102">
        <f>IF('4.) Yearly Budget'!$N$18&gt;0,'4.) Yearly Budget'!N126,'4.) Yearly Budget'!M126)</f>
        <v>0</v>
      </c>
      <c r="N126" s="385">
        <f t="shared" si="85"/>
        <v>0</v>
      </c>
      <c r="O126" s="100"/>
      <c r="P126" s="102">
        <f>IF('4.) Yearly Budget'!$Q$18&gt;0,'4.) Yearly Budget'!Q126,'4.) Yearly Budget'!P126)</f>
        <v>0</v>
      </c>
      <c r="Q126" s="385">
        <f t="shared" si="86"/>
        <v>0</v>
      </c>
      <c r="R126" s="100"/>
      <c r="S126" s="102">
        <f>IF('4.) Yearly Budget'!$T$18&gt;0,'4.) Yearly Budget'!T126,'4.) Yearly Budget'!S126)</f>
        <v>0</v>
      </c>
      <c r="T126" s="105">
        <f t="shared" si="87"/>
        <v>0</v>
      </c>
      <c r="U126" s="279">
        <f t="shared" si="88"/>
        <v>0</v>
      </c>
      <c r="V126" s="382">
        <f t="shared" si="89"/>
        <v>0</v>
      </c>
      <c r="W126" s="382">
        <f t="shared" si="90"/>
        <v>0</v>
      </c>
      <c r="X126" s="382">
        <f>'4.) Yearly Budget'!W126</f>
        <v>0</v>
      </c>
      <c r="Y126" s="383">
        <f t="shared" si="91"/>
        <v>0</v>
      </c>
      <c r="Z126" s="384">
        <f>SUM(IF(I$18&lt;&gt;0,'4.) Yearly Budget'!J126,0)+IF(L$18&lt;&gt;0,'4.) Yearly Budget'!M126,0)+IF(O$18&lt;&gt;0,'4.) Yearly Budget'!P126,0)+IF(R$18&lt;&gt;0,'4.) Yearly Budget'!S126,0))</f>
        <v>0</v>
      </c>
      <c r="AA126" s="384">
        <f t="shared" si="92"/>
        <v>0</v>
      </c>
      <c r="AB126" s="384">
        <f>'4.) Yearly Budget'!V126</f>
        <v>0</v>
      </c>
      <c r="AC126" s="385">
        <f t="shared" si="93"/>
        <v>0</v>
      </c>
      <c r="AD126" s="384">
        <f>IF(U$18&lt;&gt;0,'4.) Yearly Budget'!I126/$AM$18,0)</f>
        <v>0</v>
      </c>
      <c r="AE126" s="105">
        <f t="shared" si="94"/>
        <v>0</v>
      </c>
      <c r="AF126" s="293"/>
    </row>
    <row r="127" spans="1:32" s="68" customFormat="1">
      <c r="A127" s="259">
        <f t="shared" si="31"/>
        <v>127</v>
      </c>
      <c r="B127" s="96"/>
      <c r="C127" s="94"/>
      <c r="D127" s="50" t="s">
        <v>53</v>
      </c>
      <c r="E127" s="50"/>
      <c r="F127" s="50"/>
      <c r="G127" s="59"/>
      <c r="H127" s="95"/>
      <c r="I127" s="278"/>
      <c r="J127" s="102">
        <f>IF('4.) Yearly Budget'!$K$18&gt;0,'4.) Yearly Budget'!K127,'4.) Yearly Budget'!J127)</f>
        <v>0</v>
      </c>
      <c r="K127" s="385">
        <f t="shared" si="84"/>
        <v>0</v>
      </c>
      <c r="L127" s="100"/>
      <c r="M127" s="102">
        <f>IF('4.) Yearly Budget'!$N$18&gt;0,'4.) Yearly Budget'!N127,'4.) Yearly Budget'!M127)</f>
        <v>0</v>
      </c>
      <c r="N127" s="385">
        <f t="shared" si="85"/>
        <v>0</v>
      </c>
      <c r="O127" s="100"/>
      <c r="P127" s="102">
        <f>IF('4.) Yearly Budget'!$Q$18&gt;0,'4.) Yearly Budget'!Q127,'4.) Yearly Budget'!P127)</f>
        <v>0</v>
      </c>
      <c r="Q127" s="385">
        <f t="shared" si="86"/>
        <v>0</v>
      </c>
      <c r="R127" s="100"/>
      <c r="S127" s="102">
        <f>IF('4.) Yearly Budget'!$T$18&gt;0,'4.) Yearly Budget'!T127,'4.) Yearly Budget'!S127)</f>
        <v>0</v>
      </c>
      <c r="T127" s="105">
        <f t="shared" si="87"/>
        <v>0</v>
      </c>
      <c r="U127" s="279">
        <f t="shared" si="88"/>
        <v>0</v>
      </c>
      <c r="V127" s="382">
        <f t="shared" si="89"/>
        <v>0</v>
      </c>
      <c r="W127" s="382">
        <f t="shared" si="90"/>
        <v>0</v>
      </c>
      <c r="X127" s="382">
        <f>'4.) Yearly Budget'!W127</f>
        <v>0</v>
      </c>
      <c r="Y127" s="383">
        <f t="shared" si="91"/>
        <v>0</v>
      </c>
      <c r="Z127" s="384">
        <f>SUM(IF(I$18&lt;&gt;0,'4.) Yearly Budget'!J127,0)+IF(L$18&lt;&gt;0,'4.) Yearly Budget'!M127,0)+IF(O$18&lt;&gt;0,'4.) Yearly Budget'!P127,0)+IF(R$18&lt;&gt;0,'4.) Yearly Budget'!S127,0))</f>
        <v>0</v>
      </c>
      <c r="AA127" s="384">
        <f t="shared" si="92"/>
        <v>0</v>
      </c>
      <c r="AB127" s="384">
        <f>'4.) Yearly Budget'!V127</f>
        <v>0</v>
      </c>
      <c r="AC127" s="385">
        <f t="shared" si="93"/>
        <v>0</v>
      </c>
      <c r="AD127" s="384">
        <f>IF(U$18&lt;&gt;0,'4.) Yearly Budget'!I127/$AM$18,0)</f>
        <v>0</v>
      </c>
      <c r="AE127" s="105">
        <f t="shared" si="94"/>
        <v>0</v>
      </c>
      <c r="AF127" s="293"/>
    </row>
    <row r="128" spans="1:32" s="68" customFormat="1">
      <c r="A128" s="259">
        <f t="shared" si="31"/>
        <v>128</v>
      </c>
      <c r="B128" s="96"/>
      <c r="C128" s="94"/>
      <c r="D128" s="54" t="s">
        <v>60</v>
      </c>
      <c r="E128" s="50"/>
      <c r="F128" s="50"/>
      <c r="G128" s="59"/>
      <c r="H128" s="95"/>
      <c r="I128" s="278"/>
      <c r="J128" s="102">
        <f>IF('4.) Yearly Budget'!$K$18&gt;0,'4.) Yearly Budget'!K128,'4.) Yearly Budget'!J128)</f>
        <v>0</v>
      </c>
      <c r="K128" s="385">
        <f t="shared" si="84"/>
        <v>0</v>
      </c>
      <c r="L128" s="100"/>
      <c r="M128" s="102">
        <f>IF('4.) Yearly Budget'!$N$18&gt;0,'4.) Yearly Budget'!N128,'4.) Yearly Budget'!M128)</f>
        <v>0</v>
      </c>
      <c r="N128" s="385">
        <f t="shared" si="85"/>
        <v>0</v>
      </c>
      <c r="O128" s="100"/>
      <c r="P128" s="102">
        <f>IF('4.) Yearly Budget'!$Q$18&gt;0,'4.) Yearly Budget'!Q128,'4.) Yearly Budget'!P128)</f>
        <v>0</v>
      </c>
      <c r="Q128" s="385">
        <f t="shared" si="86"/>
        <v>0</v>
      </c>
      <c r="R128" s="100"/>
      <c r="S128" s="102">
        <f>IF('4.) Yearly Budget'!$T$18&gt;0,'4.) Yearly Budget'!T128,'4.) Yearly Budget'!S128)</f>
        <v>0</v>
      </c>
      <c r="T128" s="105">
        <f t="shared" si="87"/>
        <v>0</v>
      </c>
      <c r="U128" s="279">
        <f t="shared" si="88"/>
        <v>0</v>
      </c>
      <c r="V128" s="382">
        <f t="shared" si="89"/>
        <v>0</v>
      </c>
      <c r="W128" s="382">
        <f t="shared" si="90"/>
        <v>0</v>
      </c>
      <c r="X128" s="382">
        <f>'4.) Yearly Budget'!W128</f>
        <v>0</v>
      </c>
      <c r="Y128" s="383">
        <f t="shared" si="91"/>
        <v>0</v>
      </c>
      <c r="Z128" s="384">
        <f>SUM(IF(I$18&lt;&gt;0,'4.) Yearly Budget'!J128,0)+IF(L$18&lt;&gt;0,'4.) Yearly Budget'!M128,0)+IF(O$18&lt;&gt;0,'4.) Yearly Budget'!P128,0)+IF(R$18&lt;&gt;0,'4.) Yearly Budget'!S128,0))</f>
        <v>0</v>
      </c>
      <c r="AA128" s="384">
        <f t="shared" si="92"/>
        <v>0</v>
      </c>
      <c r="AB128" s="384">
        <f>'4.) Yearly Budget'!V128</f>
        <v>0</v>
      </c>
      <c r="AC128" s="385">
        <f t="shared" si="93"/>
        <v>0</v>
      </c>
      <c r="AD128" s="384">
        <f>IF(U$18&lt;&gt;0,'4.) Yearly Budget'!I128/$AM$18,0)</f>
        <v>0</v>
      </c>
      <c r="AE128" s="105">
        <f t="shared" si="94"/>
        <v>0</v>
      </c>
      <c r="AF128" s="293"/>
    </row>
    <row r="129" spans="1:32" s="68" customFormat="1">
      <c r="A129" s="259">
        <f t="shared" si="31"/>
        <v>129</v>
      </c>
      <c r="B129" s="96"/>
      <c r="C129" s="94"/>
      <c r="D129" s="54" t="s">
        <v>2</v>
      </c>
      <c r="E129" s="50"/>
      <c r="F129" s="50"/>
      <c r="G129" s="59"/>
      <c r="H129" s="95"/>
      <c r="I129" s="278"/>
      <c r="J129" s="102">
        <f>IF('4.) Yearly Budget'!$K$18&gt;0,'4.) Yearly Budget'!K129,'4.) Yearly Budget'!J129)</f>
        <v>0</v>
      </c>
      <c r="K129" s="385">
        <f t="shared" si="84"/>
        <v>0</v>
      </c>
      <c r="L129" s="100"/>
      <c r="M129" s="102">
        <f>IF('4.) Yearly Budget'!$N$18&gt;0,'4.) Yearly Budget'!N129,'4.) Yearly Budget'!M129)</f>
        <v>0</v>
      </c>
      <c r="N129" s="385">
        <f t="shared" si="85"/>
        <v>0</v>
      </c>
      <c r="O129" s="100"/>
      <c r="P129" s="102">
        <f>IF('4.) Yearly Budget'!$Q$18&gt;0,'4.) Yearly Budget'!Q129,'4.) Yearly Budget'!P129)</f>
        <v>0</v>
      </c>
      <c r="Q129" s="385">
        <f t="shared" si="86"/>
        <v>0</v>
      </c>
      <c r="R129" s="100"/>
      <c r="S129" s="102">
        <f>IF('4.) Yearly Budget'!$T$18&gt;0,'4.) Yearly Budget'!T129,'4.) Yearly Budget'!S129)</f>
        <v>0</v>
      </c>
      <c r="T129" s="105">
        <f t="shared" si="87"/>
        <v>0</v>
      </c>
      <c r="U129" s="279">
        <f t="shared" si="88"/>
        <v>0</v>
      </c>
      <c r="V129" s="382">
        <f t="shared" si="89"/>
        <v>0</v>
      </c>
      <c r="W129" s="382">
        <f t="shared" si="90"/>
        <v>0</v>
      </c>
      <c r="X129" s="382">
        <f>'4.) Yearly Budget'!W129</f>
        <v>0</v>
      </c>
      <c r="Y129" s="383">
        <f t="shared" si="91"/>
        <v>0</v>
      </c>
      <c r="Z129" s="384">
        <f>SUM(IF(I$18&lt;&gt;0,'4.) Yearly Budget'!J129,0)+IF(L$18&lt;&gt;0,'4.) Yearly Budget'!M129,0)+IF(O$18&lt;&gt;0,'4.) Yearly Budget'!P129,0)+IF(R$18&lt;&gt;0,'4.) Yearly Budget'!S129,0))</f>
        <v>0</v>
      </c>
      <c r="AA129" s="384">
        <f t="shared" si="92"/>
        <v>0</v>
      </c>
      <c r="AB129" s="384">
        <f>'4.) Yearly Budget'!V129</f>
        <v>0</v>
      </c>
      <c r="AC129" s="385">
        <f t="shared" si="93"/>
        <v>0</v>
      </c>
      <c r="AD129" s="384">
        <f>IF(U$18&lt;&gt;0,'4.) Yearly Budget'!I129/$AM$18,0)</f>
        <v>0</v>
      </c>
      <c r="AE129" s="105">
        <f t="shared" si="94"/>
        <v>0</v>
      </c>
      <c r="AF129" s="293"/>
    </row>
    <row r="130" spans="1:32" s="68" customFormat="1">
      <c r="A130" s="259">
        <f t="shared" si="31"/>
        <v>130</v>
      </c>
      <c r="B130" s="96"/>
      <c r="C130" s="94"/>
      <c r="D130" s="54" t="s">
        <v>19</v>
      </c>
      <c r="E130" s="50"/>
      <c r="F130" s="50"/>
      <c r="G130" s="59"/>
      <c r="H130" s="95"/>
      <c r="I130" s="278"/>
      <c r="J130" s="102">
        <f>IF('4.) Yearly Budget'!$K$18&gt;0,'4.) Yearly Budget'!K130,'4.) Yearly Budget'!J130)</f>
        <v>0</v>
      </c>
      <c r="K130" s="385">
        <f t="shared" si="84"/>
        <v>0</v>
      </c>
      <c r="L130" s="100"/>
      <c r="M130" s="102">
        <f>IF('4.) Yearly Budget'!$N$18&gt;0,'4.) Yearly Budget'!N130,'4.) Yearly Budget'!M130)</f>
        <v>0</v>
      </c>
      <c r="N130" s="385">
        <f t="shared" si="85"/>
        <v>0</v>
      </c>
      <c r="O130" s="100"/>
      <c r="P130" s="102">
        <f>IF('4.) Yearly Budget'!$Q$18&gt;0,'4.) Yearly Budget'!Q130,'4.) Yearly Budget'!P130)</f>
        <v>0</v>
      </c>
      <c r="Q130" s="385">
        <f t="shared" si="86"/>
        <v>0</v>
      </c>
      <c r="R130" s="100"/>
      <c r="S130" s="102">
        <f>IF('4.) Yearly Budget'!$T$18&gt;0,'4.) Yearly Budget'!T130,'4.) Yearly Budget'!S130)</f>
        <v>0</v>
      </c>
      <c r="T130" s="105">
        <f t="shared" si="87"/>
        <v>0</v>
      </c>
      <c r="U130" s="279">
        <f t="shared" si="88"/>
        <v>0</v>
      </c>
      <c r="V130" s="382">
        <f t="shared" si="89"/>
        <v>0</v>
      </c>
      <c r="W130" s="382">
        <f t="shared" si="90"/>
        <v>0</v>
      </c>
      <c r="X130" s="382">
        <f>'4.) Yearly Budget'!W130</f>
        <v>0</v>
      </c>
      <c r="Y130" s="383">
        <f t="shared" si="91"/>
        <v>0</v>
      </c>
      <c r="Z130" s="384">
        <f>SUM(IF(I$18&lt;&gt;0,'4.) Yearly Budget'!J130,0)+IF(L$18&lt;&gt;0,'4.) Yearly Budget'!M130,0)+IF(O$18&lt;&gt;0,'4.) Yearly Budget'!P130,0)+IF(R$18&lt;&gt;0,'4.) Yearly Budget'!S130,0))</f>
        <v>0</v>
      </c>
      <c r="AA130" s="384">
        <f t="shared" si="92"/>
        <v>0</v>
      </c>
      <c r="AB130" s="384">
        <f>'4.) Yearly Budget'!V130</f>
        <v>0</v>
      </c>
      <c r="AC130" s="385">
        <f t="shared" si="93"/>
        <v>0</v>
      </c>
      <c r="AD130" s="384">
        <f>IF(U$18&lt;&gt;0,'4.) Yearly Budget'!I130/$AM$18,0)</f>
        <v>0</v>
      </c>
      <c r="AE130" s="105">
        <f t="shared" si="94"/>
        <v>0</v>
      </c>
      <c r="AF130" s="293"/>
    </row>
    <row r="131" spans="1:32" s="68" customFormat="1">
      <c r="A131" s="259">
        <f t="shared" ref="A131:A181" si="95">A130+1</f>
        <v>131</v>
      </c>
      <c r="B131" s="96"/>
      <c r="C131" s="94"/>
      <c r="D131" s="54" t="s">
        <v>63</v>
      </c>
      <c r="E131" s="50"/>
      <c r="F131" s="50"/>
      <c r="G131" s="59"/>
      <c r="H131" s="95"/>
      <c r="I131" s="278"/>
      <c r="J131" s="102">
        <f>IF('4.) Yearly Budget'!$K$18&gt;0,'4.) Yearly Budget'!K131,'4.) Yearly Budget'!J131)</f>
        <v>0</v>
      </c>
      <c r="K131" s="385">
        <f t="shared" si="84"/>
        <v>0</v>
      </c>
      <c r="L131" s="100"/>
      <c r="M131" s="102">
        <f>IF('4.) Yearly Budget'!$N$18&gt;0,'4.) Yearly Budget'!N131,'4.) Yearly Budget'!M131)</f>
        <v>0</v>
      </c>
      <c r="N131" s="385">
        <f t="shared" si="85"/>
        <v>0</v>
      </c>
      <c r="O131" s="100"/>
      <c r="P131" s="102">
        <f>IF('4.) Yearly Budget'!$Q$18&gt;0,'4.) Yearly Budget'!Q131,'4.) Yearly Budget'!P131)</f>
        <v>0</v>
      </c>
      <c r="Q131" s="385">
        <f t="shared" si="86"/>
        <v>0</v>
      </c>
      <c r="R131" s="100"/>
      <c r="S131" s="102">
        <f>IF('4.) Yearly Budget'!$T$18&gt;0,'4.) Yearly Budget'!T131,'4.) Yearly Budget'!S131)</f>
        <v>0</v>
      </c>
      <c r="T131" s="105">
        <f t="shared" si="87"/>
        <v>0</v>
      </c>
      <c r="U131" s="279">
        <f t="shared" si="88"/>
        <v>0</v>
      </c>
      <c r="V131" s="382">
        <f t="shared" si="89"/>
        <v>0</v>
      </c>
      <c r="W131" s="382">
        <f t="shared" si="90"/>
        <v>0</v>
      </c>
      <c r="X131" s="382">
        <f>'4.) Yearly Budget'!W131</f>
        <v>0</v>
      </c>
      <c r="Y131" s="383">
        <f t="shared" si="91"/>
        <v>0</v>
      </c>
      <c r="Z131" s="384">
        <f>SUM(IF(I$18&lt;&gt;0,'4.) Yearly Budget'!J131,0)+IF(L$18&lt;&gt;0,'4.) Yearly Budget'!M131,0)+IF(O$18&lt;&gt;0,'4.) Yearly Budget'!P131,0)+IF(R$18&lt;&gt;0,'4.) Yearly Budget'!S131,0))</f>
        <v>0</v>
      </c>
      <c r="AA131" s="384">
        <f t="shared" si="92"/>
        <v>0</v>
      </c>
      <c r="AB131" s="384">
        <f>'4.) Yearly Budget'!V131</f>
        <v>0</v>
      </c>
      <c r="AC131" s="385">
        <f t="shared" si="93"/>
        <v>0</v>
      </c>
      <c r="AD131" s="384">
        <f>IF(U$18&lt;&gt;0,'4.) Yearly Budget'!I131/$AM$18,0)</f>
        <v>0</v>
      </c>
      <c r="AE131" s="105">
        <f t="shared" si="94"/>
        <v>0</v>
      </c>
      <c r="AF131" s="293"/>
    </row>
    <row r="132" spans="1:32" s="68" customFormat="1">
      <c r="A132" s="259">
        <f t="shared" si="95"/>
        <v>132</v>
      </c>
      <c r="B132" s="96"/>
      <c r="C132" s="94"/>
      <c r="D132" s="50" t="s">
        <v>6</v>
      </c>
      <c r="E132" s="50"/>
      <c r="F132" s="50"/>
      <c r="G132" s="59"/>
      <c r="H132" s="95"/>
      <c r="I132" s="278"/>
      <c r="J132" s="102">
        <f>IF('4.) Yearly Budget'!$K$18&gt;0,'4.) Yearly Budget'!K132,'4.) Yearly Budget'!J132)</f>
        <v>0</v>
      </c>
      <c r="K132" s="385">
        <f t="shared" si="84"/>
        <v>0</v>
      </c>
      <c r="L132" s="100"/>
      <c r="M132" s="102">
        <f>IF('4.) Yearly Budget'!$N$18&gt;0,'4.) Yearly Budget'!N132,'4.) Yearly Budget'!M132)</f>
        <v>0</v>
      </c>
      <c r="N132" s="385">
        <f t="shared" si="85"/>
        <v>0</v>
      </c>
      <c r="O132" s="100"/>
      <c r="P132" s="102">
        <f>IF('4.) Yearly Budget'!$Q$18&gt;0,'4.) Yearly Budget'!Q132,'4.) Yearly Budget'!P132)</f>
        <v>0</v>
      </c>
      <c r="Q132" s="385">
        <f t="shared" si="86"/>
        <v>0</v>
      </c>
      <c r="R132" s="100"/>
      <c r="S132" s="102">
        <f>IF('4.) Yearly Budget'!$T$18&gt;0,'4.) Yearly Budget'!T132,'4.) Yearly Budget'!S132)</f>
        <v>0</v>
      </c>
      <c r="T132" s="105">
        <f t="shared" si="87"/>
        <v>0</v>
      </c>
      <c r="U132" s="279">
        <f t="shared" si="88"/>
        <v>0</v>
      </c>
      <c r="V132" s="382">
        <f t="shared" si="89"/>
        <v>0</v>
      </c>
      <c r="W132" s="382">
        <f t="shared" si="90"/>
        <v>0</v>
      </c>
      <c r="X132" s="382">
        <f>'4.) Yearly Budget'!W132</f>
        <v>0</v>
      </c>
      <c r="Y132" s="383">
        <f t="shared" si="91"/>
        <v>0</v>
      </c>
      <c r="Z132" s="384">
        <f>SUM(IF(I$18&lt;&gt;0,'4.) Yearly Budget'!J132,0)+IF(L$18&lt;&gt;0,'4.) Yearly Budget'!M132,0)+IF(O$18&lt;&gt;0,'4.) Yearly Budget'!P132,0)+IF(R$18&lt;&gt;0,'4.) Yearly Budget'!S132,0))</f>
        <v>0</v>
      </c>
      <c r="AA132" s="384">
        <f t="shared" si="92"/>
        <v>0</v>
      </c>
      <c r="AB132" s="384">
        <f>'4.) Yearly Budget'!V132</f>
        <v>0</v>
      </c>
      <c r="AC132" s="385">
        <f t="shared" si="93"/>
        <v>0</v>
      </c>
      <c r="AD132" s="384">
        <f>IF(U$18&lt;&gt;0,'4.) Yearly Budget'!I132/$AM$18,0)</f>
        <v>0</v>
      </c>
      <c r="AE132" s="105">
        <f t="shared" si="94"/>
        <v>0</v>
      </c>
      <c r="AF132" s="293"/>
    </row>
    <row r="133" spans="1:32" s="68" customFormat="1">
      <c r="A133" s="259">
        <f t="shared" si="95"/>
        <v>133</v>
      </c>
      <c r="B133" s="96"/>
      <c r="C133" s="94"/>
      <c r="D133" s="50" t="s">
        <v>18</v>
      </c>
      <c r="E133" s="50"/>
      <c r="F133" s="50"/>
      <c r="G133" s="59"/>
      <c r="H133" s="95"/>
      <c r="I133" s="278"/>
      <c r="J133" s="102">
        <f>IF('4.) Yearly Budget'!$K$18&gt;0,'4.) Yearly Budget'!K133,'4.) Yearly Budget'!J133)</f>
        <v>0</v>
      </c>
      <c r="K133" s="385">
        <f t="shared" si="84"/>
        <v>0</v>
      </c>
      <c r="L133" s="100"/>
      <c r="M133" s="102">
        <f>IF('4.) Yearly Budget'!$N$18&gt;0,'4.) Yearly Budget'!N133,'4.) Yearly Budget'!M133)</f>
        <v>0</v>
      </c>
      <c r="N133" s="385">
        <f t="shared" si="85"/>
        <v>0</v>
      </c>
      <c r="O133" s="100"/>
      <c r="P133" s="102">
        <f>IF('4.) Yearly Budget'!$Q$18&gt;0,'4.) Yearly Budget'!Q133,'4.) Yearly Budget'!P133)</f>
        <v>0</v>
      </c>
      <c r="Q133" s="385">
        <f t="shared" si="86"/>
        <v>0</v>
      </c>
      <c r="R133" s="100"/>
      <c r="S133" s="102">
        <f>IF('4.) Yearly Budget'!$T$18&gt;0,'4.) Yearly Budget'!T133,'4.) Yearly Budget'!S133)</f>
        <v>0</v>
      </c>
      <c r="T133" s="105">
        <f t="shared" si="87"/>
        <v>0</v>
      </c>
      <c r="U133" s="279">
        <f t="shared" si="88"/>
        <v>0</v>
      </c>
      <c r="V133" s="382">
        <f t="shared" si="89"/>
        <v>0</v>
      </c>
      <c r="W133" s="382">
        <f t="shared" si="90"/>
        <v>0</v>
      </c>
      <c r="X133" s="382">
        <f>'4.) Yearly Budget'!W133</f>
        <v>0</v>
      </c>
      <c r="Y133" s="383">
        <f t="shared" si="91"/>
        <v>0</v>
      </c>
      <c r="Z133" s="384">
        <f>SUM(IF(I$18&lt;&gt;0,'4.) Yearly Budget'!J133,0)+IF(L$18&lt;&gt;0,'4.) Yearly Budget'!M133,0)+IF(O$18&lt;&gt;0,'4.) Yearly Budget'!P133,0)+IF(R$18&lt;&gt;0,'4.) Yearly Budget'!S133,0))</f>
        <v>0</v>
      </c>
      <c r="AA133" s="384">
        <f t="shared" si="92"/>
        <v>0</v>
      </c>
      <c r="AB133" s="384">
        <f>'4.) Yearly Budget'!V133</f>
        <v>0</v>
      </c>
      <c r="AC133" s="385">
        <f t="shared" si="93"/>
        <v>0</v>
      </c>
      <c r="AD133" s="384">
        <f>IF(U$18&lt;&gt;0,'4.) Yearly Budget'!I133/$AM$18,0)</f>
        <v>0</v>
      </c>
      <c r="AE133" s="105">
        <f t="shared" si="94"/>
        <v>0</v>
      </c>
      <c r="AF133" s="293"/>
    </row>
    <row r="134" spans="1:32" s="68" customFormat="1">
      <c r="A134" s="259">
        <f t="shared" si="95"/>
        <v>134</v>
      </c>
      <c r="B134" s="96"/>
      <c r="C134" s="94"/>
      <c r="D134" s="54" t="s">
        <v>8</v>
      </c>
      <c r="E134" s="50"/>
      <c r="F134" s="50"/>
      <c r="G134" s="59"/>
      <c r="H134" s="95"/>
      <c r="I134" s="278"/>
      <c r="J134" s="102">
        <f>IF('4.) Yearly Budget'!$K$18&gt;0,'4.) Yearly Budget'!K134,'4.) Yearly Budget'!J134)</f>
        <v>0</v>
      </c>
      <c r="K134" s="385">
        <f t="shared" si="84"/>
        <v>0</v>
      </c>
      <c r="L134" s="100"/>
      <c r="M134" s="102">
        <f>IF('4.) Yearly Budget'!$N$18&gt;0,'4.) Yearly Budget'!N134,'4.) Yearly Budget'!M134)</f>
        <v>0</v>
      </c>
      <c r="N134" s="385">
        <f t="shared" si="85"/>
        <v>0</v>
      </c>
      <c r="O134" s="100"/>
      <c r="P134" s="102">
        <f>IF('4.) Yearly Budget'!$Q$18&gt;0,'4.) Yearly Budget'!Q134,'4.) Yearly Budget'!P134)</f>
        <v>0</v>
      </c>
      <c r="Q134" s="385">
        <f t="shared" si="86"/>
        <v>0</v>
      </c>
      <c r="R134" s="100"/>
      <c r="S134" s="102">
        <f>IF('4.) Yearly Budget'!$T$18&gt;0,'4.) Yearly Budget'!T134,'4.) Yearly Budget'!S134)</f>
        <v>0</v>
      </c>
      <c r="T134" s="105">
        <f t="shared" si="87"/>
        <v>0</v>
      </c>
      <c r="U134" s="279">
        <f t="shared" si="88"/>
        <v>0</v>
      </c>
      <c r="V134" s="382">
        <f t="shared" si="89"/>
        <v>0</v>
      </c>
      <c r="W134" s="382">
        <f t="shared" si="90"/>
        <v>0</v>
      </c>
      <c r="X134" s="382">
        <f>'4.) Yearly Budget'!W134</f>
        <v>0</v>
      </c>
      <c r="Y134" s="383">
        <f t="shared" si="91"/>
        <v>0</v>
      </c>
      <c r="Z134" s="384">
        <f>SUM(IF(I$18&lt;&gt;0,'4.) Yearly Budget'!J134,0)+IF(L$18&lt;&gt;0,'4.) Yearly Budget'!M134,0)+IF(O$18&lt;&gt;0,'4.) Yearly Budget'!P134,0)+IF(R$18&lt;&gt;0,'4.) Yearly Budget'!S134,0))</f>
        <v>0</v>
      </c>
      <c r="AA134" s="384">
        <f t="shared" si="92"/>
        <v>0</v>
      </c>
      <c r="AB134" s="384">
        <f>'4.) Yearly Budget'!V134</f>
        <v>0</v>
      </c>
      <c r="AC134" s="385">
        <f t="shared" si="93"/>
        <v>0</v>
      </c>
      <c r="AD134" s="384">
        <f>IF(U$18&lt;&gt;0,'4.) Yearly Budget'!I134/$AM$18,0)</f>
        <v>0</v>
      </c>
      <c r="AE134" s="105">
        <f t="shared" si="94"/>
        <v>0</v>
      </c>
      <c r="AF134" s="293"/>
    </row>
    <row r="135" spans="1:32" s="68" customFormat="1">
      <c r="A135" s="259">
        <f t="shared" si="95"/>
        <v>135</v>
      </c>
      <c r="B135" s="96"/>
      <c r="C135" s="94"/>
      <c r="D135" s="54" t="s">
        <v>59</v>
      </c>
      <c r="E135" s="50"/>
      <c r="F135" s="50"/>
      <c r="G135" s="59"/>
      <c r="H135" s="95"/>
      <c r="I135" s="278"/>
      <c r="J135" s="102">
        <f>IF('4.) Yearly Budget'!$K$18&gt;0,'4.) Yearly Budget'!K135,'4.) Yearly Budget'!J135)</f>
        <v>0</v>
      </c>
      <c r="K135" s="385">
        <f t="shared" si="84"/>
        <v>0</v>
      </c>
      <c r="L135" s="100"/>
      <c r="M135" s="102">
        <f>IF('4.) Yearly Budget'!$N$18&gt;0,'4.) Yearly Budget'!N135,'4.) Yearly Budget'!M135)</f>
        <v>0</v>
      </c>
      <c r="N135" s="385">
        <f t="shared" si="85"/>
        <v>0</v>
      </c>
      <c r="O135" s="100"/>
      <c r="P135" s="102">
        <f>IF('4.) Yearly Budget'!$Q$18&gt;0,'4.) Yearly Budget'!Q135,'4.) Yearly Budget'!P135)</f>
        <v>0</v>
      </c>
      <c r="Q135" s="385">
        <f t="shared" si="86"/>
        <v>0</v>
      </c>
      <c r="R135" s="100"/>
      <c r="S135" s="102">
        <f>IF('4.) Yearly Budget'!$T$18&gt;0,'4.) Yearly Budget'!T135,'4.) Yearly Budget'!S135)</f>
        <v>0</v>
      </c>
      <c r="T135" s="105">
        <f t="shared" si="87"/>
        <v>0</v>
      </c>
      <c r="U135" s="279">
        <f t="shared" si="88"/>
        <v>0</v>
      </c>
      <c r="V135" s="382">
        <f t="shared" si="89"/>
        <v>0</v>
      </c>
      <c r="W135" s="382">
        <f t="shared" si="90"/>
        <v>0</v>
      </c>
      <c r="X135" s="382">
        <f>'4.) Yearly Budget'!W135</f>
        <v>0</v>
      </c>
      <c r="Y135" s="383">
        <f t="shared" si="91"/>
        <v>0</v>
      </c>
      <c r="Z135" s="384">
        <f>SUM(IF(I$18&lt;&gt;0,'4.) Yearly Budget'!J135,0)+IF(L$18&lt;&gt;0,'4.) Yearly Budget'!M135,0)+IF(O$18&lt;&gt;0,'4.) Yearly Budget'!P135,0)+IF(R$18&lt;&gt;0,'4.) Yearly Budget'!S135,0))</f>
        <v>0</v>
      </c>
      <c r="AA135" s="384">
        <f t="shared" si="92"/>
        <v>0</v>
      </c>
      <c r="AB135" s="384">
        <f>'4.) Yearly Budget'!V135</f>
        <v>0</v>
      </c>
      <c r="AC135" s="385">
        <f t="shared" si="93"/>
        <v>0</v>
      </c>
      <c r="AD135" s="384">
        <f>IF(U$18&lt;&gt;0,'4.) Yearly Budget'!I135/$AM$18,0)</f>
        <v>0</v>
      </c>
      <c r="AE135" s="105">
        <f t="shared" si="94"/>
        <v>0</v>
      </c>
      <c r="AF135" s="293"/>
    </row>
    <row r="136" spans="1:32" s="68" customFormat="1">
      <c r="A136" s="259">
        <f t="shared" si="95"/>
        <v>136</v>
      </c>
      <c r="B136" s="96"/>
      <c r="C136" s="94"/>
      <c r="D136" s="54" t="s">
        <v>74</v>
      </c>
      <c r="E136" s="50"/>
      <c r="F136" s="50"/>
      <c r="G136" s="59"/>
      <c r="H136" s="95"/>
      <c r="I136" s="278"/>
      <c r="J136" s="102">
        <f>IF('4.) Yearly Budget'!$K$18&gt;0,'4.) Yearly Budget'!K136,'4.) Yearly Budget'!J136)</f>
        <v>0</v>
      </c>
      <c r="K136" s="385">
        <f t="shared" si="84"/>
        <v>0</v>
      </c>
      <c r="L136" s="100"/>
      <c r="M136" s="102">
        <f>IF('4.) Yearly Budget'!$N$18&gt;0,'4.) Yearly Budget'!N136,'4.) Yearly Budget'!M136)</f>
        <v>0</v>
      </c>
      <c r="N136" s="385">
        <f t="shared" si="85"/>
        <v>0</v>
      </c>
      <c r="O136" s="100"/>
      <c r="P136" s="102">
        <f>IF('4.) Yearly Budget'!$Q$18&gt;0,'4.) Yearly Budget'!Q136,'4.) Yearly Budget'!P136)</f>
        <v>0</v>
      </c>
      <c r="Q136" s="385">
        <f t="shared" si="86"/>
        <v>0</v>
      </c>
      <c r="R136" s="100"/>
      <c r="S136" s="102">
        <f>IF('4.) Yearly Budget'!$T$18&gt;0,'4.) Yearly Budget'!T136,'4.) Yearly Budget'!S136)</f>
        <v>0</v>
      </c>
      <c r="T136" s="105">
        <f t="shared" si="87"/>
        <v>0</v>
      </c>
      <c r="U136" s="279">
        <f t="shared" si="88"/>
        <v>0</v>
      </c>
      <c r="V136" s="382">
        <f t="shared" si="89"/>
        <v>0</v>
      </c>
      <c r="W136" s="382">
        <f t="shared" si="90"/>
        <v>0</v>
      </c>
      <c r="X136" s="382">
        <f>'4.) Yearly Budget'!W136</f>
        <v>0</v>
      </c>
      <c r="Y136" s="383">
        <f t="shared" si="91"/>
        <v>0</v>
      </c>
      <c r="Z136" s="384">
        <f>SUM(IF(I$18&lt;&gt;0,'4.) Yearly Budget'!J136,0)+IF(L$18&lt;&gt;0,'4.) Yearly Budget'!M136,0)+IF(O$18&lt;&gt;0,'4.) Yearly Budget'!P136,0)+IF(R$18&lt;&gt;0,'4.) Yearly Budget'!S136,0))</f>
        <v>0</v>
      </c>
      <c r="AA136" s="384">
        <f t="shared" si="92"/>
        <v>0</v>
      </c>
      <c r="AB136" s="384">
        <f>'4.) Yearly Budget'!V136</f>
        <v>0</v>
      </c>
      <c r="AC136" s="385">
        <f t="shared" si="93"/>
        <v>0</v>
      </c>
      <c r="AD136" s="384">
        <f>IF(U$18&lt;&gt;0,'4.) Yearly Budget'!I136/$AM$18,0)</f>
        <v>0</v>
      </c>
      <c r="AE136" s="105">
        <f t="shared" si="94"/>
        <v>0</v>
      </c>
      <c r="AF136" s="293"/>
    </row>
    <row r="137" spans="1:32" s="68" customFormat="1">
      <c r="A137" s="259">
        <f t="shared" si="95"/>
        <v>137</v>
      </c>
      <c r="B137" s="96"/>
      <c r="C137" s="94"/>
      <c r="D137" s="54" t="s">
        <v>61</v>
      </c>
      <c r="E137" s="50"/>
      <c r="F137" s="50"/>
      <c r="G137" s="59"/>
      <c r="H137" s="95"/>
      <c r="I137" s="278"/>
      <c r="J137" s="102">
        <f>IF('4.) Yearly Budget'!$K$18&gt;0,'4.) Yearly Budget'!K137,'4.) Yearly Budget'!J137)</f>
        <v>0</v>
      </c>
      <c r="K137" s="385">
        <f t="shared" si="84"/>
        <v>0</v>
      </c>
      <c r="L137" s="100"/>
      <c r="M137" s="102">
        <f>IF('4.) Yearly Budget'!$N$18&gt;0,'4.) Yearly Budget'!N137,'4.) Yearly Budget'!M137)</f>
        <v>0</v>
      </c>
      <c r="N137" s="385">
        <f t="shared" si="85"/>
        <v>0</v>
      </c>
      <c r="O137" s="100"/>
      <c r="P137" s="102">
        <f>IF('4.) Yearly Budget'!$Q$18&gt;0,'4.) Yearly Budget'!Q137,'4.) Yearly Budget'!P137)</f>
        <v>0</v>
      </c>
      <c r="Q137" s="385">
        <f t="shared" si="86"/>
        <v>0</v>
      </c>
      <c r="R137" s="100"/>
      <c r="S137" s="102">
        <f>IF('4.) Yearly Budget'!$T$18&gt;0,'4.) Yearly Budget'!T137,'4.) Yearly Budget'!S137)</f>
        <v>0</v>
      </c>
      <c r="T137" s="105">
        <f t="shared" si="87"/>
        <v>0</v>
      </c>
      <c r="U137" s="279">
        <f t="shared" si="88"/>
        <v>0</v>
      </c>
      <c r="V137" s="382">
        <f t="shared" si="89"/>
        <v>0</v>
      </c>
      <c r="W137" s="382">
        <f t="shared" si="90"/>
        <v>0</v>
      </c>
      <c r="X137" s="382">
        <f>'4.) Yearly Budget'!W137</f>
        <v>0</v>
      </c>
      <c r="Y137" s="383">
        <f t="shared" si="91"/>
        <v>0</v>
      </c>
      <c r="Z137" s="384">
        <f>SUM(IF(I$18&lt;&gt;0,'4.) Yearly Budget'!J137,0)+IF(L$18&lt;&gt;0,'4.) Yearly Budget'!M137,0)+IF(O$18&lt;&gt;0,'4.) Yearly Budget'!P137,0)+IF(R$18&lt;&gt;0,'4.) Yearly Budget'!S137,0))</f>
        <v>0</v>
      </c>
      <c r="AA137" s="384">
        <f t="shared" si="92"/>
        <v>0</v>
      </c>
      <c r="AB137" s="384">
        <f>'4.) Yearly Budget'!V137</f>
        <v>0</v>
      </c>
      <c r="AC137" s="385">
        <f t="shared" si="93"/>
        <v>0</v>
      </c>
      <c r="AD137" s="384">
        <f>IF(U$18&lt;&gt;0,'4.) Yearly Budget'!I137/$AM$18,0)</f>
        <v>0</v>
      </c>
      <c r="AE137" s="105">
        <f t="shared" si="94"/>
        <v>0</v>
      </c>
      <c r="AF137" s="293"/>
    </row>
    <row r="138" spans="1:32" s="68" customFormat="1">
      <c r="A138" s="259">
        <f t="shared" si="95"/>
        <v>138</v>
      </c>
      <c r="B138" s="96"/>
      <c r="C138" s="94"/>
      <c r="D138" s="54" t="s">
        <v>41</v>
      </c>
      <c r="E138" s="50"/>
      <c r="F138" s="50"/>
      <c r="G138" s="59"/>
      <c r="H138" s="95"/>
      <c r="I138" s="278"/>
      <c r="J138" s="102">
        <f>IF('4.) Yearly Budget'!$K$18&gt;0,'4.) Yearly Budget'!K138,'4.) Yearly Budget'!J138)</f>
        <v>0</v>
      </c>
      <c r="K138" s="385">
        <f t="shared" si="84"/>
        <v>0</v>
      </c>
      <c r="L138" s="100"/>
      <c r="M138" s="102">
        <f>IF('4.) Yearly Budget'!$N$18&gt;0,'4.) Yearly Budget'!N138,'4.) Yearly Budget'!M138)</f>
        <v>0</v>
      </c>
      <c r="N138" s="385">
        <f t="shared" si="85"/>
        <v>0</v>
      </c>
      <c r="O138" s="100"/>
      <c r="P138" s="102">
        <f>IF('4.) Yearly Budget'!$Q$18&gt;0,'4.) Yearly Budget'!Q138,'4.) Yearly Budget'!P138)</f>
        <v>0</v>
      </c>
      <c r="Q138" s="385">
        <f t="shared" si="86"/>
        <v>0</v>
      </c>
      <c r="R138" s="100"/>
      <c r="S138" s="102">
        <f>IF('4.) Yearly Budget'!$T$18&gt;0,'4.) Yearly Budget'!T138,'4.) Yearly Budget'!S138)</f>
        <v>0</v>
      </c>
      <c r="T138" s="105">
        <f t="shared" si="87"/>
        <v>0</v>
      </c>
      <c r="U138" s="279">
        <f t="shared" si="88"/>
        <v>0</v>
      </c>
      <c r="V138" s="382">
        <f t="shared" si="89"/>
        <v>0</v>
      </c>
      <c r="W138" s="382">
        <f t="shared" si="90"/>
        <v>0</v>
      </c>
      <c r="X138" s="382">
        <f>'4.) Yearly Budget'!W138</f>
        <v>0</v>
      </c>
      <c r="Y138" s="383">
        <f t="shared" si="91"/>
        <v>0</v>
      </c>
      <c r="Z138" s="384">
        <f>SUM(IF(I$18&lt;&gt;0,'4.) Yearly Budget'!J138,0)+IF(L$18&lt;&gt;0,'4.) Yearly Budget'!M138,0)+IF(O$18&lt;&gt;0,'4.) Yearly Budget'!P138,0)+IF(R$18&lt;&gt;0,'4.) Yearly Budget'!S138,0))</f>
        <v>0</v>
      </c>
      <c r="AA138" s="384">
        <f t="shared" si="92"/>
        <v>0</v>
      </c>
      <c r="AB138" s="384">
        <f>'4.) Yearly Budget'!V138</f>
        <v>0</v>
      </c>
      <c r="AC138" s="385">
        <f t="shared" si="93"/>
        <v>0</v>
      </c>
      <c r="AD138" s="384">
        <f>IF(U$18&lt;&gt;0,'4.) Yearly Budget'!I138/$AM$18,0)</f>
        <v>0</v>
      </c>
      <c r="AE138" s="105">
        <f t="shared" si="94"/>
        <v>0</v>
      </c>
      <c r="AF138" s="293"/>
    </row>
    <row r="139" spans="1:32" s="68" customFormat="1" ht="16.8">
      <c r="A139" s="259">
        <f t="shared" si="95"/>
        <v>139</v>
      </c>
      <c r="B139" s="96"/>
      <c r="C139" s="94"/>
      <c r="D139" s="50" t="s">
        <v>29</v>
      </c>
      <c r="E139" s="50"/>
      <c r="F139" s="50"/>
      <c r="G139" s="59"/>
      <c r="H139" s="95"/>
      <c r="I139" s="286"/>
      <c r="J139" s="396">
        <f>IF('4.) Yearly Budget'!$K$18&gt;0,'4.) Yearly Budget'!K139,'4.) Yearly Budget'!J139)</f>
        <v>0</v>
      </c>
      <c r="K139" s="396">
        <f t="shared" si="84"/>
        <v>0</v>
      </c>
      <c r="L139" s="106"/>
      <c r="M139" s="573">
        <f>IF('4.) Yearly Budget'!$N$18&gt;0,'4.) Yearly Budget'!N139,'4.) Yearly Budget'!M139)</f>
        <v>0</v>
      </c>
      <c r="N139" s="396">
        <f t="shared" si="85"/>
        <v>0</v>
      </c>
      <c r="O139" s="106"/>
      <c r="P139" s="573">
        <f>IF('4.) Yearly Budget'!$Q$18&gt;0,'4.) Yearly Budget'!Q139,'4.) Yearly Budget'!P139)</f>
        <v>0</v>
      </c>
      <c r="Q139" s="396">
        <f t="shared" si="86"/>
        <v>0</v>
      </c>
      <c r="R139" s="106"/>
      <c r="S139" s="573">
        <f>IF('4.) Yearly Budget'!$T$18&gt;0,'4.) Yearly Budget'!T139,'4.) Yearly Budget'!S139)</f>
        <v>0</v>
      </c>
      <c r="T139" s="392">
        <f t="shared" si="87"/>
        <v>0</v>
      </c>
      <c r="U139" s="287">
        <f t="shared" si="88"/>
        <v>0</v>
      </c>
      <c r="V139" s="393">
        <f t="shared" si="89"/>
        <v>0</v>
      </c>
      <c r="W139" s="393">
        <f t="shared" si="90"/>
        <v>0</v>
      </c>
      <c r="X139" s="393">
        <f>'4.) Yearly Budget'!W139</f>
        <v>0</v>
      </c>
      <c r="Y139" s="394">
        <f t="shared" si="91"/>
        <v>0</v>
      </c>
      <c r="Z139" s="395">
        <f>SUM(IF(I$18&lt;&gt;0,'4.) Yearly Budget'!J139,0)+IF(L$18&lt;&gt;0,'4.) Yearly Budget'!M139,0)+IF(O$18&lt;&gt;0,'4.) Yearly Budget'!P139,0)+IF(R$18&lt;&gt;0,'4.) Yearly Budget'!S139,0))</f>
        <v>0</v>
      </c>
      <c r="AA139" s="395">
        <f t="shared" si="92"/>
        <v>0</v>
      </c>
      <c r="AB139" s="395">
        <f>'4.) Yearly Budget'!V139</f>
        <v>0</v>
      </c>
      <c r="AC139" s="396">
        <f t="shared" si="93"/>
        <v>0</v>
      </c>
      <c r="AD139" s="395">
        <f>IF(U$18&lt;&gt;0,'4.) Yearly Budget'!I139/$AM$18,0)</f>
        <v>0</v>
      </c>
      <c r="AE139" s="392">
        <f t="shared" si="94"/>
        <v>0</v>
      </c>
      <c r="AF139" s="293"/>
    </row>
    <row r="140" spans="1:32" s="68" customFormat="1">
      <c r="A140" s="259">
        <f t="shared" si="95"/>
        <v>140</v>
      </c>
      <c r="B140" s="96"/>
      <c r="C140" s="55" t="s">
        <v>88</v>
      </c>
      <c r="D140" s="50"/>
      <c r="E140" s="50"/>
      <c r="F140" s="50"/>
      <c r="G140" s="59"/>
      <c r="H140" s="95"/>
      <c r="I140" s="283">
        <f t="shared" ref="I140:AE140" si="96">SUM(I120:I139)</f>
        <v>0</v>
      </c>
      <c r="J140" s="158">
        <f t="shared" si="96"/>
        <v>0</v>
      </c>
      <c r="K140" s="397">
        <f t="shared" si="96"/>
        <v>0</v>
      </c>
      <c r="L140" s="102">
        <f t="shared" si="96"/>
        <v>0</v>
      </c>
      <c r="M140" s="158">
        <f t="shared" si="96"/>
        <v>0</v>
      </c>
      <c r="N140" s="397">
        <f t="shared" si="96"/>
        <v>0</v>
      </c>
      <c r="O140" s="102">
        <f t="shared" si="96"/>
        <v>0</v>
      </c>
      <c r="P140" s="158">
        <f t="shared" si="96"/>
        <v>0</v>
      </c>
      <c r="Q140" s="397">
        <f t="shared" si="96"/>
        <v>0</v>
      </c>
      <c r="R140" s="102">
        <f t="shared" si="96"/>
        <v>0</v>
      </c>
      <c r="S140" s="158">
        <f t="shared" si="96"/>
        <v>0</v>
      </c>
      <c r="T140" s="103">
        <f t="shared" si="96"/>
        <v>0</v>
      </c>
      <c r="U140" s="279">
        <f t="shared" si="96"/>
        <v>0</v>
      </c>
      <c r="V140" s="158">
        <f t="shared" si="96"/>
        <v>0</v>
      </c>
      <c r="W140" s="158">
        <f t="shared" si="96"/>
        <v>0</v>
      </c>
      <c r="X140" s="158">
        <f t="shared" si="96"/>
        <v>0</v>
      </c>
      <c r="Y140" s="387">
        <f t="shared" si="96"/>
        <v>0</v>
      </c>
      <c r="Z140" s="102">
        <f t="shared" si="96"/>
        <v>0</v>
      </c>
      <c r="AA140" s="102">
        <f t="shared" si="96"/>
        <v>0</v>
      </c>
      <c r="AB140" s="102">
        <f t="shared" si="96"/>
        <v>0</v>
      </c>
      <c r="AC140" s="397">
        <f t="shared" si="96"/>
        <v>0</v>
      </c>
      <c r="AD140" s="102">
        <f t="shared" si="96"/>
        <v>0</v>
      </c>
      <c r="AE140" s="105">
        <f t="shared" si="96"/>
        <v>0</v>
      </c>
      <c r="AF140" s="293"/>
    </row>
    <row r="141" spans="1:32" s="68" customFormat="1" ht="7.5" customHeight="1">
      <c r="A141" s="259">
        <f t="shared" si="95"/>
        <v>141</v>
      </c>
      <c r="B141" s="96"/>
      <c r="C141" s="94"/>
      <c r="D141" s="120"/>
      <c r="E141" s="120"/>
      <c r="F141" s="120"/>
      <c r="G141" s="56"/>
      <c r="H141" s="95"/>
      <c r="I141" s="107"/>
      <c r="J141" s="107"/>
      <c r="K141" s="107"/>
      <c r="L141" s="107"/>
      <c r="M141" s="107"/>
      <c r="N141" s="107"/>
      <c r="O141" s="107"/>
      <c r="P141" s="107"/>
      <c r="Q141" s="107"/>
      <c r="R141" s="107"/>
      <c r="S141" s="107"/>
      <c r="T141" s="108"/>
      <c r="U141" s="107"/>
      <c r="V141" s="107"/>
      <c r="W141" s="107"/>
      <c r="X141" s="107"/>
      <c r="Y141" s="107"/>
      <c r="Z141" s="107"/>
      <c r="AA141" s="107"/>
      <c r="AB141" s="107"/>
      <c r="AC141" s="107"/>
      <c r="AD141" s="107"/>
      <c r="AE141" s="108"/>
      <c r="AF141" s="293"/>
    </row>
    <row r="142" spans="1:32" s="68" customFormat="1">
      <c r="A142" s="259">
        <f t="shared" si="95"/>
        <v>142</v>
      </c>
      <c r="B142" s="96"/>
      <c r="C142" s="119" t="s">
        <v>89</v>
      </c>
      <c r="D142" s="50"/>
      <c r="E142" s="123"/>
      <c r="F142" s="123"/>
      <c r="G142" s="124"/>
      <c r="H142" s="95"/>
      <c r="I142" s="98"/>
      <c r="J142" s="98"/>
      <c r="K142" s="98"/>
      <c r="L142" s="98"/>
      <c r="M142" s="98"/>
      <c r="N142" s="98"/>
      <c r="O142" s="98"/>
      <c r="P142" s="98"/>
      <c r="Q142" s="98"/>
      <c r="R142" s="98"/>
      <c r="S142" s="98"/>
      <c r="T142" s="99"/>
      <c r="U142" s="98"/>
      <c r="V142" s="98"/>
      <c r="W142" s="98"/>
      <c r="X142" s="98"/>
      <c r="Y142" s="98"/>
      <c r="Z142" s="98"/>
      <c r="AA142" s="98"/>
      <c r="AB142" s="98"/>
      <c r="AC142" s="98"/>
      <c r="AD142" s="98"/>
      <c r="AE142" s="99"/>
      <c r="AF142" s="293"/>
    </row>
    <row r="143" spans="1:32" s="68" customFormat="1">
      <c r="A143" s="259">
        <f t="shared" si="95"/>
        <v>143</v>
      </c>
      <c r="B143" s="96"/>
      <c r="C143" s="50"/>
      <c r="D143" s="54" t="s">
        <v>3</v>
      </c>
      <c r="E143" s="53"/>
      <c r="F143" s="53"/>
      <c r="G143" s="124"/>
      <c r="H143" s="95"/>
      <c r="I143" s="278"/>
      <c r="J143" s="102">
        <f>IF('4.) Yearly Budget'!$K$18&gt;0,'4.) Yearly Budget'!K143,'4.) Yearly Budget'!J143)</f>
        <v>0</v>
      </c>
      <c r="K143" s="385">
        <f t="shared" ref="K143:K149" si="97">IF(I$18&lt;&gt;0,J143-I143,0)</f>
        <v>0</v>
      </c>
      <c r="L143" s="100"/>
      <c r="M143" s="102">
        <f>IF('4.) Yearly Budget'!$N$18&gt;0,'4.) Yearly Budget'!N143,'4.) Yearly Budget'!M143)</f>
        <v>0</v>
      </c>
      <c r="N143" s="385">
        <f t="shared" ref="N143:N149" si="98">IF(L$18&lt;&gt;0,M143-L143,0)</f>
        <v>0</v>
      </c>
      <c r="O143" s="100"/>
      <c r="P143" s="102">
        <f>IF('4.) Yearly Budget'!$Q$18&gt;0,'4.) Yearly Budget'!Q143,'4.) Yearly Budget'!P143)</f>
        <v>0</v>
      </c>
      <c r="Q143" s="385">
        <f t="shared" ref="Q143:Q149" si="99">IF(O$18&lt;&gt;0,P143-O143,0)</f>
        <v>0</v>
      </c>
      <c r="R143" s="100"/>
      <c r="S143" s="102">
        <f>IF('4.) Yearly Budget'!$T$18&gt;0,'4.) Yearly Budget'!T143,'4.) Yearly Budget'!S143)</f>
        <v>0</v>
      </c>
      <c r="T143" s="105">
        <f t="shared" ref="T143:T149" si="100">IF(R$18&lt;&gt;0,S143-R143,0)</f>
        <v>0</v>
      </c>
      <c r="U143" s="279">
        <f t="shared" ref="U143:U149" si="101">IF(I$18&lt;&gt;0,I143,0)+IF(L$18&lt;&gt;0,L143,0)+IF(O$18&lt;&gt;0,O143,0)+IF(R$18&lt;&gt;0,R143,0)</f>
        <v>0</v>
      </c>
      <c r="V143" s="382">
        <f t="shared" ref="V143:V149" si="102">SUM(IF(I$18&lt;&gt;0,J143,0)+IF(L$18&lt;&gt;0,M143,0)+IF(O$18&lt;&gt;0,P143,0)+IF(R$18&lt;&gt;0,S143,0))</f>
        <v>0</v>
      </c>
      <c r="W143" s="382">
        <f t="shared" ref="W143:W149" si="103">V143-U143</f>
        <v>0</v>
      </c>
      <c r="X143" s="382">
        <f>'4.) Yearly Budget'!W143</f>
        <v>0</v>
      </c>
      <c r="Y143" s="383">
        <f t="shared" ref="Y143:Y149" si="104">IF(U143&lt;&gt;0,X143-U143,IF(U143=0,X143,0))</f>
        <v>0</v>
      </c>
      <c r="Z143" s="384">
        <f>SUM(IF(I$18&lt;&gt;0,'4.) Yearly Budget'!J143,0)+IF(L$18&lt;&gt;0,'4.) Yearly Budget'!M143,0)+IF(O$18&lt;&gt;0,'4.) Yearly Budget'!P143,0)+IF(R$18&lt;&gt;0,'4.) Yearly Budget'!S143,0))</f>
        <v>0</v>
      </c>
      <c r="AA143" s="384">
        <f t="shared" ref="AA143:AA149" si="105">Z143-U143</f>
        <v>0</v>
      </c>
      <c r="AB143" s="384">
        <f>'4.) Yearly Budget'!V143</f>
        <v>0</v>
      </c>
      <c r="AC143" s="385">
        <f t="shared" ref="AC143:AC149" si="106">IF(U143&lt;&gt;0,AB143-U143,IF(U143=0,AB143,0))</f>
        <v>0</v>
      </c>
      <c r="AD143" s="384">
        <f>IF(U$18&lt;&gt;0,'4.) Yearly Budget'!I143/$AM$18,0)</f>
        <v>0</v>
      </c>
      <c r="AE143" s="105">
        <f t="shared" ref="AE143:AE149" si="107">AD143-U143</f>
        <v>0</v>
      </c>
      <c r="AF143" s="293"/>
    </row>
    <row r="144" spans="1:32" s="68" customFormat="1">
      <c r="A144" s="259">
        <f t="shared" si="95"/>
        <v>144</v>
      </c>
      <c r="B144" s="96"/>
      <c r="C144" s="50"/>
      <c r="D144" s="54" t="s">
        <v>4</v>
      </c>
      <c r="E144" s="53"/>
      <c r="F144" s="53"/>
      <c r="G144" s="124"/>
      <c r="H144" s="95"/>
      <c r="I144" s="278"/>
      <c r="J144" s="102">
        <f>IF('4.) Yearly Budget'!$K$18&gt;0,'4.) Yearly Budget'!K144,'4.) Yearly Budget'!J144)</f>
        <v>0</v>
      </c>
      <c r="K144" s="385">
        <f t="shared" si="97"/>
        <v>0</v>
      </c>
      <c r="L144" s="100"/>
      <c r="M144" s="102">
        <f>IF('4.) Yearly Budget'!$N$18&gt;0,'4.) Yearly Budget'!N144,'4.) Yearly Budget'!M144)</f>
        <v>0</v>
      </c>
      <c r="N144" s="385">
        <f t="shared" si="98"/>
        <v>0</v>
      </c>
      <c r="O144" s="100"/>
      <c r="P144" s="102">
        <f>IF('4.) Yearly Budget'!$Q$18&gt;0,'4.) Yearly Budget'!Q144,'4.) Yearly Budget'!P144)</f>
        <v>0</v>
      </c>
      <c r="Q144" s="385">
        <f t="shared" si="99"/>
        <v>0</v>
      </c>
      <c r="R144" s="100"/>
      <c r="S144" s="102">
        <f>IF('4.) Yearly Budget'!$T$18&gt;0,'4.) Yearly Budget'!T144,'4.) Yearly Budget'!S144)</f>
        <v>0</v>
      </c>
      <c r="T144" s="105">
        <f t="shared" si="100"/>
        <v>0</v>
      </c>
      <c r="U144" s="279">
        <f t="shared" si="101"/>
        <v>0</v>
      </c>
      <c r="V144" s="382">
        <f t="shared" si="102"/>
        <v>0</v>
      </c>
      <c r="W144" s="382">
        <f t="shared" si="103"/>
        <v>0</v>
      </c>
      <c r="X144" s="382">
        <f>'4.) Yearly Budget'!W144</f>
        <v>0</v>
      </c>
      <c r="Y144" s="383">
        <f t="shared" si="104"/>
        <v>0</v>
      </c>
      <c r="Z144" s="384">
        <f>SUM(IF(I$18&lt;&gt;0,'4.) Yearly Budget'!J144,0)+IF(L$18&lt;&gt;0,'4.) Yearly Budget'!M144,0)+IF(O$18&lt;&gt;0,'4.) Yearly Budget'!P144,0)+IF(R$18&lt;&gt;0,'4.) Yearly Budget'!S144,0))</f>
        <v>0</v>
      </c>
      <c r="AA144" s="384">
        <f t="shared" si="105"/>
        <v>0</v>
      </c>
      <c r="AB144" s="384">
        <f>'4.) Yearly Budget'!V144</f>
        <v>0</v>
      </c>
      <c r="AC144" s="385">
        <f t="shared" si="106"/>
        <v>0</v>
      </c>
      <c r="AD144" s="384">
        <f>IF(U$18&lt;&gt;0,'4.) Yearly Budget'!I144/$AM$18,0)</f>
        <v>0</v>
      </c>
      <c r="AE144" s="105">
        <f t="shared" si="107"/>
        <v>0</v>
      </c>
      <c r="AF144" s="293"/>
    </row>
    <row r="145" spans="1:32" s="68" customFormat="1">
      <c r="A145" s="259">
        <f t="shared" si="95"/>
        <v>145</v>
      </c>
      <c r="B145" s="96"/>
      <c r="C145" s="50"/>
      <c r="D145" s="50" t="s">
        <v>351</v>
      </c>
      <c r="E145" s="53"/>
      <c r="F145" s="53"/>
      <c r="G145" s="124"/>
      <c r="H145" s="95"/>
      <c r="I145" s="278"/>
      <c r="J145" s="102">
        <f>IF('4.) Yearly Budget'!$K$18&gt;0,'4.) Yearly Budget'!K145,'4.) Yearly Budget'!J145)</f>
        <v>0</v>
      </c>
      <c r="K145" s="385">
        <f t="shared" si="97"/>
        <v>0</v>
      </c>
      <c r="L145" s="100"/>
      <c r="M145" s="102">
        <f>IF('4.) Yearly Budget'!$N$18&gt;0,'4.) Yearly Budget'!N145,'4.) Yearly Budget'!M145)</f>
        <v>0</v>
      </c>
      <c r="N145" s="385">
        <f t="shared" si="98"/>
        <v>0</v>
      </c>
      <c r="O145" s="100"/>
      <c r="P145" s="102">
        <f>IF('4.) Yearly Budget'!$Q$18&gt;0,'4.) Yearly Budget'!Q145,'4.) Yearly Budget'!P145)</f>
        <v>0</v>
      </c>
      <c r="Q145" s="385">
        <f t="shared" si="99"/>
        <v>0</v>
      </c>
      <c r="R145" s="100"/>
      <c r="S145" s="102">
        <f>IF('4.) Yearly Budget'!$T$18&gt;0,'4.) Yearly Budget'!T145,'4.) Yearly Budget'!S145)</f>
        <v>0</v>
      </c>
      <c r="T145" s="105">
        <f t="shared" si="100"/>
        <v>0</v>
      </c>
      <c r="U145" s="279">
        <f t="shared" si="101"/>
        <v>0</v>
      </c>
      <c r="V145" s="382">
        <f t="shared" si="102"/>
        <v>0</v>
      </c>
      <c r="W145" s="382">
        <f t="shared" si="103"/>
        <v>0</v>
      </c>
      <c r="X145" s="382">
        <f>'4.) Yearly Budget'!W145</f>
        <v>0</v>
      </c>
      <c r="Y145" s="383">
        <f t="shared" si="104"/>
        <v>0</v>
      </c>
      <c r="Z145" s="384">
        <f>SUM(IF(I$18&lt;&gt;0,'4.) Yearly Budget'!J145,0)+IF(L$18&lt;&gt;0,'4.) Yearly Budget'!M145,0)+IF(O$18&lt;&gt;0,'4.) Yearly Budget'!P145,0)+IF(R$18&lt;&gt;0,'4.) Yearly Budget'!S145,0))</f>
        <v>0</v>
      </c>
      <c r="AA145" s="384">
        <f t="shared" si="105"/>
        <v>0</v>
      </c>
      <c r="AB145" s="384">
        <f>'4.) Yearly Budget'!V145</f>
        <v>0</v>
      </c>
      <c r="AC145" s="385">
        <f t="shared" si="106"/>
        <v>0</v>
      </c>
      <c r="AD145" s="384">
        <f>IF(U$18&lt;&gt;0,'4.) Yearly Budget'!I145/$AM$18,0)</f>
        <v>0</v>
      </c>
      <c r="AE145" s="105">
        <f t="shared" si="107"/>
        <v>0</v>
      </c>
      <c r="AF145" s="293"/>
    </row>
    <row r="146" spans="1:32" s="68" customFormat="1">
      <c r="A146" s="259">
        <f t="shared" si="95"/>
        <v>146</v>
      </c>
      <c r="B146" s="96"/>
      <c r="C146" s="50"/>
      <c r="D146" s="50" t="s">
        <v>54</v>
      </c>
      <c r="E146" s="53"/>
      <c r="F146" s="53"/>
      <c r="G146" s="124"/>
      <c r="H146" s="95"/>
      <c r="I146" s="278"/>
      <c r="J146" s="102">
        <f>IF('4.) Yearly Budget'!$K$18&gt;0,'4.) Yearly Budget'!K146,'4.) Yearly Budget'!J146)</f>
        <v>0</v>
      </c>
      <c r="K146" s="385">
        <f t="shared" si="97"/>
        <v>0</v>
      </c>
      <c r="L146" s="100"/>
      <c r="M146" s="102">
        <f>IF('4.) Yearly Budget'!$N$18&gt;0,'4.) Yearly Budget'!N146,'4.) Yearly Budget'!M146)</f>
        <v>0</v>
      </c>
      <c r="N146" s="385">
        <f t="shared" si="98"/>
        <v>0</v>
      </c>
      <c r="O146" s="100"/>
      <c r="P146" s="102">
        <f>IF('4.) Yearly Budget'!$Q$18&gt;0,'4.) Yearly Budget'!Q146,'4.) Yearly Budget'!P146)</f>
        <v>0</v>
      </c>
      <c r="Q146" s="385">
        <f t="shared" si="99"/>
        <v>0</v>
      </c>
      <c r="R146" s="100"/>
      <c r="S146" s="102">
        <f>IF('4.) Yearly Budget'!$T$18&gt;0,'4.) Yearly Budget'!T146,'4.) Yearly Budget'!S146)</f>
        <v>0</v>
      </c>
      <c r="T146" s="105">
        <f t="shared" si="100"/>
        <v>0</v>
      </c>
      <c r="U146" s="279">
        <f t="shared" si="101"/>
        <v>0</v>
      </c>
      <c r="V146" s="382">
        <f t="shared" si="102"/>
        <v>0</v>
      </c>
      <c r="W146" s="382">
        <f t="shared" si="103"/>
        <v>0</v>
      </c>
      <c r="X146" s="382">
        <f>'4.) Yearly Budget'!W146</f>
        <v>0</v>
      </c>
      <c r="Y146" s="383">
        <f t="shared" si="104"/>
        <v>0</v>
      </c>
      <c r="Z146" s="384">
        <f>SUM(IF(I$18&lt;&gt;0,'4.) Yearly Budget'!J146,0)+IF(L$18&lt;&gt;0,'4.) Yearly Budget'!M146,0)+IF(O$18&lt;&gt;0,'4.) Yearly Budget'!P146,0)+IF(R$18&lt;&gt;0,'4.) Yearly Budget'!S146,0))</f>
        <v>0</v>
      </c>
      <c r="AA146" s="384">
        <f t="shared" si="105"/>
        <v>0</v>
      </c>
      <c r="AB146" s="384">
        <f>'4.) Yearly Budget'!V146</f>
        <v>0</v>
      </c>
      <c r="AC146" s="385">
        <f t="shared" si="106"/>
        <v>0</v>
      </c>
      <c r="AD146" s="384">
        <f>IF(U$18&lt;&gt;0,'4.) Yearly Budget'!I146/$AM$18,0)</f>
        <v>0</v>
      </c>
      <c r="AE146" s="105">
        <f t="shared" si="107"/>
        <v>0</v>
      </c>
      <c r="AF146" s="293"/>
    </row>
    <row r="147" spans="1:32" s="68" customFormat="1">
      <c r="A147" s="259">
        <f t="shared" si="95"/>
        <v>147</v>
      </c>
      <c r="B147" s="96"/>
      <c r="C147" s="50"/>
      <c r="D147" s="50" t="s">
        <v>56</v>
      </c>
      <c r="E147" s="53"/>
      <c r="F147" s="53"/>
      <c r="G147" s="124"/>
      <c r="H147" s="95"/>
      <c r="I147" s="278"/>
      <c r="J147" s="102">
        <f>IF('4.) Yearly Budget'!$K$18&gt;0,'4.) Yearly Budget'!K147,'4.) Yearly Budget'!J147)</f>
        <v>0</v>
      </c>
      <c r="K147" s="385">
        <f t="shared" si="97"/>
        <v>0</v>
      </c>
      <c r="L147" s="100"/>
      <c r="M147" s="102">
        <f>IF('4.) Yearly Budget'!$N$18&gt;0,'4.) Yearly Budget'!N147,'4.) Yearly Budget'!M147)</f>
        <v>0</v>
      </c>
      <c r="N147" s="385">
        <f t="shared" si="98"/>
        <v>0</v>
      </c>
      <c r="O147" s="100"/>
      <c r="P147" s="102">
        <f>IF('4.) Yearly Budget'!$Q$18&gt;0,'4.) Yearly Budget'!Q147,'4.) Yearly Budget'!P147)</f>
        <v>0</v>
      </c>
      <c r="Q147" s="385">
        <f t="shared" si="99"/>
        <v>0</v>
      </c>
      <c r="R147" s="100"/>
      <c r="S147" s="102">
        <f>IF('4.) Yearly Budget'!$T$18&gt;0,'4.) Yearly Budget'!T147,'4.) Yearly Budget'!S147)</f>
        <v>0</v>
      </c>
      <c r="T147" s="105">
        <f t="shared" si="100"/>
        <v>0</v>
      </c>
      <c r="U147" s="279">
        <f t="shared" si="101"/>
        <v>0</v>
      </c>
      <c r="V147" s="382">
        <f t="shared" si="102"/>
        <v>0</v>
      </c>
      <c r="W147" s="382">
        <f t="shared" si="103"/>
        <v>0</v>
      </c>
      <c r="X147" s="382">
        <f>'4.) Yearly Budget'!W147</f>
        <v>0</v>
      </c>
      <c r="Y147" s="383">
        <f t="shared" si="104"/>
        <v>0</v>
      </c>
      <c r="Z147" s="384">
        <f>SUM(IF(I$18&lt;&gt;0,'4.) Yearly Budget'!J147,0)+IF(L$18&lt;&gt;0,'4.) Yearly Budget'!M147,0)+IF(O$18&lt;&gt;0,'4.) Yearly Budget'!P147,0)+IF(R$18&lt;&gt;0,'4.) Yearly Budget'!S147,0))</f>
        <v>0</v>
      </c>
      <c r="AA147" s="384">
        <f t="shared" si="105"/>
        <v>0</v>
      </c>
      <c r="AB147" s="384">
        <f>'4.) Yearly Budget'!V147</f>
        <v>0</v>
      </c>
      <c r="AC147" s="385">
        <f t="shared" si="106"/>
        <v>0</v>
      </c>
      <c r="AD147" s="384">
        <f>IF(U$18&lt;&gt;0,'4.) Yearly Budget'!I147/$AM$18,0)</f>
        <v>0</v>
      </c>
      <c r="AE147" s="105">
        <f t="shared" si="107"/>
        <v>0</v>
      </c>
      <c r="AF147" s="293"/>
    </row>
    <row r="148" spans="1:32" s="68" customFormat="1">
      <c r="A148" s="259">
        <f t="shared" si="95"/>
        <v>148</v>
      </c>
      <c r="B148" s="96"/>
      <c r="C148" s="50"/>
      <c r="D148" s="54" t="s">
        <v>7</v>
      </c>
      <c r="E148" s="53"/>
      <c r="F148" s="53"/>
      <c r="G148" s="124"/>
      <c r="H148" s="95"/>
      <c r="I148" s="278"/>
      <c r="J148" s="102">
        <f>IF('4.) Yearly Budget'!$K$18&gt;0,'4.) Yearly Budget'!K148,'4.) Yearly Budget'!J148)</f>
        <v>0</v>
      </c>
      <c r="K148" s="385">
        <f t="shared" si="97"/>
        <v>0</v>
      </c>
      <c r="L148" s="100"/>
      <c r="M148" s="102">
        <f>IF('4.) Yearly Budget'!$N$18&gt;0,'4.) Yearly Budget'!N148,'4.) Yearly Budget'!M148)</f>
        <v>0</v>
      </c>
      <c r="N148" s="385">
        <f t="shared" si="98"/>
        <v>0</v>
      </c>
      <c r="O148" s="100"/>
      <c r="P148" s="102">
        <f>IF('4.) Yearly Budget'!$Q$18&gt;0,'4.) Yearly Budget'!Q148,'4.) Yearly Budget'!P148)</f>
        <v>0</v>
      </c>
      <c r="Q148" s="385">
        <f t="shared" si="99"/>
        <v>0</v>
      </c>
      <c r="R148" s="100"/>
      <c r="S148" s="102">
        <f>IF('4.) Yearly Budget'!$T$18&gt;0,'4.) Yearly Budget'!T148,'4.) Yearly Budget'!S148)</f>
        <v>0</v>
      </c>
      <c r="T148" s="105">
        <f t="shared" si="100"/>
        <v>0</v>
      </c>
      <c r="U148" s="279">
        <f t="shared" si="101"/>
        <v>0</v>
      </c>
      <c r="V148" s="382">
        <f t="shared" si="102"/>
        <v>0</v>
      </c>
      <c r="W148" s="382">
        <f t="shared" si="103"/>
        <v>0</v>
      </c>
      <c r="X148" s="382">
        <f>'4.) Yearly Budget'!W148</f>
        <v>0</v>
      </c>
      <c r="Y148" s="383">
        <f t="shared" si="104"/>
        <v>0</v>
      </c>
      <c r="Z148" s="384">
        <f>SUM(IF(I$18&lt;&gt;0,'4.) Yearly Budget'!J148,0)+IF(L$18&lt;&gt;0,'4.) Yearly Budget'!M148,0)+IF(O$18&lt;&gt;0,'4.) Yearly Budget'!P148,0)+IF(R$18&lt;&gt;0,'4.) Yearly Budget'!S148,0))</f>
        <v>0</v>
      </c>
      <c r="AA148" s="384">
        <f t="shared" si="105"/>
        <v>0</v>
      </c>
      <c r="AB148" s="384">
        <f>'4.) Yearly Budget'!V148</f>
        <v>0</v>
      </c>
      <c r="AC148" s="385">
        <f t="shared" si="106"/>
        <v>0</v>
      </c>
      <c r="AD148" s="384">
        <f>IF(U$18&lt;&gt;0,'4.) Yearly Budget'!I148/$AM$18,0)</f>
        <v>0</v>
      </c>
      <c r="AE148" s="105">
        <f t="shared" si="107"/>
        <v>0</v>
      </c>
      <c r="AF148" s="293"/>
    </row>
    <row r="149" spans="1:32" s="68" customFormat="1" ht="16.8">
      <c r="A149" s="259">
        <f t="shared" si="95"/>
        <v>149</v>
      </c>
      <c r="B149" s="96"/>
      <c r="C149" s="50"/>
      <c r="D149" s="50" t="s">
        <v>9</v>
      </c>
      <c r="E149" s="53"/>
      <c r="F149" s="53"/>
      <c r="G149" s="124"/>
      <c r="H149" s="95"/>
      <c r="I149" s="286"/>
      <c r="J149" s="396">
        <f>IF('4.) Yearly Budget'!$K$18&gt;0,'4.) Yearly Budget'!K149,'4.) Yearly Budget'!J149)</f>
        <v>0</v>
      </c>
      <c r="K149" s="396">
        <f t="shared" si="97"/>
        <v>0</v>
      </c>
      <c r="L149" s="106"/>
      <c r="M149" s="573">
        <f>IF('4.) Yearly Budget'!$N$18&gt;0,'4.) Yearly Budget'!N149,'4.) Yearly Budget'!M149)</f>
        <v>0</v>
      </c>
      <c r="N149" s="396">
        <f t="shared" si="98"/>
        <v>0</v>
      </c>
      <c r="O149" s="106"/>
      <c r="P149" s="573">
        <f>IF('4.) Yearly Budget'!$Q$18&gt;0,'4.) Yearly Budget'!Q149,'4.) Yearly Budget'!P149)</f>
        <v>0</v>
      </c>
      <c r="Q149" s="396">
        <f t="shared" si="99"/>
        <v>0</v>
      </c>
      <c r="R149" s="106"/>
      <c r="S149" s="573">
        <f>IF('4.) Yearly Budget'!$T$18&gt;0,'4.) Yearly Budget'!T149,'4.) Yearly Budget'!S149)</f>
        <v>0</v>
      </c>
      <c r="T149" s="392">
        <f t="shared" si="100"/>
        <v>0</v>
      </c>
      <c r="U149" s="287">
        <f t="shared" si="101"/>
        <v>0</v>
      </c>
      <c r="V149" s="393">
        <f t="shared" si="102"/>
        <v>0</v>
      </c>
      <c r="W149" s="393">
        <f t="shared" si="103"/>
        <v>0</v>
      </c>
      <c r="X149" s="393">
        <f>'4.) Yearly Budget'!W149</f>
        <v>0</v>
      </c>
      <c r="Y149" s="394">
        <f t="shared" si="104"/>
        <v>0</v>
      </c>
      <c r="Z149" s="395">
        <f>SUM(IF(I$18&lt;&gt;0,'4.) Yearly Budget'!J149,0)+IF(L$18&lt;&gt;0,'4.) Yearly Budget'!M149,0)+IF(O$18&lt;&gt;0,'4.) Yearly Budget'!P149,0)+IF(R$18&lt;&gt;0,'4.) Yearly Budget'!S149,0))</f>
        <v>0</v>
      </c>
      <c r="AA149" s="395">
        <f t="shared" si="105"/>
        <v>0</v>
      </c>
      <c r="AB149" s="395">
        <f>'4.) Yearly Budget'!V149</f>
        <v>0</v>
      </c>
      <c r="AC149" s="396">
        <f t="shared" si="106"/>
        <v>0</v>
      </c>
      <c r="AD149" s="395">
        <f>IF(U$18&lt;&gt;0,'4.) Yearly Budget'!I149/$AM$18,0)</f>
        <v>0</v>
      </c>
      <c r="AE149" s="392">
        <f t="shared" si="107"/>
        <v>0</v>
      </c>
      <c r="AF149" s="293"/>
    </row>
    <row r="150" spans="1:32" s="68" customFormat="1">
      <c r="A150" s="259">
        <f t="shared" si="95"/>
        <v>150</v>
      </c>
      <c r="B150" s="96"/>
      <c r="C150" s="120" t="s">
        <v>90</v>
      </c>
      <c r="D150" s="50"/>
      <c r="E150" s="123"/>
      <c r="F150" s="123"/>
      <c r="G150" s="124"/>
      <c r="H150" s="95"/>
      <c r="I150" s="283">
        <f t="shared" ref="I150:AE150" si="108">SUM(I143:I149)</f>
        <v>0</v>
      </c>
      <c r="J150" s="158">
        <f t="shared" si="108"/>
        <v>0</v>
      </c>
      <c r="K150" s="397">
        <f t="shared" si="108"/>
        <v>0</v>
      </c>
      <c r="L150" s="102">
        <f t="shared" si="108"/>
        <v>0</v>
      </c>
      <c r="M150" s="158">
        <f t="shared" si="108"/>
        <v>0</v>
      </c>
      <c r="N150" s="397">
        <f t="shared" si="108"/>
        <v>0</v>
      </c>
      <c r="O150" s="102">
        <f t="shared" si="108"/>
        <v>0</v>
      </c>
      <c r="P150" s="158">
        <f t="shared" si="108"/>
        <v>0</v>
      </c>
      <c r="Q150" s="397">
        <f t="shared" si="108"/>
        <v>0</v>
      </c>
      <c r="R150" s="102">
        <f t="shared" si="108"/>
        <v>0</v>
      </c>
      <c r="S150" s="158">
        <f t="shared" si="108"/>
        <v>0</v>
      </c>
      <c r="T150" s="103">
        <f t="shared" si="108"/>
        <v>0</v>
      </c>
      <c r="U150" s="279">
        <f t="shared" si="108"/>
        <v>0</v>
      </c>
      <c r="V150" s="158">
        <f t="shared" si="108"/>
        <v>0</v>
      </c>
      <c r="W150" s="158">
        <f t="shared" si="108"/>
        <v>0</v>
      </c>
      <c r="X150" s="158">
        <f t="shared" si="108"/>
        <v>0</v>
      </c>
      <c r="Y150" s="387">
        <f t="shared" si="108"/>
        <v>0</v>
      </c>
      <c r="Z150" s="102">
        <f t="shared" si="108"/>
        <v>0</v>
      </c>
      <c r="AA150" s="102">
        <f t="shared" si="108"/>
        <v>0</v>
      </c>
      <c r="AB150" s="102">
        <f t="shared" si="108"/>
        <v>0</v>
      </c>
      <c r="AC150" s="397">
        <f t="shared" si="108"/>
        <v>0</v>
      </c>
      <c r="AD150" s="102">
        <f t="shared" si="108"/>
        <v>0</v>
      </c>
      <c r="AE150" s="105">
        <f t="shared" si="108"/>
        <v>0</v>
      </c>
      <c r="AF150" s="293"/>
    </row>
    <row r="151" spans="1:32" s="68" customFormat="1" ht="7.5" customHeight="1">
      <c r="A151" s="259">
        <f t="shared" si="95"/>
        <v>151</v>
      </c>
      <c r="B151" s="96"/>
      <c r="C151" s="119"/>
      <c r="D151" s="50"/>
      <c r="E151" s="123"/>
      <c r="F151" s="123"/>
      <c r="G151" s="124"/>
      <c r="H151" s="95"/>
      <c r="I151" s="104"/>
      <c r="J151" s="104"/>
      <c r="K151" s="104"/>
      <c r="L151" s="104"/>
      <c r="M151" s="104"/>
      <c r="N151" s="104"/>
      <c r="O151" s="104"/>
      <c r="P151" s="104"/>
      <c r="Q151" s="104"/>
      <c r="R151" s="104"/>
      <c r="S151" s="104"/>
      <c r="T151" s="105"/>
      <c r="U151" s="104"/>
      <c r="V151" s="104"/>
      <c r="W151" s="104"/>
      <c r="X151" s="104"/>
      <c r="Y151" s="104"/>
      <c r="Z151" s="104"/>
      <c r="AA151" s="104"/>
      <c r="AB151" s="104"/>
      <c r="AC151" s="104"/>
      <c r="AD151" s="104"/>
      <c r="AE151" s="105"/>
      <c r="AF151" s="293"/>
    </row>
    <row r="152" spans="1:32" s="68" customFormat="1">
      <c r="A152" s="259">
        <f t="shared" si="95"/>
        <v>152</v>
      </c>
      <c r="B152" s="96"/>
      <c r="C152" s="119" t="s">
        <v>91</v>
      </c>
      <c r="D152" s="50"/>
      <c r="E152" s="123"/>
      <c r="F152" s="123"/>
      <c r="G152" s="124"/>
      <c r="H152" s="95"/>
      <c r="I152" s="278"/>
      <c r="J152" s="102">
        <f>IF('4.) Yearly Budget'!$K$18&gt;0,'4.) Yearly Budget'!K152,'4.) Yearly Budget'!J152)</f>
        <v>0</v>
      </c>
      <c r="K152" s="385">
        <f>IF(I$18&lt;&gt;0,J152-I152,0)</f>
        <v>0</v>
      </c>
      <c r="L152" s="100"/>
      <c r="M152" s="102">
        <f>IF('4.) Yearly Budget'!$N$18&gt;0,'4.) Yearly Budget'!N152,'4.) Yearly Budget'!M152)</f>
        <v>0</v>
      </c>
      <c r="N152" s="385">
        <f>IF(L$18&lt;&gt;0,M152-L152,0)</f>
        <v>0</v>
      </c>
      <c r="O152" s="100"/>
      <c r="P152" s="102">
        <f>IF('4.) Yearly Budget'!$Q$18&gt;0,'4.) Yearly Budget'!Q152,'4.) Yearly Budget'!P152)</f>
        <v>0</v>
      </c>
      <c r="Q152" s="385">
        <f>IF(O$18&lt;&gt;0,P152-O152,0)</f>
        <v>0</v>
      </c>
      <c r="R152" s="100"/>
      <c r="S152" s="102">
        <f>IF('4.) Yearly Budget'!$T$18&gt;0,'4.) Yearly Budget'!T152,'4.) Yearly Budget'!S152)</f>
        <v>0</v>
      </c>
      <c r="T152" s="105">
        <f>IF(R$18&lt;&gt;0,S152-R152,0)</f>
        <v>0</v>
      </c>
      <c r="U152" s="279">
        <f>IF(I$18&lt;&gt;0,I152,0)+IF(L$18&lt;&gt;0,L152,0)+IF(O$18&lt;&gt;0,O152,0)+IF(R$18&lt;&gt;0,R152,0)</f>
        <v>0</v>
      </c>
      <c r="V152" s="382">
        <f>SUM(IF(I$18&lt;&gt;0,J152,0)+IF(L$18&lt;&gt;0,M152,0)+IF(O$18&lt;&gt;0,P152,0)+IF(R$18&lt;&gt;0,S152,0))</f>
        <v>0</v>
      </c>
      <c r="W152" s="382">
        <f>V152-U152</f>
        <v>0</v>
      </c>
      <c r="X152" s="382">
        <f>'4.) Yearly Budget'!W152</f>
        <v>0</v>
      </c>
      <c r="Y152" s="383">
        <f>IF(U152&lt;&gt;0,X152-U152,IF(U152=0,X152,0))</f>
        <v>0</v>
      </c>
      <c r="Z152" s="384">
        <f>SUM(IF(I$18&lt;&gt;0,'4.) Yearly Budget'!J152,0)+IF(L$18&lt;&gt;0,'4.) Yearly Budget'!M152,0)+IF(O$18&lt;&gt;0,'4.) Yearly Budget'!P152,0)+IF(R$18&lt;&gt;0,'4.) Yearly Budget'!S152,0))</f>
        <v>0</v>
      </c>
      <c r="AA152" s="384">
        <f>Z152-U152</f>
        <v>0</v>
      </c>
      <c r="AB152" s="384">
        <f>'4.) Yearly Budget'!V152</f>
        <v>0</v>
      </c>
      <c r="AC152" s="385">
        <f>IF(U152&lt;&gt;0,AB152-U152,IF(U152=0,AB152,0))</f>
        <v>0</v>
      </c>
      <c r="AD152" s="384">
        <f>IF(U$18&lt;&gt;0,'4.) Yearly Budget'!I152/$AM$18,0)</f>
        <v>0</v>
      </c>
      <c r="AE152" s="105">
        <f>AD152-U152</f>
        <v>0</v>
      </c>
      <c r="AF152" s="293"/>
    </row>
    <row r="153" spans="1:32" s="68" customFormat="1">
      <c r="A153" s="259">
        <f t="shared" si="95"/>
        <v>153</v>
      </c>
      <c r="B153" s="96"/>
      <c r="C153" s="119" t="s">
        <v>241</v>
      </c>
      <c r="D153" s="50"/>
      <c r="E153" s="123"/>
      <c r="F153" s="123"/>
      <c r="G153" s="124"/>
      <c r="H153" s="95"/>
      <c r="I153" s="278"/>
      <c r="J153" s="102">
        <f>IF('4.) Yearly Budget'!$K$18&gt;0,'4.) Yearly Budget'!K153,'4.) Yearly Budget'!J153)</f>
        <v>0</v>
      </c>
      <c r="K153" s="385">
        <f>IF(I$18&lt;&gt;0,J153-I153,0)</f>
        <v>0</v>
      </c>
      <c r="L153" s="100"/>
      <c r="M153" s="102">
        <f>IF('4.) Yearly Budget'!$N$18&gt;0,'4.) Yearly Budget'!N153,'4.) Yearly Budget'!M153)</f>
        <v>0</v>
      </c>
      <c r="N153" s="385">
        <f>IF(L$18&lt;&gt;0,M153-L153,0)</f>
        <v>0</v>
      </c>
      <c r="O153" s="100"/>
      <c r="P153" s="102">
        <f>IF('4.) Yearly Budget'!$Q$18&gt;0,'4.) Yearly Budget'!Q153,'4.) Yearly Budget'!P153)</f>
        <v>0</v>
      </c>
      <c r="Q153" s="385">
        <f>IF(O$18&lt;&gt;0,P153-O153,0)</f>
        <v>0</v>
      </c>
      <c r="R153" s="100"/>
      <c r="S153" s="102">
        <f>IF('4.) Yearly Budget'!$T$18&gt;0,'4.) Yearly Budget'!T153,'4.) Yearly Budget'!S153)</f>
        <v>0</v>
      </c>
      <c r="T153" s="105">
        <f>IF(R$18&lt;&gt;0,S153-R153,0)</f>
        <v>0</v>
      </c>
      <c r="U153" s="279">
        <f>IF(I$18&lt;&gt;0,I153,0)+IF(L$18&lt;&gt;0,L153,0)+IF(O$18&lt;&gt;0,O153,0)+IF(R$18&lt;&gt;0,R153,0)</f>
        <v>0</v>
      </c>
      <c r="V153" s="382">
        <f>SUM(IF(I$18&lt;&gt;0,J153,0)+IF(L$18&lt;&gt;0,M153,0)+IF(O$18&lt;&gt;0,P153,0)+IF(R$18&lt;&gt;0,S153,0))</f>
        <v>0</v>
      </c>
      <c r="W153" s="382">
        <f>V153-U153</f>
        <v>0</v>
      </c>
      <c r="X153" s="382">
        <f>'4.) Yearly Budget'!W153</f>
        <v>0</v>
      </c>
      <c r="Y153" s="383">
        <f>IF(U153&lt;&gt;0,X153-U153,IF(U153=0,X153,0))</f>
        <v>0</v>
      </c>
      <c r="Z153" s="384">
        <f>SUM(IF(I$18&lt;&gt;0,'4.) Yearly Budget'!J153,0)+IF(L$18&lt;&gt;0,'4.) Yearly Budget'!M153,0)+IF(O$18&lt;&gt;0,'4.) Yearly Budget'!P153,0)+IF(R$18&lt;&gt;0,'4.) Yearly Budget'!S153,0))</f>
        <v>0</v>
      </c>
      <c r="AA153" s="384">
        <f>Z153-U153</f>
        <v>0</v>
      </c>
      <c r="AB153" s="384">
        <f>'4.) Yearly Budget'!V153</f>
        <v>0</v>
      </c>
      <c r="AC153" s="385">
        <f>IF(U153&lt;&gt;0,AB153-U153,IF(U153=0,AB153,0))</f>
        <v>0</v>
      </c>
      <c r="AD153" s="384">
        <f>IF(U$18&lt;&gt;0,'4.) Yearly Budget'!I153/$AM$18,0)</f>
        <v>0</v>
      </c>
      <c r="AE153" s="105">
        <f>AD153-U153</f>
        <v>0</v>
      </c>
      <c r="AF153" s="293"/>
    </row>
    <row r="154" spans="1:32" s="94" customFormat="1" ht="7.5" customHeight="1">
      <c r="A154" s="259">
        <f t="shared" si="95"/>
        <v>154</v>
      </c>
      <c r="B154" s="96"/>
      <c r="C154" s="119"/>
      <c r="D154" s="50"/>
      <c r="E154" s="123"/>
      <c r="F154" s="123"/>
      <c r="G154" s="124"/>
      <c r="H154" s="95"/>
      <c r="I154" s="104"/>
      <c r="J154" s="104"/>
      <c r="K154" s="104"/>
      <c r="L154" s="104"/>
      <c r="M154" s="104"/>
      <c r="N154" s="104"/>
      <c r="O154" s="104"/>
      <c r="P154" s="104"/>
      <c r="Q154" s="104"/>
      <c r="R154" s="104"/>
      <c r="S154" s="104"/>
      <c r="T154" s="105"/>
      <c r="U154" s="104"/>
      <c r="V154" s="104"/>
      <c r="W154" s="104"/>
      <c r="X154" s="104"/>
      <c r="Y154" s="104"/>
      <c r="Z154" s="104"/>
      <c r="AA154" s="104"/>
      <c r="AB154" s="104"/>
      <c r="AC154" s="104"/>
      <c r="AD154" s="104"/>
      <c r="AE154" s="105"/>
      <c r="AF154" s="293"/>
    </row>
    <row r="155" spans="1:32" s="68" customFormat="1" ht="16.8">
      <c r="A155" s="259">
        <f t="shared" si="95"/>
        <v>155</v>
      </c>
      <c r="B155" s="92" t="s">
        <v>55</v>
      </c>
      <c r="C155" s="93"/>
      <c r="D155" s="93"/>
      <c r="E155" s="94"/>
      <c r="F155" s="94"/>
      <c r="G155" s="57"/>
      <c r="H155" s="137"/>
      <c r="I155" s="301">
        <f t="shared" ref="I155:AE155" si="109">I105+I117+I140+I150+I152+I153</f>
        <v>0</v>
      </c>
      <c r="J155" s="414">
        <f t="shared" si="109"/>
        <v>0</v>
      </c>
      <c r="K155" s="157">
        <f t="shared" si="109"/>
        <v>0</v>
      </c>
      <c r="L155" s="301">
        <f t="shared" si="109"/>
        <v>0</v>
      </c>
      <c r="M155" s="414">
        <f t="shared" si="109"/>
        <v>0</v>
      </c>
      <c r="N155" s="157">
        <f t="shared" si="109"/>
        <v>0</v>
      </c>
      <c r="O155" s="301">
        <f t="shared" si="109"/>
        <v>0</v>
      </c>
      <c r="P155" s="414">
        <f t="shared" si="109"/>
        <v>0</v>
      </c>
      <c r="Q155" s="157">
        <f t="shared" si="109"/>
        <v>0</v>
      </c>
      <c r="R155" s="301">
        <f t="shared" si="109"/>
        <v>0</v>
      </c>
      <c r="S155" s="414">
        <f t="shared" si="109"/>
        <v>0</v>
      </c>
      <c r="T155" s="415">
        <f t="shared" si="109"/>
        <v>0</v>
      </c>
      <c r="U155" s="416">
        <f t="shared" si="109"/>
        <v>0</v>
      </c>
      <c r="V155" s="414">
        <f t="shared" si="109"/>
        <v>0</v>
      </c>
      <c r="W155" s="414">
        <f t="shared" si="109"/>
        <v>0</v>
      </c>
      <c r="X155" s="414">
        <f t="shared" si="109"/>
        <v>0</v>
      </c>
      <c r="Y155" s="157">
        <f t="shared" si="109"/>
        <v>0</v>
      </c>
      <c r="Z155" s="301">
        <f t="shared" si="109"/>
        <v>0</v>
      </c>
      <c r="AA155" s="414">
        <f t="shared" si="109"/>
        <v>0</v>
      </c>
      <c r="AB155" s="414">
        <f t="shared" si="109"/>
        <v>0</v>
      </c>
      <c r="AC155" s="417">
        <f t="shared" si="109"/>
        <v>0</v>
      </c>
      <c r="AD155" s="301">
        <f t="shared" si="109"/>
        <v>0</v>
      </c>
      <c r="AE155" s="415">
        <f t="shared" si="109"/>
        <v>0</v>
      </c>
      <c r="AF155" s="293"/>
    </row>
    <row r="156" spans="1:32" s="94" customFormat="1" ht="7.5" customHeight="1">
      <c r="A156" s="259">
        <f t="shared" si="95"/>
        <v>156</v>
      </c>
      <c r="B156" s="92"/>
      <c r="C156" s="93"/>
      <c r="D156" s="93"/>
      <c r="G156" s="57"/>
      <c r="H156" s="137"/>
      <c r="I156" s="138"/>
      <c r="J156" s="138"/>
      <c r="K156" s="138"/>
      <c r="L156" s="138"/>
      <c r="M156" s="138"/>
      <c r="N156" s="138"/>
      <c r="O156" s="138"/>
      <c r="P156" s="138"/>
      <c r="Q156" s="138"/>
      <c r="R156" s="138"/>
      <c r="S156" s="138"/>
      <c r="T156" s="415"/>
      <c r="U156" s="138"/>
      <c r="V156" s="138"/>
      <c r="W156" s="138"/>
      <c r="X156" s="138"/>
      <c r="Y156" s="138"/>
      <c r="Z156" s="138"/>
      <c r="AA156" s="138"/>
      <c r="AB156" s="138"/>
      <c r="AC156" s="138"/>
      <c r="AD156" s="138"/>
      <c r="AE156" s="415"/>
      <c r="AF156" s="293"/>
    </row>
    <row r="157" spans="1:32" s="68" customFormat="1" ht="17.399999999999999" thickBot="1">
      <c r="A157" s="259">
        <f t="shared" si="95"/>
        <v>157</v>
      </c>
      <c r="B157" s="125" t="s">
        <v>96</v>
      </c>
      <c r="C157" s="126"/>
      <c r="D157" s="126"/>
      <c r="E157" s="127"/>
      <c r="F157" s="127"/>
      <c r="G157" s="112"/>
      <c r="H157" s="139"/>
      <c r="I157" s="288">
        <f>I65-I155</f>
        <v>0</v>
      </c>
      <c r="J157" s="114">
        <f>J65-J155</f>
        <v>0</v>
      </c>
      <c r="K157" s="402">
        <f>K65+K155</f>
        <v>0</v>
      </c>
      <c r="L157" s="288">
        <f>L65-L155</f>
        <v>0</v>
      </c>
      <c r="M157" s="114">
        <f>M65-M155</f>
        <v>0</v>
      </c>
      <c r="N157" s="402">
        <f>N65+N155</f>
        <v>0</v>
      </c>
      <c r="O157" s="288">
        <f>O65-O155</f>
        <v>0</v>
      </c>
      <c r="P157" s="114">
        <f>P65-P155</f>
        <v>0</v>
      </c>
      <c r="Q157" s="402">
        <f>Q65+Q155</f>
        <v>0</v>
      </c>
      <c r="R157" s="288">
        <f>R65-R155</f>
        <v>0</v>
      </c>
      <c r="S157" s="152">
        <f>S65-S155</f>
        <v>0</v>
      </c>
      <c r="T157" s="115">
        <f>T65+T155</f>
        <v>0</v>
      </c>
      <c r="U157" s="302">
        <f>U65-U155</f>
        <v>0</v>
      </c>
      <c r="V157" s="114">
        <f>V65-V155</f>
        <v>0</v>
      </c>
      <c r="W157" s="114">
        <f>W65+W155</f>
        <v>0</v>
      </c>
      <c r="X157" s="114">
        <f>X65-X155</f>
        <v>0</v>
      </c>
      <c r="Y157" s="114">
        <f>Y65+Y155</f>
        <v>0</v>
      </c>
      <c r="Z157" s="113">
        <f>Z65-Z155</f>
        <v>0</v>
      </c>
      <c r="AA157" s="113">
        <f>AA65+AA155</f>
        <v>0</v>
      </c>
      <c r="AB157" s="113">
        <f>AB65-AB155</f>
        <v>0</v>
      </c>
      <c r="AC157" s="402">
        <f>AC65+AC155</f>
        <v>0</v>
      </c>
      <c r="AD157" s="113">
        <f>AD65-AD155</f>
        <v>0</v>
      </c>
      <c r="AE157" s="289">
        <f>AE65+AE155</f>
        <v>0</v>
      </c>
      <c r="AF157" s="418"/>
    </row>
    <row r="158" spans="1:32" s="94" customFormat="1" ht="7.5" customHeight="1" thickTop="1">
      <c r="A158" s="259">
        <f t="shared" si="95"/>
        <v>158</v>
      </c>
      <c r="B158" s="303"/>
      <c r="C158" s="303"/>
      <c r="D158" s="303"/>
      <c r="E158" s="116"/>
      <c r="F158" s="116"/>
      <c r="G158" s="117"/>
      <c r="H158" s="304"/>
      <c r="I158" s="304"/>
      <c r="J158" s="304"/>
      <c r="K158" s="304"/>
      <c r="L158" s="304"/>
      <c r="M158" s="304"/>
      <c r="N158" s="304"/>
      <c r="O158" s="304"/>
      <c r="P158" s="304"/>
      <c r="Q158" s="304"/>
      <c r="R158" s="304"/>
      <c r="S158" s="304"/>
      <c r="T158" s="304"/>
      <c r="U158" s="831"/>
      <c r="V158" s="304"/>
      <c r="W158" s="304"/>
      <c r="X158" s="304"/>
      <c r="Y158" s="304"/>
      <c r="Z158" s="304"/>
      <c r="AA158" s="304"/>
      <c r="AB158" s="304"/>
      <c r="AC158" s="304"/>
      <c r="AD158" s="304"/>
      <c r="AE158" s="304"/>
      <c r="AF158" s="419"/>
    </row>
    <row r="159" spans="1:32" s="94" customFormat="1" ht="7.5" hidden="1" customHeight="1">
      <c r="A159" s="259">
        <f t="shared" si="95"/>
        <v>159</v>
      </c>
      <c r="B159" s="81"/>
      <c r="C159" s="82"/>
      <c r="D159" s="82"/>
      <c r="G159" s="57"/>
      <c r="H159" s="128"/>
      <c r="I159" s="128"/>
      <c r="J159" s="128"/>
      <c r="K159" s="128"/>
      <c r="L159" s="128"/>
      <c r="M159" s="128"/>
      <c r="N159" s="128"/>
      <c r="O159" s="128"/>
      <c r="P159" s="128"/>
      <c r="Q159" s="128"/>
      <c r="R159" s="128"/>
      <c r="S159" s="128"/>
      <c r="T159" s="128"/>
      <c r="U159" s="420"/>
      <c r="V159" s="128"/>
      <c r="W159" s="128"/>
      <c r="X159" s="128"/>
      <c r="Y159" s="128"/>
      <c r="Z159" s="128"/>
      <c r="AA159" s="128"/>
      <c r="AB159" s="128"/>
      <c r="AC159" s="128"/>
      <c r="AD159" s="128"/>
      <c r="AE159" s="129"/>
      <c r="AF159" s="280"/>
    </row>
    <row r="160" spans="1:32">
      <c r="A160" s="259">
        <f t="shared" si="95"/>
        <v>160</v>
      </c>
      <c r="B160" s="92" t="s">
        <v>92</v>
      </c>
      <c r="C160" s="93"/>
      <c r="D160" s="93"/>
      <c r="E160" s="82"/>
      <c r="F160" s="82"/>
      <c r="G160" s="59"/>
      <c r="H160" s="130"/>
      <c r="I160" s="132"/>
      <c r="J160" s="132"/>
      <c r="K160" s="132"/>
      <c r="L160" s="132"/>
      <c r="M160" s="132"/>
      <c r="N160" s="132"/>
      <c r="O160" s="132"/>
      <c r="P160" s="132"/>
      <c r="Q160" s="132"/>
      <c r="R160" s="132"/>
      <c r="S160" s="132"/>
      <c r="T160" s="132"/>
      <c r="U160" s="421" t="s">
        <v>323</v>
      </c>
      <c r="V160" s="132"/>
      <c r="W160" s="132"/>
      <c r="X160" s="132"/>
      <c r="Y160" s="132"/>
      <c r="Z160" s="132"/>
      <c r="AA160" s="132"/>
      <c r="AB160" s="132"/>
      <c r="AC160" s="132"/>
      <c r="AD160" s="132"/>
      <c r="AE160" s="133"/>
      <c r="AF160" s="280"/>
    </row>
    <row r="161" spans="1:32">
      <c r="A161" s="259">
        <f t="shared" si="95"/>
        <v>161</v>
      </c>
      <c r="B161" s="96"/>
      <c r="C161" s="50"/>
      <c r="D161" s="50"/>
      <c r="E161" s="82" t="str">
        <f t="shared" ref="E161:E176" si="110">E18</f>
        <v>-</v>
      </c>
      <c r="F161" s="82"/>
      <c r="G161" s="59"/>
      <c r="H161" s="130"/>
      <c r="I161" s="489">
        <f>'2.) Enrollment'!P22</f>
        <v>0</v>
      </c>
      <c r="J161" s="102">
        <f>IF('4.) Yearly Budget'!$K$18&gt;0,'4.) Yearly Budget'!K161,'4.) Yearly Budget'!J161)</f>
        <v>0</v>
      </c>
      <c r="K161" s="385">
        <f t="shared" ref="K161:K176" si="111">IF(I$161&gt;0,I161-J161,0)</f>
        <v>0</v>
      </c>
      <c r="L161" s="577">
        <f>'2.) Enrollment'!Q22</f>
        <v>0</v>
      </c>
      <c r="M161" s="102">
        <f>IF('4.) Yearly Budget'!$N$18&gt;0,'4.) Yearly Budget'!N161,'4.) Yearly Budget'!M161)</f>
        <v>0</v>
      </c>
      <c r="N161" s="385">
        <f t="shared" ref="N161:N176" si="112">IF(L$161&gt;0,L161-M161,0)</f>
        <v>0</v>
      </c>
      <c r="O161" s="577">
        <f>'2.) Enrollment'!R22</f>
        <v>0</v>
      </c>
      <c r="P161" s="102">
        <f>IF('4.) Yearly Budget'!$Q$18&gt;0,'4.) Yearly Budget'!Q161,'4.) Yearly Budget'!P161)</f>
        <v>0</v>
      </c>
      <c r="Q161" s="385">
        <f t="shared" ref="Q161:Q176" si="113">IF(O$161&gt;0,O161-P161,0)</f>
        <v>0</v>
      </c>
      <c r="R161" s="577">
        <f>'2.) Enrollment'!S22</f>
        <v>0</v>
      </c>
      <c r="S161" s="102">
        <f>IF('4.) Yearly Budget'!$T$18&gt;0,'4.) Yearly Budget'!T161,'4.) Yearly Budget'!S161)</f>
        <v>0</v>
      </c>
      <c r="T161" s="105">
        <f t="shared" ref="T161:T176" si="114">IF(R$161&gt;0,R161-S161,0)</f>
        <v>0</v>
      </c>
      <c r="U161" s="285">
        <f t="shared" ref="U161:U176" si="115">IF(R$161&gt;0,R161,IF(O$161&gt;0,O161,IF(L$161&gt;0,L161,IF(I$161&gt;0,I161,0))))</f>
        <v>0</v>
      </c>
      <c r="V161" s="422">
        <f t="shared" ref="V161:V176" si="116">IF(R$161&gt;0,S161,IF(O$161&gt;0,P161,IF(L$161&gt;0,M161,IF(I$161&gt;0,J161,0))))</f>
        <v>0</v>
      </c>
      <c r="W161" s="382">
        <f t="shared" ref="W161:W176" si="117">U161-V161</f>
        <v>0</v>
      </c>
      <c r="X161" s="423"/>
      <c r="Y161" s="424"/>
      <c r="Z161" s="425">
        <f>IF(R$161&gt;0,'4.) Yearly Budget'!S161,IF(O$161&gt;0,'4.) Yearly Budget'!P161,IF(L$161&gt;0,'4.) Yearly Budget'!M161,IF(I$161&gt;0,'4.) Yearly Budget'!J161,0))))</f>
        <v>0</v>
      </c>
      <c r="AA161" s="384">
        <f t="shared" ref="AA161:AA176" si="118">U161-Z161</f>
        <v>0</v>
      </c>
      <c r="AB161" s="424"/>
      <c r="AC161" s="107"/>
      <c r="AD161" s="425">
        <f>IF(U$161&gt;0,'4.) Yearly Budget'!I161,0)</f>
        <v>0</v>
      </c>
      <c r="AE161" s="101">
        <f t="shared" ref="AE161:AE176" si="119">U161-AD161</f>
        <v>0</v>
      </c>
      <c r="AF161" s="280"/>
    </row>
    <row r="162" spans="1:32">
      <c r="A162" s="259">
        <f t="shared" si="95"/>
        <v>162</v>
      </c>
      <c r="B162" s="96"/>
      <c r="C162" s="50"/>
      <c r="D162" s="50"/>
      <c r="E162" s="82" t="str">
        <f t="shared" si="110"/>
        <v>-</v>
      </c>
      <c r="F162" s="82"/>
      <c r="G162" s="59"/>
      <c r="H162" s="130"/>
      <c r="I162" s="489">
        <f>'2.) Enrollment'!P23</f>
        <v>0</v>
      </c>
      <c r="J162" s="102">
        <f>IF('4.) Yearly Budget'!$K$18&gt;0,'4.) Yearly Budget'!K162,'4.) Yearly Budget'!J162)</f>
        <v>0</v>
      </c>
      <c r="K162" s="385">
        <f t="shared" si="111"/>
        <v>0</v>
      </c>
      <c r="L162" s="577">
        <f>'2.) Enrollment'!Q23</f>
        <v>0</v>
      </c>
      <c r="M162" s="102">
        <f>IF('4.) Yearly Budget'!$N$18&gt;0,'4.) Yearly Budget'!N162,'4.) Yearly Budget'!M162)</f>
        <v>0</v>
      </c>
      <c r="N162" s="385">
        <f t="shared" si="112"/>
        <v>0</v>
      </c>
      <c r="O162" s="577">
        <f>'2.) Enrollment'!R23</f>
        <v>0</v>
      </c>
      <c r="P162" s="102">
        <f>IF('4.) Yearly Budget'!$Q$18&gt;0,'4.) Yearly Budget'!Q162,'4.) Yearly Budget'!P162)</f>
        <v>0</v>
      </c>
      <c r="Q162" s="385">
        <f t="shared" si="113"/>
        <v>0</v>
      </c>
      <c r="R162" s="577">
        <f>'2.) Enrollment'!S23</f>
        <v>0</v>
      </c>
      <c r="S162" s="102">
        <f>IF('4.) Yearly Budget'!$T$18&gt;0,'4.) Yearly Budget'!T162,'4.) Yearly Budget'!S162)</f>
        <v>0</v>
      </c>
      <c r="T162" s="105">
        <f t="shared" si="114"/>
        <v>0</v>
      </c>
      <c r="U162" s="285">
        <f t="shared" si="115"/>
        <v>0</v>
      </c>
      <c r="V162" s="422">
        <f t="shared" si="116"/>
        <v>0</v>
      </c>
      <c r="W162" s="382">
        <f t="shared" si="117"/>
        <v>0</v>
      </c>
      <c r="X162" s="426"/>
      <c r="Y162" s="95"/>
      <c r="Z162" s="425">
        <f>IF(R$161&gt;0,'4.) Yearly Budget'!S162,IF(O$161&gt;0,'4.) Yearly Budget'!P162,IF(L$161&gt;0,'4.) Yearly Budget'!M162,IF(I$161&gt;0,'4.) Yearly Budget'!J162,0))))</f>
        <v>0</v>
      </c>
      <c r="AA162" s="384">
        <f t="shared" si="118"/>
        <v>0</v>
      </c>
      <c r="AB162" s="95"/>
      <c r="AC162" s="95"/>
      <c r="AD162" s="425">
        <f>IF(U$161&gt;0,'4.) Yearly Budget'!I162,0)</f>
        <v>0</v>
      </c>
      <c r="AE162" s="101">
        <f t="shared" si="119"/>
        <v>0</v>
      </c>
      <c r="AF162" s="280"/>
    </row>
    <row r="163" spans="1:32">
      <c r="A163" s="259">
        <f t="shared" si="95"/>
        <v>163</v>
      </c>
      <c r="B163" s="96"/>
      <c r="C163" s="50"/>
      <c r="D163" s="50"/>
      <c r="E163" s="82" t="str">
        <f t="shared" si="110"/>
        <v>-</v>
      </c>
      <c r="F163" s="82"/>
      <c r="G163" s="59"/>
      <c r="H163" s="130"/>
      <c r="I163" s="489">
        <f>'2.) Enrollment'!P24</f>
        <v>0</v>
      </c>
      <c r="J163" s="102">
        <f>IF('4.) Yearly Budget'!$K$18&gt;0,'4.) Yearly Budget'!K163,'4.) Yearly Budget'!J163)</f>
        <v>0</v>
      </c>
      <c r="K163" s="385">
        <f t="shared" si="111"/>
        <v>0</v>
      </c>
      <c r="L163" s="577">
        <f>'2.) Enrollment'!Q24</f>
        <v>0</v>
      </c>
      <c r="M163" s="102">
        <f>IF('4.) Yearly Budget'!$N$18&gt;0,'4.) Yearly Budget'!N163,'4.) Yearly Budget'!M163)</f>
        <v>0</v>
      </c>
      <c r="N163" s="385">
        <f t="shared" si="112"/>
        <v>0</v>
      </c>
      <c r="O163" s="577">
        <f>'2.) Enrollment'!R24</f>
        <v>0</v>
      </c>
      <c r="P163" s="102">
        <f>IF('4.) Yearly Budget'!$Q$18&gt;0,'4.) Yearly Budget'!Q163,'4.) Yearly Budget'!P163)</f>
        <v>0</v>
      </c>
      <c r="Q163" s="385">
        <f t="shared" si="113"/>
        <v>0</v>
      </c>
      <c r="R163" s="577">
        <f>'2.) Enrollment'!S24</f>
        <v>0</v>
      </c>
      <c r="S163" s="102">
        <f>IF('4.) Yearly Budget'!$T$18&gt;0,'4.) Yearly Budget'!T163,'4.) Yearly Budget'!S163)</f>
        <v>0</v>
      </c>
      <c r="T163" s="105">
        <f t="shared" si="114"/>
        <v>0</v>
      </c>
      <c r="U163" s="285">
        <f t="shared" si="115"/>
        <v>0</v>
      </c>
      <c r="V163" s="422">
        <f t="shared" si="116"/>
        <v>0</v>
      </c>
      <c r="W163" s="382">
        <f t="shared" si="117"/>
        <v>0</v>
      </c>
      <c r="X163" s="426"/>
      <c r="Y163" s="95"/>
      <c r="Z163" s="425">
        <f>IF(R$161&gt;0,'4.) Yearly Budget'!S163,IF(O$161&gt;0,'4.) Yearly Budget'!P163,IF(L$161&gt;0,'4.) Yearly Budget'!M163,IF(I$161&gt;0,'4.) Yearly Budget'!J163,0))))</f>
        <v>0</v>
      </c>
      <c r="AA163" s="384">
        <f t="shared" si="118"/>
        <v>0</v>
      </c>
      <c r="AB163" s="95"/>
      <c r="AC163" s="95"/>
      <c r="AD163" s="425">
        <f>IF(U$161&gt;0,'4.) Yearly Budget'!I163,0)</f>
        <v>0</v>
      </c>
      <c r="AE163" s="101">
        <f t="shared" si="119"/>
        <v>0</v>
      </c>
      <c r="AF163" s="280"/>
    </row>
    <row r="164" spans="1:32">
      <c r="A164" s="259">
        <f t="shared" si="95"/>
        <v>164</v>
      </c>
      <c r="B164" s="96"/>
      <c r="C164" s="50"/>
      <c r="D164" s="50"/>
      <c r="E164" s="82" t="str">
        <f t="shared" si="110"/>
        <v>-</v>
      </c>
      <c r="F164" s="82"/>
      <c r="G164" s="59"/>
      <c r="H164" s="130"/>
      <c r="I164" s="489">
        <f>'2.) Enrollment'!P25</f>
        <v>0</v>
      </c>
      <c r="J164" s="102">
        <f>IF('4.) Yearly Budget'!$K$18&gt;0,'4.) Yearly Budget'!K164,'4.) Yearly Budget'!J164)</f>
        <v>0</v>
      </c>
      <c r="K164" s="385">
        <f t="shared" si="111"/>
        <v>0</v>
      </c>
      <c r="L164" s="577">
        <f>'2.) Enrollment'!Q25</f>
        <v>0</v>
      </c>
      <c r="M164" s="102">
        <f>IF('4.) Yearly Budget'!$N$18&gt;0,'4.) Yearly Budget'!N164,'4.) Yearly Budget'!M164)</f>
        <v>0</v>
      </c>
      <c r="N164" s="385">
        <f t="shared" si="112"/>
        <v>0</v>
      </c>
      <c r="O164" s="577">
        <f>'2.) Enrollment'!R25</f>
        <v>0</v>
      </c>
      <c r="P164" s="102">
        <f>IF('4.) Yearly Budget'!$Q$18&gt;0,'4.) Yearly Budget'!Q164,'4.) Yearly Budget'!P164)</f>
        <v>0</v>
      </c>
      <c r="Q164" s="385">
        <f t="shared" si="113"/>
        <v>0</v>
      </c>
      <c r="R164" s="577">
        <f>'2.) Enrollment'!S25</f>
        <v>0</v>
      </c>
      <c r="S164" s="102">
        <f>IF('4.) Yearly Budget'!$T$18&gt;0,'4.) Yearly Budget'!T164,'4.) Yearly Budget'!S164)</f>
        <v>0</v>
      </c>
      <c r="T164" s="105">
        <f t="shared" si="114"/>
        <v>0</v>
      </c>
      <c r="U164" s="285">
        <f t="shared" si="115"/>
        <v>0</v>
      </c>
      <c r="V164" s="422">
        <f t="shared" si="116"/>
        <v>0</v>
      </c>
      <c r="W164" s="382">
        <f t="shared" si="117"/>
        <v>0</v>
      </c>
      <c r="X164" s="426"/>
      <c r="Y164" s="95"/>
      <c r="Z164" s="425">
        <f>IF(R$161&gt;0,'4.) Yearly Budget'!S164,IF(O$161&gt;0,'4.) Yearly Budget'!P164,IF(L$161&gt;0,'4.) Yearly Budget'!M164,IF(I$161&gt;0,'4.) Yearly Budget'!J164,0))))</f>
        <v>0</v>
      </c>
      <c r="AA164" s="384">
        <f t="shared" si="118"/>
        <v>0</v>
      </c>
      <c r="AB164" s="95"/>
      <c r="AC164" s="95"/>
      <c r="AD164" s="425">
        <f>IF(U$161&gt;0,'4.) Yearly Budget'!I164,0)</f>
        <v>0</v>
      </c>
      <c r="AE164" s="101">
        <f t="shared" si="119"/>
        <v>0</v>
      </c>
      <c r="AF164" s="280"/>
    </row>
    <row r="165" spans="1:32">
      <c r="A165" s="259">
        <f t="shared" si="95"/>
        <v>165</v>
      </c>
      <c r="B165" s="96"/>
      <c r="C165" s="50"/>
      <c r="D165" s="50"/>
      <c r="E165" s="82" t="str">
        <f t="shared" si="110"/>
        <v>-</v>
      </c>
      <c r="F165" s="82"/>
      <c r="G165" s="59"/>
      <c r="H165" s="130"/>
      <c r="I165" s="489">
        <f>'2.) Enrollment'!P26</f>
        <v>0</v>
      </c>
      <c r="J165" s="102">
        <f>IF('4.) Yearly Budget'!$K$18&gt;0,'4.) Yearly Budget'!K165,'4.) Yearly Budget'!J165)</f>
        <v>0</v>
      </c>
      <c r="K165" s="385">
        <f t="shared" si="111"/>
        <v>0</v>
      </c>
      <c r="L165" s="577">
        <f>'2.) Enrollment'!Q26</f>
        <v>0</v>
      </c>
      <c r="M165" s="102">
        <f>IF('4.) Yearly Budget'!$N$18&gt;0,'4.) Yearly Budget'!N165,'4.) Yearly Budget'!M165)</f>
        <v>0</v>
      </c>
      <c r="N165" s="385">
        <f t="shared" si="112"/>
        <v>0</v>
      </c>
      <c r="O165" s="577">
        <f>'2.) Enrollment'!R26</f>
        <v>0</v>
      </c>
      <c r="P165" s="102">
        <f>IF('4.) Yearly Budget'!$Q$18&gt;0,'4.) Yearly Budget'!Q165,'4.) Yearly Budget'!P165)</f>
        <v>0</v>
      </c>
      <c r="Q165" s="385">
        <f t="shared" si="113"/>
        <v>0</v>
      </c>
      <c r="R165" s="577">
        <f>'2.) Enrollment'!S26</f>
        <v>0</v>
      </c>
      <c r="S165" s="102">
        <f>IF('4.) Yearly Budget'!$T$18&gt;0,'4.) Yearly Budget'!T165,'4.) Yearly Budget'!S165)</f>
        <v>0</v>
      </c>
      <c r="T165" s="105">
        <f t="shared" si="114"/>
        <v>0</v>
      </c>
      <c r="U165" s="285">
        <f t="shared" si="115"/>
        <v>0</v>
      </c>
      <c r="V165" s="422">
        <f t="shared" si="116"/>
        <v>0</v>
      </c>
      <c r="W165" s="382">
        <f t="shared" si="117"/>
        <v>0</v>
      </c>
      <c r="X165" s="426"/>
      <c r="Y165" s="95"/>
      <c r="Z165" s="425">
        <f>IF(R$161&gt;0,'4.) Yearly Budget'!S165,IF(O$161&gt;0,'4.) Yearly Budget'!P165,IF(L$161&gt;0,'4.) Yearly Budget'!M165,IF(I$161&gt;0,'4.) Yearly Budget'!J165,0))))</f>
        <v>0</v>
      </c>
      <c r="AA165" s="384">
        <f t="shared" si="118"/>
        <v>0</v>
      </c>
      <c r="AB165" s="95"/>
      <c r="AC165" s="95"/>
      <c r="AD165" s="425">
        <f>IF(U$161&gt;0,'4.) Yearly Budget'!I165,0)</f>
        <v>0</v>
      </c>
      <c r="AE165" s="101">
        <f t="shared" si="119"/>
        <v>0</v>
      </c>
      <c r="AF165" s="280"/>
    </row>
    <row r="166" spans="1:32">
      <c r="A166" s="259">
        <f t="shared" si="95"/>
        <v>166</v>
      </c>
      <c r="B166" s="96"/>
      <c r="C166" s="50"/>
      <c r="D166" s="50"/>
      <c r="E166" s="82" t="str">
        <f t="shared" si="110"/>
        <v>-</v>
      </c>
      <c r="F166" s="82"/>
      <c r="G166" s="59"/>
      <c r="H166" s="130"/>
      <c r="I166" s="489">
        <f>'2.) Enrollment'!P27</f>
        <v>0</v>
      </c>
      <c r="J166" s="102">
        <f>IF('4.) Yearly Budget'!$K$18&gt;0,'4.) Yearly Budget'!K166,'4.) Yearly Budget'!J166)</f>
        <v>0</v>
      </c>
      <c r="K166" s="385">
        <f t="shared" si="111"/>
        <v>0</v>
      </c>
      <c r="L166" s="577">
        <f>'2.) Enrollment'!Q27</f>
        <v>0</v>
      </c>
      <c r="M166" s="102">
        <f>IF('4.) Yearly Budget'!$N$18&gt;0,'4.) Yearly Budget'!N166,'4.) Yearly Budget'!M166)</f>
        <v>0</v>
      </c>
      <c r="N166" s="385">
        <f t="shared" si="112"/>
        <v>0</v>
      </c>
      <c r="O166" s="577">
        <f>'2.) Enrollment'!R27</f>
        <v>0</v>
      </c>
      <c r="P166" s="102">
        <f>IF('4.) Yearly Budget'!$Q$18&gt;0,'4.) Yearly Budget'!Q166,'4.) Yearly Budget'!P166)</f>
        <v>0</v>
      </c>
      <c r="Q166" s="385">
        <f t="shared" si="113"/>
        <v>0</v>
      </c>
      <c r="R166" s="577">
        <f>'2.) Enrollment'!S27</f>
        <v>0</v>
      </c>
      <c r="S166" s="102">
        <f>IF('4.) Yearly Budget'!$T$18&gt;0,'4.) Yearly Budget'!T166,'4.) Yearly Budget'!S166)</f>
        <v>0</v>
      </c>
      <c r="T166" s="105">
        <f t="shared" si="114"/>
        <v>0</v>
      </c>
      <c r="U166" s="285">
        <f t="shared" si="115"/>
        <v>0</v>
      </c>
      <c r="V166" s="422">
        <f t="shared" si="116"/>
        <v>0</v>
      </c>
      <c r="W166" s="382">
        <f t="shared" si="117"/>
        <v>0</v>
      </c>
      <c r="X166" s="426"/>
      <c r="Y166" s="95"/>
      <c r="Z166" s="425">
        <f>IF(R$161&gt;0,'4.) Yearly Budget'!S166,IF(O$161&gt;0,'4.) Yearly Budget'!P166,IF(L$161&gt;0,'4.) Yearly Budget'!M166,IF(I$161&gt;0,'4.) Yearly Budget'!J166,0))))</f>
        <v>0</v>
      </c>
      <c r="AA166" s="384">
        <f t="shared" si="118"/>
        <v>0</v>
      </c>
      <c r="AB166" s="95"/>
      <c r="AC166" s="95"/>
      <c r="AD166" s="425">
        <f>IF(U$161&gt;0,'4.) Yearly Budget'!I166,0)</f>
        <v>0</v>
      </c>
      <c r="AE166" s="101">
        <f t="shared" si="119"/>
        <v>0</v>
      </c>
      <c r="AF166" s="280"/>
    </row>
    <row r="167" spans="1:32">
      <c r="A167" s="259">
        <f t="shared" si="95"/>
        <v>167</v>
      </c>
      <c r="B167" s="96"/>
      <c r="C167" s="50"/>
      <c r="D167" s="50"/>
      <c r="E167" s="82" t="str">
        <f t="shared" si="110"/>
        <v>-</v>
      </c>
      <c r="F167" s="82"/>
      <c r="G167" s="59"/>
      <c r="H167" s="130"/>
      <c r="I167" s="489">
        <f>'2.) Enrollment'!P28</f>
        <v>0</v>
      </c>
      <c r="J167" s="102">
        <f>IF('4.) Yearly Budget'!$K$18&gt;0,'4.) Yearly Budget'!K167,'4.) Yearly Budget'!J167)</f>
        <v>0</v>
      </c>
      <c r="K167" s="385">
        <f t="shared" si="111"/>
        <v>0</v>
      </c>
      <c r="L167" s="577">
        <f>'2.) Enrollment'!Q28</f>
        <v>0</v>
      </c>
      <c r="M167" s="102">
        <f>IF('4.) Yearly Budget'!$N$18&gt;0,'4.) Yearly Budget'!N167,'4.) Yearly Budget'!M167)</f>
        <v>0</v>
      </c>
      <c r="N167" s="385">
        <f t="shared" si="112"/>
        <v>0</v>
      </c>
      <c r="O167" s="577">
        <f>'2.) Enrollment'!R28</f>
        <v>0</v>
      </c>
      <c r="P167" s="102">
        <f>IF('4.) Yearly Budget'!$Q$18&gt;0,'4.) Yearly Budget'!Q167,'4.) Yearly Budget'!P167)</f>
        <v>0</v>
      </c>
      <c r="Q167" s="385">
        <f t="shared" si="113"/>
        <v>0</v>
      </c>
      <c r="R167" s="577">
        <f>'2.) Enrollment'!S28</f>
        <v>0</v>
      </c>
      <c r="S167" s="102">
        <f>IF('4.) Yearly Budget'!$T$18&gt;0,'4.) Yearly Budget'!T167,'4.) Yearly Budget'!S167)</f>
        <v>0</v>
      </c>
      <c r="T167" s="105">
        <f t="shared" si="114"/>
        <v>0</v>
      </c>
      <c r="U167" s="285">
        <f t="shared" si="115"/>
        <v>0</v>
      </c>
      <c r="V167" s="422">
        <f t="shared" si="116"/>
        <v>0</v>
      </c>
      <c r="W167" s="382">
        <f t="shared" si="117"/>
        <v>0</v>
      </c>
      <c r="X167" s="426"/>
      <c r="Y167" s="95"/>
      <c r="Z167" s="425">
        <f>IF(R$161&gt;0,'4.) Yearly Budget'!S167,IF(O$161&gt;0,'4.) Yearly Budget'!P167,IF(L$161&gt;0,'4.) Yearly Budget'!M167,IF(I$161&gt;0,'4.) Yearly Budget'!J167,0))))</f>
        <v>0</v>
      </c>
      <c r="AA167" s="384">
        <f t="shared" si="118"/>
        <v>0</v>
      </c>
      <c r="AB167" s="95"/>
      <c r="AC167" s="95"/>
      <c r="AD167" s="425">
        <f>IF(U$161&gt;0,'4.) Yearly Budget'!I167,0)</f>
        <v>0</v>
      </c>
      <c r="AE167" s="101">
        <f t="shared" si="119"/>
        <v>0</v>
      </c>
      <c r="AF167" s="280"/>
    </row>
    <row r="168" spans="1:32">
      <c r="A168" s="259">
        <f t="shared" si="95"/>
        <v>168</v>
      </c>
      <c r="B168" s="96"/>
      <c r="C168" s="50"/>
      <c r="D168" s="50"/>
      <c r="E168" s="82" t="str">
        <f t="shared" si="110"/>
        <v>-</v>
      </c>
      <c r="F168" s="82"/>
      <c r="G168" s="59"/>
      <c r="H168" s="130"/>
      <c r="I168" s="489">
        <f>'2.) Enrollment'!P29</f>
        <v>0</v>
      </c>
      <c r="J168" s="102">
        <f>IF('4.) Yearly Budget'!$K$18&gt;0,'4.) Yearly Budget'!K168,'4.) Yearly Budget'!J168)</f>
        <v>0</v>
      </c>
      <c r="K168" s="385">
        <f t="shared" si="111"/>
        <v>0</v>
      </c>
      <c r="L168" s="577">
        <f>'2.) Enrollment'!Q29</f>
        <v>0</v>
      </c>
      <c r="M168" s="102">
        <f>IF('4.) Yearly Budget'!$N$18&gt;0,'4.) Yearly Budget'!N168,'4.) Yearly Budget'!M168)</f>
        <v>0</v>
      </c>
      <c r="N168" s="385">
        <f t="shared" si="112"/>
        <v>0</v>
      </c>
      <c r="O168" s="577">
        <f>'2.) Enrollment'!R29</f>
        <v>0</v>
      </c>
      <c r="P168" s="102">
        <f>IF('4.) Yearly Budget'!$Q$18&gt;0,'4.) Yearly Budget'!Q168,'4.) Yearly Budget'!P168)</f>
        <v>0</v>
      </c>
      <c r="Q168" s="385">
        <f t="shared" si="113"/>
        <v>0</v>
      </c>
      <c r="R168" s="577">
        <f>'2.) Enrollment'!S29</f>
        <v>0</v>
      </c>
      <c r="S168" s="102">
        <f>IF('4.) Yearly Budget'!$T$18&gt;0,'4.) Yearly Budget'!T168,'4.) Yearly Budget'!S168)</f>
        <v>0</v>
      </c>
      <c r="T168" s="105">
        <f t="shared" si="114"/>
        <v>0</v>
      </c>
      <c r="U168" s="285">
        <f t="shared" si="115"/>
        <v>0</v>
      </c>
      <c r="V168" s="422">
        <f t="shared" si="116"/>
        <v>0</v>
      </c>
      <c r="W168" s="382">
        <f t="shared" si="117"/>
        <v>0</v>
      </c>
      <c r="X168" s="426"/>
      <c r="Y168" s="95"/>
      <c r="Z168" s="425">
        <f>IF(R$161&gt;0,'4.) Yearly Budget'!S168,IF(O$161&gt;0,'4.) Yearly Budget'!P168,IF(L$161&gt;0,'4.) Yearly Budget'!M168,IF(I$161&gt;0,'4.) Yearly Budget'!J168,0))))</f>
        <v>0</v>
      </c>
      <c r="AA168" s="384">
        <f t="shared" si="118"/>
        <v>0</v>
      </c>
      <c r="AB168" s="95"/>
      <c r="AC168" s="95"/>
      <c r="AD168" s="425">
        <f>IF(U$161&gt;0,'4.) Yearly Budget'!I168,0)</f>
        <v>0</v>
      </c>
      <c r="AE168" s="101">
        <f t="shared" si="119"/>
        <v>0</v>
      </c>
      <c r="AF168" s="280"/>
    </row>
    <row r="169" spans="1:32">
      <c r="A169" s="259">
        <f t="shared" si="95"/>
        <v>169</v>
      </c>
      <c r="B169" s="96"/>
      <c r="C169" s="50"/>
      <c r="D169" s="50"/>
      <c r="E169" s="82" t="str">
        <f t="shared" si="110"/>
        <v>-</v>
      </c>
      <c r="F169" s="82"/>
      <c r="G169" s="59"/>
      <c r="H169" s="130"/>
      <c r="I169" s="489">
        <f>'2.) Enrollment'!P30</f>
        <v>0</v>
      </c>
      <c r="J169" s="102">
        <f>IF('4.) Yearly Budget'!$K$18&gt;0,'4.) Yearly Budget'!K169,'4.) Yearly Budget'!J169)</f>
        <v>0</v>
      </c>
      <c r="K169" s="385">
        <f t="shared" si="111"/>
        <v>0</v>
      </c>
      <c r="L169" s="577">
        <f>'2.) Enrollment'!Q30</f>
        <v>0</v>
      </c>
      <c r="M169" s="102">
        <f>IF('4.) Yearly Budget'!$N$18&gt;0,'4.) Yearly Budget'!N169,'4.) Yearly Budget'!M169)</f>
        <v>0</v>
      </c>
      <c r="N169" s="385">
        <f t="shared" si="112"/>
        <v>0</v>
      </c>
      <c r="O169" s="577">
        <f>'2.) Enrollment'!R30</f>
        <v>0</v>
      </c>
      <c r="P169" s="102">
        <f>IF('4.) Yearly Budget'!$Q$18&gt;0,'4.) Yearly Budget'!Q169,'4.) Yearly Budget'!P169)</f>
        <v>0</v>
      </c>
      <c r="Q169" s="385">
        <f t="shared" si="113"/>
        <v>0</v>
      </c>
      <c r="R169" s="577">
        <f>'2.) Enrollment'!S30</f>
        <v>0</v>
      </c>
      <c r="S169" s="102">
        <f>IF('4.) Yearly Budget'!$T$18&gt;0,'4.) Yearly Budget'!T169,'4.) Yearly Budget'!S169)</f>
        <v>0</v>
      </c>
      <c r="T169" s="105">
        <f t="shared" si="114"/>
        <v>0</v>
      </c>
      <c r="U169" s="285">
        <f t="shared" si="115"/>
        <v>0</v>
      </c>
      <c r="V169" s="422">
        <f t="shared" si="116"/>
        <v>0</v>
      </c>
      <c r="W169" s="382">
        <f t="shared" si="117"/>
        <v>0</v>
      </c>
      <c r="X169" s="426"/>
      <c r="Y169" s="95"/>
      <c r="Z169" s="425">
        <f>IF(R$161&gt;0,'4.) Yearly Budget'!S169,IF(O$161&gt;0,'4.) Yearly Budget'!P169,IF(L$161&gt;0,'4.) Yearly Budget'!M169,IF(I$161&gt;0,'4.) Yearly Budget'!J169,0))))</f>
        <v>0</v>
      </c>
      <c r="AA169" s="384">
        <f t="shared" si="118"/>
        <v>0</v>
      </c>
      <c r="AB169" s="95"/>
      <c r="AC169" s="95"/>
      <c r="AD169" s="425">
        <f>IF(U$161&gt;0,'4.) Yearly Budget'!I169,0)</f>
        <v>0</v>
      </c>
      <c r="AE169" s="101">
        <f t="shared" si="119"/>
        <v>0</v>
      </c>
      <c r="AF169" s="280"/>
    </row>
    <row r="170" spans="1:32">
      <c r="A170" s="259">
        <f t="shared" si="95"/>
        <v>170</v>
      </c>
      <c r="B170" s="96"/>
      <c r="C170" s="50"/>
      <c r="D170" s="50"/>
      <c r="E170" s="82" t="str">
        <f t="shared" si="110"/>
        <v>-</v>
      </c>
      <c r="F170" s="82"/>
      <c r="G170" s="59"/>
      <c r="H170" s="130"/>
      <c r="I170" s="489">
        <f>'2.) Enrollment'!P31</f>
        <v>0</v>
      </c>
      <c r="J170" s="102">
        <f>IF('4.) Yearly Budget'!$K$18&gt;0,'4.) Yearly Budget'!K170,'4.) Yearly Budget'!J170)</f>
        <v>0</v>
      </c>
      <c r="K170" s="385">
        <f t="shared" si="111"/>
        <v>0</v>
      </c>
      <c r="L170" s="577">
        <f>'2.) Enrollment'!Q31</f>
        <v>0</v>
      </c>
      <c r="M170" s="102">
        <f>IF('4.) Yearly Budget'!$N$18&gt;0,'4.) Yearly Budget'!N170,'4.) Yearly Budget'!M170)</f>
        <v>0</v>
      </c>
      <c r="N170" s="385">
        <f t="shared" si="112"/>
        <v>0</v>
      </c>
      <c r="O170" s="577">
        <f>'2.) Enrollment'!R31</f>
        <v>0</v>
      </c>
      <c r="P170" s="102">
        <f>IF('4.) Yearly Budget'!$Q$18&gt;0,'4.) Yearly Budget'!Q170,'4.) Yearly Budget'!P170)</f>
        <v>0</v>
      </c>
      <c r="Q170" s="385">
        <f t="shared" si="113"/>
        <v>0</v>
      </c>
      <c r="R170" s="577">
        <f>'2.) Enrollment'!S31</f>
        <v>0</v>
      </c>
      <c r="S170" s="102">
        <f>IF('4.) Yearly Budget'!$T$18&gt;0,'4.) Yearly Budget'!T170,'4.) Yearly Budget'!S170)</f>
        <v>0</v>
      </c>
      <c r="T170" s="105">
        <f t="shared" si="114"/>
        <v>0</v>
      </c>
      <c r="U170" s="285">
        <f t="shared" si="115"/>
        <v>0</v>
      </c>
      <c r="V170" s="422">
        <f t="shared" si="116"/>
        <v>0</v>
      </c>
      <c r="W170" s="382">
        <f t="shared" si="117"/>
        <v>0</v>
      </c>
      <c r="X170" s="426"/>
      <c r="Y170" s="95"/>
      <c r="Z170" s="425">
        <f>IF(R$161&gt;0,'4.) Yearly Budget'!S170,IF(O$161&gt;0,'4.) Yearly Budget'!P170,IF(L$161&gt;0,'4.) Yearly Budget'!M170,IF(I$161&gt;0,'4.) Yearly Budget'!J170,0))))</f>
        <v>0</v>
      </c>
      <c r="AA170" s="384">
        <f t="shared" si="118"/>
        <v>0</v>
      </c>
      <c r="AB170" s="95"/>
      <c r="AC170" s="95"/>
      <c r="AD170" s="425">
        <f>IF(U$161&gt;0,'4.) Yearly Budget'!I170,0)</f>
        <v>0</v>
      </c>
      <c r="AE170" s="101">
        <f t="shared" si="119"/>
        <v>0</v>
      </c>
      <c r="AF170" s="280"/>
    </row>
    <row r="171" spans="1:32">
      <c r="A171" s="259">
        <f t="shared" si="95"/>
        <v>171</v>
      </c>
      <c r="B171" s="96"/>
      <c r="C171" s="50"/>
      <c r="D171" s="50"/>
      <c r="E171" s="82" t="str">
        <f t="shared" si="110"/>
        <v>-</v>
      </c>
      <c r="F171" s="82"/>
      <c r="G171" s="59"/>
      <c r="H171" s="130"/>
      <c r="I171" s="489">
        <f>'2.) Enrollment'!P32</f>
        <v>0</v>
      </c>
      <c r="J171" s="102">
        <f>IF('4.) Yearly Budget'!$K$18&gt;0,'4.) Yearly Budget'!K171,'4.) Yearly Budget'!J171)</f>
        <v>0</v>
      </c>
      <c r="K171" s="385">
        <f t="shared" si="111"/>
        <v>0</v>
      </c>
      <c r="L171" s="577">
        <f>'2.) Enrollment'!Q32</f>
        <v>0</v>
      </c>
      <c r="M171" s="102">
        <f>IF('4.) Yearly Budget'!$N$18&gt;0,'4.) Yearly Budget'!N171,'4.) Yearly Budget'!M171)</f>
        <v>0</v>
      </c>
      <c r="N171" s="385">
        <f t="shared" si="112"/>
        <v>0</v>
      </c>
      <c r="O171" s="577">
        <f>'2.) Enrollment'!R32</f>
        <v>0</v>
      </c>
      <c r="P171" s="102">
        <f>IF('4.) Yearly Budget'!$Q$18&gt;0,'4.) Yearly Budget'!Q171,'4.) Yearly Budget'!P171)</f>
        <v>0</v>
      </c>
      <c r="Q171" s="385">
        <f t="shared" si="113"/>
        <v>0</v>
      </c>
      <c r="R171" s="577">
        <f>'2.) Enrollment'!S32</f>
        <v>0</v>
      </c>
      <c r="S171" s="102">
        <f>IF('4.) Yearly Budget'!$T$18&gt;0,'4.) Yearly Budget'!T171,'4.) Yearly Budget'!S171)</f>
        <v>0</v>
      </c>
      <c r="T171" s="105">
        <f t="shared" si="114"/>
        <v>0</v>
      </c>
      <c r="U171" s="285">
        <f t="shared" si="115"/>
        <v>0</v>
      </c>
      <c r="V171" s="422">
        <f t="shared" si="116"/>
        <v>0</v>
      </c>
      <c r="W171" s="382">
        <f t="shared" si="117"/>
        <v>0</v>
      </c>
      <c r="X171" s="426"/>
      <c r="Y171" s="95"/>
      <c r="Z171" s="425">
        <f>IF(R$161&gt;0,'4.) Yearly Budget'!S171,IF(O$161&gt;0,'4.) Yearly Budget'!P171,IF(L$161&gt;0,'4.) Yearly Budget'!M171,IF(I$161&gt;0,'4.) Yearly Budget'!J171,0))))</f>
        <v>0</v>
      </c>
      <c r="AA171" s="384">
        <f t="shared" si="118"/>
        <v>0</v>
      </c>
      <c r="AB171" s="95"/>
      <c r="AC171" s="95"/>
      <c r="AD171" s="425">
        <f>IF(U$161&gt;0,'4.) Yearly Budget'!I171,0)</f>
        <v>0</v>
      </c>
      <c r="AE171" s="101">
        <f t="shared" si="119"/>
        <v>0</v>
      </c>
      <c r="AF171" s="280"/>
    </row>
    <row r="172" spans="1:32">
      <c r="A172" s="259">
        <f t="shared" si="95"/>
        <v>172</v>
      </c>
      <c r="B172" s="96"/>
      <c r="C172" s="50"/>
      <c r="D172" s="50"/>
      <c r="E172" s="82" t="str">
        <f t="shared" si="110"/>
        <v>-</v>
      </c>
      <c r="F172" s="82"/>
      <c r="G172" s="59"/>
      <c r="H172" s="130"/>
      <c r="I172" s="489">
        <f>'2.) Enrollment'!P33</f>
        <v>0</v>
      </c>
      <c r="J172" s="102">
        <f>IF('4.) Yearly Budget'!$K$18&gt;0,'4.) Yearly Budget'!K172,'4.) Yearly Budget'!J172)</f>
        <v>0</v>
      </c>
      <c r="K172" s="385">
        <f t="shared" si="111"/>
        <v>0</v>
      </c>
      <c r="L172" s="577">
        <f>'2.) Enrollment'!Q33</f>
        <v>0</v>
      </c>
      <c r="M172" s="102">
        <f>IF('4.) Yearly Budget'!$N$18&gt;0,'4.) Yearly Budget'!N172,'4.) Yearly Budget'!M172)</f>
        <v>0</v>
      </c>
      <c r="N172" s="385">
        <f t="shared" si="112"/>
        <v>0</v>
      </c>
      <c r="O172" s="577">
        <f>'2.) Enrollment'!R33</f>
        <v>0</v>
      </c>
      <c r="P172" s="102">
        <f>IF('4.) Yearly Budget'!$Q$18&gt;0,'4.) Yearly Budget'!Q172,'4.) Yearly Budget'!P172)</f>
        <v>0</v>
      </c>
      <c r="Q172" s="385">
        <f t="shared" si="113"/>
        <v>0</v>
      </c>
      <c r="R172" s="577">
        <f>'2.) Enrollment'!S33</f>
        <v>0</v>
      </c>
      <c r="S172" s="102">
        <f>IF('4.) Yearly Budget'!$T$18&gt;0,'4.) Yearly Budget'!T172,'4.) Yearly Budget'!S172)</f>
        <v>0</v>
      </c>
      <c r="T172" s="105">
        <f t="shared" si="114"/>
        <v>0</v>
      </c>
      <c r="U172" s="285">
        <f t="shared" si="115"/>
        <v>0</v>
      </c>
      <c r="V172" s="422">
        <f t="shared" si="116"/>
        <v>0</v>
      </c>
      <c r="W172" s="382">
        <f t="shared" si="117"/>
        <v>0</v>
      </c>
      <c r="X172" s="426"/>
      <c r="Y172" s="95"/>
      <c r="Z172" s="425">
        <f>IF(R$161&gt;0,'4.) Yearly Budget'!S172,IF(O$161&gt;0,'4.) Yearly Budget'!P172,IF(L$161&gt;0,'4.) Yearly Budget'!M172,IF(I$161&gt;0,'4.) Yearly Budget'!J172,0))))</f>
        <v>0</v>
      </c>
      <c r="AA172" s="384">
        <f t="shared" si="118"/>
        <v>0</v>
      </c>
      <c r="AB172" s="95"/>
      <c r="AC172" s="95"/>
      <c r="AD172" s="425">
        <f>IF(U$161&gt;0,'4.) Yearly Budget'!I172,0)</f>
        <v>0</v>
      </c>
      <c r="AE172" s="101">
        <f t="shared" si="119"/>
        <v>0</v>
      </c>
      <c r="AF172" s="280"/>
    </row>
    <row r="173" spans="1:32">
      <c r="A173" s="259">
        <f t="shared" si="95"/>
        <v>173</v>
      </c>
      <c r="B173" s="96"/>
      <c r="C173" s="50"/>
      <c r="D173" s="50"/>
      <c r="E173" s="82" t="str">
        <f t="shared" si="110"/>
        <v>-</v>
      </c>
      <c r="F173" s="82"/>
      <c r="G173" s="59"/>
      <c r="H173" s="130"/>
      <c r="I173" s="489">
        <f>'2.) Enrollment'!P34</f>
        <v>0</v>
      </c>
      <c r="J173" s="102">
        <f>IF('4.) Yearly Budget'!$K$18&gt;0,'4.) Yearly Budget'!K173,'4.) Yearly Budget'!J173)</f>
        <v>0</v>
      </c>
      <c r="K173" s="385">
        <f t="shared" si="111"/>
        <v>0</v>
      </c>
      <c r="L173" s="577">
        <f>'2.) Enrollment'!Q34</f>
        <v>0</v>
      </c>
      <c r="M173" s="102">
        <f>IF('4.) Yearly Budget'!$N$18&gt;0,'4.) Yearly Budget'!N173,'4.) Yearly Budget'!M173)</f>
        <v>0</v>
      </c>
      <c r="N173" s="385">
        <f t="shared" si="112"/>
        <v>0</v>
      </c>
      <c r="O173" s="577">
        <f>'2.) Enrollment'!R34</f>
        <v>0</v>
      </c>
      <c r="P173" s="102">
        <f>IF('4.) Yearly Budget'!$Q$18&gt;0,'4.) Yearly Budget'!Q173,'4.) Yearly Budget'!P173)</f>
        <v>0</v>
      </c>
      <c r="Q173" s="385">
        <f t="shared" si="113"/>
        <v>0</v>
      </c>
      <c r="R173" s="577">
        <f>'2.) Enrollment'!S34</f>
        <v>0</v>
      </c>
      <c r="S173" s="102">
        <f>IF('4.) Yearly Budget'!$T$18&gt;0,'4.) Yearly Budget'!T173,'4.) Yearly Budget'!S173)</f>
        <v>0</v>
      </c>
      <c r="T173" s="105">
        <f t="shared" si="114"/>
        <v>0</v>
      </c>
      <c r="U173" s="285">
        <f t="shared" si="115"/>
        <v>0</v>
      </c>
      <c r="V173" s="422">
        <f t="shared" si="116"/>
        <v>0</v>
      </c>
      <c r="W173" s="382">
        <f t="shared" si="117"/>
        <v>0</v>
      </c>
      <c r="X173" s="426"/>
      <c r="Y173" s="95"/>
      <c r="Z173" s="425">
        <f>IF(R$161&gt;0,'4.) Yearly Budget'!S173,IF(O$161&gt;0,'4.) Yearly Budget'!P173,IF(L$161&gt;0,'4.) Yearly Budget'!M173,IF(I$161&gt;0,'4.) Yearly Budget'!J173,0))))</f>
        <v>0</v>
      </c>
      <c r="AA173" s="384">
        <f t="shared" si="118"/>
        <v>0</v>
      </c>
      <c r="AB173" s="95"/>
      <c r="AC173" s="95"/>
      <c r="AD173" s="425">
        <f>IF(U$161&gt;0,'4.) Yearly Budget'!I173,0)</f>
        <v>0</v>
      </c>
      <c r="AE173" s="101">
        <f t="shared" si="119"/>
        <v>0</v>
      </c>
      <c r="AF173" s="280"/>
    </row>
    <row r="174" spans="1:32">
      <c r="A174" s="259">
        <f t="shared" si="95"/>
        <v>174</v>
      </c>
      <c r="B174" s="96"/>
      <c r="C174" s="50"/>
      <c r="D174" s="50"/>
      <c r="E174" s="82" t="str">
        <f t="shared" si="110"/>
        <v>-</v>
      </c>
      <c r="F174" s="82"/>
      <c r="G174" s="59"/>
      <c r="H174" s="130"/>
      <c r="I174" s="489">
        <f>'2.) Enrollment'!P35</f>
        <v>0</v>
      </c>
      <c r="J174" s="102">
        <f>IF('4.) Yearly Budget'!$K$18&gt;0,'4.) Yearly Budget'!K174,'4.) Yearly Budget'!J174)</f>
        <v>0</v>
      </c>
      <c r="K174" s="385">
        <f t="shared" si="111"/>
        <v>0</v>
      </c>
      <c r="L174" s="577">
        <f>'2.) Enrollment'!Q35</f>
        <v>0</v>
      </c>
      <c r="M174" s="102">
        <f>IF('4.) Yearly Budget'!$N$18&gt;0,'4.) Yearly Budget'!N174,'4.) Yearly Budget'!M174)</f>
        <v>0</v>
      </c>
      <c r="N174" s="385">
        <f t="shared" si="112"/>
        <v>0</v>
      </c>
      <c r="O174" s="577">
        <f>'2.) Enrollment'!R35</f>
        <v>0</v>
      </c>
      <c r="P174" s="102">
        <f>IF('4.) Yearly Budget'!$Q$18&gt;0,'4.) Yearly Budget'!Q174,'4.) Yearly Budget'!P174)</f>
        <v>0</v>
      </c>
      <c r="Q174" s="385">
        <f t="shared" si="113"/>
        <v>0</v>
      </c>
      <c r="R174" s="577">
        <f>'2.) Enrollment'!S35</f>
        <v>0</v>
      </c>
      <c r="S174" s="102">
        <f>IF('4.) Yearly Budget'!$T$18&gt;0,'4.) Yearly Budget'!T174,'4.) Yearly Budget'!S174)</f>
        <v>0</v>
      </c>
      <c r="T174" s="105">
        <f t="shared" si="114"/>
        <v>0</v>
      </c>
      <c r="U174" s="285">
        <f t="shared" si="115"/>
        <v>0</v>
      </c>
      <c r="V174" s="422">
        <f t="shared" si="116"/>
        <v>0</v>
      </c>
      <c r="W174" s="382">
        <f t="shared" si="117"/>
        <v>0</v>
      </c>
      <c r="X174" s="426"/>
      <c r="Y174" s="95"/>
      <c r="Z174" s="425">
        <f>IF(R$161&gt;0,'4.) Yearly Budget'!S174,IF(O$161&gt;0,'4.) Yearly Budget'!P174,IF(L$161&gt;0,'4.) Yearly Budget'!M174,IF(I$161&gt;0,'4.) Yearly Budget'!J174,0))))</f>
        <v>0</v>
      </c>
      <c r="AA174" s="384">
        <f t="shared" si="118"/>
        <v>0</v>
      </c>
      <c r="AB174" s="95"/>
      <c r="AC174" s="95"/>
      <c r="AD174" s="425">
        <f>IF(U$161&gt;0,'4.) Yearly Budget'!I174,0)</f>
        <v>0</v>
      </c>
      <c r="AE174" s="101">
        <f t="shared" si="119"/>
        <v>0</v>
      </c>
      <c r="AF174" s="280"/>
    </row>
    <row r="175" spans="1:32">
      <c r="A175" s="259">
        <f t="shared" si="95"/>
        <v>175</v>
      </c>
      <c r="B175" s="96"/>
      <c r="C175" s="50"/>
      <c r="D175" s="50"/>
      <c r="E175" s="82" t="str">
        <f t="shared" si="110"/>
        <v>-</v>
      </c>
      <c r="F175" s="82"/>
      <c r="G175" s="59"/>
      <c r="H175" s="130"/>
      <c r="I175" s="489">
        <f>'2.) Enrollment'!P36</f>
        <v>0</v>
      </c>
      <c r="J175" s="102">
        <f>IF('4.) Yearly Budget'!$K$18&gt;0,'4.) Yearly Budget'!K175,'4.) Yearly Budget'!J175)</f>
        <v>0</v>
      </c>
      <c r="K175" s="385">
        <f t="shared" si="111"/>
        <v>0</v>
      </c>
      <c r="L175" s="577">
        <f>'2.) Enrollment'!Q36</f>
        <v>0</v>
      </c>
      <c r="M175" s="102">
        <f>IF('4.) Yearly Budget'!$N$18&gt;0,'4.) Yearly Budget'!N175,'4.) Yearly Budget'!M175)</f>
        <v>0</v>
      </c>
      <c r="N175" s="385">
        <f t="shared" si="112"/>
        <v>0</v>
      </c>
      <c r="O175" s="577">
        <f>'2.) Enrollment'!R36</f>
        <v>0</v>
      </c>
      <c r="P175" s="102">
        <f>IF('4.) Yearly Budget'!$Q$18&gt;0,'4.) Yearly Budget'!Q175,'4.) Yearly Budget'!P175)</f>
        <v>0</v>
      </c>
      <c r="Q175" s="385">
        <f t="shared" si="113"/>
        <v>0</v>
      </c>
      <c r="R175" s="577">
        <f>'2.) Enrollment'!S36</f>
        <v>0</v>
      </c>
      <c r="S175" s="102">
        <f>IF('4.) Yearly Budget'!$T$18&gt;0,'4.) Yearly Budget'!T175,'4.) Yearly Budget'!S175)</f>
        <v>0</v>
      </c>
      <c r="T175" s="105">
        <f t="shared" si="114"/>
        <v>0</v>
      </c>
      <c r="U175" s="285">
        <f t="shared" si="115"/>
        <v>0</v>
      </c>
      <c r="V175" s="422">
        <f t="shared" si="116"/>
        <v>0</v>
      </c>
      <c r="W175" s="382">
        <f t="shared" si="117"/>
        <v>0</v>
      </c>
      <c r="X175" s="426"/>
      <c r="Y175" s="95"/>
      <c r="Z175" s="425">
        <f>IF(R$161&gt;0,'4.) Yearly Budget'!S175,IF(O$161&gt;0,'4.) Yearly Budget'!P175,IF(L$161&gt;0,'4.) Yearly Budget'!M175,IF(I$161&gt;0,'4.) Yearly Budget'!J175,0))))</f>
        <v>0</v>
      </c>
      <c r="AA175" s="384">
        <f t="shared" si="118"/>
        <v>0</v>
      </c>
      <c r="AB175" s="95"/>
      <c r="AC175" s="95"/>
      <c r="AD175" s="425">
        <f>IF(U$161&gt;0,'4.) Yearly Budget'!I175,0)</f>
        <v>0</v>
      </c>
      <c r="AE175" s="101">
        <f t="shared" si="119"/>
        <v>0</v>
      </c>
      <c r="AF175" s="280"/>
    </row>
    <row r="176" spans="1:32" ht="16.8">
      <c r="A176" s="259">
        <f t="shared" si="95"/>
        <v>176</v>
      </c>
      <c r="B176" s="96"/>
      <c r="C176" s="50"/>
      <c r="D176" s="50"/>
      <c r="E176" s="82" t="str">
        <f t="shared" si="110"/>
        <v>ALL OTHER School Districts: ( Count = 0 )</v>
      </c>
      <c r="F176" s="82"/>
      <c r="G176" s="59"/>
      <c r="H176" s="153"/>
      <c r="I176" s="489">
        <f>SUM('2.) Enrollment'!P37:P71)</f>
        <v>0</v>
      </c>
      <c r="J176" s="102">
        <f>IF('4.) Yearly Budget'!$K$18&gt;0,'4.) Yearly Budget'!K176,'4.) Yearly Budget'!J176)</f>
        <v>0</v>
      </c>
      <c r="K176" s="385">
        <f t="shared" si="111"/>
        <v>0</v>
      </c>
      <c r="L176" s="489">
        <f>SUM('2.) Enrollment'!Q37:Q71)</f>
        <v>0</v>
      </c>
      <c r="M176" s="102">
        <f>IF('4.) Yearly Budget'!$N$18&gt;0,'4.) Yearly Budget'!N176,'4.) Yearly Budget'!M176)</f>
        <v>0</v>
      </c>
      <c r="N176" s="385">
        <f t="shared" si="112"/>
        <v>0</v>
      </c>
      <c r="O176" s="489">
        <f>SUM('2.) Enrollment'!R37:R71)</f>
        <v>0</v>
      </c>
      <c r="P176" s="102">
        <f>IF('4.) Yearly Budget'!$Q$18&gt;0,'4.) Yearly Budget'!Q176,'4.) Yearly Budget'!P176)</f>
        <v>0</v>
      </c>
      <c r="Q176" s="385">
        <f t="shared" si="113"/>
        <v>0</v>
      </c>
      <c r="R176" s="489">
        <f>SUM('2.) Enrollment'!S37:S71)</f>
        <v>0</v>
      </c>
      <c r="S176" s="102">
        <f>IF('4.) Yearly Budget'!$T$18&gt;0,'4.) Yearly Budget'!T176,'4.) Yearly Budget'!S176)</f>
        <v>0</v>
      </c>
      <c r="T176" s="105">
        <f t="shared" si="114"/>
        <v>0</v>
      </c>
      <c r="U176" s="285">
        <f t="shared" si="115"/>
        <v>0</v>
      </c>
      <c r="V176" s="422">
        <f t="shared" si="116"/>
        <v>0</v>
      </c>
      <c r="W176" s="382">
        <f t="shared" si="117"/>
        <v>0</v>
      </c>
      <c r="X176" s="426"/>
      <c r="Y176" s="95"/>
      <c r="Z176" s="425">
        <f>IF(R$161&gt;0,'4.) Yearly Budget'!S176,IF(O$161&gt;0,'4.) Yearly Budget'!P176,IF(L$161&gt;0,'4.) Yearly Budget'!M176,IF(I$161&gt;0,'4.) Yearly Budget'!J176,0))))</f>
        <v>0</v>
      </c>
      <c r="AA176" s="384">
        <f t="shared" si="118"/>
        <v>0</v>
      </c>
      <c r="AB176" s="95"/>
      <c r="AC176" s="95"/>
      <c r="AD176" s="425">
        <f>IF(U$161&gt;0,'4.) Yearly Budget'!I176,0)</f>
        <v>0</v>
      </c>
      <c r="AE176" s="101">
        <f t="shared" si="119"/>
        <v>0</v>
      </c>
      <c r="AF176" s="280"/>
    </row>
    <row r="177" spans="1:32" ht="16.8">
      <c r="A177" s="259">
        <f t="shared" si="95"/>
        <v>177</v>
      </c>
      <c r="B177" s="65" t="s">
        <v>93</v>
      </c>
      <c r="C177" s="66"/>
      <c r="D177" s="66"/>
      <c r="E177" s="82"/>
      <c r="F177" s="82"/>
      <c r="G177" s="59"/>
      <c r="H177" s="144"/>
      <c r="I177" s="307">
        <f t="shared" ref="I177:W177" si="120">SUM(I161:I176)</f>
        <v>0</v>
      </c>
      <c r="J177" s="427">
        <f t="shared" si="120"/>
        <v>0</v>
      </c>
      <c r="K177" s="428">
        <f t="shared" si="120"/>
        <v>0</v>
      </c>
      <c r="L177" s="429">
        <f t="shared" si="120"/>
        <v>0</v>
      </c>
      <c r="M177" s="427">
        <f t="shared" si="120"/>
        <v>0</v>
      </c>
      <c r="N177" s="428">
        <f t="shared" si="120"/>
        <v>0</v>
      </c>
      <c r="O177" s="429">
        <f t="shared" si="120"/>
        <v>0</v>
      </c>
      <c r="P177" s="427">
        <f t="shared" si="120"/>
        <v>0</v>
      </c>
      <c r="Q177" s="428">
        <f t="shared" si="120"/>
        <v>0</v>
      </c>
      <c r="R177" s="429">
        <f t="shared" si="120"/>
        <v>0</v>
      </c>
      <c r="S177" s="427">
        <f t="shared" si="120"/>
        <v>0</v>
      </c>
      <c r="T177" s="430">
        <f t="shared" si="120"/>
        <v>0</v>
      </c>
      <c r="U177" s="431">
        <f t="shared" si="120"/>
        <v>0</v>
      </c>
      <c r="V177" s="432">
        <f t="shared" si="120"/>
        <v>0</v>
      </c>
      <c r="W177" s="432">
        <f t="shared" si="120"/>
        <v>0</v>
      </c>
      <c r="X177" s="433"/>
      <c r="Y177" s="144"/>
      <c r="Z177" s="434">
        <f>SUM(Z161:Z176)</f>
        <v>0</v>
      </c>
      <c r="AA177" s="435">
        <f>SUM(AA161:AA176)</f>
        <v>0</v>
      </c>
      <c r="AB177" s="144"/>
      <c r="AC177" s="144"/>
      <c r="AD177" s="434">
        <f>SUM(AD161:AD176)</f>
        <v>0</v>
      </c>
      <c r="AE177" s="308">
        <f>SUM(AE161:AE176)</f>
        <v>0</v>
      </c>
      <c r="AF177" s="280"/>
    </row>
    <row r="178" spans="1:32" s="50" customFormat="1" ht="7.5" customHeight="1">
      <c r="A178" s="259">
        <f t="shared" si="95"/>
        <v>178</v>
      </c>
      <c r="B178" s="81"/>
      <c r="C178" s="82"/>
      <c r="D178" s="82"/>
      <c r="E178" s="82"/>
      <c r="F178" s="82"/>
      <c r="G178" s="59"/>
      <c r="H178" s="130"/>
      <c r="I178" s="142"/>
      <c r="J178" s="142"/>
      <c r="K178" s="142"/>
      <c r="L178" s="142"/>
      <c r="M178" s="142"/>
      <c r="N178" s="142"/>
      <c r="O178" s="142"/>
      <c r="P178" s="142"/>
      <c r="Q178" s="142"/>
      <c r="R178" s="142"/>
      <c r="S178" s="142"/>
      <c r="T178" s="309"/>
      <c r="U178" s="142"/>
      <c r="V178" s="142"/>
      <c r="W178" s="142"/>
      <c r="X178" s="130"/>
      <c r="Y178" s="130"/>
      <c r="Z178" s="130"/>
      <c r="AA178" s="130"/>
      <c r="AB178" s="130"/>
      <c r="AC178" s="130"/>
      <c r="AD178" s="130"/>
      <c r="AE178" s="436"/>
      <c r="AF178" s="280"/>
    </row>
    <row r="179" spans="1:32" ht="16.8">
      <c r="A179" s="259">
        <f t="shared" si="95"/>
        <v>179</v>
      </c>
      <c r="B179" s="92" t="s">
        <v>94</v>
      </c>
      <c r="C179" s="93"/>
      <c r="D179" s="93"/>
      <c r="E179" s="82"/>
      <c r="F179" s="82"/>
      <c r="G179" s="59"/>
      <c r="H179" s="144"/>
      <c r="I179" s="310">
        <f>IF(I177&gt;0,I65/I177,0)</f>
        <v>0</v>
      </c>
      <c r="J179" s="311">
        <f>IF(J177&gt;0,J65/J177,0)</f>
        <v>0</v>
      </c>
      <c r="K179" s="437">
        <f>IF(I$18&lt;&gt;0,I179-J179,0)</f>
        <v>0</v>
      </c>
      <c r="L179" s="438">
        <f>IF(L177&gt;0,L65/L177,0)</f>
        <v>0</v>
      </c>
      <c r="M179" s="311">
        <f>IF(M177&gt;0,M65/M177,0)</f>
        <v>0</v>
      </c>
      <c r="N179" s="437">
        <f>IF(L$18&lt;&gt;0,L179-M179,0)</f>
        <v>0</v>
      </c>
      <c r="O179" s="438">
        <f>IF(O177&gt;0,O65/O177,0)</f>
        <v>0</v>
      </c>
      <c r="P179" s="311">
        <f>IF(P177&gt;0,P65/P177,0)</f>
        <v>0</v>
      </c>
      <c r="Q179" s="437">
        <f>IF(O$18&lt;&gt;0,O179-P179,0)</f>
        <v>0</v>
      </c>
      <c r="R179" s="438">
        <f>IF(R177&gt;0,R65/R177,0)</f>
        <v>0</v>
      </c>
      <c r="S179" s="311">
        <f>IF(S177&gt;0,S65/S177,0)</f>
        <v>0</v>
      </c>
      <c r="T179" s="439">
        <f>IF(R$18&lt;&gt;0,R179-S179,0)</f>
        <v>0</v>
      </c>
      <c r="U179" s="440">
        <f>IF(U177&gt;0,U65/U177,0)</f>
        <v>0</v>
      </c>
      <c r="V179" s="154">
        <f>IF(V177&gt;0,V65/V177,0)</f>
        <v>0</v>
      </c>
      <c r="W179" s="154">
        <f>U179-V179</f>
        <v>0</v>
      </c>
      <c r="X179" s="441"/>
      <c r="Y179" s="143"/>
      <c r="Z179" s="442">
        <f>IF(Z177&gt;0,Z65/Z177,0)</f>
        <v>0</v>
      </c>
      <c r="AA179" s="154">
        <f>U179-Z179</f>
        <v>0</v>
      </c>
      <c r="AB179" s="143"/>
      <c r="AC179" s="143"/>
      <c r="AD179" s="442">
        <f>IF(AD177&gt;0,AD65/AD177,0)</f>
        <v>0</v>
      </c>
      <c r="AE179" s="443">
        <f>U179-AD179</f>
        <v>0</v>
      </c>
      <c r="AF179" s="280"/>
    </row>
    <row r="180" spans="1:32" s="50" customFormat="1" ht="7.5" customHeight="1">
      <c r="A180" s="259">
        <f t="shared" si="95"/>
        <v>180</v>
      </c>
      <c r="B180" s="81"/>
      <c r="C180" s="82"/>
      <c r="D180" s="82"/>
      <c r="E180" s="82"/>
      <c r="F180" s="82"/>
      <c r="G180" s="59"/>
      <c r="H180" s="130"/>
      <c r="I180" s="142"/>
      <c r="J180" s="142"/>
      <c r="K180" s="142"/>
      <c r="L180" s="142"/>
      <c r="M180" s="142"/>
      <c r="N180" s="142"/>
      <c r="O180" s="142"/>
      <c r="P180" s="142"/>
      <c r="Q180" s="142"/>
      <c r="R180" s="142"/>
      <c r="S180" s="142"/>
      <c r="T180" s="309"/>
      <c r="U180" s="142"/>
      <c r="V180" s="142"/>
      <c r="W180" s="142"/>
      <c r="X180" s="130"/>
      <c r="Y180" s="130"/>
      <c r="Z180" s="142"/>
      <c r="AA180" s="142"/>
      <c r="AB180" s="130"/>
      <c r="AC180" s="130"/>
      <c r="AD180" s="142"/>
      <c r="AE180" s="436"/>
      <c r="AF180" s="280"/>
    </row>
    <row r="181" spans="1:32" ht="17.399999999999999" thickBot="1">
      <c r="A181" s="259">
        <f t="shared" si="95"/>
        <v>181</v>
      </c>
      <c r="B181" s="125" t="s">
        <v>95</v>
      </c>
      <c r="C181" s="126"/>
      <c r="D181" s="126"/>
      <c r="E181" s="312"/>
      <c r="F181" s="312"/>
      <c r="G181" s="313"/>
      <c r="H181" s="314"/>
      <c r="I181" s="315">
        <f>IF(I177&gt;0,I155/I177,0)</f>
        <v>0</v>
      </c>
      <c r="J181" s="316">
        <f>IF(J177&gt;0,J155/J177,0)</f>
        <v>0</v>
      </c>
      <c r="K181" s="444">
        <f>IF(I$18&lt;&gt;0,J181-I181,0)</f>
        <v>0</v>
      </c>
      <c r="L181" s="445">
        <f>IF(L177&gt;0,L155/L177,0)</f>
        <v>0</v>
      </c>
      <c r="M181" s="316">
        <f>IF(M177&gt;0,M155/M177,0)</f>
        <v>0</v>
      </c>
      <c r="N181" s="444">
        <f>IF(L$18&lt;&gt;0,M181-L181,0)</f>
        <v>0</v>
      </c>
      <c r="O181" s="445">
        <f>IF(O177&gt;0,O155/O177,0)</f>
        <v>0</v>
      </c>
      <c r="P181" s="316">
        <f>IF(P177&gt;0,P155/P177,0)</f>
        <v>0</v>
      </c>
      <c r="Q181" s="444">
        <f>IF(O$18&lt;&gt;0,P181-O181,0)</f>
        <v>0</v>
      </c>
      <c r="R181" s="445">
        <f>IF(R177&gt;0,R155/R177,0)</f>
        <v>0</v>
      </c>
      <c r="S181" s="316">
        <f>IF(S177&gt;0,S155/S177,0)</f>
        <v>0</v>
      </c>
      <c r="T181" s="446">
        <f>IF(R$18&lt;&gt;0,S181-R181,0)</f>
        <v>0</v>
      </c>
      <c r="U181" s="447">
        <f>IF(U177&gt;0,U155/U177,0)</f>
        <v>0</v>
      </c>
      <c r="V181" s="448">
        <f>IF(V177&gt;0,V155/V177,0)</f>
        <v>0</v>
      </c>
      <c r="W181" s="448">
        <f>V181-U181</f>
        <v>0</v>
      </c>
      <c r="X181" s="449"/>
      <c r="Y181" s="450"/>
      <c r="Z181" s="451">
        <f>IF(Z177&gt;0,Z155/Z177,0)</f>
        <v>0</v>
      </c>
      <c r="AA181" s="448">
        <f>Z181-U181</f>
        <v>0</v>
      </c>
      <c r="AB181" s="450"/>
      <c r="AC181" s="450"/>
      <c r="AD181" s="451">
        <f>IF(AD177&gt;0,AD155/AD177,0)</f>
        <v>0</v>
      </c>
      <c r="AE181" s="452">
        <f>AD181-U181</f>
        <v>0</v>
      </c>
      <c r="AF181" s="453"/>
    </row>
    <row r="182" spans="1:32" ht="15.6" thickTop="1">
      <c r="I182" s="454"/>
      <c r="J182" s="454"/>
      <c r="K182" s="454"/>
      <c r="L182" s="454"/>
      <c r="M182" s="454"/>
      <c r="N182" s="454"/>
      <c r="O182" s="454"/>
      <c r="P182" s="454"/>
      <c r="Q182" s="454"/>
      <c r="R182" s="454"/>
      <c r="S182" s="454"/>
      <c r="T182" s="454"/>
    </row>
    <row r="183" spans="1:32">
      <c r="J183" s="130"/>
    </row>
  </sheetData>
  <sheetProtection password="CA09" sheet="1" objects="1" scenarios="1"/>
  <mergeCells count="12">
    <mergeCell ref="U12:AE12"/>
    <mergeCell ref="B13:G13"/>
    <mergeCell ref="U2:AE2"/>
    <mergeCell ref="U3:AE3"/>
    <mergeCell ref="U4:AE4"/>
    <mergeCell ref="I12:K12"/>
    <mergeCell ref="L12:N12"/>
    <mergeCell ref="O12:Q12"/>
    <mergeCell ref="R12:T12"/>
    <mergeCell ref="I2:T2"/>
    <mergeCell ref="I3:T3"/>
    <mergeCell ref="I4:T4"/>
  </mergeCells>
  <conditionalFormatting sqref="I2 U2:AE2">
    <cfRule type="expression" dxfId="74" priority="74">
      <formula>$I$2=Mssg1</formula>
    </cfRule>
  </conditionalFormatting>
  <conditionalFormatting sqref="C4:I4 U4:AE4">
    <cfRule type="expression" dxfId="73" priority="75">
      <formula>$I$4=Mssg2</formula>
    </cfRule>
  </conditionalFormatting>
  <conditionalFormatting sqref="E2">
    <cfRule type="notContainsBlanks" dxfId="72" priority="77">
      <formula>LEN(TRIM(E2))&gt;0</formula>
    </cfRule>
  </conditionalFormatting>
  <printOptions horizontalCentered="1"/>
  <pageMargins left="0.28999999999999998" right="0.28999999999999998" top="0.31" bottom="0.28000000000000003" header="0.3" footer="0.3"/>
  <pageSetup scale="53" orientation="landscape" r:id="rId1"/>
  <headerFooter>
    <oddFooter>&amp;CPage &amp;P of &amp;N&amp;R&amp;F</oddFooter>
  </headerFooter>
  <rowBreaks count="3" manualBreakCount="3">
    <brk id="65" max="16383" man="1"/>
    <brk id="117" max="16383" man="1"/>
    <brk id="157" max="16383" man="1"/>
  </rowBreaks>
  <colBreaks count="1" manualBreakCount="1">
    <brk id="20" max="1048575" man="1"/>
  </colBreaks>
  <ignoredErrors>
    <ignoredError sqref="L6:L9 O6:O9 R6:R9 N34 Q34 T34 K34 U34:AE34 K179:T181 K157:AA157" formula="1"/>
    <ignoredError sqref="I176 L176 O176 R176 M33:N33"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3366"/>
    <pageSetUpPr fitToPage="1"/>
  </sheetPr>
  <dimension ref="A1:D18"/>
  <sheetViews>
    <sheetView workbookViewId="0">
      <selection activeCell="D13" sqref="D13:D14"/>
    </sheetView>
  </sheetViews>
  <sheetFormatPr defaultRowHeight="13.2"/>
  <cols>
    <col min="2" max="3" width="11.33203125" customWidth="1"/>
    <col min="4" max="4" width="49.109375" customWidth="1"/>
    <col min="258" max="259" width="11.33203125" customWidth="1"/>
    <col min="260" max="260" width="49.109375" customWidth="1"/>
    <col min="514" max="515" width="11.33203125" customWidth="1"/>
    <col min="516" max="516" width="49.109375" customWidth="1"/>
    <col min="770" max="771" width="11.33203125" customWidth="1"/>
    <col min="772" max="772" width="49.109375" customWidth="1"/>
    <col min="1026" max="1027" width="11.33203125" customWidth="1"/>
    <col min="1028" max="1028" width="49.109375" customWidth="1"/>
    <col min="1282" max="1283" width="11.33203125" customWidth="1"/>
    <col min="1284" max="1284" width="49.109375" customWidth="1"/>
    <col min="1538" max="1539" width="11.33203125" customWidth="1"/>
    <col min="1540" max="1540" width="49.109375" customWidth="1"/>
    <col min="1794" max="1795" width="11.33203125" customWidth="1"/>
    <col min="1796" max="1796" width="49.109375" customWidth="1"/>
    <col min="2050" max="2051" width="11.33203125" customWidth="1"/>
    <col min="2052" max="2052" width="49.109375" customWidth="1"/>
    <col min="2306" max="2307" width="11.33203125" customWidth="1"/>
    <col min="2308" max="2308" width="49.109375" customWidth="1"/>
    <col min="2562" max="2563" width="11.33203125" customWidth="1"/>
    <col min="2564" max="2564" width="49.109375" customWidth="1"/>
    <col min="2818" max="2819" width="11.33203125" customWidth="1"/>
    <col min="2820" max="2820" width="49.109375" customWidth="1"/>
    <col min="3074" max="3075" width="11.33203125" customWidth="1"/>
    <col min="3076" max="3076" width="49.109375" customWidth="1"/>
    <col min="3330" max="3331" width="11.33203125" customWidth="1"/>
    <col min="3332" max="3332" width="49.109375" customWidth="1"/>
    <col min="3586" max="3587" width="11.33203125" customWidth="1"/>
    <col min="3588" max="3588" width="49.109375" customWidth="1"/>
    <col min="3842" max="3843" width="11.33203125" customWidth="1"/>
    <col min="3844" max="3844" width="49.109375" customWidth="1"/>
    <col min="4098" max="4099" width="11.33203125" customWidth="1"/>
    <col min="4100" max="4100" width="49.109375" customWidth="1"/>
    <col min="4354" max="4355" width="11.33203125" customWidth="1"/>
    <col min="4356" max="4356" width="49.109375" customWidth="1"/>
    <col min="4610" max="4611" width="11.33203125" customWidth="1"/>
    <col min="4612" max="4612" width="49.109375" customWidth="1"/>
    <col min="4866" max="4867" width="11.33203125" customWidth="1"/>
    <col min="4868" max="4868" width="49.109375" customWidth="1"/>
    <col min="5122" max="5123" width="11.33203125" customWidth="1"/>
    <col min="5124" max="5124" width="49.109375" customWidth="1"/>
    <col min="5378" max="5379" width="11.33203125" customWidth="1"/>
    <col min="5380" max="5380" width="49.109375" customWidth="1"/>
    <col min="5634" max="5635" width="11.33203125" customWidth="1"/>
    <col min="5636" max="5636" width="49.109375" customWidth="1"/>
    <col min="5890" max="5891" width="11.33203125" customWidth="1"/>
    <col min="5892" max="5892" width="49.109375" customWidth="1"/>
    <col min="6146" max="6147" width="11.33203125" customWidth="1"/>
    <col min="6148" max="6148" width="49.109375" customWidth="1"/>
    <col min="6402" max="6403" width="11.33203125" customWidth="1"/>
    <col min="6404" max="6404" width="49.109375" customWidth="1"/>
    <col min="6658" max="6659" width="11.33203125" customWidth="1"/>
    <col min="6660" max="6660" width="49.109375" customWidth="1"/>
    <col min="6914" max="6915" width="11.33203125" customWidth="1"/>
    <col min="6916" max="6916" width="49.109375" customWidth="1"/>
    <col min="7170" max="7171" width="11.33203125" customWidth="1"/>
    <col min="7172" max="7172" width="49.109375" customWidth="1"/>
    <col min="7426" max="7427" width="11.33203125" customWidth="1"/>
    <col min="7428" max="7428" width="49.109375" customWidth="1"/>
    <col min="7682" max="7683" width="11.33203125" customWidth="1"/>
    <col min="7684" max="7684" width="49.109375" customWidth="1"/>
    <col min="7938" max="7939" width="11.33203125" customWidth="1"/>
    <col min="7940" max="7940" width="49.109375" customWidth="1"/>
    <col min="8194" max="8195" width="11.33203125" customWidth="1"/>
    <col min="8196" max="8196" width="49.109375" customWidth="1"/>
    <col min="8450" max="8451" width="11.33203125" customWidth="1"/>
    <col min="8452" max="8452" width="49.109375" customWidth="1"/>
    <col min="8706" max="8707" width="11.33203125" customWidth="1"/>
    <col min="8708" max="8708" width="49.109375" customWidth="1"/>
    <col min="8962" max="8963" width="11.33203125" customWidth="1"/>
    <col min="8964" max="8964" width="49.109375" customWidth="1"/>
    <col min="9218" max="9219" width="11.33203125" customWidth="1"/>
    <col min="9220" max="9220" width="49.109375" customWidth="1"/>
    <col min="9474" max="9475" width="11.33203125" customWidth="1"/>
    <col min="9476" max="9476" width="49.109375" customWidth="1"/>
    <col min="9730" max="9731" width="11.33203125" customWidth="1"/>
    <col min="9732" max="9732" width="49.109375" customWidth="1"/>
    <col min="9986" max="9987" width="11.33203125" customWidth="1"/>
    <col min="9988" max="9988" width="49.109375" customWidth="1"/>
    <col min="10242" max="10243" width="11.33203125" customWidth="1"/>
    <col min="10244" max="10244" width="49.109375" customWidth="1"/>
    <col min="10498" max="10499" width="11.33203125" customWidth="1"/>
    <col min="10500" max="10500" width="49.109375" customWidth="1"/>
    <col min="10754" max="10755" width="11.33203125" customWidth="1"/>
    <col min="10756" max="10756" width="49.109375" customWidth="1"/>
    <col min="11010" max="11011" width="11.33203125" customWidth="1"/>
    <col min="11012" max="11012" width="49.109375" customWidth="1"/>
    <col min="11266" max="11267" width="11.33203125" customWidth="1"/>
    <col min="11268" max="11268" width="49.109375" customWidth="1"/>
    <col min="11522" max="11523" width="11.33203125" customWidth="1"/>
    <col min="11524" max="11524" width="49.109375" customWidth="1"/>
    <col min="11778" max="11779" width="11.33203125" customWidth="1"/>
    <col min="11780" max="11780" width="49.109375" customWidth="1"/>
    <col min="12034" max="12035" width="11.33203125" customWidth="1"/>
    <col min="12036" max="12036" width="49.109375" customWidth="1"/>
    <col min="12290" max="12291" width="11.33203125" customWidth="1"/>
    <col min="12292" max="12292" width="49.109375" customWidth="1"/>
    <col min="12546" max="12547" width="11.33203125" customWidth="1"/>
    <col min="12548" max="12548" width="49.109375" customWidth="1"/>
    <col min="12802" max="12803" width="11.33203125" customWidth="1"/>
    <col min="12804" max="12804" width="49.109375" customWidth="1"/>
    <col min="13058" max="13059" width="11.33203125" customWidth="1"/>
    <col min="13060" max="13060" width="49.109375" customWidth="1"/>
    <col min="13314" max="13315" width="11.33203125" customWidth="1"/>
    <col min="13316" max="13316" width="49.109375" customWidth="1"/>
    <col min="13570" max="13571" width="11.33203125" customWidth="1"/>
    <col min="13572" max="13572" width="49.109375" customWidth="1"/>
    <col min="13826" max="13827" width="11.33203125" customWidth="1"/>
    <col min="13828" max="13828" width="49.109375" customWidth="1"/>
    <col min="14082" max="14083" width="11.33203125" customWidth="1"/>
    <col min="14084" max="14084" width="49.109375" customWidth="1"/>
    <col min="14338" max="14339" width="11.33203125" customWidth="1"/>
    <col min="14340" max="14340" width="49.109375" customWidth="1"/>
    <col min="14594" max="14595" width="11.33203125" customWidth="1"/>
    <col min="14596" max="14596" width="49.109375" customWidth="1"/>
    <col min="14850" max="14851" width="11.33203125" customWidth="1"/>
    <col min="14852" max="14852" width="49.109375" customWidth="1"/>
    <col min="15106" max="15107" width="11.33203125" customWidth="1"/>
    <col min="15108" max="15108" width="49.109375" customWidth="1"/>
    <col min="15362" max="15363" width="11.33203125" customWidth="1"/>
    <col min="15364" max="15364" width="49.109375" customWidth="1"/>
    <col min="15618" max="15619" width="11.33203125" customWidth="1"/>
    <col min="15620" max="15620" width="49.109375" customWidth="1"/>
    <col min="15874" max="15875" width="11.33203125" customWidth="1"/>
    <col min="15876" max="15876" width="49.109375" customWidth="1"/>
    <col min="16130" max="16131" width="11.33203125" customWidth="1"/>
    <col min="16132" max="16132" width="49.109375" customWidth="1"/>
  </cols>
  <sheetData>
    <row r="1" spans="1:4" ht="15.6" thickBot="1">
      <c r="A1" s="343"/>
      <c r="B1" s="343"/>
      <c r="C1" s="343"/>
      <c r="D1" s="343"/>
    </row>
    <row r="2" spans="1:4" ht="15">
      <c r="A2" s="343"/>
      <c r="B2" s="344"/>
      <c r="C2" s="345"/>
      <c r="D2" s="346"/>
    </row>
    <row r="3" spans="1:4" ht="15">
      <c r="A3" s="343"/>
      <c r="B3" s="347"/>
      <c r="C3" s="348"/>
      <c r="D3" s="349"/>
    </row>
    <row r="4" spans="1:4" ht="15">
      <c r="A4" s="343"/>
      <c r="B4" s="347"/>
      <c r="C4" s="348"/>
      <c r="D4" s="349"/>
    </row>
    <row r="5" spans="1:4" ht="15">
      <c r="A5" s="343"/>
      <c r="B5" s="347"/>
      <c r="C5" s="348"/>
      <c r="D5" s="349"/>
    </row>
    <row r="6" spans="1:4" ht="15">
      <c r="A6" s="343"/>
      <c r="B6" s="347"/>
      <c r="C6" s="348"/>
      <c r="D6" s="349"/>
    </row>
    <row r="7" spans="1:4" ht="18" customHeight="1">
      <c r="A7" s="343"/>
      <c r="B7" s="347"/>
      <c r="C7" s="602"/>
      <c r="D7" s="349"/>
    </row>
    <row r="8" spans="1:4" ht="18">
      <c r="A8" s="343"/>
      <c r="B8" s="1028" t="s">
        <v>305</v>
      </c>
      <c r="C8" s="1029"/>
      <c r="D8" s="1030"/>
    </row>
    <row r="9" spans="1:4" ht="15.6">
      <c r="A9" s="343"/>
      <c r="B9" s="1031" t="s">
        <v>306</v>
      </c>
      <c r="C9" s="1032"/>
      <c r="D9" s="1033"/>
    </row>
    <row r="10" spans="1:4" ht="21" customHeight="1">
      <c r="A10" s="627"/>
      <c r="B10" s="948" t="str">
        <f>IF(School="",Mssg1,School)</f>
        <v>Please enter school name on tab - "1) Name of School"</v>
      </c>
      <c r="C10" s="644"/>
      <c r="D10" s="645"/>
    </row>
    <row r="11" spans="1:4" ht="15">
      <c r="A11" s="343"/>
      <c r="B11" s="646" t="str">
        <f>IF(CONTROL!J12=0,Mssg2,AcadYr1)</f>
        <v>2016-17</v>
      </c>
      <c r="C11" s="647"/>
      <c r="D11" s="648"/>
    </row>
    <row r="12" spans="1:4" ht="15">
      <c r="A12" s="343"/>
      <c r="B12" s="628"/>
      <c r="C12" s="169"/>
      <c r="D12" s="629"/>
    </row>
    <row r="13" spans="1:4" ht="12.75" customHeight="1">
      <c r="A13" s="343"/>
      <c r="B13" s="1034" t="s">
        <v>307</v>
      </c>
      <c r="C13" s="1035"/>
      <c r="D13" s="1036">
        <v>0</v>
      </c>
    </row>
    <row r="14" spans="1:4" ht="19.5" customHeight="1">
      <c r="A14" s="343"/>
      <c r="B14" s="1034"/>
      <c r="C14" s="1035"/>
      <c r="D14" s="1036"/>
    </row>
    <row r="15" spans="1:4" ht="15">
      <c r="A15" s="343"/>
      <c r="B15" s="1037"/>
      <c r="C15" s="1038"/>
      <c r="D15" s="606"/>
    </row>
    <row r="16" spans="1:4" ht="75.599999999999994" thickBot="1">
      <c r="A16" s="343"/>
      <c r="B16" s="1026" t="s">
        <v>308</v>
      </c>
      <c r="C16" s="1027"/>
      <c r="D16" s="607" t="s">
        <v>309</v>
      </c>
    </row>
    <row r="17" spans="1:4" ht="15">
      <c r="A17" s="343"/>
      <c r="B17" s="343"/>
      <c r="C17" s="343"/>
      <c r="D17" s="343"/>
    </row>
    <row r="18" spans="1:4" ht="15">
      <c r="A18" s="343"/>
      <c r="B18" s="350" t="s">
        <v>339</v>
      </c>
      <c r="C18" s="343"/>
      <c r="D18" s="343"/>
    </row>
  </sheetData>
  <sheetProtection password="CA09" sheet="1" objects="1" scenarios="1"/>
  <mergeCells count="6">
    <mergeCell ref="B16:C16"/>
    <mergeCell ref="B8:D8"/>
    <mergeCell ref="B9:D9"/>
    <mergeCell ref="B13:C14"/>
    <mergeCell ref="D13:D14"/>
    <mergeCell ref="B15:C15"/>
  </mergeCells>
  <conditionalFormatting sqref="D13:D14">
    <cfRule type="cellIs" dxfId="71" priority="4" stopIfTrue="1" operator="greaterThan">
      <formula>0</formula>
    </cfRule>
  </conditionalFormatting>
  <conditionalFormatting sqref="B10:D10">
    <cfRule type="expression" dxfId="70" priority="3">
      <formula>$B$10=Mssg1</formula>
    </cfRule>
  </conditionalFormatting>
  <conditionalFormatting sqref="B11:D11">
    <cfRule type="expression" dxfId="69" priority="1">
      <formula>$B$11=Mssg2</formula>
    </cfRule>
  </conditionalFormatting>
  <printOptions horizontalCentered="1" verticalCentered="1"/>
  <pageMargins left="0.49" right="0.45" top="0.31" bottom="0.28000000000000003" header="0.3" footer="0.3"/>
  <pageSetup orientation="landscape" r:id="rId1"/>
  <headerFooter>
    <oddFooter>&amp;CPage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35</vt:i4>
      </vt:variant>
    </vt:vector>
  </HeadingPairs>
  <TitlesOfParts>
    <vt:vector size="44" baseType="lpstr">
      <vt:lpstr>INSTRUCTIONS</vt:lpstr>
      <vt:lpstr>Funding by District</vt:lpstr>
      <vt:lpstr>1.) Name of School</vt:lpstr>
      <vt:lpstr>2.) Enrollment</vt:lpstr>
      <vt:lpstr>3.) Staffing Plan</vt:lpstr>
      <vt:lpstr>4.) Yearly Budget</vt:lpstr>
      <vt:lpstr>5.) Balance Sheet</vt:lpstr>
      <vt:lpstr>6.) Quarterly Report</vt:lpstr>
      <vt:lpstr>7.) Annual Report Requirement</vt:lpstr>
      <vt:lpstr>AcadYr1</vt:lpstr>
      <vt:lpstr>BSNote1</vt:lpstr>
      <vt:lpstr>BSNote2</vt:lpstr>
      <vt:lpstr>BSNoteCode</vt:lpstr>
      <vt:lpstr>DistrictList</vt:lpstr>
      <vt:lpstr>DVList_AcadYr</vt:lpstr>
      <vt:lpstr>List_Grade5Levels</vt:lpstr>
      <vt:lpstr>List_GradeLevels</vt:lpstr>
      <vt:lpstr>Mssg1</vt:lpstr>
      <vt:lpstr>Mssg2</vt:lpstr>
      <vt:lpstr>Mssg3</vt:lpstr>
      <vt:lpstr>PPR_Tbl_Date</vt:lpstr>
      <vt:lpstr>'1.) Name of School'!Print_Area</vt:lpstr>
      <vt:lpstr>'2.) Enrollment'!Print_Area</vt:lpstr>
      <vt:lpstr>'3.) Staffing Plan'!Print_Area</vt:lpstr>
      <vt:lpstr>'4.) Yearly Budget'!Print_Area</vt:lpstr>
      <vt:lpstr>'5.) Balance Sheet'!Print_Area</vt:lpstr>
      <vt:lpstr>'6.) Quarterly Report'!Print_Area</vt:lpstr>
      <vt:lpstr>'Funding by District'!Print_Area</vt:lpstr>
      <vt:lpstr>INSTRUCTIONS!Print_Area</vt:lpstr>
      <vt:lpstr>'2.) Enrollment'!Print_Titles</vt:lpstr>
      <vt:lpstr>'3.) Staffing Plan'!Print_Titles</vt:lpstr>
      <vt:lpstr>'4.) Yearly Budget'!Print_Titles</vt:lpstr>
      <vt:lpstr>'6.) Quarterly Report'!Print_Titles</vt:lpstr>
      <vt:lpstr>'Funding by District'!Print_Titles</vt:lpstr>
      <vt:lpstr>PriorPeriod</vt:lpstr>
      <vt:lpstr>QTR</vt:lpstr>
      <vt:lpstr>QTR_MSG</vt:lpstr>
      <vt:lpstr>School</vt:lpstr>
      <vt:lpstr>SCHOOLS</vt:lpstr>
      <vt:lpstr>Year1</vt:lpstr>
      <vt:lpstr>Year2</vt:lpstr>
      <vt:lpstr>Year3</vt:lpstr>
      <vt:lpstr>Year4</vt:lpstr>
      <vt:lpstr>Year5</vt:lpstr>
    </vt:vector>
  </TitlesOfParts>
  <Company>SUNY Charter Schools Institute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Budget/Qtr Template</dc:title>
  <dc:creator>flackjo</dc:creator>
  <cp:lastModifiedBy>JFlack</cp:lastModifiedBy>
  <cp:lastPrinted>2016-06-03T13:31:27Z</cp:lastPrinted>
  <dcterms:created xsi:type="dcterms:W3CDTF">2009-07-01T14:18:54Z</dcterms:created>
  <dcterms:modified xsi:type="dcterms:W3CDTF">2016-06-03T18:50:33Z</dcterms:modified>
</cp:coreProperties>
</file>