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Q:\Charter Schools\FINANCE\FISCAL\3. Reporting (DashBd, AFRs, Budgets &amp; Qs)\3. Budget &amp; Quarterly Reports_School Submissions\2020-21\"/>
    </mc:Choice>
  </mc:AlternateContent>
  <bookViews>
    <workbookView xWindow="0" yWindow="0" windowWidth="23040" windowHeight="9192" tabRatio="951"/>
  </bookViews>
  <sheets>
    <sheet name="INSTRUCTIONS" sheetId="1" r:id="rId1"/>
    <sheet name="Funding by District" sheetId="11" r:id="rId2"/>
    <sheet name="1.) Name of School" sheetId="3" r:id="rId3"/>
    <sheet name="2.) Enrollment" sheetId="21" r:id="rId4"/>
    <sheet name="3.) Staffing Plan" sheetId="14" r:id="rId5"/>
    <sheet name="4.) Yearly Budget" sheetId="18" r:id="rId6"/>
    <sheet name="5.) Balance Sheet" sheetId="17" r:id="rId7"/>
    <sheet name="6.) Quarterly Report" sheetId="20" r:id="rId8"/>
    <sheet name="7.) Annual Report Requirement" sheetId="19" r:id="rId9"/>
    <sheet name="CONTROL" sheetId="15" state="hidden" r:id="rId10"/>
  </sheets>
  <externalReferences>
    <externalReference r:id="rId11"/>
    <externalReference r:id="rId12"/>
  </externalReferences>
  <definedNames>
    <definedName name="_Fill" localSheetId="1" hidden="1">#REF!</definedName>
    <definedName name="_Fill" hidden="1">#REF!</definedName>
    <definedName name="_xlnm._FilterDatabase" localSheetId="9" hidden="1">CONTROL!$B$808:$G$1003</definedName>
    <definedName name="_Key1" localSheetId="1" hidden="1">#REF!</definedName>
    <definedName name="_Key1" hidden="1">#REF!</definedName>
    <definedName name="_Order1" hidden="1">255</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AcadYr1">'1.) Name of School'!$D$18</definedName>
    <definedName name="BSNote">CONTROL!#REF!</definedName>
    <definedName name="BSNote1">CONTROL!$C$797</definedName>
    <definedName name="BSNote2">CONTROL!$C$798</definedName>
    <definedName name="BSNoteCode">CONTROL!$C$796</definedName>
    <definedName name="DATA_01" hidden="1">'[1]Bond Amortization1'!#REF!</definedName>
    <definedName name="DATA_08" hidden="1">'[1]Bond Amortization1'!#REF!</definedName>
    <definedName name="DistrictList">'Funding by District'!$D$6:$D$684</definedName>
    <definedName name="DVList_AcadYr">CONTROL!$B$15:$B$17</definedName>
    <definedName name="IntroPrintArea" hidden="1">#REF!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40834.4439583333</definedName>
    <definedName name="IQ_NTM" hidden="1">6000</definedName>
    <definedName name="IQ_TODAY" hidden="1">0</definedName>
    <definedName name="IQ_WEEK" hidden="1">50000</definedName>
    <definedName name="IQ_YTD" hidden="1">3000</definedName>
    <definedName name="IQ_YTDMONTH" hidden="1">130000</definedName>
    <definedName name="List_Grade5Levels">CONTROL!$B$43:$B$45</definedName>
    <definedName name="List_GradeLevels">CONTROL!$B$43:$B$46</definedName>
    <definedName name="Mssg1">CONTROL!$B$38</definedName>
    <definedName name="Mssg2">CONTROL!$B$39</definedName>
    <definedName name="Mssg3">CONTROL!$B$40</definedName>
    <definedName name="mySchools">Table2[SCHOOLS]</definedName>
    <definedName name="Percentages">#REF!</definedName>
    <definedName name="PPR_Tbl_Date">CONTROL!$I$35</definedName>
    <definedName name="_xlnm.Print_Area" localSheetId="2">'1.) Name of School'!$C$2:$E$19</definedName>
    <definedName name="_xlnm.Print_Area" localSheetId="3">'2.) Enrollment'!$A$1:$T$71</definedName>
    <definedName name="_xlnm.Print_Area" localSheetId="4">'3.) Staffing Plan'!$B$2:$T$45</definedName>
    <definedName name="_xlnm.Print_Area" localSheetId="5">'4.) Yearly Budget'!$B$2:$AA$183,'4.) Yearly Budget'!$B$185:$AA$205</definedName>
    <definedName name="_xlnm.Print_Area" localSheetId="6">'5.) Balance Sheet'!$B$2:$J$45</definedName>
    <definedName name="_xlnm.Print_Area" localSheetId="7">'6.) Quarterly Report'!$B$2:$AE$183</definedName>
    <definedName name="_xlnm.Print_Area" localSheetId="1">'Funding by District'!$C$2:$F$3</definedName>
    <definedName name="_xlnm.Print_Area" localSheetId="0">INSTRUCTIONS!$B$2:$F$30</definedName>
    <definedName name="_xlnm.Print_Titles" localSheetId="3">'2.) Enrollment'!$19:$21</definedName>
    <definedName name="_xlnm.Print_Titles" localSheetId="4">'3.) Staffing Plan'!$A:$B,'3.) Staffing Plan'!$1:$2</definedName>
    <definedName name="_xlnm.Print_Titles" localSheetId="5">'4.) Yearly Budget'!$B:$H,'4.) Yearly Budget'!$2:$13</definedName>
    <definedName name="_xlnm.Print_Titles" localSheetId="7">'6.) Quarterly Report'!$B:$H,'6.) Quarterly Report'!$2:$13</definedName>
    <definedName name="_xlnm.Print_Titles" localSheetId="1">'Funding by District'!$1:$5</definedName>
    <definedName name="PriorPeriod">CONTROL!$I$22</definedName>
    <definedName name="QTR">CONTROL!$O$10</definedName>
    <definedName name="QTR_MSG">CONTROL!$M$12</definedName>
    <definedName name="School">CONTROL!$I$5</definedName>
    <definedName name="SCHOOLS">CONTROL!$B$808:$G$1003</definedName>
    <definedName name="UnusedDistrictList" comment="List of School Districts that have NOT been selected yet.  (Array Forumula Range...requires using F2 to modify and Ctrl-Shift-Enter to enter formula).">OFFSET(CONTROL!$B$109,0,0,COUNTA(CONTROL!$B$109:$B$788)-COUNTBLANK(CONTROL!$B$109:$B$788),1)</definedName>
    <definedName name="X_PositionsCategories">OFFSET([2]Assumptions!$AN$67,0,0,COUNTA([2]Assumptions!$AN:$AN)-1,1)</definedName>
    <definedName name="Year1">CONTROL!$I$16</definedName>
    <definedName name="Year2">CONTROL!$I$17</definedName>
    <definedName name="Year3">CONTROL!$I$18</definedName>
    <definedName name="Year4">CONTROL!$I$19</definedName>
    <definedName name="Year5">CONTROL!$I$20</definedName>
    <definedName name="Z_5E4DC421_887D_9843_8B54_CF861F76B668_.wvu.PrintArea" localSheetId="2" hidden="1">'1.) Name of School'!$C$2:$D$20</definedName>
    <definedName name="Z_5E4DC421_887D_9843_8B54_CF861F76B668_.wvu.PrintArea" localSheetId="0" hidden="1">INSTRUCTIONS!$C$2:$D$38</definedName>
    <definedName name="Z_7E5415B2_297C_4CDE_9A5E_CCA4F5662440_.wvu.PrintArea" localSheetId="2" hidden="1">'1.) Name of School'!$C$2:$D$20</definedName>
    <definedName name="Z_7E5415B2_297C_4CDE_9A5E_CCA4F5662440_.wvu.PrintArea" localSheetId="0" hidden="1">INSTRUCTIONS!$C$2:$D$38</definedName>
  </definedNames>
  <calcPr calcId="162913"/>
  <customWorkbookViews>
    <customWorkbookView name="Citizens  World - Personal View" guid="{5E4DC421-887D-9843-8B54-CF861F76B668}" mergeInterval="0" personalView="1" yWindow="54" windowWidth="1276" windowHeight="724" tabRatio="951" activeSheetId="1"/>
    <customWorkbookView name="DHruby - Personal View" guid="{7E5415B2-297C-4CDE-9A5E-CCA4F5662440}" mergeInterval="0" personalView="1" maximized="1" windowWidth="1916" windowHeight="825" tabRatio="951" activeSheetId="8"/>
  </customWorkbookViews>
</workbook>
</file>

<file path=xl/calcChain.xml><?xml version="1.0" encoding="utf-8"?>
<calcChain xmlns="http://schemas.openxmlformats.org/spreadsheetml/2006/main">
  <c r="B52" i="15" l="1"/>
  <c r="G952" i="15" l="1"/>
  <c r="H952" i="15"/>
  <c r="G812" i="15" l="1"/>
  <c r="G810" i="15"/>
  <c r="G811" i="15"/>
  <c r="G813" i="15"/>
  <c r="G814" i="15"/>
  <c r="G815" i="15"/>
  <c r="G816" i="15"/>
  <c r="G817" i="15"/>
  <c r="G818" i="15"/>
  <c r="G819" i="15"/>
  <c r="G820" i="15"/>
  <c r="G821" i="15"/>
  <c r="G822" i="15"/>
  <c r="G823" i="15"/>
  <c r="G824" i="15"/>
  <c r="G825" i="15"/>
  <c r="G826" i="15"/>
  <c r="G827" i="15"/>
  <c r="G828" i="15"/>
  <c r="G829" i="15"/>
  <c r="G830" i="15"/>
  <c r="G831" i="15"/>
  <c r="G832" i="15"/>
  <c r="G833" i="15"/>
  <c r="G834" i="15"/>
  <c r="G835" i="15"/>
  <c r="G836" i="15"/>
  <c r="G837" i="15"/>
  <c r="G838" i="15"/>
  <c r="G839" i="15"/>
  <c r="G840" i="15"/>
  <c r="G841" i="15"/>
  <c r="G842" i="15"/>
  <c r="G843" i="15"/>
  <c r="G844" i="15"/>
  <c r="G845" i="15"/>
  <c r="G846" i="15"/>
  <c r="G847" i="15"/>
  <c r="G848" i="15"/>
  <c r="G849" i="15"/>
  <c r="G850" i="15"/>
  <c r="G851" i="15"/>
  <c r="G852" i="15"/>
  <c r="G853" i="15"/>
  <c r="G854" i="15"/>
  <c r="G855" i="15"/>
  <c r="G856" i="15"/>
  <c r="G857" i="15"/>
  <c r="G858" i="15"/>
  <c r="G859" i="15"/>
  <c r="G860" i="15"/>
  <c r="G861" i="15"/>
  <c r="G862" i="15"/>
  <c r="G863" i="15"/>
  <c r="G864" i="15"/>
  <c r="G865" i="15"/>
  <c r="G866" i="15"/>
  <c r="G867" i="15"/>
  <c r="G868" i="15"/>
  <c r="G869" i="15"/>
  <c r="G870" i="15"/>
  <c r="G871" i="15"/>
  <c r="G872" i="15"/>
  <c r="G873" i="15"/>
  <c r="G874" i="15"/>
  <c r="G875" i="15"/>
  <c r="G876" i="15"/>
  <c r="G877" i="15"/>
  <c r="G878" i="15"/>
  <c r="G879" i="15"/>
  <c r="G880" i="15"/>
  <c r="G881" i="15"/>
  <c r="G882" i="15"/>
  <c r="G883" i="15"/>
  <c r="G884" i="15"/>
  <c r="G885" i="15"/>
  <c r="G886" i="15"/>
  <c r="G887" i="15"/>
  <c r="G888" i="15"/>
  <c r="G889" i="15"/>
  <c r="G890" i="15"/>
  <c r="G891" i="15"/>
  <c r="G892" i="15"/>
  <c r="G893" i="15"/>
  <c r="G894" i="15"/>
  <c r="G895" i="15"/>
  <c r="G896" i="15"/>
  <c r="G897" i="15"/>
  <c r="G898" i="15"/>
  <c r="G899" i="15"/>
  <c r="G900" i="15"/>
  <c r="G901" i="15"/>
  <c r="G902" i="15"/>
  <c r="G903" i="15"/>
  <c r="G904" i="15"/>
  <c r="G905" i="15"/>
  <c r="G906" i="15"/>
  <c r="G907" i="15"/>
  <c r="G908" i="15"/>
  <c r="G909" i="15"/>
  <c r="G910" i="15"/>
  <c r="G911" i="15"/>
  <c r="G912" i="15"/>
  <c r="G913" i="15"/>
  <c r="G914" i="15"/>
  <c r="G915" i="15"/>
  <c r="G916" i="15"/>
  <c r="G917" i="15"/>
  <c r="G918" i="15"/>
  <c r="G919" i="15"/>
  <c r="G920" i="15"/>
  <c r="G921" i="15"/>
  <c r="G922" i="15"/>
  <c r="G923" i="15"/>
  <c r="G924" i="15"/>
  <c r="G925" i="15"/>
  <c r="G926" i="15"/>
  <c r="G927" i="15"/>
  <c r="G928" i="15"/>
  <c r="G929" i="15"/>
  <c r="G930" i="15"/>
  <c r="G931" i="15"/>
  <c r="G932" i="15"/>
  <c r="G933" i="15"/>
  <c r="G934" i="15"/>
  <c r="G935" i="15"/>
  <c r="G936" i="15"/>
  <c r="G937" i="15"/>
  <c r="G938" i="15"/>
  <c r="G939" i="15"/>
  <c r="G940" i="15"/>
  <c r="G941" i="15"/>
  <c r="G942" i="15"/>
  <c r="G943" i="15"/>
  <c r="G944" i="15"/>
  <c r="G945" i="15"/>
  <c r="G946" i="15"/>
  <c r="G947" i="15"/>
  <c r="G948" i="15"/>
  <c r="G949" i="15"/>
  <c r="G950" i="15"/>
  <c r="G951" i="15"/>
  <c r="G953" i="15"/>
  <c r="G954" i="15"/>
  <c r="G955" i="15"/>
  <c r="G956" i="15"/>
  <c r="G957" i="15"/>
  <c r="G958" i="15"/>
  <c r="G959" i="15"/>
  <c r="G960" i="15"/>
  <c r="G961" i="15"/>
  <c r="G962" i="15"/>
  <c r="G963" i="15"/>
  <c r="G964" i="15"/>
  <c r="G965" i="15"/>
  <c r="G966" i="15"/>
  <c r="G967" i="15"/>
  <c r="G968" i="15"/>
  <c r="G969" i="15"/>
  <c r="G970" i="15"/>
  <c r="G971" i="15"/>
  <c r="G972" i="15"/>
  <c r="G973" i="15"/>
  <c r="G974" i="15"/>
  <c r="G975" i="15"/>
  <c r="G976" i="15"/>
  <c r="G977" i="15"/>
  <c r="G978" i="15"/>
  <c r="G979" i="15"/>
  <c r="G980" i="15"/>
  <c r="G981" i="15"/>
  <c r="G982" i="15"/>
  <c r="G983" i="15"/>
  <c r="G984" i="15"/>
  <c r="G985" i="15"/>
  <c r="G986" i="15"/>
  <c r="G987" i="15"/>
  <c r="G988" i="15"/>
  <c r="H988" i="15" s="1"/>
  <c r="G989" i="15"/>
  <c r="H989" i="15" s="1"/>
  <c r="G990" i="15"/>
  <c r="G991" i="15"/>
  <c r="H991" i="15" s="1"/>
  <c r="G992" i="15"/>
  <c r="G993" i="15"/>
  <c r="H993" i="15" s="1"/>
  <c r="G994" i="15"/>
  <c r="H994" i="15" s="1"/>
  <c r="G995" i="15"/>
  <c r="G996" i="15"/>
  <c r="H996" i="15" s="1"/>
  <c r="G997" i="15"/>
  <c r="H997" i="15" s="1"/>
  <c r="G998" i="15"/>
  <c r="G999" i="15"/>
  <c r="H999" i="15" s="1"/>
  <c r="G1000" i="15"/>
  <c r="H1000" i="15" s="1"/>
  <c r="G1001" i="15"/>
  <c r="H1001" i="15" s="1"/>
  <c r="G1002" i="15"/>
  <c r="H1002" i="15" s="1"/>
  <c r="G1003" i="15"/>
  <c r="H1003" i="15" s="1"/>
  <c r="H995" i="15"/>
  <c r="H998" i="15"/>
  <c r="H990" i="15"/>
  <c r="H992" i="15"/>
  <c r="Z63" i="20" l="1"/>
  <c r="Z62" i="20"/>
  <c r="Z61" i="20"/>
  <c r="Z60" i="20"/>
  <c r="Z59" i="20"/>
  <c r="Z58" i="20"/>
  <c r="Z57" i="20"/>
  <c r="Z56" i="20"/>
  <c r="Z52" i="20"/>
  <c r="Z51" i="20"/>
  <c r="Z50" i="20"/>
  <c r="Z48" i="20"/>
  <c r="Z47" i="20"/>
  <c r="Z46" i="20"/>
  <c r="Z45" i="20"/>
  <c r="Z41" i="20"/>
  <c r="Z40" i="20"/>
  <c r="Z39" i="20"/>
  <c r="Z38" i="20"/>
  <c r="Z37" i="20"/>
  <c r="Z35" i="20"/>
  <c r="H810" i="15" l="1"/>
  <c r="H811" i="15"/>
  <c r="H813" i="15"/>
  <c r="H814" i="15"/>
  <c r="H815" i="15"/>
  <c r="H816" i="15"/>
  <c r="H817" i="15"/>
  <c r="H818" i="15"/>
  <c r="H819" i="15"/>
  <c r="H820" i="15"/>
  <c r="H821" i="15"/>
  <c r="H822" i="15"/>
  <c r="H823" i="15"/>
  <c r="H824" i="15"/>
  <c r="H825" i="15"/>
  <c r="H826" i="15"/>
  <c r="H827" i="15"/>
  <c r="H828" i="15"/>
  <c r="H829" i="15"/>
  <c r="H830" i="15"/>
  <c r="H831" i="15"/>
  <c r="H832" i="15"/>
  <c r="H833" i="15"/>
  <c r="H834" i="15"/>
  <c r="H835" i="15"/>
  <c r="H836" i="15"/>
  <c r="H837" i="15"/>
  <c r="H838" i="15"/>
  <c r="H839" i="15"/>
  <c r="H840" i="15"/>
  <c r="H841" i="15"/>
  <c r="H842" i="15"/>
  <c r="H843" i="15"/>
  <c r="H844" i="15"/>
  <c r="H845" i="15"/>
  <c r="H846" i="15"/>
  <c r="H847" i="15"/>
  <c r="H848" i="15"/>
  <c r="H849" i="15"/>
  <c r="H850" i="15"/>
  <c r="H851" i="15"/>
  <c r="H852" i="15"/>
  <c r="H853" i="15"/>
  <c r="H854" i="15"/>
  <c r="H855" i="15"/>
  <c r="H856" i="15"/>
  <c r="H857" i="15"/>
  <c r="H858" i="15"/>
  <c r="H859" i="15"/>
  <c r="H860" i="15"/>
  <c r="H861" i="15"/>
  <c r="H862" i="15"/>
  <c r="H863" i="15"/>
  <c r="H864" i="15"/>
  <c r="H865" i="15"/>
  <c r="H866" i="15"/>
  <c r="H867" i="15"/>
  <c r="H868" i="15"/>
  <c r="H869" i="15"/>
  <c r="H870" i="15"/>
  <c r="H871" i="15"/>
  <c r="H872" i="15"/>
  <c r="H873" i="15"/>
  <c r="H874" i="15"/>
  <c r="H875" i="15"/>
  <c r="H876" i="15"/>
  <c r="H877" i="15"/>
  <c r="H878" i="15"/>
  <c r="H879" i="15"/>
  <c r="H880" i="15"/>
  <c r="H881" i="15"/>
  <c r="H882" i="15"/>
  <c r="H883" i="15"/>
  <c r="H884" i="15"/>
  <c r="H885" i="15"/>
  <c r="H886" i="15"/>
  <c r="H887" i="15"/>
  <c r="H888" i="15"/>
  <c r="H889" i="15"/>
  <c r="H890" i="15"/>
  <c r="H891" i="15"/>
  <c r="H892" i="15"/>
  <c r="H893" i="15"/>
  <c r="H894" i="15"/>
  <c r="H895" i="15"/>
  <c r="H896" i="15"/>
  <c r="H897" i="15"/>
  <c r="H898" i="15"/>
  <c r="H899" i="15"/>
  <c r="H900" i="15"/>
  <c r="H901" i="15"/>
  <c r="H902" i="15"/>
  <c r="H903" i="15"/>
  <c r="H904" i="15"/>
  <c r="H905" i="15"/>
  <c r="H906" i="15"/>
  <c r="H907" i="15"/>
  <c r="H908" i="15"/>
  <c r="H909" i="15"/>
  <c r="H910" i="15"/>
  <c r="H911" i="15"/>
  <c r="H912" i="15"/>
  <c r="H913" i="15"/>
  <c r="H914" i="15"/>
  <c r="H915" i="15"/>
  <c r="H916" i="15"/>
  <c r="H917" i="15"/>
  <c r="H918" i="15"/>
  <c r="H919" i="15"/>
  <c r="H920" i="15"/>
  <c r="H921" i="15"/>
  <c r="H922" i="15"/>
  <c r="H923" i="15"/>
  <c r="H924" i="15"/>
  <c r="H925" i="15"/>
  <c r="H926" i="15"/>
  <c r="H927" i="15"/>
  <c r="H928" i="15"/>
  <c r="H929" i="15"/>
  <c r="H930" i="15"/>
  <c r="H931" i="15"/>
  <c r="H932" i="15"/>
  <c r="H933" i="15"/>
  <c r="H934" i="15"/>
  <c r="H935" i="15"/>
  <c r="H936" i="15"/>
  <c r="H937" i="15"/>
  <c r="H938" i="15"/>
  <c r="H939" i="15"/>
  <c r="H940" i="15"/>
  <c r="H941" i="15"/>
  <c r="H942" i="15"/>
  <c r="H943" i="15"/>
  <c r="H944" i="15"/>
  <c r="H945" i="15"/>
  <c r="H946" i="15"/>
  <c r="H947" i="15"/>
  <c r="H948" i="15"/>
  <c r="H949" i="15"/>
  <c r="H950" i="15"/>
  <c r="H951" i="15"/>
  <c r="H953" i="15"/>
  <c r="H954" i="15"/>
  <c r="H955" i="15"/>
  <c r="H956" i="15"/>
  <c r="H957" i="15"/>
  <c r="H958" i="15"/>
  <c r="H959" i="15"/>
  <c r="H960" i="15"/>
  <c r="H961" i="15"/>
  <c r="H962" i="15"/>
  <c r="H963" i="15"/>
  <c r="H964" i="15"/>
  <c r="H965" i="15"/>
  <c r="H966" i="15"/>
  <c r="H967" i="15"/>
  <c r="H968" i="15"/>
  <c r="H969" i="15"/>
  <c r="H970" i="15"/>
  <c r="H971" i="15"/>
  <c r="H972" i="15"/>
  <c r="H973" i="15"/>
  <c r="H974" i="15"/>
  <c r="H975" i="15"/>
  <c r="H976" i="15"/>
  <c r="H977" i="15"/>
  <c r="H978" i="15"/>
  <c r="H979" i="15"/>
  <c r="H980" i="15"/>
  <c r="H981" i="15"/>
  <c r="H982" i="15"/>
  <c r="H983" i="15"/>
  <c r="H984" i="15"/>
  <c r="H985" i="15"/>
  <c r="H986" i="15"/>
  <c r="H987" i="15"/>
  <c r="Z155" i="20" l="1"/>
  <c r="V155" i="18"/>
  <c r="Y155" i="18" s="1"/>
  <c r="AB155" i="20" l="1"/>
  <c r="H812" i="15" l="1"/>
  <c r="V196" i="18" l="1"/>
  <c r="Y196" i="18" s="1"/>
  <c r="V195" i="18"/>
  <c r="Y195" i="18" s="1"/>
  <c r="V192" i="18"/>
  <c r="Y192" i="18" s="1"/>
  <c r="V191" i="18"/>
  <c r="Y191" i="18" s="1"/>
  <c r="V188" i="18"/>
  <c r="Y188" i="18" s="1"/>
  <c r="V187" i="18"/>
  <c r="Y187" i="18" s="1"/>
  <c r="T197" i="18"/>
  <c r="S197" i="18"/>
  <c r="Q197" i="18"/>
  <c r="P197" i="18"/>
  <c r="N197" i="18"/>
  <c r="M197" i="18"/>
  <c r="K197" i="18"/>
  <c r="J197" i="18"/>
  <c r="I197" i="18"/>
  <c r="T193" i="18"/>
  <c r="S193" i="18"/>
  <c r="Q193" i="18"/>
  <c r="P193" i="18"/>
  <c r="N193" i="18"/>
  <c r="M193" i="18"/>
  <c r="K193" i="18"/>
  <c r="J193" i="18"/>
  <c r="I193" i="18"/>
  <c r="T189" i="18"/>
  <c r="S189" i="18"/>
  <c r="Q189" i="18"/>
  <c r="P189" i="18"/>
  <c r="N189" i="18"/>
  <c r="M189" i="18"/>
  <c r="K189" i="18"/>
  <c r="J189" i="18"/>
  <c r="I189" i="18"/>
  <c r="Y193" i="18" l="1"/>
  <c r="N199" i="18"/>
  <c r="Y189" i="18"/>
  <c r="M199" i="18"/>
  <c r="T199" i="18"/>
  <c r="Q199" i="18"/>
  <c r="I199" i="18"/>
  <c r="Y197" i="18"/>
  <c r="P199" i="18"/>
  <c r="K199" i="18"/>
  <c r="J199" i="18"/>
  <c r="V189" i="18"/>
  <c r="S199" i="18"/>
  <c r="V197" i="18"/>
  <c r="V193" i="18"/>
  <c r="Y199" i="18" l="1"/>
  <c r="V199" i="18"/>
  <c r="B9" i="21" l="1"/>
  <c r="F43" i="15" l="1"/>
  <c r="E20" i="3" s="1"/>
  <c r="D40" i="20" l="1"/>
  <c r="V40" i="18"/>
  <c r="AB40" i="20" s="1"/>
  <c r="Y40" i="18" l="1"/>
  <c r="S17" i="18" l="1"/>
  <c r="W53" i="15" l="1"/>
  <c r="W54" i="15"/>
  <c r="W55" i="15"/>
  <c r="W56" i="15"/>
  <c r="W57" i="15"/>
  <c r="W58" i="15"/>
  <c r="W59" i="15"/>
  <c r="W60" i="15"/>
  <c r="W61" i="15"/>
  <c r="W62" i="15"/>
  <c r="W63" i="15"/>
  <c r="W64" i="15"/>
  <c r="W65" i="15"/>
  <c r="W66" i="15"/>
  <c r="W67" i="15"/>
  <c r="W68" i="15"/>
  <c r="W69" i="15"/>
  <c r="W70" i="15"/>
  <c r="W71" i="15"/>
  <c r="W72" i="15"/>
  <c r="W73" i="15"/>
  <c r="W74" i="15"/>
  <c r="W75" i="15"/>
  <c r="W76" i="15"/>
  <c r="W77" i="15"/>
  <c r="W78" i="15"/>
  <c r="W79" i="15"/>
  <c r="W80" i="15"/>
  <c r="W81" i="15"/>
  <c r="W82" i="15"/>
  <c r="W83" i="15"/>
  <c r="W84" i="15"/>
  <c r="W85" i="15"/>
  <c r="W86" i="15"/>
  <c r="W87" i="15"/>
  <c r="W88" i="15"/>
  <c r="W89" i="15"/>
  <c r="W90" i="15"/>
  <c r="W91" i="15"/>
  <c r="W92" i="15"/>
  <c r="W93" i="15"/>
  <c r="W94" i="15"/>
  <c r="W95" i="15"/>
  <c r="W96" i="15"/>
  <c r="W97" i="15"/>
  <c r="W98" i="15"/>
  <c r="W99" i="15"/>
  <c r="W100" i="15"/>
  <c r="W101" i="15"/>
  <c r="W52" i="15"/>
  <c r="V53" i="15"/>
  <c r="V54" i="15"/>
  <c r="V55" i="15"/>
  <c r="V56" i="15"/>
  <c r="V57" i="15"/>
  <c r="V58" i="15"/>
  <c r="V59" i="15"/>
  <c r="V60" i="15"/>
  <c r="V61" i="15"/>
  <c r="V62" i="15"/>
  <c r="V63" i="15"/>
  <c r="V64" i="15"/>
  <c r="V65" i="15"/>
  <c r="V66" i="15"/>
  <c r="V67" i="15"/>
  <c r="V68" i="15"/>
  <c r="V69" i="15"/>
  <c r="V70" i="15"/>
  <c r="V71" i="15"/>
  <c r="V72" i="15"/>
  <c r="V73" i="15"/>
  <c r="V74" i="15"/>
  <c r="V75" i="15"/>
  <c r="V76" i="15"/>
  <c r="V77" i="15"/>
  <c r="V78" i="15"/>
  <c r="V79" i="15"/>
  <c r="V80" i="15"/>
  <c r="V81" i="15"/>
  <c r="V82" i="15"/>
  <c r="V83" i="15"/>
  <c r="V84" i="15"/>
  <c r="V85" i="15"/>
  <c r="V86" i="15"/>
  <c r="V87" i="15"/>
  <c r="V88" i="15"/>
  <c r="V89" i="15"/>
  <c r="V90" i="15"/>
  <c r="V91" i="15"/>
  <c r="V92" i="15"/>
  <c r="V93" i="15"/>
  <c r="V94" i="15"/>
  <c r="V95" i="15"/>
  <c r="V96" i="15"/>
  <c r="V97" i="15"/>
  <c r="V98" i="15"/>
  <c r="V99" i="15"/>
  <c r="V100" i="15"/>
  <c r="V101" i="15"/>
  <c r="V52" i="15"/>
  <c r="U53" i="15"/>
  <c r="U54" i="15"/>
  <c r="U55" i="15"/>
  <c r="U56" i="15"/>
  <c r="U57" i="15"/>
  <c r="U58" i="15"/>
  <c r="U59" i="15"/>
  <c r="U60" i="15"/>
  <c r="U61" i="15"/>
  <c r="U62" i="15"/>
  <c r="U63" i="15"/>
  <c r="U64" i="15"/>
  <c r="U65" i="15"/>
  <c r="U66" i="15"/>
  <c r="U67" i="15"/>
  <c r="U68" i="15"/>
  <c r="U69" i="15"/>
  <c r="U70" i="15"/>
  <c r="U71" i="15"/>
  <c r="U72" i="15"/>
  <c r="U73" i="15"/>
  <c r="U74" i="15"/>
  <c r="U75" i="15"/>
  <c r="U76" i="15"/>
  <c r="U77" i="15"/>
  <c r="U78" i="15"/>
  <c r="U79" i="15"/>
  <c r="U80" i="15"/>
  <c r="U81" i="15"/>
  <c r="U82" i="15"/>
  <c r="U83" i="15"/>
  <c r="U84" i="15"/>
  <c r="U85" i="15"/>
  <c r="U86" i="15"/>
  <c r="U87" i="15"/>
  <c r="U88" i="15"/>
  <c r="U89" i="15"/>
  <c r="U90" i="15"/>
  <c r="U91" i="15"/>
  <c r="U92" i="15"/>
  <c r="U93" i="15"/>
  <c r="U94" i="15"/>
  <c r="U95" i="15"/>
  <c r="U96" i="15"/>
  <c r="U97" i="15"/>
  <c r="U98" i="15"/>
  <c r="U99" i="15"/>
  <c r="U100" i="15"/>
  <c r="U101" i="15"/>
  <c r="U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82" i="15"/>
  <c r="T83" i="15"/>
  <c r="T84" i="15"/>
  <c r="T85" i="15"/>
  <c r="T86" i="15"/>
  <c r="T87" i="15"/>
  <c r="T88" i="15"/>
  <c r="T89" i="15"/>
  <c r="T90" i="15"/>
  <c r="T91" i="15"/>
  <c r="T92" i="15"/>
  <c r="T93" i="15"/>
  <c r="T94" i="15"/>
  <c r="T95" i="15"/>
  <c r="T96" i="15"/>
  <c r="T97" i="15"/>
  <c r="T98" i="15"/>
  <c r="T99" i="15"/>
  <c r="T100" i="15"/>
  <c r="T101" i="15"/>
  <c r="T52" i="15"/>
  <c r="T17" i="18" l="1"/>
  <c r="C9" i="3" l="1"/>
  <c r="J163" i="18" l="1"/>
  <c r="K163" i="18"/>
  <c r="J164" i="18"/>
  <c r="K164" i="18"/>
  <c r="J165" i="18"/>
  <c r="K165" i="18"/>
  <c r="J166" i="18"/>
  <c r="K166" i="18"/>
  <c r="J167" i="18"/>
  <c r="K167" i="18"/>
  <c r="J168" i="18"/>
  <c r="K168" i="18"/>
  <c r="J169" i="18"/>
  <c r="K169" i="18"/>
  <c r="J170" i="18"/>
  <c r="K170" i="18"/>
  <c r="J171" i="18"/>
  <c r="K171" i="18"/>
  <c r="J172" i="18"/>
  <c r="K172" i="18"/>
  <c r="J173" i="18"/>
  <c r="K173" i="18"/>
  <c r="J174" i="18"/>
  <c r="K174" i="18"/>
  <c r="J175" i="18"/>
  <c r="K175" i="18"/>
  <c r="J176" i="18"/>
  <c r="K176" i="18"/>
  <c r="J177" i="18"/>
  <c r="K177" i="18"/>
  <c r="M163" i="18"/>
  <c r="N163" i="18"/>
  <c r="M164" i="18"/>
  <c r="N164" i="18"/>
  <c r="M165" i="18"/>
  <c r="N165" i="18"/>
  <c r="M166" i="18"/>
  <c r="N166" i="18"/>
  <c r="M167" i="18"/>
  <c r="N167" i="18"/>
  <c r="M168" i="18"/>
  <c r="N168" i="18"/>
  <c r="M169" i="18"/>
  <c r="N169" i="18"/>
  <c r="M170" i="18"/>
  <c r="N170" i="18"/>
  <c r="M171" i="18"/>
  <c r="N171" i="18"/>
  <c r="M172" i="18"/>
  <c r="N172" i="18"/>
  <c r="M173" i="18"/>
  <c r="N173" i="18"/>
  <c r="M174" i="18"/>
  <c r="N174" i="18"/>
  <c r="M175" i="18"/>
  <c r="N175" i="18"/>
  <c r="M176" i="18"/>
  <c r="N176" i="18"/>
  <c r="M177" i="18"/>
  <c r="N177" i="18"/>
  <c r="P163" i="18"/>
  <c r="Q163" i="18"/>
  <c r="P164" i="18"/>
  <c r="Q164" i="18"/>
  <c r="P165" i="18"/>
  <c r="Q165" i="18"/>
  <c r="P166" i="18"/>
  <c r="Q166" i="18"/>
  <c r="P167" i="18"/>
  <c r="Q167" i="18"/>
  <c r="P168" i="18"/>
  <c r="Q168" i="18"/>
  <c r="P169" i="18"/>
  <c r="Q169" i="18"/>
  <c r="P170" i="18"/>
  <c r="Q170" i="18"/>
  <c r="P171" i="18"/>
  <c r="Q171" i="18"/>
  <c r="P172" i="18"/>
  <c r="Q172" i="18"/>
  <c r="P173" i="18"/>
  <c r="Q173" i="18"/>
  <c r="P174" i="18"/>
  <c r="Q174" i="18"/>
  <c r="P175" i="18"/>
  <c r="Q175" i="18"/>
  <c r="P176" i="18"/>
  <c r="Q176" i="18"/>
  <c r="P177" i="18"/>
  <c r="Q177" i="18"/>
  <c r="S163" i="18"/>
  <c r="T163" i="18"/>
  <c r="S164" i="18"/>
  <c r="T164" i="18"/>
  <c r="S165" i="18"/>
  <c r="T165" i="18"/>
  <c r="S166" i="18"/>
  <c r="T166" i="18"/>
  <c r="S167" i="18"/>
  <c r="T167" i="18"/>
  <c r="S168" i="18"/>
  <c r="T168" i="18"/>
  <c r="S169" i="18"/>
  <c r="T169" i="18"/>
  <c r="S170" i="18"/>
  <c r="T170" i="18"/>
  <c r="S171" i="18"/>
  <c r="T171" i="18"/>
  <c r="S172" i="18"/>
  <c r="T172" i="18"/>
  <c r="S173" i="18"/>
  <c r="T173" i="18"/>
  <c r="S174" i="18"/>
  <c r="T174" i="18"/>
  <c r="S175" i="18"/>
  <c r="T175" i="18"/>
  <c r="S176" i="18"/>
  <c r="T176" i="18"/>
  <c r="S177" i="18"/>
  <c r="T177" i="18"/>
  <c r="I34" i="18"/>
  <c r="I42" i="18" s="1"/>
  <c r="M32" i="14"/>
  <c r="L32" i="14"/>
  <c r="K32" i="14"/>
  <c r="J32" i="14"/>
  <c r="I32" i="14"/>
  <c r="H32" i="14"/>
  <c r="G32" i="14"/>
  <c r="F32" i="14"/>
  <c r="R178" i="20" l="1"/>
  <c r="O178" i="20"/>
  <c r="L178" i="20"/>
  <c r="R164" i="20"/>
  <c r="R165" i="20"/>
  <c r="R166" i="20"/>
  <c r="R167" i="20"/>
  <c r="R168" i="20"/>
  <c r="R169" i="20"/>
  <c r="R170" i="20"/>
  <c r="R171" i="20"/>
  <c r="R172" i="20"/>
  <c r="R173" i="20"/>
  <c r="R174" i="20"/>
  <c r="R175" i="20"/>
  <c r="R176" i="20"/>
  <c r="R177" i="20"/>
  <c r="O164" i="20"/>
  <c r="O165" i="20"/>
  <c r="O166" i="20"/>
  <c r="O167" i="20"/>
  <c r="O168" i="20"/>
  <c r="O169" i="20"/>
  <c r="O170" i="20"/>
  <c r="O171" i="20"/>
  <c r="O172" i="20"/>
  <c r="O173" i="20"/>
  <c r="O174" i="20"/>
  <c r="O175" i="20"/>
  <c r="O176" i="20"/>
  <c r="O177" i="20"/>
  <c r="R163" i="20"/>
  <c r="O163" i="20"/>
  <c r="L164" i="20"/>
  <c r="L165" i="20"/>
  <c r="L166" i="20"/>
  <c r="L167" i="20"/>
  <c r="L168" i="20"/>
  <c r="L169" i="20"/>
  <c r="L170" i="20"/>
  <c r="L171" i="20"/>
  <c r="L172" i="20"/>
  <c r="L173" i="20"/>
  <c r="L174" i="20"/>
  <c r="L175" i="20"/>
  <c r="L176" i="20"/>
  <c r="L177" i="20"/>
  <c r="L163" i="20"/>
  <c r="I178" i="20"/>
  <c r="I164" i="20"/>
  <c r="I165" i="20"/>
  <c r="I166" i="20"/>
  <c r="I167" i="20"/>
  <c r="I168" i="20"/>
  <c r="I169" i="20"/>
  <c r="I170" i="20"/>
  <c r="I171" i="20"/>
  <c r="I172" i="20"/>
  <c r="I173" i="20"/>
  <c r="I174" i="20"/>
  <c r="I175" i="20"/>
  <c r="I176" i="20"/>
  <c r="I177" i="20"/>
  <c r="I163" i="20"/>
  <c r="C42" i="20"/>
  <c r="D41" i="20"/>
  <c r="E39" i="20"/>
  <c r="E38" i="20"/>
  <c r="E37" i="20"/>
  <c r="D36" i="20"/>
  <c r="D35" i="20"/>
  <c r="D34" i="20"/>
  <c r="D17" i="20"/>
  <c r="R77" i="20" l="1"/>
  <c r="R96" i="20"/>
  <c r="L96" i="20"/>
  <c r="L88" i="20"/>
  <c r="O96" i="20"/>
  <c r="O88" i="20"/>
  <c r="R88" i="20"/>
  <c r="O77" i="20"/>
  <c r="L77" i="20"/>
  <c r="Z10" i="20"/>
  <c r="G92" i="18"/>
  <c r="G93" i="18"/>
  <c r="G94" i="18"/>
  <c r="G95" i="18"/>
  <c r="G91" i="18"/>
  <c r="G72" i="18"/>
  <c r="G73" i="18"/>
  <c r="G74" i="18"/>
  <c r="G75" i="18"/>
  <c r="G76" i="18"/>
  <c r="G71" i="18"/>
  <c r="R42" i="14"/>
  <c r="Q42" i="14"/>
  <c r="P42" i="14"/>
  <c r="O42" i="14"/>
  <c r="M42" i="14"/>
  <c r="L42" i="14"/>
  <c r="K42" i="14"/>
  <c r="J42" i="14"/>
  <c r="I42" i="14"/>
  <c r="H42" i="14"/>
  <c r="G42" i="14"/>
  <c r="F42" i="14"/>
  <c r="D42" i="14"/>
  <c r="R32" i="14"/>
  <c r="Q32" i="14"/>
  <c r="P32" i="14"/>
  <c r="O32" i="14"/>
  <c r="D32" i="14"/>
  <c r="G85" i="18"/>
  <c r="G84" i="18"/>
  <c r="G83" i="18"/>
  <c r="G82" i="18"/>
  <c r="R19" i="14"/>
  <c r="Q19" i="14"/>
  <c r="P19" i="14"/>
  <c r="O19" i="14"/>
  <c r="M19" i="14"/>
  <c r="L19" i="14"/>
  <c r="K19" i="14"/>
  <c r="J19" i="14"/>
  <c r="I19" i="14"/>
  <c r="H19" i="14"/>
  <c r="G19" i="14"/>
  <c r="F19" i="14"/>
  <c r="D19" i="14"/>
  <c r="L98" i="20" l="1"/>
  <c r="R98" i="20"/>
  <c r="Q44" i="14"/>
  <c r="P44" i="14"/>
  <c r="O44" i="14"/>
  <c r="D44" i="14"/>
  <c r="R44" i="14"/>
  <c r="O98" i="20"/>
  <c r="G81" i="18"/>
  <c r="G80" i="18"/>
  <c r="G86" i="18"/>
  <c r="L44" i="14"/>
  <c r="J44" i="14"/>
  <c r="M44" i="14"/>
  <c r="I44" i="14"/>
  <c r="K44" i="14"/>
  <c r="H44" i="14"/>
  <c r="F44" i="14"/>
  <c r="G87" i="18"/>
  <c r="G44" i="14"/>
  <c r="E16" i="21"/>
  <c r="I162" i="18" s="1"/>
  <c r="S16" i="21"/>
  <c r="R16" i="21"/>
  <c r="Q16" i="21"/>
  <c r="P16" i="21"/>
  <c r="H16" i="21"/>
  <c r="K162" i="18" s="1"/>
  <c r="I16" i="21"/>
  <c r="M162" i="18" s="1"/>
  <c r="J16" i="21"/>
  <c r="N162" i="18" s="1"/>
  <c r="K16" i="21"/>
  <c r="P162" i="18" s="1"/>
  <c r="L16" i="21"/>
  <c r="Q162" i="18" s="1"/>
  <c r="M16" i="21"/>
  <c r="S162" i="18" s="1"/>
  <c r="N16" i="21"/>
  <c r="T162" i="18" s="1"/>
  <c r="G16" i="21"/>
  <c r="J162" i="18" s="1"/>
  <c r="S17" i="21"/>
  <c r="R17" i="21"/>
  <c r="Q17" i="21"/>
  <c r="P17" i="21"/>
  <c r="N17" i="21"/>
  <c r="M17" i="21"/>
  <c r="L17" i="21"/>
  <c r="K17" i="21"/>
  <c r="J17" i="21"/>
  <c r="I17" i="21"/>
  <c r="H17" i="21"/>
  <c r="E17" i="21"/>
  <c r="G17" i="21"/>
  <c r="T178" i="18"/>
  <c r="S178" i="18"/>
  <c r="Z178" i="20" s="1"/>
  <c r="Q178" i="18"/>
  <c r="P178" i="18"/>
  <c r="N178" i="18"/>
  <c r="M178" i="18"/>
  <c r="Z164" i="20"/>
  <c r="Z165" i="20"/>
  <c r="Z166" i="20"/>
  <c r="Z167" i="20"/>
  <c r="Z168" i="20"/>
  <c r="Z169" i="20"/>
  <c r="Z170" i="20"/>
  <c r="Z171" i="20"/>
  <c r="Z172" i="20"/>
  <c r="Z173" i="20"/>
  <c r="Z174" i="20"/>
  <c r="Z175" i="20"/>
  <c r="Z176" i="20"/>
  <c r="Z177" i="20"/>
  <c r="Z163" i="20"/>
  <c r="J178" i="18"/>
  <c r="K178" i="18"/>
  <c r="I178" i="18"/>
  <c r="I164" i="18"/>
  <c r="I165" i="18"/>
  <c r="I166" i="18"/>
  <c r="I167" i="18"/>
  <c r="I168" i="18"/>
  <c r="I169" i="18"/>
  <c r="I170" i="18"/>
  <c r="I171" i="18"/>
  <c r="I172" i="18"/>
  <c r="I173" i="18"/>
  <c r="I174" i="18"/>
  <c r="I175" i="18"/>
  <c r="I176" i="18"/>
  <c r="I177" i="18"/>
  <c r="I163" i="18"/>
  <c r="G93" i="20" l="1"/>
  <c r="G91" i="20"/>
  <c r="G92" i="20"/>
  <c r="G94" i="20"/>
  <c r="G95" i="20"/>
  <c r="G84" i="20"/>
  <c r="G81" i="20"/>
  <c r="G85" i="20"/>
  <c r="G80" i="20"/>
  <c r="G83" i="20"/>
  <c r="G87" i="20"/>
  <c r="G82" i="20"/>
  <c r="G86" i="20"/>
  <c r="G75" i="20"/>
  <c r="G72" i="20"/>
  <c r="G76" i="20"/>
  <c r="G74" i="20"/>
  <c r="G73" i="20"/>
  <c r="G71" i="20"/>
  <c r="G69" i="20"/>
  <c r="E91" i="15"/>
  <c r="E83" i="15"/>
  <c r="E63" i="15"/>
  <c r="E55" i="15"/>
  <c r="E101" i="15"/>
  <c r="E97" i="15"/>
  <c r="E93" i="15"/>
  <c r="E89" i="15"/>
  <c r="E85" i="15"/>
  <c r="E81" i="15"/>
  <c r="E77" i="15"/>
  <c r="E73" i="15"/>
  <c r="E69" i="15"/>
  <c r="E65" i="15"/>
  <c r="E61" i="15"/>
  <c r="E57" i="15"/>
  <c r="E53" i="15"/>
  <c r="E64" i="15"/>
  <c r="E60" i="15"/>
  <c r="E56" i="15"/>
  <c r="E95" i="15"/>
  <c r="E87" i="15"/>
  <c r="E59" i="15"/>
  <c r="E52" i="15"/>
  <c r="E98" i="15"/>
  <c r="E94" i="15"/>
  <c r="E90" i="15"/>
  <c r="E86" i="15"/>
  <c r="E82" i="15"/>
  <c r="E78" i="15"/>
  <c r="E74" i="15"/>
  <c r="E70" i="15"/>
  <c r="E66" i="15"/>
  <c r="E62" i="15"/>
  <c r="E58" i="15"/>
  <c r="E54" i="15"/>
  <c r="E99" i="15"/>
  <c r="E100" i="15"/>
  <c r="E96" i="15"/>
  <c r="E92" i="15"/>
  <c r="E88" i="15"/>
  <c r="E84" i="15"/>
  <c r="E68" i="15"/>
  <c r="E76" i="15"/>
  <c r="E79" i="15"/>
  <c r="E75" i="15"/>
  <c r="E67" i="15"/>
  <c r="E80" i="15"/>
  <c r="E72" i="15"/>
  <c r="E71" i="15"/>
  <c r="R162" i="18"/>
  <c r="O162" i="18"/>
  <c r="U162" i="18"/>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A24" i="2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L162" i="18"/>
  <c r="R179" i="20"/>
  <c r="O179" i="20"/>
  <c r="L179" i="20"/>
  <c r="L9" i="20" s="1"/>
  <c r="I179" i="20"/>
  <c r="U178" i="20"/>
  <c r="U177" i="20"/>
  <c r="U176" i="20"/>
  <c r="AA176" i="20" s="1"/>
  <c r="U175" i="20"/>
  <c r="AA175" i="20" s="1"/>
  <c r="U174" i="20"/>
  <c r="U173" i="20"/>
  <c r="AA173" i="20" s="1"/>
  <c r="U172" i="20"/>
  <c r="AA172" i="20" s="1"/>
  <c r="U171" i="20"/>
  <c r="AA171" i="20" s="1"/>
  <c r="U170" i="20"/>
  <c r="U169" i="20"/>
  <c r="U168" i="20"/>
  <c r="AA168" i="20" s="1"/>
  <c r="U167" i="20"/>
  <c r="AA167" i="20" s="1"/>
  <c r="Z179" i="20"/>
  <c r="U166" i="20"/>
  <c r="U165" i="20"/>
  <c r="AA165" i="20" s="1"/>
  <c r="U164" i="20"/>
  <c r="AA164" i="20" s="1"/>
  <c r="U163" i="20"/>
  <c r="R151" i="20"/>
  <c r="O151" i="20"/>
  <c r="L151" i="20"/>
  <c r="I151" i="20"/>
  <c r="R141" i="20"/>
  <c r="O141" i="20"/>
  <c r="L141" i="20"/>
  <c r="I141" i="20"/>
  <c r="R118" i="20"/>
  <c r="O118" i="20"/>
  <c r="L118" i="20"/>
  <c r="I118" i="20"/>
  <c r="R104" i="20"/>
  <c r="O104" i="20"/>
  <c r="L104" i="20"/>
  <c r="I104" i="20"/>
  <c r="I96" i="20"/>
  <c r="I88" i="20"/>
  <c r="I77" i="20"/>
  <c r="R64" i="20"/>
  <c r="O64" i="20"/>
  <c r="L64" i="20"/>
  <c r="I64" i="20"/>
  <c r="R53" i="20"/>
  <c r="O53" i="20"/>
  <c r="L53" i="20"/>
  <c r="I53" i="20"/>
  <c r="V10" i="20"/>
  <c r="U10" i="20"/>
  <c r="A2" i="20"/>
  <c r="A3" i="20" s="1"/>
  <c r="A4" i="20" s="1"/>
  <c r="A5" i="20" s="1"/>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 r="A137" i="20" s="1"/>
  <c r="A138" i="20" s="1"/>
  <c r="A139" i="20" s="1"/>
  <c r="A140" i="20" s="1"/>
  <c r="A141" i="20" s="1"/>
  <c r="A142" i="20" s="1"/>
  <c r="A143" i="20" s="1"/>
  <c r="A144" i="20" s="1"/>
  <c r="A145" i="20" s="1"/>
  <c r="A146" i="20" s="1"/>
  <c r="A147" i="20" s="1"/>
  <c r="A148" i="20" s="1"/>
  <c r="A149" i="20" s="1"/>
  <c r="A150" i="20" s="1"/>
  <c r="A151" i="20" s="1"/>
  <c r="A152" i="20" s="1"/>
  <c r="A153" i="20" s="1"/>
  <c r="A154" i="20" s="1"/>
  <c r="A155" i="20" s="1"/>
  <c r="A156" i="20" s="1"/>
  <c r="A157" i="20" s="1"/>
  <c r="A158" i="20" s="1"/>
  <c r="A159" i="20" s="1"/>
  <c r="A160" i="20" s="1"/>
  <c r="A161" i="20" s="1"/>
  <c r="A162" i="20" s="1"/>
  <c r="A163" i="20" s="1"/>
  <c r="A164" i="20" s="1"/>
  <c r="A165" i="20" s="1"/>
  <c r="A166" i="20" s="1"/>
  <c r="A167" i="20" s="1"/>
  <c r="A168" i="20" s="1"/>
  <c r="A169" i="20" s="1"/>
  <c r="A170" i="20" s="1"/>
  <c r="A171" i="20" s="1"/>
  <c r="A172" i="20" s="1"/>
  <c r="A173" i="20" s="1"/>
  <c r="A174" i="20" s="1"/>
  <c r="A175" i="20" s="1"/>
  <c r="A176" i="20" s="1"/>
  <c r="A177" i="20" s="1"/>
  <c r="A178" i="20" s="1"/>
  <c r="A179" i="20" s="1"/>
  <c r="A180" i="20" s="1"/>
  <c r="A181" i="20" s="1"/>
  <c r="A182" i="20" s="1"/>
  <c r="A183" i="20" s="1"/>
  <c r="I106" i="15"/>
  <c r="I105" i="15"/>
  <c r="I104" i="15"/>
  <c r="I103" i="15"/>
  <c r="T179" i="18"/>
  <c r="S179" i="18"/>
  <c r="S9" i="18" s="1"/>
  <c r="Q179" i="18"/>
  <c r="P179" i="18"/>
  <c r="N179" i="18"/>
  <c r="M179" i="18"/>
  <c r="K179" i="18"/>
  <c r="J179" i="18"/>
  <c r="I179" i="18"/>
  <c r="U178" i="18"/>
  <c r="R178" i="18"/>
  <c r="O178" i="18"/>
  <c r="L178" i="18"/>
  <c r="G178" i="18"/>
  <c r="U177" i="18"/>
  <c r="R177" i="18"/>
  <c r="O177" i="18"/>
  <c r="L177" i="18"/>
  <c r="G177" i="18"/>
  <c r="U176" i="18"/>
  <c r="R176" i="18"/>
  <c r="O176" i="18"/>
  <c r="L176" i="18"/>
  <c r="G176" i="18"/>
  <c r="U175" i="18"/>
  <c r="R175" i="18"/>
  <c r="O175" i="18"/>
  <c r="L175" i="18"/>
  <c r="G175" i="18"/>
  <c r="U174" i="18"/>
  <c r="R174" i="18"/>
  <c r="O174" i="18"/>
  <c r="L174" i="18"/>
  <c r="G174" i="18"/>
  <c r="U173" i="18"/>
  <c r="R173" i="18"/>
  <c r="O173" i="18"/>
  <c r="L173" i="18"/>
  <c r="G173" i="18"/>
  <c r="U172" i="18"/>
  <c r="R172" i="18"/>
  <c r="O172" i="18"/>
  <c r="L172" i="18"/>
  <c r="G172" i="18"/>
  <c r="U171" i="18"/>
  <c r="R171" i="18"/>
  <c r="O171" i="18"/>
  <c r="L171" i="18"/>
  <c r="G171" i="18"/>
  <c r="U170" i="18"/>
  <c r="R170" i="18"/>
  <c r="O170" i="18"/>
  <c r="L170" i="18"/>
  <c r="G170" i="18"/>
  <c r="U169" i="18"/>
  <c r="R169" i="18"/>
  <c r="O169" i="18"/>
  <c r="L169" i="18"/>
  <c r="G169" i="18"/>
  <c r="U168" i="18"/>
  <c r="R168" i="18"/>
  <c r="O168" i="18"/>
  <c r="L168" i="18"/>
  <c r="G168" i="18"/>
  <c r="U167" i="18"/>
  <c r="R167" i="18"/>
  <c r="O167" i="18"/>
  <c r="L167" i="18"/>
  <c r="G167" i="18"/>
  <c r="U166" i="18"/>
  <c r="R166" i="18"/>
  <c r="O166" i="18"/>
  <c r="L166" i="18"/>
  <c r="G166" i="18"/>
  <c r="U165" i="18"/>
  <c r="R165" i="18"/>
  <c r="O165" i="18"/>
  <c r="L165" i="18"/>
  <c r="G165" i="18"/>
  <c r="U164" i="18"/>
  <c r="R164" i="18"/>
  <c r="O164" i="18"/>
  <c r="L164" i="18"/>
  <c r="G164" i="18"/>
  <c r="U163" i="18"/>
  <c r="R163" i="18"/>
  <c r="O163" i="18"/>
  <c r="L163" i="18"/>
  <c r="G163" i="18"/>
  <c r="V154" i="18"/>
  <c r="V153" i="18"/>
  <c r="AB153" i="20" s="1"/>
  <c r="T151" i="18"/>
  <c r="S151" i="18"/>
  <c r="Q151" i="18"/>
  <c r="P151" i="18"/>
  <c r="N151" i="18"/>
  <c r="M151" i="18"/>
  <c r="K151" i="18"/>
  <c r="J151" i="18"/>
  <c r="I151" i="18"/>
  <c r="V150" i="18"/>
  <c r="V149" i="18"/>
  <c r="AB149" i="20" s="1"/>
  <c r="V148" i="18"/>
  <c r="V147" i="18"/>
  <c r="AB147" i="20" s="1"/>
  <c r="V146" i="18"/>
  <c r="V145" i="18"/>
  <c r="AB145" i="20" s="1"/>
  <c r="V144" i="18"/>
  <c r="AB144" i="20" s="1"/>
  <c r="T141" i="18"/>
  <c r="S141" i="18"/>
  <c r="Q141" i="18"/>
  <c r="P141" i="18"/>
  <c r="N141" i="18"/>
  <c r="M141" i="18"/>
  <c r="K141" i="18"/>
  <c r="J141" i="18"/>
  <c r="I141" i="18"/>
  <c r="V140" i="18"/>
  <c r="V139" i="18"/>
  <c r="AB139" i="20" s="1"/>
  <c r="V138" i="18"/>
  <c r="V137" i="18"/>
  <c r="AB137" i="20" s="1"/>
  <c r="V136" i="18"/>
  <c r="V135" i="18"/>
  <c r="V134" i="18"/>
  <c r="V133" i="18"/>
  <c r="AB133" i="20" s="1"/>
  <c r="V132" i="18"/>
  <c r="V131" i="18"/>
  <c r="V130" i="18"/>
  <c r="V129" i="18"/>
  <c r="AB129" i="20" s="1"/>
  <c r="V128" i="18"/>
  <c r="V127" i="18"/>
  <c r="V126" i="18"/>
  <c r="V125" i="18"/>
  <c r="AB125" i="20" s="1"/>
  <c r="V124" i="18"/>
  <c r="V123" i="18"/>
  <c r="AB123" i="20" s="1"/>
  <c r="V122" i="18"/>
  <c r="AB122" i="20" s="1"/>
  <c r="V121" i="18"/>
  <c r="AB121" i="20" s="1"/>
  <c r="T118" i="18"/>
  <c r="Q118" i="18"/>
  <c r="N118" i="18"/>
  <c r="K118" i="18"/>
  <c r="I118" i="18"/>
  <c r="V117" i="18"/>
  <c r="V116" i="18"/>
  <c r="AB116" i="20" s="1"/>
  <c r="V115" i="18"/>
  <c r="V114" i="18"/>
  <c r="AB114" i="20" s="1"/>
  <c r="V113" i="18"/>
  <c r="V112" i="18"/>
  <c r="AB112" i="20" s="1"/>
  <c r="V110" i="18"/>
  <c r="AB110" i="20" s="1"/>
  <c r="V109" i="18"/>
  <c r="AB109" i="20" s="1"/>
  <c r="T104" i="18"/>
  <c r="Q104" i="18"/>
  <c r="N104" i="18"/>
  <c r="K104" i="18"/>
  <c r="I104" i="18"/>
  <c r="V103" i="18"/>
  <c r="V102" i="18"/>
  <c r="AB102" i="20" s="1"/>
  <c r="T96" i="18"/>
  <c r="S96" i="18"/>
  <c r="Q96" i="18"/>
  <c r="P96" i="18"/>
  <c r="N96" i="18"/>
  <c r="M96" i="18"/>
  <c r="K96" i="18"/>
  <c r="J96" i="18"/>
  <c r="I96" i="18"/>
  <c r="G96" i="18"/>
  <c r="V95" i="18"/>
  <c r="AB95" i="20" s="1"/>
  <c r="V94" i="18"/>
  <c r="V93" i="18"/>
  <c r="V92" i="18"/>
  <c r="V91" i="18"/>
  <c r="AB91" i="20" s="1"/>
  <c r="T88" i="18"/>
  <c r="S88" i="18"/>
  <c r="Q88" i="18"/>
  <c r="P88" i="18"/>
  <c r="N88" i="18"/>
  <c r="M88" i="18"/>
  <c r="K88" i="18"/>
  <c r="J88" i="18"/>
  <c r="I88" i="18"/>
  <c r="G88" i="18"/>
  <c r="V87" i="18"/>
  <c r="V86" i="18"/>
  <c r="V85" i="18"/>
  <c r="V84" i="18"/>
  <c r="V83" i="18"/>
  <c r="V82" i="18"/>
  <c r="V81" i="18"/>
  <c r="V80" i="18"/>
  <c r="T77" i="18"/>
  <c r="S77" i="18"/>
  <c r="Q77" i="18"/>
  <c r="P77" i="18"/>
  <c r="N77" i="18"/>
  <c r="M77" i="18"/>
  <c r="K77" i="18"/>
  <c r="J77" i="18"/>
  <c r="I77" i="18"/>
  <c r="G77" i="18"/>
  <c r="V76" i="18"/>
  <c r="V75" i="18"/>
  <c r="V74" i="18"/>
  <c r="V73" i="18"/>
  <c r="V72" i="18"/>
  <c r="V71" i="18"/>
  <c r="T64" i="18"/>
  <c r="S64" i="18"/>
  <c r="Q64" i="18"/>
  <c r="P64" i="18"/>
  <c r="N64" i="18"/>
  <c r="M64" i="18"/>
  <c r="K64" i="18"/>
  <c r="J64" i="18"/>
  <c r="I64" i="18"/>
  <c r="V63" i="18"/>
  <c r="AB63" i="20" s="1"/>
  <c r="V62" i="18"/>
  <c r="V61" i="18"/>
  <c r="AB61" i="20" s="1"/>
  <c r="V60" i="18"/>
  <c r="V59" i="18"/>
  <c r="AB59" i="20" s="1"/>
  <c r="V58" i="18"/>
  <c r="V57" i="18"/>
  <c r="AB57" i="20" s="1"/>
  <c r="V56" i="18"/>
  <c r="T53" i="18"/>
  <c r="S53" i="18"/>
  <c r="Q53" i="18"/>
  <c r="P53" i="18"/>
  <c r="N53" i="18"/>
  <c r="M53" i="18"/>
  <c r="K53" i="18"/>
  <c r="J53" i="18"/>
  <c r="I53" i="18"/>
  <c r="V52" i="18"/>
  <c r="V51" i="18"/>
  <c r="V50" i="18"/>
  <c r="V48" i="18"/>
  <c r="AB48" i="20" s="1"/>
  <c r="V47" i="18"/>
  <c r="V46" i="18"/>
  <c r="AB46" i="20" s="1"/>
  <c r="V45" i="18"/>
  <c r="AB45" i="20" s="1"/>
  <c r="V41" i="18"/>
  <c r="V39" i="18"/>
  <c r="V38" i="18"/>
  <c r="V37" i="18"/>
  <c r="AB37" i="20" s="1"/>
  <c r="V35" i="18"/>
  <c r="U10" i="18"/>
  <c r="R10" i="18"/>
  <c r="O10" i="18"/>
  <c r="L10" i="18"/>
  <c r="A2" i="18"/>
  <c r="A3" i="18" s="1"/>
  <c r="A4" i="18" s="1"/>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A117" i="18" s="1"/>
  <c r="A118" i="18" s="1"/>
  <c r="A119" i="18" s="1"/>
  <c r="A120" i="18" s="1"/>
  <c r="A121" i="18" s="1"/>
  <c r="A122" i="18" s="1"/>
  <c r="A123" i="18" s="1"/>
  <c r="A124" i="18" s="1"/>
  <c r="A125" i="18" s="1"/>
  <c r="A126" i="18" s="1"/>
  <c r="A127" i="18" s="1"/>
  <c r="A128" i="18" s="1"/>
  <c r="A129" i="18" s="1"/>
  <c r="A130" i="18" s="1"/>
  <c r="A131" i="18" s="1"/>
  <c r="A132" i="18" s="1"/>
  <c r="A133" i="18" s="1"/>
  <c r="A134" i="18" s="1"/>
  <c r="A135" i="18" s="1"/>
  <c r="A136" i="18" s="1"/>
  <c r="A137" i="18" s="1"/>
  <c r="A138" i="18" s="1"/>
  <c r="A139" i="18" s="1"/>
  <c r="A140" i="18" s="1"/>
  <c r="A141" i="18" s="1"/>
  <c r="A142" i="18" s="1"/>
  <c r="A143" i="18" s="1"/>
  <c r="A144" i="18" s="1"/>
  <c r="A145" i="18" s="1"/>
  <c r="A146" i="18" s="1"/>
  <c r="A147" i="18" s="1"/>
  <c r="A148" i="18" s="1"/>
  <c r="A149" i="18" s="1"/>
  <c r="A150" i="18" s="1"/>
  <c r="A151" i="18" s="1"/>
  <c r="A152" i="18" s="1"/>
  <c r="A153" i="18" s="1"/>
  <c r="A154" i="18" s="1"/>
  <c r="A155" i="18" s="1"/>
  <c r="A156" i="18" s="1"/>
  <c r="A157" i="18" s="1"/>
  <c r="A158" i="18" s="1"/>
  <c r="A159" i="18" s="1"/>
  <c r="A160" i="18" s="1"/>
  <c r="A161" i="18" s="1"/>
  <c r="A162" i="18" s="1"/>
  <c r="A163" i="18" s="1"/>
  <c r="A164" i="18" s="1"/>
  <c r="A165" i="18" s="1"/>
  <c r="A166" i="18" s="1"/>
  <c r="A167" i="18" s="1"/>
  <c r="A168" i="18" s="1"/>
  <c r="A169" i="18" s="1"/>
  <c r="A170" i="18" s="1"/>
  <c r="A171" i="18" s="1"/>
  <c r="A172" i="18" s="1"/>
  <c r="A173" i="18" s="1"/>
  <c r="A174" i="18" s="1"/>
  <c r="A175" i="18" s="1"/>
  <c r="A176" i="18" s="1"/>
  <c r="A177" i="18" s="1"/>
  <c r="A178" i="18" s="1"/>
  <c r="A179" i="18" s="1"/>
  <c r="A180" i="18" s="1"/>
  <c r="A181" i="18" s="1"/>
  <c r="A182" i="18" s="1"/>
  <c r="A183" i="18" s="1"/>
  <c r="A184" i="18" s="1"/>
  <c r="A185" i="18" s="1"/>
  <c r="A186" i="18" s="1"/>
  <c r="A187" i="18" s="1"/>
  <c r="A188" i="18" s="1"/>
  <c r="A189" i="18" s="1"/>
  <c r="A190" i="18" s="1"/>
  <c r="A191" i="18" s="1"/>
  <c r="A192" i="18" s="1"/>
  <c r="A193" i="18" s="1"/>
  <c r="A194" i="18" s="1"/>
  <c r="A195" i="18" s="1"/>
  <c r="A196" i="18" s="1"/>
  <c r="A197" i="18" s="1"/>
  <c r="A198" i="18" s="1"/>
  <c r="A199" i="18" s="1"/>
  <c r="A200" i="18" s="1"/>
  <c r="A201" i="18" s="1"/>
  <c r="A202" i="18" s="1"/>
  <c r="A203" i="18" s="1"/>
  <c r="A204" i="18" s="1"/>
  <c r="A205" i="18" s="1"/>
  <c r="J1" i="18"/>
  <c r="K1" i="18" s="1"/>
  <c r="L1" i="18" s="1"/>
  <c r="M1" i="18" s="1"/>
  <c r="N1" i="18" s="1"/>
  <c r="O1" i="18" s="1"/>
  <c r="P1" i="18" s="1"/>
  <c r="Q1" i="18" s="1"/>
  <c r="R1" i="18" s="1"/>
  <c r="S1" i="18" s="1"/>
  <c r="T1" i="18" s="1"/>
  <c r="U1" i="18" s="1"/>
  <c r="V1" i="18" s="1"/>
  <c r="W1" i="18" s="1"/>
  <c r="X1" i="18" s="1"/>
  <c r="Y1" i="18" s="1"/>
  <c r="Z1" i="18" s="1"/>
  <c r="AA1" i="18" s="1"/>
  <c r="J42" i="17"/>
  <c r="I42" i="17"/>
  <c r="H42" i="17"/>
  <c r="G42" i="17"/>
  <c r="E42" i="17"/>
  <c r="J33" i="17"/>
  <c r="J37" i="17" s="1"/>
  <c r="I33" i="17"/>
  <c r="I37" i="17" s="1"/>
  <c r="H33" i="17"/>
  <c r="H37" i="17" s="1"/>
  <c r="G33" i="17"/>
  <c r="G37" i="17" s="1"/>
  <c r="E33" i="17"/>
  <c r="J16" i="17"/>
  <c r="J22" i="17" s="1"/>
  <c r="I16" i="17"/>
  <c r="I22" i="17" s="1"/>
  <c r="H16" i="17"/>
  <c r="H22" i="17" s="1"/>
  <c r="G16" i="17"/>
  <c r="G22" i="17" s="1"/>
  <c r="E16" i="17"/>
  <c r="C110" i="15" l="1"/>
  <c r="C788" i="15"/>
  <c r="C789" i="15"/>
  <c r="E37" i="17"/>
  <c r="E44" i="17" s="1"/>
  <c r="E22" i="17"/>
  <c r="U9" i="18"/>
  <c r="H44" i="17"/>
  <c r="H46" i="17" s="1"/>
  <c r="Y37" i="18"/>
  <c r="G44" i="17"/>
  <c r="G46" i="17" s="1"/>
  <c r="Y56" i="18"/>
  <c r="AB56" i="20"/>
  <c r="Y35" i="18"/>
  <c r="AB35" i="20"/>
  <c r="Y47" i="18"/>
  <c r="AB47" i="20"/>
  <c r="Y62" i="18"/>
  <c r="AB62" i="20"/>
  <c r="Y60" i="18"/>
  <c r="AB60" i="20"/>
  <c r="Y38" i="18"/>
  <c r="AB38" i="20"/>
  <c r="I44" i="17"/>
  <c r="I46" i="17" s="1"/>
  <c r="Y39" i="18"/>
  <c r="AB39" i="20"/>
  <c r="Y52" i="18"/>
  <c r="AB52" i="20"/>
  <c r="Y58" i="18"/>
  <c r="AB58" i="20"/>
  <c r="J44" i="17"/>
  <c r="J46" i="17" s="1"/>
  <c r="Y50" i="18"/>
  <c r="AB50" i="20"/>
  <c r="Y154" i="18"/>
  <c r="AB154" i="20"/>
  <c r="Y146" i="18"/>
  <c r="AB146" i="20"/>
  <c r="Y150" i="18"/>
  <c r="AB150" i="20"/>
  <c r="Y148" i="18"/>
  <c r="AB148" i="20"/>
  <c r="Y121" i="18"/>
  <c r="Y137" i="18"/>
  <c r="Y129" i="18"/>
  <c r="Y128" i="18"/>
  <c r="AB128" i="20"/>
  <c r="Y131" i="18"/>
  <c r="AB131" i="20"/>
  <c r="Y134" i="18"/>
  <c r="AB134" i="20"/>
  <c r="Y124" i="18"/>
  <c r="AB124" i="20"/>
  <c r="Y127" i="18"/>
  <c r="AB127" i="20"/>
  <c r="Y130" i="18"/>
  <c r="AB130" i="20"/>
  <c r="Y140" i="18"/>
  <c r="AB140" i="20"/>
  <c r="Y133" i="18"/>
  <c r="Y126" i="18"/>
  <c r="AB126" i="20"/>
  <c r="Y136" i="18"/>
  <c r="AB136" i="20"/>
  <c r="Y132" i="18"/>
  <c r="AB132" i="20"/>
  <c r="Y135" i="18"/>
  <c r="AB135" i="20"/>
  <c r="Y138" i="18"/>
  <c r="AB138" i="20"/>
  <c r="Y125" i="18"/>
  <c r="Y115" i="18"/>
  <c r="AB115" i="20"/>
  <c r="Y113" i="18"/>
  <c r="AB113" i="20"/>
  <c r="Y117" i="18"/>
  <c r="AB117" i="20"/>
  <c r="Y103" i="18"/>
  <c r="AB103" i="20"/>
  <c r="Y51" i="18"/>
  <c r="AB51" i="20"/>
  <c r="Y41" i="18"/>
  <c r="AB41" i="20"/>
  <c r="E32" i="20"/>
  <c r="E177" i="20" s="1"/>
  <c r="E28" i="20"/>
  <c r="E173" i="20" s="1"/>
  <c r="E24" i="20"/>
  <c r="E169" i="20" s="1"/>
  <c r="E20" i="20"/>
  <c r="E165" i="20" s="1"/>
  <c r="E31" i="20"/>
  <c r="E176" i="20" s="1"/>
  <c r="E27" i="20"/>
  <c r="E172" i="20" s="1"/>
  <c r="E23" i="20"/>
  <c r="E168" i="20" s="1"/>
  <c r="E29" i="20"/>
  <c r="E174" i="20" s="1"/>
  <c r="E25" i="20"/>
  <c r="E170" i="20" s="1"/>
  <c r="E21" i="20"/>
  <c r="E166" i="20" s="1"/>
  <c r="E30" i="20"/>
  <c r="E175" i="20" s="1"/>
  <c r="E26" i="20"/>
  <c r="E171" i="20" s="1"/>
  <c r="E22" i="20"/>
  <c r="E167" i="20" s="1"/>
  <c r="G96" i="20"/>
  <c r="G77" i="20"/>
  <c r="G88" i="20"/>
  <c r="I98" i="20"/>
  <c r="I106" i="20" s="1"/>
  <c r="I157" i="20" s="1"/>
  <c r="I7" i="20" s="1"/>
  <c r="R106" i="20"/>
  <c r="R157" i="20" s="1"/>
  <c r="R7" i="20" s="1"/>
  <c r="E19" i="18"/>
  <c r="E164" i="18" s="1"/>
  <c r="E19" i="20"/>
  <c r="E164" i="20" s="1"/>
  <c r="O106" i="20"/>
  <c r="O157" i="20" s="1"/>
  <c r="O7" i="20" s="1"/>
  <c r="E18" i="18"/>
  <c r="E163" i="18" s="1"/>
  <c r="E18" i="20"/>
  <c r="E163" i="20" s="1"/>
  <c r="L106" i="20"/>
  <c r="L157" i="20" s="1"/>
  <c r="L7" i="20" s="1"/>
  <c r="Y74" i="18"/>
  <c r="AB74" i="20"/>
  <c r="Y87" i="18"/>
  <c r="AB87" i="20"/>
  <c r="Y73" i="18"/>
  <c r="AB73" i="20"/>
  <c r="Y86" i="18"/>
  <c r="AB86" i="20"/>
  <c r="Y72" i="18"/>
  <c r="AB72" i="20"/>
  <c r="Y76" i="18"/>
  <c r="AB76" i="20"/>
  <c r="Y81" i="18"/>
  <c r="AB81" i="20"/>
  <c r="Y85" i="18"/>
  <c r="AB85" i="20"/>
  <c r="Y94" i="18"/>
  <c r="AB94" i="20"/>
  <c r="Y83" i="18"/>
  <c r="AB83" i="20"/>
  <c r="Y92" i="18"/>
  <c r="AB92" i="20"/>
  <c r="Y82" i="18"/>
  <c r="AB82" i="20"/>
  <c r="Y71" i="18"/>
  <c r="AB71" i="20"/>
  <c r="Y75" i="18"/>
  <c r="AB75" i="20"/>
  <c r="Y80" i="18"/>
  <c r="AB80" i="20"/>
  <c r="Y84" i="18"/>
  <c r="AB84" i="20"/>
  <c r="Y93" i="18"/>
  <c r="AB93" i="20"/>
  <c r="O9" i="20"/>
  <c r="R9" i="20"/>
  <c r="I9" i="20"/>
  <c r="AD178" i="20"/>
  <c r="AE178" i="20" s="1"/>
  <c r="AD176" i="20"/>
  <c r="AE176" i="20" s="1"/>
  <c r="AD174" i="20"/>
  <c r="AE174" i="20" s="1"/>
  <c r="AD172" i="20"/>
  <c r="AE172" i="20" s="1"/>
  <c r="AD170" i="20"/>
  <c r="AE170" i="20" s="1"/>
  <c r="AD168" i="20"/>
  <c r="AE168" i="20" s="1"/>
  <c r="AD166" i="20"/>
  <c r="AE166" i="20" s="1"/>
  <c r="AD164" i="20"/>
  <c r="AE164" i="20" s="1"/>
  <c r="AD177" i="20"/>
  <c r="AE177" i="20" s="1"/>
  <c r="AD175" i="20"/>
  <c r="AE175" i="20" s="1"/>
  <c r="AD173" i="20"/>
  <c r="AE173" i="20" s="1"/>
  <c r="AD171" i="20"/>
  <c r="AE171" i="20" s="1"/>
  <c r="AD169" i="20"/>
  <c r="AE169" i="20" s="1"/>
  <c r="AD167" i="20"/>
  <c r="AE167" i="20" s="1"/>
  <c r="AD165" i="20"/>
  <c r="AD163" i="20"/>
  <c r="AE163" i="20" s="1"/>
  <c r="W10" i="20"/>
  <c r="V96" i="18"/>
  <c r="T98" i="18"/>
  <c r="T106" i="18" s="1"/>
  <c r="S98" i="18"/>
  <c r="K98" i="18"/>
  <c r="K106" i="18" s="1"/>
  <c r="P98" i="18"/>
  <c r="G98" i="18"/>
  <c r="G106" i="18" s="1"/>
  <c r="C104" i="15"/>
  <c r="E33" i="20" s="1"/>
  <c r="E178" i="20" s="1"/>
  <c r="I9" i="18"/>
  <c r="Q9" i="18"/>
  <c r="N9" i="18"/>
  <c r="Z9" i="20"/>
  <c r="AA10" i="20"/>
  <c r="AA169" i="20"/>
  <c r="AA177" i="20"/>
  <c r="AA166" i="20"/>
  <c r="AA170" i="20"/>
  <c r="AA174" i="20"/>
  <c r="AA178" i="20"/>
  <c r="U179" i="20"/>
  <c r="AA163" i="20"/>
  <c r="E32" i="18"/>
  <c r="E177" i="18" s="1"/>
  <c r="E31" i="18"/>
  <c r="E176" i="18" s="1"/>
  <c r="E30" i="18"/>
  <c r="E175" i="18" s="1"/>
  <c r="E29" i="18"/>
  <c r="E174" i="18" s="1"/>
  <c r="E28" i="18"/>
  <c r="E173" i="18" s="1"/>
  <c r="E27" i="18"/>
  <c r="E172" i="18" s="1"/>
  <c r="E26" i="18"/>
  <c r="E171" i="18" s="1"/>
  <c r="E25" i="18"/>
  <c r="E170" i="18" s="1"/>
  <c r="E24" i="18"/>
  <c r="E169" i="18" s="1"/>
  <c r="E23" i="18"/>
  <c r="E168" i="18" s="1"/>
  <c r="E22" i="18"/>
  <c r="E167" i="18" s="1"/>
  <c r="E21" i="18"/>
  <c r="E166" i="18" s="1"/>
  <c r="E20" i="18"/>
  <c r="E165" i="18" s="1"/>
  <c r="C105" i="15"/>
  <c r="I107" i="15"/>
  <c r="T9" i="18"/>
  <c r="K9" i="18"/>
  <c r="P9" i="18"/>
  <c r="R9" i="18" s="1"/>
  <c r="Y91" i="18"/>
  <c r="Y95" i="18"/>
  <c r="Y123" i="18"/>
  <c r="Y139" i="18"/>
  <c r="J98" i="18"/>
  <c r="V141" i="18"/>
  <c r="U179" i="18"/>
  <c r="R179" i="18"/>
  <c r="M9" i="18"/>
  <c r="O9" i="18" s="1"/>
  <c r="V53" i="18"/>
  <c r="N98" i="18"/>
  <c r="N106" i="18" s="1"/>
  <c r="Y110" i="18"/>
  <c r="Y114" i="18"/>
  <c r="Y46" i="18"/>
  <c r="Y63" i="18"/>
  <c r="Y147" i="18"/>
  <c r="Y48" i="18"/>
  <c r="V64" i="18"/>
  <c r="Y57" i="18"/>
  <c r="Y61" i="18"/>
  <c r="Y145" i="18"/>
  <c r="Y149" i="18"/>
  <c r="L179" i="18"/>
  <c r="M98" i="18"/>
  <c r="Q98" i="18"/>
  <c r="Q106" i="18" s="1"/>
  <c r="Y59" i="18"/>
  <c r="Y102" i="18"/>
  <c r="Y112" i="18"/>
  <c r="Y116" i="18"/>
  <c r="Y153" i="18"/>
  <c r="J9" i="18"/>
  <c r="L9" i="18" s="1"/>
  <c r="I66" i="18"/>
  <c r="I98" i="18"/>
  <c r="I106" i="18" s="1"/>
  <c r="V151" i="18"/>
  <c r="O179" i="18"/>
  <c r="Y45" i="18"/>
  <c r="V88" i="18"/>
  <c r="Y109" i="18"/>
  <c r="Y144" i="18"/>
  <c r="V77" i="18"/>
  <c r="Y122" i="18"/>
  <c r="I181" i="18" l="1"/>
  <c r="I6" i="18"/>
  <c r="K157" i="18"/>
  <c r="K183" i="18" s="1"/>
  <c r="I157" i="18"/>
  <c r="I7" i="18" s="1"/>
  <c r="Q157" i="18"/>
  <c r="Q183" i="18" s="1"/>
  <c r="T157" i="18"/>
  <c r="T183" i="18" s="1"/>
  <c r="N157" i="18"/>
  <c r="N183" i="18" s="1"/>
  <c r="E46" i="17"/>
  <c r="M104" i="18"/>
  <c r="M106" i="18" s="1"/>
  <c r="S104" i="18"/>
  <c r="S106" i="18" s="1"/>
  <c r="AB64" i="20"/>
  <c r="P104" i="18"/>
  <c r="P106" i="18" s="1"/>
  <c r="AB53" i="20"/>
  <c r="AB151" i="20"/>
  <c r="AB141" i="20"/>
  <c r="G98" i="20"/>
  <c r="G106" i="20" s="1"/>
  <c r="Y88" i="18"/>
  <c r="Y77" i="18"/>
  <c r="R183" i="20"/>
  <c r="O183" i="20"/>
  <c r="L183" i="20"/>
  <c r="I183" i="20"/>
  <c r="AB77" i="20"/>
  <c r="AB88" i="20"/>
  <c r="AB96" i="20"/>
  <c r="AD179" i="20"/>
  <c r="AD9" i="20" s="1"/>
  <c r="AD10" i="20" s="1"/>
  <c r="AA179" i="20"/>
  <c r="I183" i="18"/>
  <c r="V98" i="18"/>
  <c r="U9" i="20"/>
  <c r="AA9" i="20" s="1"/>
  <c r="AE165" i="20"/>
  <c r="AE179" i="20" s="1"/>
  <c r="Y151" i="18"/>
  <c r="Y96" i="18"/>
  <c r="Y141" i="18"/>
  <c r="Y64" i="18"/>
  <c r="Y53" i="18"/>
  <c r="I159" i="18" l="1"/>
  <c r="I201" i="18" s="1"/>
  <c r="I205" i="18" s="1"/>
  <c r="J203" i="18" s="1"/>
  <c r="I8" i="18"/>
  <c r="J104" i="18"/>
  <c r="J106" i="18" s="1"/>
  <c r="V101" i="18"/>
  <c r="Y98" i="18"/>
  <c r="AB98" i="20"/>
  <c r="E178" i="18"/>
  <c r="V203" i="18" l="1"/>
  <c r="Y203" i="18" s="1"/>
  <c r="K203" i="18"/>
  <c r="AB101" i="20"/>
  <c r="AB104" i="20" s="1"/>
  <c r="AB106" i="20" s="1"/>
  <c r="V104" i="18"/>
  <c r="V106" i="18" s="1"/>
  <c r="Y101" i="18"/>
  <c r="Y104" i="18" s="1"/>
  <c r="Y106" i="18" s="1"/>
  <c r="I35" i="15"/>
  <c r="G16" i="18" l="1"/>
  <c r="G16" i="20"/>
  <c r="C435" i="15"/>
  <c r="C643" i="15"/>
  <c r="C259" i="15"/>
  <c r="C659" i="15"/>
  <c r="C403" i="15"/>
  <c r="C147" i="15"/>
  <c r="C371" i="15"/>
  <c r="C579" i="15"/>
  <c r="C739" i="15"/>
  <c r="C483" i="15"/>
  <c r="C227" i="15"/>
  <c r="C727" i="15"/>
  <c r="C599" i="15"/>
  <c r="C471" i="15"/>
  <c r="C343" i="15"/>
  <c r="C231" i="15"/>
  <c r="C735" i="15"/>
  <c r="C671" i="15"/>
  <c r="C607" i="15"/>
  <c r="C543" i="15"/>
  <c r="C479" i="15"/>
  <c r="C415" i="15"/>
  <c r="C351" i="15"/>
  <c r="C287" i="15"/>
  <c r="C223" i="15"/>
  <c r="C159" i="15"/>
  <c r="C773" i="15"/>
  <c r="C647" i="15"/>
  <c r="C519" i="15"/>
  <c r="C375" i="15"/>
  <c r="C263" i="15"/>
  <c r="C135" i="15"/>
  <c r="C747" i="15"/>
  <c r="C683" i="15"/>
  <c r="C619" i="15"/>
  <c r="C555" i="15"/>
  <c r="C491" i="15"/>
  <c r="C427" i="15"/>
  <c r="C363" i="15"/>
  <c r="C299" i="15"/>
  <c r="C235" i="15"/>
  <c r="C171" i="15"/>
  <c r="C785" i="15"/>
  <c r="C753" i="15"/>
  <c r="C721" i="15"/>
  <c r="C689" i="15"/>
  <c r="C657" i="15"/>
  <c r="C625" i="15"/>
  <c r="C593" i="15"/>
  <c r="C561" i="15"/>
  <c r="C529" i="15"/>
  <c r="C497" i="15"/>
  <c r="C465" i="15"/>
  <c r="C433" i="15"/>
  <c r="C401" i="15"/>
  <c r="C369" i="15"/>
  <c r="C337" i="15"/>
  <c r="C305" i="15"/>
  <c r="C273" i="15"/>
  <c r="C241" i="15"/>
  <c r="C209" i="15"/>
  <c r="C177" i="15"/>
  <c r="C145" i="15"/>
  <c r="C113" i="15"/>
  <c r="C741" i="15"/>
  <c r="C709" i="15"/>
  <c r="C677" i="15"/>
  <c r="C645" i="15"/>
  <c r="C613" i="15"/>
  <c r="C581" i="15"/>
  <c r="C549" i="15"/>
  <c r="C517" i="15"/>
  <c r="C485" i="15"/>
  <c r="C453" i="15"/>
  <c r="C421" i="15"/>
  <c r="C389" i="15"/>
  <c r="C357" i="15"/>
  <c r="C325" i="15"/>
  <c r="C293" i="15"/>
  <c r="C261" i="15"/>
  <c r="C229" i="15"/>
  <c r="C197" i="15"/>
  <c r="C165" i="15"/>
  <c r="C133" i="15"/>
  <c r="C780" i="15"/>
  <c r="C764" i="15"/>
  <c r="C748" i="15"/>
  <c r="C732" i="15"/>
  <c r="C716" i="15"/>
  <c r="C700" i="15"/>
  <c r="C684" i="15"/>
  <c r="C668" i="15"/>
  <c r="C652" i="15"/>
  <c r="C636" i="15"/>
  <c r="C620" i="15"/>
  <c r="C604" i="15"/>
  <c r="C588" i="15"/>
  <c r="C572" i="15"/>
  <c r="C556" i="15"/>
  <c r="C540" i="15"/>
  <c r="C524" i="15"/>
  <c r="C508" i="15"/>
  <c r="C492" i="15"/>
  <c r="C476" i="15"/>
  <c r="C460" i="15"/>
  <c r="C444" i="15"/>
  <c r="C428" i="15"/>
  <c r="C412" i="15"/>
  <c r="C396" i="15"/>
  <c r="C380" i="15"/>
  <c r="C364" i="15"/>
  <c r="C348" i="15"/>
  <c r="C332" i="15"/>
  <c r="C316" i="15"/>
  <c r="C300" i="15"/>
  <c r="C284" i="15"/>
  <c r="C268" i="15"/>
  <c r="C252" i="15"/>
  <c r="C236" i="15"/>
  <c r="C220" i="15"/>
  <c r="C204" i="15"/>
  <c r="C188" i="15"/>
  <c r="C172" i="15"/>
  <c r="C156" i="15"/>
  <c r="C140" i="15"/>
  <c r="C124" i="15"/>
  <c r="C786" i="15"/>
  <c r="C770" i="15"/>
  <c r="C754" i="15"/>
  <c r="C738" i="15"/>
  <c r="C722" i="15"/>
  <c r="C706" i="15"/>
  <c r="C690" i="15"/>
  <c r="C674" i="15"/>
  <c r="C658" i="15"/>
  <c r="C642" i="15"/>
  <c r="C626" i="15"/>
  <c r="C610" i="15"/>
  <c r="C594" i="15"/>
  <c r="C578" i="15"/>
  <c r="C562" i="15"/>
  <c r="C546" i="15"/>
  <c r="C530" i="15"/>
  <c r="C514" i="15"/>
  <c r="C498" i="15"/>
  <c r="C482" i="15"/>
  <c r="C466" i="15"/>
  <c r="C450" i="15"/>
  <c r="C434" i="15"/>
  <c r="C418" i="15"/>
  <c r="C402" i="15"/>
  <c r="C386" i="15"/>
  <c r="C370" i="15"/>
  <c r="C354" i="15"/>
  <c r="C338" i="15"/>
  <c r="C322" i="15"/>
  <c r="C306" i="15"/>
  <c r="C290" i="15"/>
  <c r="C274" i="15"/>
  <c r="C258" i="15"/>
  <c r="C242" i="15"/>
  <c r="C226" i="15"/>
  <c r="C210" i="15"/>
  <c r="C194" i="15"/>
  <c r="C178" i="15"/>
  <c r="C162" i="15"/>
  <c r="C146" i="15"/>
  <c r="C130" i="15"/>
  <c r="C771" i="15"/>
  <c r="C467" i="15"/>
  <c r="C499" i="15"/>
  <c r="C114" i="15"/>
  <c r="C291" i="15"/>
  <c r="C631" i="15"/>
  <c r="C391" i="15"/>
  <c r="C119" i="15"/>
  <c r="C687" i="15"/>
  <c r="C559" i="15"/>
  <c r="C431" i="15"/>
  <c r="C303" i="15"/>
  <c r="C175" i="15"/>
  <c r="C679" i="15"/>
  <c r="C407" i="15"/>
  <c r="C151" i="15"/>
  <c r="C699" i="15"/>
  <c r="C571" i="15"/>
  <c r="C443" i="15"/>
  <c r="C315" i="15"/>
  <c r="C187" i="15"/>
  <c r="C761" i="15"/>
  <c r="C697" i="15"/>
  <c r="C633" i="15"/>
  <c r="C569" i="15"/>
  <c r="C505" i="15"/>
  <c r="C409" i="15"/>
  <c r="C345" i="15"/>
  <c r="C281" i="15"/>
  <c r="C217" i="15"/>
  <c r="C185" i="15"/>
  <c r="C121" i="15"/>
  <c r="C717" i="15"/>
  <c r="C621" i="15"/>
  <c r="C557" i="15"/>
  <c r="C525" i="15"/>
  <c r="C461" i="15"/>
  <c r="C397" i="15"/>
  <c r="C333" i="15"/>
  <c r="C269" i="15"/>
  <c r="C205" i="15"/>
  <c r="C141" i="15"/>
  <c r="C768" i="15"/>
  <c r="C736" i="15"/>
  <c r="C704" i="15"/>
  <c r="C672" i="15"/>
  <c r="C640" i="15"/>
  <c r="C608" i="15"/>
  <c r="C576" i="15"/>
  <c r="C544" i="15"/>
  <c r="C512" i="15"/>
  <c r="C480" i="15"/>
  <c r="C448" i="15"/>
  <c r="C416" i="15"/>
  <c r="C384" i="15"/>
  <c r="C352" i="15"/>
  <c r="C320" i="15"/>
  <c r="C288" i="15"/>
  <c r="C256" i="15"/>
  <c r="C224" i="15"/>
  <c r="C192" i="15"/>
  <c r="C160" i="15"/>
  <c r="C128" i="15"/>
  <c r="C774" i="15"/>
  <c r="C742" i="15"/>
  <c r="C710" i="15"/>
  <c r="C678" i="15"/>
  <c r="C646" i="15"/>
  <c r="C614" i="15"/>
  <c r="C582" i="15"/>
  <c r="C550" i="15"/>
  <c r="C518" i="15"/>
  <c r="C486" i="15"/>
  <c r="C454" i="15"/>
  <c r="C422" i="15"/>
  <c r="C390" i="15"/>
  <c r="C358" i="15"/>
  <c r="C326" i="15"/>
  <c r="C294" i="15"/>
  <c r="C278" i="15"/>
  <c r="C246" i="15"/>
  <c r="C214" i="15"/>
  <c r="C182" i="15"/>
  <c r="C150" i="15"/>
  <c r="C118" i="15"/>
  <c r="C691" i="15"/>
  <c r="C387" i="15"/>
  <c r="C117" i="15"/>
  <c r="C307" i="15"/>
  <c r="C515" i="15"/>
  <c r="C131" i="15"/>
  <c r="C595" i="15"/>
  <c r="C339" i="15"/>
  <c r="C755" i="15"/>
  <c r="C243" i="15"/>
  <c r="C451" i="15"/>
  <c r="C675" i="15"/>
  <c r="C419" i="15"/>
  <c r="C163" i="15"/>
  <c r="C695" i="15"/>
  <c r="C567" i="15"/>
  <c r="C439" i="15"/>
  <c r="C311" i="15"/>
  <c r="C199" i="15"/>
  <c r="C779" i="15"/>
  <c r="C719" i="15"/>
  <c r="C655" i="15"/>
  <c r="C591" i="15"/>
  <c r="C527" i="15"/>
  <c r="C463" i="15"/>
  <c r="C399" i="15"/>
  <c r="C335" i="15"/>
  <c r="C271" i="15"/>
  <c r="C207" i="15"/>
  <c r="C143" i="15"/>
  <c r="C743" i="15"/>
  <c r="C615" i="15"/>
  <c r="C487" i="15"/>
  <c r="C359" i="15"/>
  <c r="C215" i="15"/>
  <c r="C787" i="15"/>
  <c r="C731" i="15"/>
  <c r="C667" i="15"/>
  <c r="C603" i="15"/>
  <c r="C539" i="15"/>
  <c r="C475" i="15"/>
  <c r="C411" i="15"/>
  <c r="C347" i="15"/>
  <c r="C283" i="15"/>
  <c r="C219" i="15"/>
  <c r="C155" i="15"/>
  <c r="C777" i="15"/>
  <c r="C745" i="15"/>
  <c r="C713" i="15"/>
  <c r="C681" i="15"/>
  <c r="C649" i="15"/>
  <c r="C617" i="15"/>
  <c r="C585" i="15"/>
  <c r="C553" i="15"/>
  <c r="C521" i="15"/>
  <c r="C489" i="15"/>
  <c r="C457" i="15"/>
  <c r="C425" i="15"/>
  <c r="C393" i="15"/>
  <c r="C361" i="15"/>
  <c r="C329" i="15"/>
  <c r="C297" i="15"/>
  <c r="C265" i="15"/>
  <c r="C233" i="15"/>
  <c r="C201" i="15"/>
  <c r="C169" i="15"/>
  <c r="C137" i="15"/>
  <c r="C765" i="15"/>
  <c r="C733" i="15"/>
  <c r="C701" i="15"/>
  <c r="C669" i="15"/>
  <c r="C637" i="15"/>
  <c r="C605" i="15"/>
  <c r="C573" i="15"/>
  <c r="C541" i="15"/>
  <c r="C509" i="15"/>
  <c r="C477" i="15"/>
  <c r="C445" i="15"/>
  <c r="C413" i="15"/>
  <c r="C381" i="15"/>
  <c r="C349" i="15"/>
  <c r="C317" i="15"/>
  <c r="C285" i="15"/>
  <c r="C253" i="15"/>
  <c r="C221" i="15"/>
  <c r="C189" i="15"/>
  <c r="C157" i="15"/>
  <c r="C125" i="15"/>
  <c r="C776" i="15"/>
  <c r="C760" i="15"/>
  <c r="C744" i="15"/>
  <c r="C728" i="15"/>
  <c r="C712" i="15"/>
  <c r="C696" i="15"/>
  <c r="C680" i="15"/>
  <c r="C664" i="15"/>
  <c r="C648" i="15"/>
  <c r="C632" i="15"/>
  <c r="C616" i="15"/>
  <c r="C600" i="15"/>
  <c r="C584" i="15"/>
  <c r="C568" i="15"/>
  <c r="C552" i="15"/>
  <c r="C536" i="15"/>
  <c r="C520" i="15"/>
  <c r="C504" i="15"/>
  <c r="C488" i="15"/>
  <c r="C472" i="15"/>
  <c r="C456" i="15"/>
  <c r="C440" i="15"/>
  <c r="C424" i="15"/>
  <c r="C408" i="15"/>
  <c r="C392" i="15"/>
  <c r="C376" i="15"/>
  <c r="C360" i="15"/>
  <c r="C344" i="15"/>
  <c r="C328" i="15"/>
  <c r="C312" i="15"/>
  <c r="C296" i="15"/>
  <c r="C280" i="15"/>
  <c r="C264" i="15"/>
  <c r="C248" i="15"/>
  <c r="C232" i="15"/>
  <c r="C216" i="15"/>
  <c r="C200" i="15"/>
  <c r="C184" i="15"/>
  <c r="C168" i="15"/>
  <c r="C152" i="15"/>
  <c r="C136" i="15"/>
  <c r="C120" i="15"/>
  <c r="C782" i="15"/>
  <c r="C766" i="15"/>
  <c r="C750" i="15"/>
  <c r="C734" i="15"/>
  <c r="C718" i="15"/>
  <c r="C702" i="15"/>
  <c r="C686" i="15"/>
  <c r="C670" i="15"/>
  <c r="C654" i="15"/>
  <c r="C638" i="15"/>
  <c r="C622" i="15"/>
  <c r="C606" i="15"/>
  <c r="C590" i="15"/>
  <c r="C574" i="15"/>
  <c r="C558" i="15"/>
  <c r="C542" i="15"/>
  <c r="C526" i="15"/>
  <c r="C510" i="15"/>
  <c r="C494" i="15"/>
  <c r="C478" i="15"/>
  <c r="C462" i="15"/>
  <c r="C446" i="15"/>
  <c r="C430" i="15"/>
  <c r="C414" i="15"/>
  <c r="C398" i="15"/>
  <c r="C382" i="15"/>
  <c r="C366" i="15"/>
  <c r="C350" i="15"/>
  <c r="C334" i="15"/>
  <c r="C318" i="15"/>
  <c r="C302" i="15"/>
  <c r="C286" i="15"/>
  <c r="C270" i="15"/>
  <c r="C254" i="15"/>
  <c r="C238" i="15"/>
  <c r="C222" i="15"/>
  <c r="C206" i="15"/>
  <c r="C190" i="15"/>
  <c r="C174" i="15"/>
  <c r="C158" i="15"/>
  <c r="C142" i="15"/>
  <c r="C126" i="15"/>
  <c r="C563" i="15"/>
  <c r="C323" i="15"/>
  <c r="C723" i="15"/>
  <c r="C211" i="15"/>
  <c r="C707" i="15"/>
  <c r="C547" i="15"/>
  <c r="C759" i="15"/>
  <c r="C503" i="15"/>
  <c r="C247" i="15"/>
  <c r="C751" i="15"/>
  <c r="C623" i="15"/>
  <c r="C495" i="15"/>
  <c r="C367" i="15"/>
  <c r="C239" i="15"/>
  <c r="C111" i="15"/>
  <c r="C551" i="15"/>
  <c r="C295" i="15"/>
  <c r="C763" i="15"/>
  <c r="C635" i="15"/>
  <c r="C507" i="15"/>
  <c r="C379" i="15"/>
  <c r="C251" i="15"/>
  <c r="C123" i="15"/>
  <c r="C729" i="15"/>
  <c r="C665" i="15"/>
  <c r="C601" i="15"/>
  <c r="C537" i="15"/>
  <c r="C473" i="15"/>
  <c r="C441" i="15"/>
  <c r="C377" i="15"/>
  <c r="C313" i="15"/>
  <c r="C249" i="15"/>
  <c r="C153" i="15"/>
  <c r="C749" i="15"/>
  <c r="C685" i="15"/>
  <c r="C653" i="15"/>
  <c r="C589" i="15"/>
  <c r="C493" i="15"/>
  <c r="C429" i="15"/>
  <c r="C365" i="15"/>
  <c r="C301" i="15"/>
  <c r="C237" i="15"/>
  <c r="C173" i="15"/>
  <c r="C784" i="15"/>
  <c r="C752" i="15"/>
  <c r="C720" i="15"/>
  <c r="C688" i="15"/>
  <c r="C656" i="15"/>
  <c r="C624" i="15"/>
  <c r="C592" i="15"/>
  <c r="C560" i="15"/>
  <c r="C528" i="15"/>
  <c r="C496" i="15"/>
  <c r="C464" i="15"/>
  <c r="C432" i="15"/>
  <c r="C400" i="15"/>
  <c r="C368" i="15"/>
  <c r="C336" i="15"/>
  <c r="C304" i="15"/>
  <c r="C272" i="15"/>
  <c r="C240" i="15"/>
  <c r="C208" i="15"/>
  <c r="C176" i="15"/>
  <c r="C144" i="15"/>
  <c r="C112" i="15"/>
  <c r="C758" i="15"/>
  <c r="C726" i="15"/>
  <c r="C694" i="15"/>
  <c r="C662" i="15"/>
  <c r="C630" i="15"/>
  <c r="C598" i="15"/>
  <c r="C566" i="15"/>
  <c r="C534" i="15"/>
  <c r="C502" i="15"/>
  <c r="C470" i="15"/>
  <c r="C438" i="15"/>
  <c r="C406" i="15"/>
  <c r="C374" i="15"/>
  <c r="C342" i="15"/>
  <c r="C310" i="15"/>
  <c r="C262" i="15"/>
  <c r="C230" i="15"/>
  <c r="C198" i="15"/>
  <c r="C166" i="15"/>
  <c r="C134" i="15"/>
  <c r="C275" i="15"/>
  <c r="C611" i="15"/>
  <c r="C535" i="15"/>
  <c r="C767" i="15"/>
  <c r="C511" i="15"/>
  <c r="C255" i="15"/>
  <c r="C583" i="15"/>
  <c r="C775" i="15"/>
  <c r="C523" i="15"/>
  <c r="C267" i="15"/>
  <c r="C737" i="15"/>
  <c r="C609" i="15"/>
  <c r="C481" i="15"/>
  <c r="C353" i="15"/>
  <c r="C225" i="15"/>
  <c r="C757" i="15"/>
  <c r="C629" i="15"/>
  <c r="C501" i="15"/>
  <c r="C373" i="15"/>
  <c r="C245" i="15"/>
  <c r="C724" i="15"/>
  <c r="C660" i="15"/>
  <c r="C596" i="15"/>
  <c r="C532" i="15"/>
  <c r="C468" i="15"/>
  <c r="C404" i="15"/>
  <c r="C276" i="15"/>
  <c r="C212" i="15"/>
  <c r="C762" i="15"/>
  <c r="C634" i="15"/>
  <c r="C442" i="15"/>
  <c r="C314" i="15"/>
  <c r="C186" i="15"/>
  <c r="C195" i="15"/>
  <c r="C575" i="15"/>
  <c r="C711" i="15"/>
  <c r="C587" i="15"/>
  <c r="C769" i="15"/>
  <c r="C513" i="15"/>
  <c r="C257" i="15"/>
  <c r="C661" i="15"/>
  <c r="C405" i="15"/>
  <c r="C149" i="15"/>
  <c r="C676" i="15"/>
  <c r="C548" i="15"/>
  <c r="C420" i="15"/>
  <c r="C292" i="15"/>
  <c r="C164" i="15"/>
  <c r="C714" i="15"/>
  <c r="C586" i="15"/>
  <c r="C458" i="15"/>
  <c r="C330" i="15"/>
  <c r="C202" i="15"/>
  <c r="C383" i="15"/>
  <c r="C651" i="15"/>
  <c r="C139" i="15"/>
  <c r="C545" i="15"/>
  <c r="C289" i="15"/>
  <c r="C693" i="15"/>
  <c r="C437" i="15"/>
  <c r="C181" i="15"/>
  <c r="C692" i="15"/>
  <c r="C564" i="15"/>
  <c r="C436" i="15"/>
  <c r="C308" i="15"/>
  <c r="C180" i="15"/>
  <c r="C730" i="15"/>
  <c r="C538" i="15"/>
  <c r="C410" i="15"/>
  <c r="C282" i="15"/>
  <c r="C154" i="15"/>
  <c r="C179" i="15"/>
  <c r="C627" i="15"/>
  <c r="C355" i="15"/>
  <c r="C423" i="15"/>
  <c r="C703" i="15"/>
  <c r="C447" i="15"/>
  <c r="C191" i="15"/>
  <c r="C455" i="15"/>
  <c r="C715" i="15"/>
  <c r="C459" i="15"/>
  <c r="C203" i="15"/>
  <c r="C705" i="15"/>
  <c r="C577" i="15"/>
  <c r="C449" i="15"/>
  <c r="C321" i="15"/>
  <c r="C193" i="15"/>
  <c r="C725" i="15"/>
  <c r="C597" i="15"/>
  <c r="C469" i="15"/>
  <c r="C341" i="15"/>
  <c r="C213" i="15"/>
  <c r="C772" i="15"/>
  <c r="C708" i="15"/>
  <c r="C644" i="15"/>
  <c r="C580" i="15"/>
  <c r="C516" i="15"/>
  <c r="C452" i="15"/>
  <c r="C388" i="15"/>
  <c r="C324" i="15"/>
  <c r="C260" i="15"/>
  <c r="C196" i="15"/>
  <c r="C132" i="15"/>
  <c r="C746" i="15"/>
  <c r="C682" i="15"/>
  <c r="C618" i="15"/>
  <c r="C554" i="15"/>
  <c r="C490" i="15"/>
  <c r="C426" i="15"/>
  <c r="C362" i="15"/>
  <c r="C298" i="15"/>
  <c r="C234" i="15"/>
  <c r="C170" i="15"/>
  <c r="C340" i="15"/>
  <c r="C148" i="15"/>
  <c r="C698" i="15"/>
  <c r="C570" i="15"/>
  <c r="C506" i="15"/>
  <c r="C378" i="15"/>
  <c r="C250" i="15"/>
  <c r="C122" i="15"/>
  <c r="C531" i="15"/>
  <c r="C663" i="15"/>
  <c r="C167" i="15"/>
  <c r="C319" i="15"/>
  <c r="C183" i="15"/>
  <c r="C331" i="15"/>
  <c r="C641" i="15"/>
  <c r="C385" i="15"/>
  <c r="C129" i="15"/>
  <c r="C533" i="15"/>
  <c r="C277" i="15"/>
  <c r="C740" i="15"/>
  <c r="C612" i="15"/>
  <c r="C484" i="15"/>
  <c r="C356" i="15"/>
  <c r="C228" i="15"/>
  <c r="C778" i="15"/>
  <c r="C650" i="15"/>
  <c r="C522" i="15"/>
  <c r="C394" i="15"/>
  <c r="C266" i="15"/>
  <c r="C138" i="15"/>
  <c r="C781" i="15"/>
  <c r="C115" i="15"/>
  <c r="C783" i="15"/>
  <c r="C279" i="15"/>
  <c r="C639" i="15"/>
  <c r="C127" i="15"/>
  <c r="C327" i="15"/>
  <c r="C395" i="15"/>
  <c r="C673" i="15"/>
  <c r="C417" i="15"/>
  <c r="C161" i="15"/>
  <c r="C565" i="15"/>
  <c r="C309" i="15"/>
  <c r="C756" i="15"/>
  <c r="C628" i="15"/>
  <c r="C500" i="15"/>
  <c r="C372" i="15"/>
  <c r="C244" i="15"/>
  <c r="C116" i="15"/>
  <c r="C666" i="15"/>
  <c r="C602" i="15"/>
  <c r="C474" i="15"/>
  <c r="C346" i="15"/>
  <c r="C218" i="15"/>
  <c r="I7" i="15" l="1"/>
  <c r="J7" i="15" s="1"/>
  <c r="I8" i="15"/>
  <c r="J8" i="15" s="1"/>
  <c r="I9" i="15"/>
  <c r="J9" i="15" s="1"/>
  <c r="I6" i="15"/>
  <c r="J6" i="15" s="1"/>
  <c r="B110" i="15" a="1"/>
  <c r="O34" i="20" l="1"/>
  <c r="O42" i="20" s="1"/>
  <c r="O66" i="20" s="1"/>
  <c r="O6" i="20" s="1"/>
  <c r="R34" i="20"/>
  <c r="R42" i="20" s="1"/>
  <c r="R66" i="20" s="1"/>
  <c r="R6" i="20" s="1"/>
  <c r="L34" i="20"/>
  <c r="L42" i="20" s="1"/>
  <c r="L66" i="20" s="1"/>
  <c r="L6" i="20" s="1"/>
  <c r="Z153" i="20"/>
  <c r="Z149" i="20"/>
  <c r="Z147" i="20"/>
  <c r="Z145" i="20"/>
  <c r="Z140" i="20"/>
  <c r="Z138" i="20"/>
  <c r="Z136" i="20"/>
  <c r="Z134" i="20"/>
  <c r="Z132" i="20"/>
  <c r="Z130" i="20"/>
  <c r="Z128" i="20"/>
  <c r="Z126" i="20"/>
  <c r="Z124" i="20"/>
  <c r="Z122" i="20"/>
  <c r="Z117" i="20"/>
  <c r="Z115" i="20"/>
  <c r="Z113" i="20"/>
  <c r="Z109" i="20"/>
  <c r="Z102" i="20"/>
  <c r="Z93" i="20"/>
  <c r="Z85" i="20"/>
  <c r="Z76" i="20"/>
  <c r="Z71" i="20"/>
  <c r="Z31" i="20"/>
  <c r="Z26" i="20"/>
  <c r="Z21" i="20"/>
  <c r="Z94" i="20"/>
  <c r="Z81" i="20"/>
  <c r="Z33" i="20"/>
  <c r="Z22" i="20"/>
  <c r="Z95" i="20"/>
  <c r="Z150" i="20"/>
  <c r="Z148" i="20"/>
  <c r="Z144" i="20"/>
  <c r="Z137" i="20"/>
  <c r="Z133" i="20"/>
  <c r="Z129" i="20"/>
  <c r="Z127" i="20"/>
  <c r="Z123" i="20"/>
  <c r="Z116" i="20"/>
  <c r="Z112" i="20"/>
  <c r="Z103" i="20"/>
  <c r="Z87" i="20"/>
  <c r="Z82" i="20"/>
  <c r="Z29" i="20"/>
  <c r="Z92" i="20"/>
  <c r="Z83" i="20"/>
  <c r="Z75" i="20"/>
  <c r="Z30" i="20"/>
  <c r="Z25" i="20"/>
  <c r="Z19" i="20"/>
  <c r="Z86" i="20"/>
  <c r="Z72" i="20"/>
  <c r="Z27" i="20"/>
  <c r="Z154" i="20"/>
  <c r="Z146" i="20"/>
  <c r="Z139" i="20"/>
  <c r="Z135" i="20"/>
  <c r="Z131" i="20"/>
  <c r="Z125" i="20"/>
  <c r="Z121" i="20"/>
  <c r="Z114" i="20"/>
  <c r="Z110" i="20"/>
  <c r="Z101" i="20"/>
  <c r="Z74" i="20"/>
  <c r="Z23" i="20"/>
  <c r="Z24" i="20"/>
  <c r="Z91" i="20"/>
  <c r="Z20" i="20"/>
  <c r="Z84" i="20"/>
  <c r="Z32" i="20"/>
  <c r="Z80" i="20"/>
  <c r="Z28" i="20"/>
  <c r="Z73" i="20"/>
  <c r="U33" i="20"/>
  <c r="I34" i="20"/>
  <c r="I42" i="20" s="1"/>
  <c r="I66" i="20" s="1"/>
  <c r="I6" i="20" s="1"/>
  <c r="U27" i="20"/>
  <c r="U21" i="20"/>
  <c r="U32" i="20"/>
  <c r="U30" i="20"/>
  <c r="U28" i="20"/>
  <c r="U26" i="20"/>
  <c r="U24" i="20"/>
  <c r="U22" i="20"/>
  <c r="U20" i="20"/>
  <c r="U31" i="20"/>
  <c r="U29" i="20"/>
  <c r="U25" i="20"/>
  <c r="U23" i="20"/>
  <c r="U19" i="20"/>
  <c r="U18" i="20"/>
  <c r="B782" i="15"/>
  <c r="B749" i="15"/>
  <c r="B713" i="15"/>
  <c r="B584" i="15"/>
  <c r="B646" i="15"/>
  <c r="B602" i="15"/>
  <c r="B558" i="15"/>
  <c r="B774" i="15"/>
  <c r="B741" i="15"/>
  <c r="B702" i="15"/>
  <c r="B562" i="15"/>
  <c r="B753" i="15"/>
  <c r="B718" i="15"/>
  <c r="B594" i="15"/>
  <c r="B673" i="15"/>
  <c r="B629" i="15"/>
  <c r="B585" i="15"/>
  <c r="B738" i="15"/>
  <c r="B370" i="15"/>
  <c r="B760" i="15"/>
  <c r="B701" i="15"/>
  <c r="B662" i="15"/>
  <c r="B618" i="15"/>
  <c r="B574" i="15"/>
  <c r="B786" i="15"/>
  <c r="B634" i="15"/>
  <c r="B590" i="15"/>
  <c r="B532" i="15"/>
  <c r="B130" i="15"/>
  <c r="B450" i="15"/>
  <c r="B555" i="15"/>
  <c r="B220" i="15"/>
  <c r="B224" i="15"/>
  <c r="B734" i="15"/>
  <c r="B649" i="15"/>
  <c r="B582" i="15"/>
  <c r="B775" i="15"/>
  <c r="B682" i="15"/>
  <c r="B496" i="15"/>
  <c r="B654" i="15"/>
  <c r="B610" i="15"/>
  <c r="B494" i="15"/>
  <c r="B498" i="15"/>
  <c r="B373" i="15"/>
  <c r="B377" i="15"/>
  <c r="B395" i="15"/>
  <c r="B139" i="15"/>
  <c r="B631" i="15"/>
  <c r="B321" i="15"/>
  <c r="B325" i="15"/>
  <c r="B436" i="15"/>
  <c r="B439" i="15"/>
  <c r="B183" i="15"/>
  <c r="B173" i="15"/>
  <c r="B462" i="15"/>
  <c r="B563" i="15"/>
  <c r="B230" i="15"/>
  <c r="B234" i="15"/>
  <c r="B345" i="15"/>
  <c r="B371" i="15"/>
  <c r="B115" i="15"/>
  <c r="B478" i="15"/>
  <c r="B575" i="15"/>
  <c r="B246" i="15"/>
  <c r="B250" i="15"/>
  <c r="B361" i="15"/>
  <c r="B383" i="15"/>
  <c r="B127" i="15"/>
  <c r="B608" i="15"/>
  <c r="B678" i="15"/>
  <c r="B744" i="15"/>
  <c r="B641" i="15"/>
  <c r="B546" i="15"/>
  <c r="B613" i="15"/>
  <c r="B767" i="15"/>
  <c r="B422" i="15"/>
  <c r="B635" i="15"/>
  <c r="B198" i="15"/>
  <c r="B523" i="15"/>
  <c r="B164" i="15"/>
  <c r="B235" i="15"/>
  <c r="B120" i="15"/>
  <c r="B449" i="15"/>
  <c r="B452" i="15"/>
  <c r="B112" i="15"/>
  <c r="B222" i="15"/>
  <c r="B279" i="15"/>
  <c r="B600" i="15"/>
  <c r="B210" i="15"/>
  <c r="B659" i="15"/>
  <c r="B200" i="15"/>
  <c r="B362" i="15"/>
  <c r="B467" i="15"/>
  <c r="B132" i="15"/>
  <c r="B211" i="15"/>
  <c r="B274" i="15"/>
  <c r="B671" i="15"/>
  <c r="B264" i="15"/>
  <c r="B378" i="15"/>
  <c r="B479" i="15"/>
  <c r="B148" i="15"/>
  <c r="B223" i="15"/>
  <c r="B733" i="15"/>
  <c r="B502" i="15"/>
  <c r="B581" i="15"/>
  <c r="B758" i="15"/>
  <c r="B681" i="15"/>
  <c r="B737" i="15"/>
  <c r="B542" i="15"/>
  <c r="B522" i="15"/>
  <c r="B712" i="15"/>
  <c r="B454" i="15"/>
  <c r="B603" i="15"/>
  <c r="B507" i="15"/>
  <c r="B219" i="15"/>
  <c r="B406" i="15"/>
  <c r="B519" i="15"/>
  <c r="B263" i="15"/>
  <c r="B125" i="15"/>
  <c r="B114" i="15"/>
  <c r="B451" i="15"/>
  <c r="B195" i="15"/>
  <c r="B655" i="15"/>
  <c r="B357" i="15"/>
  <c r="B764" i="15"/>
  <c r="B699" i="15"/>
  <c r="B283" i="15"/>
  <c r="B176" i="15"/>
  <c r="B401" i="15"/>
  <c r="B515" i="15"/>
  <c r="B719" i="15"/>
  <c r="B650" i="15"/>
  <c r="B596" i="15"/>
  <c r="B141" i="15"/>
  <c r="B245" i="15"/>
  <c r="B315" i="15"/>
  <c r="B551" i="15"/>
  <c r="B218" i="15"/>
  <c r="B359" i="15"/>
  <c r="B469" i="15"/>
  <c r="B466" i="15"/>
  <c r="B128" i="15"/>
  <c r="B291" i="15"/>
  <c r="B248" i="15"/>
  <c r="B140" i="15"/>
  <c r="B254" i="15"/>
  <c r="B768" i="15"/>
  <c r="B398" i="15"/>
  <c r="B136" i="15"/>
  <c r="B199" i="15"/>
  <c r="B252" i="15"/>
  <c r="B131" i="15"/>
  <c r="B272" i="15"/>
  <c r="B497" i="15"/>
  <c r="B612" i="15"/>
  <c r="B456" i="15"/>
  <c r="B356" i="15"/>
  <c r="B123" i="15"/>
  <c r="B300" i="15"/>
  <c r="B414" i="15"/>
  <c r="B167" i="15"/>
  <c r="B429" i="15"/>
  <c r="B209" i="15"/>
  <c r="B559" i="15"/>
  <c r="B399" i="15"/>
  <c r="B716" i="15"/>
  <c r="B672" i="15"/>
  <c r="B628" i="15"/>
  <c r="B453" i="15"/>
  <c r="B561" i="15"/>
  <c r="B360" i="15"/>
  <c r="B755" i="15"/>
  <c r="B705" i="15"/>
  <c r="B661" i="15"/>
  <c r="B617" i="15"/>
  <c r="B369" i="15"/>
  <c r="B677" i="15"/>
  <c r="B633" i="15"/>
  <c r="B474" i="15"/>
  <c r="B588" i="15"/>
  <c r="B513" i="15"/>
  <c r="B779" i="15"/>
  <c r="B762" i="15"/>
  <c r="B729" i="15"/>
  <c r="B686" i="15"/>
  <c r="B460" i="15"/>
  <c r="B577" i="15"/>
  <c r="B470" i="15"/>
  <c r="B771" i="15"/>
  <c r="B593" i="15"/>
  <c r="B534" i="15"/>
  <c r="B783" i="15"/>
  <c r="B717" i="15"/>
  <c r="B480" i="15"/>
  <c r="B226" i="15"/>
  <c r="B477" i="15"/>
  <c r="B134" i="15"/>
  <c r="B138" i="15"/>
  <c r="B566" i="15"/>
  <c r="B759" i="15"/>
  <c r="B709" i="15"/>
  <c r="B237" i="15"/>
  <c r="B788" i="15"/>
  <c r="B572" i="15"/>
  <c r="B763" i="15"/>
  <c r="B301" i="15"/>
  <c r="B312" i="15"/>
  <c r="B242" i="15"/>
  <c r="B266" i="15"/>
  <c r="B292" i="15"/>
  <c r="B331" i="15"/>
  <c r="B468" i="15"/>
  <c r="B567" i="15"/>
  <c r="B236" i="15"/>
  <c r="B240" i="15"/>
  <c r="B350" i="15"/>
  <c r="B375" i="15"/>
  <c r="B119" i="15"/>
  <c r="B490" i="15"/>
  <c r="B269" i="15"/>
  <c r="B488" i="15"/>
  <c r="B145" i="15"/>
  <c r="B149" i="15"/>
  <c r="B260" i="15"/>
  <c r="B307" i="15"/>
  <c r="B506" i="15"/>
  <c r="B333" i="15"/>
  <c r="B504" i="15"/>
  <c r="B161" i="15"/>
  <c r="B165" i="15"/>
  <c r="B276" i="15"/>
  <c r="B319" i="15"/>
  <c r="B700" i="15"/>
  <c r="B732" i="15"/>
  <c r="B668" i="15"/>
  <c r="B580" i="15"/>
  <c r="B757" i="15"/>
  <c r="B605" i="15"/>
  <c r="B736" i="15"/>
  <c r="B674" i="15"/>
  <c r="B552" i="15"/>
  <c r="B539" i="15"/>
  <c r="B437" i="15"/>
  <c r="B441" i="15"/>
  <c r="B427" i="15"/>
  <c r="B171" i="15"/>
  <c r="B663" i="15"/>
  <c r="B221" i="15"/>
  <c r="B368" i="15"/>
  <c r="B471" i="15"/>
  <c r="B137" i="15"/>
  <c r="B215" i="15"/>
  <c r="B338" i="15"/>
  <c r="B505" i="15"/>
  <c r="B595" i="15"/>
  <c r="B273" i="15"/>
  <c r="B277" i="15"/>
  <c r="B388" i="15"/>
  <c r="B403" i="15"/>
  <c r="B147" i="15"/>
  <c r="B521" i="15"/>
  <c r="B607" i="15"/>
  <c r="B289" i="15"/>
  <c r="B293" i="15"/>
  <c r="B404" i="15"/>
  <c r="B415" i="15"/>
  <c r="B159" i="15"/>
  <c r="B565" i="15"/>
  <c r="B778" i="15"/>
  <c r="B708" i="15"/>
  <c r="B598" i="15"/>
  <c r="B787" i="15"/>
  <c r="B570" i="15"/>
  <c r="B751" i="15"/>
  <c r="B380" i="15"/>
  <c r="B666" i="15"/>
  <c r="B722" i="15"/>
  <c r="B374" i="15"/>
  <c r="B313" i="15"/>
  <c r="B489" i="15"/>
  <c r="B257" i="15"/>
  <c r="B372" i="15"/>
  <c r="B135" i="15"/>
  <c r="B344" i="15"/>
  <c r="B166" i="15"/>
  <c r="B281" i="15"/>
  <c r="B528" i="15"/>
  <c r="B525" i="15"/>
  <c r="B186" i="15"/>
  <c r="B622" i="15"/>
  <c r="B284" i="15"/>
  <c r="B354" i="15"/>
  <c r="B286" i="15"/>
  <c r="B707" i="15"/>
  <c r="B196" i="15"/>
  <c r="B428" i="15"/>
  <c r="B232" i="15"/>
  <c r="B656" i="15"/>
  <c r="B571" i="15"/>
  <c r="B459" i="15"/>
  <c r="B187" i="15"/>
  <c r="B306" i="15"/>
  <c r="B487" i="15"/>
  <c r="B231" i="15"/>
  <c r="B526" i="15"/>
  <c r="B294" i="15"/>
  <c r="B409" i="15"/>
  <c r="B163" i="15"/>
  <c r="B623" i="15"/>
  <c r="B314" i="15"/>
  <c r="B303" i="15"/>
  <c r="B168" i="15"/>
  <c r="B411" i="15"/>
  <c r="B346" i="15"/>
  <c r="B258" i="15"/>
  <c r="B256" i="15"/>
  <c r="B500" i="15"/>
  <c r="B382" i="15"/>
  <c r="B731" i="15"/>
  <c r="B589" i="15"/>
  <c r="B241" i="15"/>
  <c r="B185" i="15"/>
  <c r="B205" i="15"/>
  <c r="B129" i="15"/>
  <c r="B244" i="15"/>
  <c r="B621" i="15"/>
  <c r="B675" i="15"/>
  <c r="B384" i="15"/>
  <c r="B153" i="15"/>
  <c r="B348" i="15"/>
  <c r="B342" i="15"/>
  <c r="B495" i="15"/>
  <c r="B239" i="15"/>
  <c r="B207" i="15"/>
  <c r="B143" i="15"/>
  <c r="B483" i="15"/>
  <c r="B400" i="15"/>
  <c r="B175" i="15"/>
  <c r="B324" i="15"/>
  <c r="B367" i="15"/>
  <c r="B630" i="15"/>
  <c r="B586" i="15"/>
  <c r="B508" i="15"/>
  <c r="B636" i="15"/>
  <c r="B761" i="15"/>
  <c r="B728" i="15"/>
  <c r="B616" i="15"/>
  <c r="B620" i="15"/>
  <c r="B576" i="15"/>
  <c r="B465" i="15"/>
  <c r="B657" i="15"/>
  <c r="B592" i="15"/>
  <c r="B529" i="15"/>
  <c r="B754" i="15"/>
  <c r="B781" i="15"/>
  <c r="B748" i="15"/>
  <c r="B669" i="15"/>
  <c r="B689" i="15"/>
  <c r="B645" i="15"/>
  <c r="B601" i="15"/>
  <c r="B146" i="15"/>
  <c r="B773" i="15"/>
  <c r="B740" i="15"/>
  <c r="B648" i="15"/>
  <c r="B785" i="15"/>
  <c r="B752" i="15"/>
  <c r="B680" i="15"/>
  <c r="B632" i="15"/>
  <c r="B337" i="15"/>
  <c r="B683" i="15"/>
  <c r="B328" i="15"/>
  <c r="B394" i="15"/>
  <c r="B491" i="15"/>
  <c r="B693" i="15"/>
  <c r="B537" i="15"/>
  <c r="B492" i="15"/>
  <c r="B726" i="15"/>
  <c r="B638" i="15"/>
  <c r="B698" i="15"/>
  <c r="B553" i="15"/>
  <c r="B501" i="15"/>
  <c r="B667" i="15"/>
  <c r="B262" i="15"/>
  <c r="B160" i="15"/>
  <c r="B206" i="15"/>
  <c r="B267" i="15"/>
  <c r="B290" i="15"/>
  <c r="B493" i="15"/>
  <c r="B150" i="15"/>
  <c r="B154" i="15"/>
  <c r="B265" i="15"/>
  <c r="B311" i="15"/>
  <c r="B642" i="15"/>
  <c r="B358" i="15"/>
  <c r="B691" i="15"/>
  <c r="B353" i="15"/>
  <c r="B405" i="15"/>
  <c r="B499" i="15"/>
  <c r="B174" i="15"/>
  <c r="B243" i="15"/>
  <c r="B390" i="15"/>
  <c r="B703" i="15"/>
  <c r="B385" i="15"/>
  <c r="B421" i="15"/>
  <c r="B511" i="15"/>
  <c r="B190" i="15"/>
  <c r="B255" i="15"/>
  <c r="B652" i="15"/>
  <c r="B564" i="15"/>
  <c r="B777" i="15"/>
  <c r="B658" i="15"/>
  <c r="B597" i="15"/>
  <c r="B721" i="15"/>
  <c r="B569" i="15"/>
  <c r="B568" i="15"/>
  <c r="B408" i="15"/>
  <c r="B417" i="15"/>
  <c r="B330" i="15"/>
  <c r="B334" i="15"/>
  <c r="B363" i="15"/>
  <c r="B510" i="15"/>
  <c r="B599" i="15"/>
  <c r="B278" i="15"/>
  <c r="B282" i="15"/>
  <c r="B393" i="15"/>
  <c r="B407" i="15"/>
  <c r="B151" i="15"/>
  <c r="B533" i="15"/>
  <c r="B386" i="15"/>
  <c r="B530" i="15"/>
  <c r="B188" i="15"/>
  <c r="B192" i="15"/>
  <c r="B302" i="15"/>
  <c r="B339" i="15"/>
  <c r="B545" i="15"/>
  <c r="B418" i="15"/>
  <c r="B543" i="15"/>
  <c r="B204" i="15"/>
  <c r="B208" i="15"/>
  <c r="B318" i="15"/>
  <c r="B351" i="15"/>
  <c r="B766" i="15"/>
  <c r="B692" i="15"/>
  <c r="B625" i="15"/>
  <c r="B486" i="15"/>
  <c r="B725" i="15"/>
  <c r="B381" i="15"/>
  <c r="B697" i="15"/>
  <c r="B653" i="15"/>
  <c r="B516" i="15"/>
  <c r="B412" i="15"/>
  <c r="B216" i="15"/>
  <c r="B177" i="15"/>
  <c r="B142" i="15"/>
  <c r="B711" i="15"/>
  <c r="B432" i="15"/>
  <c r="B201" i="15"/>
  <c r="B578" i="15"/>
  <c r="B643" i="15"/>
  <c r="B341" i="15"/>
  <c r="B110" i="15"/>
  <c r="B189" i="15"/>
  <c r="B178" i="15"/>
  <c r="B463" i="15"/>
  <c r="B690" i="15"/>
  <c r="B181" i="15"/>
  <c r="B514" i="15"/>
  <c r="B327" i="15"/>
  <c r="B396" i="15"/>
  <c r="B259" i="15"/>
  <c r="B442" i="15"/>
  <c r="B776" i="15"/>
  <c r="B317" i="15"/>
  <c r="B157" i="15"/>
  <c r="B270" i="15"/>
  <c r="B440" i="15"/>
  <c r="B214" i="15"/>
  <c r="B329" i="15"/>
  <c r="B706" i="15"/>
  <c r="B184" i="15"/>
  <c r="B124" i="15"/>
  <c r="B238" i="15"/>
  <c r="B485" i="15"/>
  <c r="B482" i="15"/>
  <c r="B144" i="15"/>
  <c r="B710" i="15"/>
  <c r="B520" i="15"/>
  <c r="B155" i="15"/>
  <c r="B455" i="15"/>
  <c r="B484" i="15"/>
  <c r="B366" i="15"/>
  <c r="B591" i="15"/>
  <c r="B694" i="15"/>
  <c r="B640" i="15"/>
  <c r="B473" i="15"/>
  <c r="B352" i="15"/>
  <c r="B379" i="15"/>
  <c r="B615" i="15"/>
  <c r="B304" i="15"/>
  <c r="B423" i="15"/>
  <c r="B549" i="15"/>
  <c r="B547" i="15"/>
  <c r="B213" i="15"/>
  <c r="B355" i="15"/>
  <c r="B457" i="15"/>
  <c r="B225" i="15"/>
  <c r="B340" i="15"/>
  <c r="B111" i="15"/>
  <c r="B431" i="15"/>
  <c r="B271" i="15"/>
  <c r="B227" i="15"/>
  <c r="B169" i="15"/>
  <c r="B212" i="15"/>
  <c r="B229" i="15"/>
  <c r="B518" i="15"/>
  <c r="B780" i="15"/>
  <c r="B739" i="15"/>
  <c r="B730" i="15"/>
  <c r="B688" i="15"/>
  <c r="B644" i="15"/>
  <c r="B517" i="15"/>
  <c r="B476" i="15"/>
  <c r="B772" i="15"/>
  <c r="B727" i="15"/>
  <c r="B538" i="15"/>
  <c r="B784" i="15"/>
  <c r="B743" i="15"/>
  <c r="B750" i="15"/>
  <c r="B714" i="15"/>
  <c r="B670" i="15"/>
  <c r="B280" i="15"/>
  <c r="B604" i="15"/>
  <c r="B560" i="15"/>
  <c r="B349" i="15"/>
  <c r="B742" i="15"/>
  <c r="B704" i="15"/>
  <c r="B660" i="15"/>
  <c r="B194" i="15"/>
  <c r="B720" i="15"/>
  <c r="B676" i="15"/>
  <c r="B322" i="15"/>
  <c r="B524" i="15"/>
  <c r="B536" i="15"/>
  <c r="B619" i="15"/>
  <c r="B305" i="15"/>
  <c r="B309" i="15"/>
  <c r="B420" i="15"/>
  <c r="B402" i="15"/>
  <c r="B746" i="15"/>
  <c r="B665" i="15"/>
  <c r="B554" i="15"/>
  <c r="B747" i="15"/>
  <c r="B445" i="15"/>
  <c r="B735" i="15"/>
  <c r="B253" i="15"/>
  <c r="B587" i="15"/>
  <c r="B156" i="15"/>
  <c r="B475" i="15"/>
  <c r="B121" i="15"/>
  <c r="B203" i="15"/>
  <c r="B695" i="15"/>
  <c r="B364" i="15"/>
  <c r="B410" i="15"/>
  <c r="B503" i="15"/>
  <c r="B180" i="15"/>
  <c r="B247" i="15"/>
  <c r="B557" i="15"/>
  <c r="B544" i="15"/>
  <c r="B627" i="15"/>
  <c r="B316" i="15"/>
  <c r="B320" i="15"/>
  <c r="B430" i="15"/>
  <c r="B435" i="15"/>
  <c r="B179" i="15"/>
  <c r="B556" i="15"/>
  <c r="B639" i="15"/>
  <c r="B332" i="15"/>
  <c r="B336" i="15"/>
  <c r="B446" i="15"/>
  <c r="B447" i="15"/>
  <c r="B191" i="15"/>
  <c r="B765" i="15"/>
  <c r="B626" i="15"/>
  <c r="B624" i="15"/>
  <c r="B770" i="15"/>
  <c r="B724" i="15"/>
  <c r="B769" i="15"/>
  <c r="B637" i="15"/>
  <c r="B541" i="15"/>
  <c r="B715" i="15"/>
  <c r="B326" i="15"/>
  <c r="B202" i="15"/>
  <c r="B249" i="15"/>
  <c r="B299" i="15"/>
  <c r="B397" i="15"/>
  <c r="B535" i="15"/>
  <c r="B193" i="15"/>
  <c r="B197" i="15"/>
  <c r="B308" i="15"/>
  <c r="B343" i="15"/>
  <c r="B685" i="15"/>
  <c r="B444" i="15"/>
  <c r="B723" i="15"/>
  <c r="B438" i="15"/>
  <c r="B448" i="15"/>
  <c r="B531" i="15"/>
  <c r="B217" i="15"/>
  <c r="B275" i="15"/>
  <c r="B464" i="15"/>
  <c r="B162" i="15"/>
  <c r="B461" i="15"/>
  <c r="B118" i="15"/>
  <c r="B122" i="15"/>
  <c r="B233" i="15"/>
  <c r="B287" i="15"/>
  <c r="B609" i="15"/>
  <c r="B392" i="15"/>
  <c r="B745" i="15"/>
  <c r="B573" i="15"/>
  <c r="B550" i="15"/>
  <c r="B614" i="15"/>
  <c r="B434" i="15"/>
  <c r="B424" i="15"/>
  <c r="B413" i="15"/>
  <c r="B756" i="15"/>
  <c r="B365" i="15"/>
  <c r="B288" i="15"/>
  <c r="B347" i="15"/>
  <c r="B583" i="15"/>
  <c r="B261" i="15"/>
  <c r="B391" i="15"/>
  <c r="B512" i="15"/>
  <c r="B509" i="15"/>
  <c r="B170" i="15"/>
  <c r="B323" i="15"/>
  <c r="B376" i="15"/>
  <c r="B182" i="15"/>
  <c r="B126" i="15"/>
  <c r="B696" i="15"/>
  <c r="B228" i="15"/>
  <c r="B172" i="15"/>
  <c r="B664" i="15"/>
  <c r="B426" i="15"/>
  <c r="B433" i="15"/>
  <c r="B527" i="15"/>
  <c r="B684" i="15"/>
  <c r="B458" i="15"/>
  <c r="B113" i="15"/>
  <c r="B443" i="15"/>
  <c r="B679" i="15"/>
  <c r="B389" i="15"/>
  <c r="B158" i="15"/>
  <c r="B481" i="15"/>
  <c r="B611" i="15"/>
  <c r="B298" i="15"/>
  <c r="B419" i="15"/>
  <c r="B540" i="15"/>
  <c r="B310" i="15"/>
  <c r="B425" i="15"/>
  <c r="B789" i="15"/>
  <c r="B416" i="15"/>
  <c r="B647" i="15"/>
  <c r="B116" i="15"/>
  <c r="B579" i="15"/>
  <c r="B387" i="15"/>
  <c r="B268" i="15"/>
  <c r="B606" i="15"/>
  <c r="B548" i="15"/>
  <c r="B651" i="15"/>
  <c r="B117" i="15"/>
  <c r="B251" i="15"/>
  <c r="B472" i="15"/>
  <c r="B133" i="15"/>
  <c r="B295" i="15"/>
  <c r="B296" i="15"/>
  <c r="B285" i="15"/>
  <c r="B687" i="15"/>
  <c r="B297" i="15"/>
  <c r="B152" i="15"/>
  <c r="B335" i="15"/>
  <c r="AA25" i="20" l="1"/>
  <c r="AA27" i="20"/>
  <c r="AA29" i="20"/>
  <c r="AM18" i="20"/>
  <c r="U154" i="20"/>
  <c r="AC154" i="20" s="1"/>
  <c r="U148" i="20"/>
  <c r="AC148" i="20" s="1"/>
  <c r="U144" i="20"/>
  <c r="AA144" i="20" s="1"/>
  <c r="U137" i="20"/>
  <c r="AC137" i="20" s="1"/>
  <c r="U133" i="20"/>
  <c r="AA133" i="20" s="1"/>
  <c r="U129" i="20"/>
  <c r="AC129" i="20" s="1"/>
  <c r="U125" i="20"/>
  <c r="AC125" i="20" s="1"/>
  <c r="U121" i="20"/>
  <c r="AA121" i="20" s="1"/>
  <c r="U114" i="20"/>
  <c r="AC114" i="20" s="1"/>
  <c r="U110" i="20"/>
  <c r="AC110" i="20" s="1"/>
  <c r="U101" i="20"/>
  <c r="AA101" i="20" s="1"/>
  <c r="U92" i="20"/>
  <c r="AC92" i="20" s="1"/>
  <c r="U85" i="20"/>
  <c r="AC85" i="20" s="1"/>
  <c r="U81" i="20"/>
  <c r="AC81" i="20" s="1"/>
  <c r="U74" i="20"/>
  <c r="AC74" i="20" s="1"/>
  <c r="U63" i="20"/>
  <c r="AC63" i="20" s="1"/>
  <c r="U59" i="20"/>
  <c r="AC59" i="20" s="1"/>
  <c r="U52" i="20"/>
  <c r="AC52" i="20" s="1"/>
  <c r="U47" i="20"/>
  <c r="AC47" i="20" s="1"/>
  <c r="U40" i="20"/>
  <c r="U35" i="20"/>
  <c r="AC35" i="20" s="1"/>
  <c r="U150" i="20"/>
  <c r="AC150" i="20" s="1"/>
  <c r="U139" i="20"/>
  <c r="AA139" i="20" s="1"/>
  <c r="U131" i="20"/>
  <c r="AA131" i="20" s="1"/>
  <c r="U123" i="20"/>
  <c r="AA123" i="20" s="1"/>
  <c r="U112" i="20"/>
  <c r="AC112" i="20" s="1"/>
  <c r="U94" i="20"/>
  <c r="AA94" i="20" s="1"/>
  <c r="U83" i="20"/>
  <c r="AC83" i="20" s="1"/>
  <c r="U72" i="20"/>
  <c r="AC72" i="20" s="1"/>
  <c r="U57" i="20"/>
  <c r="AA57" i="20" s="1"/>
  <c r="U50" i="20"/>
  <c r="AC50" i="20" s="1"/>
  <c r="U38" i="20"/>
  <c r="AC38" i="20" s="1"/>
  <c r="U155" i="20"/>
  <c r="U145" i="20"/>
  <c r="AC145" i="20" s="1"/>
  <c r="U130" i="20"/>
  <c r="AA130" i="20" s="1"/>
  <c r="U122" i="20"/>
  <c r="AA122" i="20" s="1"/>
  <c r="U111" i="20"/>
  <c r="U93" i="20"/>
  <c r="AC93" i="20" s="1"/>
  <c r="U82" i="20"/>
  <c r="AC82" i="20" s="1"/>
  <c r="U71" i="20"/>
  <c r="AC71" i="20" s="1"/>
  <c r="U60" i="20"/>
  <c r="AA60" i="20" s="1"/>
  <c r="U48" i="20"/>
  <c r="AC48" i="20" s="1"/>
  <c r="U37" i="20"/>
  <c r="AC37" i="20" s="1"/>
  <c r="U153" i="20"/>
  <c r="AC153" i="20" s="1"/>
  <c r="U147" i="20"/>
  <c r="AC147" i="20" s="1"/>
  <c r="U140" i="20"/>
  <c r="AA140" i="20" s="1"/>
  <c r="U136" i="20"/>
  <c r="AA136" i="20" s="1"/>
  <c r="U132" i="20"/>
  <c r="AA132" i="20" s="1"/>
  <c r="U128" i="20"/>
  <c r="AC128" i="20" s="1"/>
  <c r="U124" i="20"/>
  <c r="AA124" i="20" s="1"/>
  <c r="U117" i="20"/>
  <c r="AC117" i="20" s="1"/>
  <c r="U113" i="20"/>
  <c r="AC113" i="20" s="1"/>
  <c r="U109" i="20"/>
  <c r="AA109" i="20" s="1"/>
  <c r="U95" i="20"/>
  <c r="AC95" i="20" s="1"/>
  <c r="U91" i="20"/>
  <c r="AC91" i="20" s="1"/>
  <c r="U84" i="20"/>
  <c r="AA84" i="20" s="1"/>
  <c r="U80" i="20"/>
  <c r="AC80" i="20" s="1"/>
  <c r="U73" i="20"/>
  <c r="AC73" i="20" s="1"/>
  <c r="U62" i="20"/>
  <c r="U58" i="20"/>
  <c r="AC58" i="20" s="1"/>
  <c r="U51" i="20"/>
  <c r="AA51" i="20" s="1"/>
  <c r="U46" i="20"/>
  <c r="AC46" i="20" s="1"/>
  <c r="U39" i="20"/>
  <c r="AA39" i="20" s="1"/>
  <c r="U146" i="20"/>
  <c r="AC146" i="20" s="1"/>
  <c r="U135" i="20"/>
  <c r="AA135" i="20" s="1"/>
  <c r="U127" i="20"/>
  <c r="AA127" i="20" s="1"/>
  <c r="U116" i="20"/>
  <c r="AC116" i="20" s="1"/>
  <c r="U103" i="20"/>
  <c r="AC103" i="20" s="1"/>
  <c r="U87" i="20"/>
  <c r="AA87" i="20" s="1"/>
  <c r="U76" i="20"/>
  <c r="AC76" i="20" s="1"/>
  <c r="U61" i="20"/>
  <c r="U45" i="20"/>
  <c r="AA45" i="20" s="1"/>
  <c r="U149" i="20"/>
  <c r="AC149" i="20" s="1"/>
  <c r="U138" i="20"/>
  <c r="AA138" i="20" s="1"/>
  <c r="U134" i="20"/>
  <c r="U126" i="20"/>
  <c r="AC126" i="20" s="1"/>
  <c r="U115" i="20"/>
  <c r="AC115" i="20" s="1"/>
  <c r="U102" i="20"/>
  <c r="AC102" i="20" s="1"/>
  <c r="U86" i="20"/>
  <c r="AC86" i="20" s="1"/>
  <c r="U75" i="20"/>
  <c r="AC75" i="20" s="1"/>
  <c r="U56" i="20"/>
  <c r="AA56" i="20" s="1"/>
  <c r="U41" i="20"/>
  <c r="AC41" i="20" s="1"/>
  <c r="AA33" i="20"/>
  <c r="AA24" i="20"/>
  <c r="AA31" i="20"/>
  <c r="AA22" i="20"/>
  <c r="AA20" i="20"/>
  <c r="AA85" i="20"/>
  <c r="AA26" i="20"/>
  <c r="AA19" i="20"/>
  <c r="AC56" i="20"/>
  <c r="AA128" i="20"/>
  <c r="AC51" i="20"/>
  <c r="AC109" i="20"/>
  <c r="AA37" i="20"/>
  <c r="AA62" i="20"/>
  <c r="AC62" i="20"/>
  <c r="I181" i="20"/>
  <c r="I159" i="20"/>
  <c r="AC39" i="20"/>
  <c r="Z88" i="20"/>
  <c r="Z77" i="20"/>
  <c r="O181" i="20"/>
  <c r="O159" i="20"/>
  <c r="Z64" i="20"/>
  <c r="AA28" i="20"/>
  <c r="AA23" i="20"/>
  <c r="AA32" i="20"/>
  <c r="Z141" i="20"/>
  <c r="AA82" i="20"/>
  <c r="AA115" i="20"/>
  <c r="AA145" i="20"/>
  <c r="AD33" i="20"/>
  <c r="AE33" i="20" s="1"/>
  <c r="AD29" i="20"/>
  <c r="AE29" i="20" s="1"/>
  <c r="AD25" i="20"/>
  <c r="AE25" i="20" s="1"/>
  <c r="AD21" i="20"/>
  <c r="AE21" i="20" s="1"/>
  <c r="AD30" i="20"/>
  <c r="AE30" i="20" s="1"/>
  <c r="AD22" i="20"/>
  <c r="AE22" i="20" s="1"/>
  <c r="AD32" i="20"/>
  <c r="AE32" i="20" s="1"/>
  <c r="AD28" i="20"/>
  <c r="AE28" i="20" s="1"/>
  <c r="AD24" i="20"/>
  <c r="AE24" i="20" s="1"/>
  <c r="AD20" i="20"/>
  <c r="AE20" i="20" s="1"/>
  <c r="U34" i="20"/>
  <c r="AD26" i="20"/>
  <c r="AE26" i="20" s="1"/>
  <c r="AD18" i="20"/>
  <c r="AE18" i="20" s="1"/>
  <c r="AD31" i="20"/>
  <c r="AE31" i="20" s="1"/>
  <c r="AD27" i="20"/>
  <c r="AE27" i="20" s="1"/>
  <c r="AD23" i="20"/>
  <c r="AE23" i="20" s="1"/>
  <c r="AD19" i="20"/>
  <c r="AE19" i="20" s="1"/>
  <c r="AA61" i="20"/>
  <c r="AC61" i="20"/>
  <c r="AA30" i="20"/>
  <c r="AC122" i="20"/>
  <c r="AC133" i="20"/>
  <c r="AC57" i="20"/>
  <c r="AA47" i="20"/>
  <c r="AC123" i="20"/>
  <c r="AC87" i="20"/>
  <c r="AA134" i="20"/>
  <c r="AC134" i="20"/>
  <c r="AC101" i="20"/>
  <c r="AA125" i="20"/>
  <c r="AC144" i="20"/>
  <c r="Z96" i="20"/>
  <c r="Z104" i="20"/>
  <c r="L159" i="20"/>
  <c r="L8" i="20" s="1"/>
  <c r="L181" i="20"/>
  <c r="R159" i="20"/>
  <c r="R181" i="20"/>
  <c r="AA21" i="20"/>
  <c r="Z53" i="20"/>
  <c r="Z151" i="20"/>
  <c r="AA149" i="20"/>
  <c r="AA117" i="20"/>
  <c r="AA147" i="20"/>
  <c r="AA137" i="20" l="1"/>
  <c r="AA114" i="20"/>
  <c r="AA35" i="20"/>
  <c r="AC60" i="20"/>
  <c r="AA72" i="20"/>
  <c r="AC135" i="20"/>
  <c r="AA80" i="20"/>
  <c r="AA59" i="20"/>
  <c r="AA154" i="20"/>
  <c r="AA81" i="20"/>
  <c r="AA52" i="20"/>
  <c r="AA41" i="20"/>
  <c r="AC124" i="20"/>
  <c r="AA129" i="20"/>
  <c r="AA93" i="20"/>
  <c r="AA48" i="20"/>
  <c r="AC138" i="20"/>
  <c r="AA95" i="20"/>
  <c r="AA112" i="20"/>
  <c r="AC140" i="20"/>
  <c r="AA46" i="20"/>
  <c r="AA102" i="20"/>
  <c r="AA73" i="20"/>
  <c r="AC127" i="20"/>
  <c r="AA110" i="20"/>
  <c r="AA76" i="20"/>
  <c r="AA150" i="20"/>
  <c r="AA148" i="20"/>
  <c r="AC121" i="20"/>
  <c r="AC84" i="20"/>
  <c r="AC94" i="20"/>
  <c r="AC130" i="20"/>
  <c r="AA74" i="20"/>
  <c r="AC136" i="20"/>
  <c r="AC139" i="20"/>
  <c r="U53" i="20"/>
  <c r="AA50" i="20"/>
  <c r="AA91" i="20"/>
  <c r="AA116" i="20"/>
  <c r="AC77" i="20"/>
  <c r="AA126" i="20"/>
  <c r="AA141" i="20" s="1"/>
  <c r="U77" i="20"/>
  <c r="AC151" i="20"/>
  <c r="U96" i="20"/>
  <c r="AC131" i="20"/>
  <c r="U42" i="20"/>
  <c r="AA92" i="20"/>
  <c r="AC45" i="20"/>
  <c r="U141" i="20"/>
  <c r="U88" i="20"/>
  <c r="AA75" i="20"/>
  <c r="AA146" i="20"/>
  <c r="AA151" i="20" s="1"/>
  <c r="U151" i="20"/>
  <c r="U104" i="20"/>
  <c r="AA38" i="20"/>
  <c r="AA63" i="20"/>
  <c r="AA153" i="20"/>
  <c r="U118" i="20"/>
  <c r="AA58" i="20"/>
  <c r="AC132" i="20"/>
  <c r="U64" i="20"/>
  <c r="AA40" i="20"/>
  <c r="AC40" i="20"/>
  <c r="AA103" i="20"/>
  <c r="AC104" i="20"/>
  <c r="AA71" i="20"/>
  <c r="AA83" i="20"/>
  <c r="AA86" i="20"/>
  <c r="AA88" i="20" s="1"/>
  <c r="AA113" i="20"/>
  <c r="AA155" i="20"/>
  <c r="AC155" i="20"/>
  <c r="R8" i="20"/>
  <c r="N9" i="15" s="1"/>
  <c r="O9" i="15" s="1"/>
  <c r="O8" i="20"/>
  <c r="N8" i="15" s="1"/>
  <c r="O8" i="15" s="1"/>
  <c r="I8" i="20"/>
  <c r="N6" i="15" s="1"/>
  <c r="O6" i="15" s="1"/>
  <c r="N7" i="15"/>
  <c r="O7" i="15" s="1"/>
  <c r="M118" i="18"/>
  <c r="J118" i="18"/>
  <c r="J157" i="18" s="1"/>
  <c r="V111" i="18"/>
  <c r="Z111" i="20"/>
  <c r="S118" i="18"/>
  <c r="S157" i="18" s="1"/>
  <c r="P118" i="18"/>
  <c r="P157" i="18" s="1"/>
  <c r="AC96" i="20"/>
  <c r="AE34" i="20"/>
  <c r="AD34" i="20"/>
  <c r="Z98" i="20"/>
  <c r="Z106" i="20" s="1"/>
  <c r="AC64" i="20"/>
  <c r="AC53" i="20"/>
  <c r="AC88" i="20"/>
  <c r="AA53" i="20" l="1"/>
  <c r="AA64" i="20"/>
  <c r="AA77" i="20"/>
  <c r="AA104" i="20"/>
  <c r="U98" i="20"/>
  <c r="U106" i="20" s="1"/>
  <c r="U157" i="20" s="1"/>
  <c r="AA96" i="20"/>
  <c r="AA98" i="20" s="1"/>
  <c r="AA106" i="20" s="1"/>
  <c r="AC141" i="20"/>
  <c r="U66" i="20"/>
  <c r="U6" i="20" s="1"/>
  <c r="O10" i="15"/>
  <c r="M12" i="15" s="1"/>
  <c r="E2" i="20" s="1"/>
  <c r="M157" i="18"/>
  <c r="M7" i="18" s="1"/>
  <c r="S7" i="18"/>
  <c r="S183" i="18"/>
  <c r="M183" i="18"/>
  <c r="J7" i="18"/>
  <c r="J183" i="18"/>
  <c r="Z118" i="20"/>
  <c r="Z157" i="20" s="1"/>
  <c r="AA111" i="20"/>
  <c r="AA118" i="20" s="1"/>
  <c r="P7" i="18"/>
  <c r="P183" i="18"/>
  <c r="V118" i="18"/>
  <c r="V157" i="18" s="1"/>
  <c r="AB111" i="20"/>
  <c r="Y111" i="18"/>
  <c r="Y118" i="18" s="1"/>
  <c r="AC98" i="20"/>
  <c r="AC106" i="20" s="1"/>
  <c r="U181" i="20"/>
  <c r="U183" i="20"/>
  <c r="C17" i="15"/>
  <c r="B16" i="15" s="1"/>
  <c r="D18" i="3" s="1"/>
  <c r="U159" i="20" l="1"/>
  <c r="U8" i="20" s="1"/>
  <c r="U7" i="20"/>
  <c r="AD155" i="20"/>
  <c r="AE155" i="20" s="1"/>
  <c r="AD149" i="20"/>
  <c r="AE149" i="20" s="1"/>
  <c r="AD145" i="20"/>
  <c r="AE145" i="20" s="1"/>
  <c r="AD138" i="20"/>
  <c r="AE138" i="20" s="1"/>
  <c r="AD134" i="20"/>
  <c r="AE134" i="20" s="1"/>
  <c r="AD130" i="20"/>
  <c r="AE130" i="20" s="1"/>
  <c r="AD126" i="20"/>
  <c r="AE126" i="20" s="1"/>
  <c r="AD122" i="20"/>
  <c r="AE122" i="20" s="1"/>
  <c r="AD115" i="20"/>
  <c r="AE115" i="20" s="1"/>
  <c r="AD111" i="20"/>
  <c r="AE111" i="20" s="1"/>
  <c r="AD102" i="20"/>
  <c r="AE102" i="20" s="1"/>
  <c r="AD93" i="20"/>
  <c r="AE93" i="20" s="1"/>
  <c r="AD86" i="20"/>
  <c r="AE86" i="20" s="1"/>
  <c r="AD82" i="20"/>
  <c r="AE82" i="20" s="1"/>
  <c r="AD75" i="20"/>
  <c r="AE75" i="20" s="1"/>
  <c r="AD71" i="20"/>
  <c r="AD60" i="20"/>
  <c r="AE60" i="20" s="1"/>
  <c r="AD56" i="20"/>
  <c r="AD48" i="20"/>
  <c r="AE48" i="20" s="1"/>
  <c r="AD41" i="20"/>
  <c r="AE41" i="20" s="1"/>
  <c r="AD37" i="20"/>
  <c r="AE37" i="20" s="1"/>
  <c r="AD147" i="20"/>
  <c r="AE147" i="20" s="1"/>
  <c r="AD136" i="20"/>
  <c r="AE136" i="20" s="1"/>
  <c r="AD128" i="20"/>
  <c r="AE128" i="20" s="1"/>
  <c r="AD124" i="20"/>
  <c r="AE124" i="20" s="1"/>
  <c r="AD113" i="20"/>
  <c r="AE113" i="20" s="1"/>
  <c r="AD95" i="20"/>
  <c r="AE95" i="20" s="1"/>
  <c r="AD84" i="20"/>
  <c r="AE84" i="20" s="1"/>
  <c r="AD73" i="20"/>
  <c r="AE73" i="20" s="1"/>
  <c r="AD58" i="20"/>
  <c r="AE58" i="20" s="1"/>
  <c r="AD46" i="20"/>
  <c r="AE46" i="20" s="1"/>
  <c r="AD146" i="20"/>
  <c r="AE146" i="20" s="1"/>
  <c r="AD135" i="20"/>
  <c r="AE135" i="20" s="1"/>
  <c r="AD127" i="20"/>
  <c r="AE127" i="20" s="1"/>
  <c r="AD123" i="20"/>
  <c r="AE123" i="20" s="1"/>
  <c r="AD103" i="20"/>
  <c r="AE103" i="20" s="1"/>
  <c r="AD87" i="20"/>
  <c r="AE87" i="20" s="1"/>
  <c r="AD76" i="20"/>
  <c r="AE76" i="20" s="1"/>
  <c r="AD61" i="20"/>
  <c r="AE61" i="20" s="1"/>
  <c r="AD50" i="20"/>
  <c r="AE50" i="20" s="1"/>
  <c r="AD154" i="20"/>
  <c r="AE154" i="20" s="1"/>
  <c r="AD148" i="20"/>
  <c r="AE148" i="20" s="1"/>
  <c r="AD144" i="20"/>
  <c r="AD137" i="20"/>
  <c r="AE137" i="20" s="1"/>
  <c r="AD133" i="20"/>
  <c r="AE133" i="20" s="1"/>
  <c r="AD129" i="20"/>
  <c r="AE129" i="20" s="1"/>
  <c r="AD125" i="20"/>
  <c r="AE125" i="20" s="1"/>
  <c r="AD121" i="20"/>
  <c r="AD114" i="20"/>
  <c r="AE114" i="20" s="1"/>
  <c r="AD110" i="20"/>
  <c r="AE110" i="20" s="1"/>
  <c r="AD101" i="20"/>
  <c r="AD92" i="20"/>
  <c r="AE92" i="20" s="1"/>
  <c r="AD85" i="20"/>
  <c r="AE85" i="20" s="1"/>
  <c r="AD81" i="20"/>
  <c r="AE81" i="20" s="1"/>
  <c r="AD74" i="20"/>
  <c r="AE74" i="20" s="1"/>
  <c r="AD63" i="20"/>
  <c r="AE63" i="20" s="1"/>
  <c r="AD59" i="20"/>
  <c r="AE59" i="20" s="1"/>
  <c r="AD52" i="20"/>
  <c r="AE52" i="20" s="1"/>
  <c r="AD47" i="20"/>
  <c r="AE47" i="20" s="1"/>
  <c r="AD40" i="20"/>
  <c r="AE40" i="20" s="1"/>
  <c r="AD35" i="20"/>
  <c r="AD153" i="20"/>
  <c r="AE153" i="20" s="1"/>
  <c r="AD140" i="20"/>
  <c r="AE140" i="20" s="1"/>
  <c r="AD132" i="20"/>
  <c r="AE132" i="20" s="1"/>
  <c r="AD117" i="20"/>
  <c r="AE117" i="20" s="1"/>
  <c r="AD109" i="20"/>
  <c r="AD91" i="20"/>
  <c r="AD80" i="20"/>
  <c r="AD62" i="20"/>
  <c r="AE62" i="20" s="1"/>
  <c r="AD51" i="20"/>
  <c r="AE51" i="20" s="1"/>
  <c r="AD39" i="20"/>
  <c r="AE39" i="20" s="1"/>
  <c r="AD150" i="20"/>
  <c r="AE150" i="20" s="1"/>
  <c r="AD139" i="20"/>
  <c r="AE139" i="20" s="1"/>
  <c r="AD131" i="20"/>
  <c r="AE131" i="20" s="1"/>
  <c r="AD116" i="20"/>
  <c r="AE116" i="20" s="1"/>
  <c r="AD112" i="20"/>
  <c r="AE112" i="20" s="1"/>
  <c r="AD94" i="20"/>
  <c r="AE94" i="20" s="1"/>
  <c r="AD83" i="20"/>
  <c r="AE83" i="20" s="1"/>
  <c r="AD72" i="20"/>
  <c r="AE72" i="20" s="1"/>
  <c r="AD57" i="20"/>
  <c r="AE57" i="20" s="1"/>
  <c r="AD45" i="20"/>
  <c r="AD38" i="20"/>
  <c r="AE38" i="20" s="1"/>
  <c r="AA157" i="20"/>
  <c r="AA7" i="20" s="1"/>
  <c r="Y157" i="18"/>
  <c r="Y7" i="18" s="1"/>
  <c r="I12" i="15"/>
  <c r="G16" i="15"/>
  <c r="Z7" i="20"/>
  <c r="Z183" i="20"/>
  <c r="AA183" i="20" s="1"/>
  <c r="V7" i="18"/>
  <c r="AB118" i="20"/>
  <c r="AB157" i="20" s="1"/>
  <c r="AC111" i="20"/>
  <c r="AC118" i="20" s="1"/>
  <c r="AD183" i="20"/>
  <c r="AE183" i="20" s="1"/>
  <c r="AD181" i="20"/>
  <c r="AE181" i="20" s="1"/>
  <c r="C18" i="15"/>
  <c r="AE80" i="20" l="1"/>
  <c r="AE88" i="20" s="1"/>
  <c r="AD88" i="20"/>
  <c r="AE91" i="20"/>
  <c r="AE96" i="20" s="1"/>
  <c r="AD96" i="20"/>
  <c r="AE101" i="20"/>
  <c r="AE104" i="20" s="1"/>
  <c r="AD104" i="20"/>
  <c r="AD151" i="20"/>
  <c r="AE144" i="20"/>
  <c r="AE151" i="20" s="1"/>
  <c r="AE109" i="20"/>
  <c r="AE118" i="20" s="1"/>
  <c r="AD118" i="20"/>
  <c r="AE56" i="20"/>
  <c r="AE64" i="20" s="1"/>
  <c r="AD64" i="20"/>
  <c r="AE121" i="20"/>
  <c r="AE141" i="20" s="1"/>
  <c r="AD141" i="20"/>
  <c r="AE71" i="20"/>
  <c r="AE77" i="20" s="1"/>
  <c r="AE98" i="20" s="1"/>
  <c r="AE106" i="20" s="1"/>
  <c r="AD77" i="20"/>
  <c r="AD98" i="20" s="1"/>
  <c r="AD106" i="20" s="1"/>
  <c r="AD157" i="20" s="1"/>
  <c r="AD7" i="20" s="1"/>
  <c r="AE45" i="20"/>
  <c r="AE53" i="20" s="1"/>
  <c r="AD53" i="20"/>
  <c r="AE35" i="20"/>
  <c r="AE42" i="20" s="1"/>
  <c r="AD42" i="20"/>
  <c r="AC157" i="20"/>
  <c r="AC7" i="20" s="1"/>
  <c r="I22" i="15"/>
  <c r="D19" i="3" s="1"/>
  <c r="J12" i="15"/>
  <c r="AB7" i="20"/>
  <c r="C19" i="15"/>
  <c r="B17" i="15"/>
  <c r="AD66" i="20" l="1"/>
  <c r="AE66" i="20"/>
  <c r="AE157" i="20"/>
  <c r="AE7" i="20" s="1"/>
  <c r="I4" i="20"/>
  <c r="U4" i="20" s="1"/>
  <c r="E3" i="21"/>
  <c r="B11" i="19"/>
  <c r="B4" i="17"/>
  <c r="I4" i="18"/>
  <c r="V4" i="18" s="1"/>
  <c r="B3" i="14"/>
  <c r="E20" i="21"/>
  <c r="D11" i="14"/>
  <c r="E7" i="17"/>
  <c r="I13" i="18"/>
  <c r="D35" i="14"/>
  <c r="D22" i="14"/>
  <c r="B18" i="15"/>
  <c r="C20" i="15"/>
  <c r="B19" i="15" s="1"/>
  <c r="AE6" i="20" l="1"/>
  <c r="AE159" i="20"/>
  <c r="AE8" i="20" s="1"/>
  <c r="AD6" i="20"/>
  <c r="AD159" i="20"/>
  <c r="AD8" i="20" s="1"/>
  <c r="C21" i="15"/>
  <c r="B20" i="15" s="1"/>
  <c r="F16" i="15" l="1"/>
  <c r="C22" i="15"/>
  <c r="B21" i="15" s="1"/>
  <c r="F17" i="15" l="1"/>
  <c r="C23" i="15"/>
  <c r="B22" i="15" s="1"/>
  <c r="F18" i="15" l="1"/>
  <c r="F19" i="15" s="1"/>
  <c r="F20" i="15" s="1"/>
  <c r="G17" i="15"/>
  <c r="C24" i="15"/>
  <c r="B23" i="15" s="1"/>
  <c r="G18" i="15" l="1"/>
  <c r="G19" i="15"/>
  <c r="H19" i="15"/>
  <c r="C25" i="15"/>
  <c r="B25" i="15" l="1"/>
  <c r="H17" i="15"/>
  <c r="H16" i="15"/>
  <c r="H18" i="15"/>
  <c r="B24" i="15"/>
  <c r="I16" i="15" l="1"/>
  <c r="H20" i="15"/>
  <c r="G20" i="15"/>
  <c r="I17" i="15" l="1"/>
  <c r="I18" i="15" l="1"/>
  <c r="I20" i="15" l="1"/>
  <c r="I19" i="15"/>
  <c r="I5" i="15" l="1"/>
  <c r="C52" i="15" l="1"/>
  <c r="U22" i="21" s="1"/>
  <c r="C63" i="15"/>
  <c r="C62" i="15"/>
  <c r="C61" i="15"/>
  <c r="C56" i="15"/>
  <c r="C83" i="15"/>
  <c r="C67" i="15"/>
  <c r="C70" i="15"/>
  <c r="C89" i="15"/>
  <c r="C73" i="15"/>
  <c r="C59" i="15"/>
  <c r="C58" i="15"/>
  <c r="C57" i="15"/>
  <c r="C95" i="15"/>
  <c r="C79" i="15"/>
  <c r="C98" i="15"/>
  <c r="C101" i="15"/>
  <c r="C85" i="15"/>
  <c r="C69" i="15"/>
  <c r="C94" i="15"/>
  <c r="C78" i="15"/>
  <c r="C100" i="15"/>
  <c r="C92" i="15"/>
  <c r="C84" i="15"/>
  <c r="C76" i="15"/>
  <c r="C68" i="15"/>
  <c r="C55" i="15"/>
  <c r="C54" i="15"/>
  <c r="C64" i="15"/>
  <c r="C91" i="15"/>
  <c r="C75" i="15"/>
  <c r="C86" i="15"/>
  <c r="C97" i="15"/>
  <c r="C81" i="15"/>
  <c r="C66" i="15"/>
  <c r="C65" i="15"/>
  <c r="C60" i="15"/>
  <c r="C87" i="15"/>
  <c r="C71" i="15"/>
  <c r="C82" i="15"/>
  <c r="C93" i="15"/>
  <c r="C77" i="15"/>
  <c r="C53" i="15"/>
  <c r="C99" i="15"/>
  <c r="C90" i="15"/>
  <c r="C74" i="15"/>
  <c r="C96" i="15"/>
  <c r="C88" i="15"/>
  <c r="C80" i="15"/>
  <c r="C72" i="15"/>
  <c r="F106" i="15" s="1"/>
  <c r="N52" i="15"/>
  <c r="Q18" i="18" s="1"/>
  <c r="L52" i="15"/>
  <c r="M52" i="15"/>
  <c r="N18" i="18" s="1"/>
  <c r="F52" i="15"/>
  <c r="G52" i="15"/>
  <c r="M18" i="18" s="1"/>
  <c r="I52" i="15"/>
  <c r="S18" i="18" s="1"/>
  <c r="O52" i="15"/>
  <c r="T18" i="18" s="1"/>
  <c r="H52" i="15"/>
  <c r="P18" i="18" s="1"/>
  <c r="G18" i="20"/>
  <c r="G18" i="18"/>
  <c r="D800" i="15"/>
  <c r="D801" i="15" s="1" a="1"/>
  <c r="D801" i="15" s="1"/>
  <c r="C793" i="15" s="1"/>
  <c r="B2" i="17"/>
  <c r="D799" i="15"/>
  <c r="I2" i="18"/>
  <c r="V2" i="18" s="1"/>
  <c r="B10" i="19"/>
  <c r="B2" i="14"/>
  <c r="I2" i="20"/>
  <c r="C796" i="15"/>
  <c r="E2" i="21"/>
  <c r="J5" i="15"/>
  <c r="O96" i="15" l="1"/>
  <c r="G96" i="15"/>
  <c r="N96" i="15"/>
  <c r="I96" i="15"/>
  <c r="U66" i="21"/>
  <c r="H96" i="15"/>
  <c r="M96" i="15"/>
  <c r="L96" i="15"/>
  <c r="F96" i="15"/>
  <c r="U23" i="21"/>
  <c r="F53" i="15"/>
  <c r="G53" i="15"/>
  <c r="M19" i="18" s="1"/>
  <c r="H53" i="15"/>
  <c r="P19" i="18" s="1"/>
  <c r="M53" i="15"/>
  <c r="N19" i="18" s="1"/>
  <c r="N53" i="15"/>
  <c r="Q19" i="18" s="1"/>
  <c r="L53" i="15"/>
  <c r="G19" i="18"/>
  <c r="O53" i="15"/>
  <c r="T19" i="18" s="1"/>
  <c r="I53" i="15"/>
  <c r="S19" i="18" s="1"/>
  <c r="G19" i="20"/>
  <c r="U41" i="21"/>
  <c r="N71" i="15"/>
  <c r="M71" i="15"/>
  <c r="L71" i="15"/>
  <c r="H71" i="15"/>
  <c r="O71" i="15"/>
  <c r="I71" i="15"/>
  <c r="F71" i="15"/>
  <c r="G71" i="15"/>
  <c r="U36" i="21"/>
  <c r="L66" i="15"/>
  <c r="N66" i="15"/>
  <c r="Q32" i="18" s="1"/>
  <c r="F66" i="15"/>
  <c r="I66" i="15"/>
  <c r="S32" i="18" s="1"/>
  <c r="G66" i="15"/>
  <c r="M32" i="18" s="1"/>
  <c r="M66" i="15"/>
  <c r="N32" i="18" s="1"/>
  <c r="O66" i="15"/>
  <c r="T32" i="18" s="1"/>
  <c r="H66" i="15"/>
  <c r="P32" i="18" s="1"/>
  <c r="G32" i="20"/>
  <c r="G32" i="18"/>
  <c r="O75" i="15"/>
  <c r="F75" i="15"/>
  <c r="G75" i="15"/>
  <c r="H75" i="15"/>
  <c r="L75" i="15"/>
  <c r="U45" i="21"/>
  <c r="N75" i="15"/>
  <c r="M75" i="15"/>
  <c r="P75" i="15" s="1"/>
  <c r="I75" i="15"/>
  <c r="J75" i="15" s="1"/>
  <c r="U25" i="21"/>
  <c r="N55" i="15"/>
  <c r="Q21" i="18" s="1"/>
  <c r="M55" i="15"/>
  <c r="N21" i="18" s="1"/>
  <c r="L55" i="15"/>
  <c r="H55" i="15"/>
  <c r="P21" i="18" s="1"/>
  <c r="G55" i="15"/>
  <c r="M21" i="18" s="1"/>
  <c r="I55" i="15"/>
  <c r="S21" i="18" s="1"/>
  <c r="F55" i="15"/>
  <c r="O55" i="15"/>
  <c r="T21" i="18" s="1"/>
  <c r="G21" i="20"/>
  <c r="G21" i="18"/>
  <c r="U62" i="21"/>
  <c r="M92" i="15"/>
  <c r="G92" i="15"/>
  <c r="L92" i="15"/>
  <c r="I92" i="15"/>
  <c r="H92" i="15"/>
  <c r="O92" i="15"/>
  <c r="F92" i="15"/>
  <c r="J92" i="15" s="1"/>
  <c r="N92" i="15"/>
  <c r="U39" i="21"/>
  <c r="L69" i="15"/>
  <c r="G69" i="15"/>
  <c r="H69" i="15"/>
  <c r="O69" i="15"/>
  <c r="F69" i="15"/>
  <c r="M69" i="15"/>
  <c r="I69" i="15"/>
  <c r="N69" i="15"/>
  <c r="U49" i="21"/>
  <c r="F79" i="15"/>
  <c r="G79" i="15"/>
  <c r="O79" i="15"/>
  <c r="I79" i="15"/>
  <c r="N79" i="15"/>
  <c r="L79" i="15"/>
  <c r="H79" i="15"/>
  <c r="M79" i="15"/>
  <c r="U29" i="21"/>
  <c r="F59" i="15"/>
  <c r="G59" i="15"/>
  <c r="M25" i="18" s="1"/>
  <c r="I59" i="15"/>
  <c r="S25" i="18" s="1"/>
  <c r="O59" i="15"/>
  <c r="T25" i="18" s="1"/>
  <c r="N59" i="15"/>
  <c r="Q25" i="18" s="1"/>
  <c r="L59" i="15"/>
  <c r="M59" i="15"/>
  <c r="N25" i="18" s="1"/>
  <c r="H59" i="15"/>
  <c r="P25" i="18" s="1"/>
  <c r="G25" i="20"/>
  <c r="G25" i="18"/>
  <c r="O67" i="15"/>
  <c r="F67" i="15"/>
  <c r="G67" i="15"/>
  <c r="U37" i="21"/>
  <c r="M67" i="15"/>
  <c r="N67" i="15"/>
  <c r="I67" i="15"/>
  <c r="H67" i="15"/>
  <c r="L67" i="15"/>
  <c r="C102" i="15"/>
  <c r="F105" i="15"/>
  <c r="U32" i="21"/>
  <c r="O62" i="15"/>
  <c r="T28" i="18" s="1"/>
  <c r="L62" i="15"/>
  <c r="H62" i="15"/>
  <c r="P28" i="18" s="1"/>
  <c r="F62" i="15"/>
  <c r="I62" i="15"/>
  <c r="S28" i="18" s="1"/>
  <c r="G62" i="15"/>
  <c r="M28" i="18" s="1"/>
  <c r="M62" i="15"/>
  <c r="N28" i="18" s="1"/>
  <c r="N62" i="15"/>
  <c r="Q28" i="18" s="1"/>
  <c r="G28" i="20"/>
  <c r="G28" i="18"/>
  <c r="O72" i="15"/>
  <c r="H72" i="15"/>
  <c r="N72" i="15"/>
  <c r="I72" i="15"/>
  <c r="L72" i="15"/>
  <c r="M72" i="15"/>
  <c r="U42" i="21"/>
  <c r="G72" i="15"/>
  <c r="F72" i="15"/>
  <c r="J72" i="15" s="1"/>
  <c r="G74" i="15"/>
  <c r="O74" i="15"/>
  <c r="M74" i="15"/>
  <c r="H74" i="15"/>
  <c r="F74" i="15"/>
  <c r="I74" i="15"/>
  <c r="U44" i="21"/>
  <c r="N74" i="15"/>
  <c r="L74" i="15"/>
  <c r="U47" i="21"/>
  <c r="O77" i="15"/>
  <c r="H77" i="15"/>
  <c r="G77" i="15"/>
  <c r="L77" i="15"/>
  <c r="F77" i="15"/>
  <c r="N77" i="15"/>
  <c r="M77" i="15"/>
  <c r="I77" i="15"/>
  <c r="U57" i="21"/>
  <c r="N87" i="15"/>
  <c r="M87" i="15"/>
  <c r="L87" i="15"/>
  <c r="H87" i="15"/>
  <c r="F87" i="15"/>
  <c r="J87" i="15" s="1"/>
  <c r="O87" i="15"/>
  <c r="I87" i="15"/>
  <c r="G87" i="15"/>
  <c r="N81" i="15"/>
  <c r="G81" i="15"/>
  <c r="H81" i="15"/>
  <c r="O81" i="15"/>
  <c r="F81" i="15"/>
  <c r="M81" i="15"/>
  <c r="U51" i="21"/>
  <c r="L81" i="15"/>
  <c r="I81" i="15"/>
  <c r="M91" i="15"/>
  <c r="N91" i="15"/>
  <c r="O91" i="15"/>
  <c r="F91" i="15"/>
  <c r="G91" i="15"/>
  <c r="H91" i="15"/>
  <c r="L91" i="15"/>
  <c r="I91" i="15"/>
  <c r="U61" i="21"/>
  <c r="U38" i="21"/>
  <c r="F68" i="15"/>
  <c r="O68" i="15"/>
  <c r="M68" i="15"/>
  <c r="I68" i="15"/>
  <c r="N68" i="15"/>
  <c r="L68" i="15"/>
  <c r="H68" i="15"/>
  <c r="G68" i="15"/>
  <c r="U70" i="21"/>
  <c r="M100" i="15"/>
  <c r="G100" i="15"/>
  <c r="L100" i="15"/>
  <c r="I100" i="15"/>
  <c r="H100" i="15"/>
  <c r="O100" i="15"/>
  <c r="F100" i="15"/>
  <c r="N100" i="15"/>
  <c r="U55" i="21"/>
  <c r="L85" i="15"/>
  <c r="G85" i="15"/>
  <c r="H85" i="15"/>
  <c r="O85" i="15"/>
  <c r="F85" i="15"/>
  <c r="I85" i="15"/>
  <c r="M85" i="15"/>
  <c r="N85" i="15"/>
  <c r="U65" i="21"/>
  <c r="N95" i="15"/>
  <c r="G95" i="15"/>
  <c r="L95" i="15"/>
  <c r="H95" i="15"/>
  <c r="O95" i="15"/>
  <c r="F95" i="15"/>
  <c r="M95" i="15"/>
  <c r="I95" i="15"/>
  <c r="N73" i="15"/>
  <c r="H73" i="15"/>
  <c r="G73" i="15"/>
  <c r="L73" i="15"/>
  <c r="I73" i="15"/>
  <c r="F73" i="15"/>
  <c r="U43" i="21"/>
  <c r="O73" i="15"/>
  <c r="M73" i="15"/>
  <c r="P73" i="15" s="1"/>
  <c r="O83" i="15"/>
  <c r="F83" i="15"/>
  <c r="J83" i="15" s="1"/>
  <c r="G83" i="15"/>
  <c r="M83" i="15"/>
  <c r="I83" i="15"/>
  <c r="N83" i="15"/>
  <c r="H83" i="15"/>
  <c r="U53" i="21"/>
  <c r="L83" i="15"/>
  <c r="U33" i="21"/>
  <c r="L63" i="15"/>
  <c r="H63" i="15"/>
  <c r="P29" i="18" s="1"/>
  <c r="F63" i="15"/>
  <c r="G63" i="15"/>
  <c r="M29" i="18" s="1"/>
  <c r="I63" i="15"/>
  <c r="S29" i="18" s="1"/>
  <c r="N63" i="15"/>
  <c r="Q29" i="18" s="1"/>
  <c r="O63" i="15"/>
  <c r="T29" i="18" s="1"/>
  <c r="M63" i="15"/>
  <c r="N29" i="18" s="1"/>
  <c r="G29" i="20"/>
  <c r="G29" i="18"/>
  <c r="O80" i="15"/>
  <c r="H80" i="15"/>
  <c r="N80" i="15"/>
  <c r="I80" i="15"/>
  <c r="U50" i="21"/>
  <c r="L80" i="15"/>
  <c r="M80" i="15"/>
  <c r="G80" i="15"/>
  <c r="F80" i="15"/>
  <c r="L90" i="15"/>
  <c r="N90" i="15"/>
  <c r="F90" i="15"/>
  <c r="I90" i="15"/>
  <c r="U60" i="21"/>
  <c r="G90" i="15"/>
  <c r="M90" i="15"/>
  <c r="H90" i="15"/>
  <c r="O90" i="15"/>
  <c r="U63" i="21"/>
  <c r="O93" i="15"/>
  <c r="F93" i="15"/>
  <c r="M93" i="15"/>
  <c r="G93" i="15"/>
  <c r="L93" i="15"/>
  <c r="I93" i="15"/>
  <c r="N93" i="15"/>
  <c r="H93" i="15"/>
  <c r="U30" i="21"/>
  <c r="N60" i="15"/>
  <c r="Q26" i="18" s="1"/>
  <c r="L60" i="15"/>
  <c r="F60" i="15"/>
  <c r="O60" i="15"/>
  <c r="T26" i="18" s="1"/>
  <c r="I60" i="15"/>
  <c r="S26" i="18" s="1"/>
  <c r="G60" i="15"/>
  <c r="M26" i="18" s="1"/>
  <c r="M60" i="15"/>
  <c r="N26" i="18" s="1"/>
  <c r="H60" i="15"/>
  <c r="P26" i="18" s="1"/>
  <c r="G26" i="18"/>
  <c r="G26" i="20"/>
  <c r="L97" i="15"/>
  <c r="H97" i="15"/>
  <c r="N97" i="15"/>
  <c r="G97" i="15"/>
  <c r="M97" i="15"/>
  <c r="U67" i="21"/>
  <c r="F97" i="15"/>
  <c r="O97" i="15"/>
  <c r="R97" i="15" s="1"/>
  <c r="V67" i="21" s="1"/>
  <c r="I97" i="15"/>
  <c r="U34" i="21"/>
  <c r="G64" i="15"/>
  <c r="M30" i="18" s="1"/>
  <c r="F64" i="15"/>
  <c r="M64" i="15"/>
  <c r="N30" i="18" s="1"/>
  <c r="L64" i="15"/>
  <c r="H64" i="15"/>
  <c r="P30" i="18" s="1"/>
  <c r="N64" i="15"/>
  <c r="Q30" i="18" s="1"/>
  <c r="I64" i="15"/>
  <c r="S30" i="18" s="1"/>
  <c r="O64" i="15"/>
  <c r="T30" i="18" s="1"/>
  <c r="G30" i="20"/>
  <c r="G30" i="18"/>
  <c r="U46" i="21"/>
  <c r="F76" i="15"/>
  <c r="O76" i="15"/>
  <c r="M76" i="15"/>
  <c r="I76" i="15"/>
  <c r="N76" i="15"/>
  <c r="L76" i="15"/>
  <c r="H76" i="15"/>
  <c r="G76" i="15"/>
  <c r="U48" i="21"/>
  <c r="G78" i="15"/>
  <c r="M78" i="15"/>
  <c r="O78" i="15"/>
  <c r="L78" i="15"/>
  <c r="N78" i="15"/>
  <c r="I78" i="15"/>
  <c r="H78" i="15"/>
  <c r="F78" i="15"/>
  <c r="U71" i="21"/>
  <c r="N101" i="15"/>
  <c r="H101" i="15"/>
  <c r="L101" i="15"/>
  <c r="I101" i="15"/>
  <c r="M101" i="15"/>
  <c r="G101" i="15"/>
  <c r="O101" i="15"/>
  <c r="F101" i="15"/>
  <c r="U27" i="21"/>
  <c r="O57" i="15"/>
  <c r="T23" i="18" s="1"/>
  <c r="L57" i="15"/>
  <c r="F57" i="15"/>
  <c r="M57" i="15"/>
  <c r="N23" i="18" s="1"/>
  <c r="G57" i="15"/>
  <c r="M23" i="18" s="1"/>
  <c r="I57" i="15"/>
  <c r="S23" i="18" s="1"/>
  <c r="N57" i="15"/>
  <c r="Q23" i="18" s="1"/>
  <c r="H57" i="15"/>
  <c r="P23" i="18" s="1"/>
  <c r="G23" i="20"/>
  <c r="G23" i="18"/>
  <c r="N89" i="15"/>
  <c r="H89" i="15"/>
  <c r="G89" i="15"/>
  <c r="U59" i="21"/>
  <c r="O89" i="15"/>
  <c r="L89" i="15"/>
  <c r="P89" i="15" s="1"/>
  <c r="F89" i="15"/>
  <c r="I89" i="15"/>
  <c r="M89" i="15"/>
  <c r="U26" i="21"/>
  <c r="G56" i="15"/>
  <c r="M22" i="18" s="1"/>
  <c r="F56" i="15"/>
  <c r="L56" i="15"/>
  <c r="M56" i="15"/>
  <c r="N22" i="18" s="1"/>
  <c r="H56" i="15"/>
  <c r="P22" i="18" s="1"/>
  <c r="N56" i="15"/>
  <c r="Q22" i="18" s="1"/>
  <c r="I56" i="15"/>
  <c r="S22" i="18" s="1"/>
  <c r="O56" i="15"/>
  <c r="T22" i="18" s="1"/>
  <c r="G22" i="18"/>
  <c r="G22" i="20"/>
  <c r="O88" i="15"/>
  <c r="H88" i="15"/>
  <c r="N88" i="15"/>
  <c r="I88" i="15"/>
  <c r="L88" i="15"/>
  <c r="M88" i="15"/>
  <c r="U58" i="21"/>
  <c r="G88" i="15"/>
  <c r="F88" i="15"/>
  <c r="N99" i="15"/>
  <c r="G99" i="15"/>
  <c r="L99" i="15"/>
  <c r="H99" i="15"/>
  <c r="O99" i="15"/>
  <c r="F99" i="15"/>
  <c r="J99" i="15" s="1"/>
  <c r="M99" i="15"/>
  <c r="I99" i="15"/>
  <c r="U69" i="21"/>
  <c r="U52" i="21"/>
  <c r="G82" i="15"/>
  <c r="O82" i="15"/>
  <c r="M82" i="15"/>
  <c r="H82" i="15"/>
  <c r="F82" i="15"/>
  <c r="I82" i="15"/>
  <c r="N82" i="15"/>
  <c r="L82" i="15"/>
  <c r="U35" i="21"/>
  <c r="H65" i="15"/>
  <c r="P31" i="18" s="1"/>
  <c r="G65" i="15"/>
  <c r="M31" i="18" s="1"/>
  <c r="N65" i="15"/>
  <c r="Q31" i="18" s="1"/>
  <c r="I65" i="15"/>
  <c r="S31" i="18" s="1"/>
  <c r="O65" i="15"/>
  <c r="T31" i="18" s="1"/>
  <c r="F65" i="15"/>
  <c r="M65" i="15"/>
  <c r="N31" i="18" s="1"/>
  <c r="L65" i="15"/>
  <c r="G31" i="20"/>
  <c r="G31" i="18"/>
  <c r="N86" i="15"/>
  <c r="F86" i="15"/>
  <c r="H86" i="15"/>
  <c r="L86" i="15"/>
  <c r="M86" i="15"/>
  <c r="O86" i="15"/>
  <c r="G86" i="15"/>
  <c r="I86" i="15"/>
  <c r="U56" i="21"/>
  <c r="U24" i="21"/>
  <c r="G54" i="15"/>
  <c r="M20" i="18" s="1"/>
  <c r="M54" i="15"/>
  <c r="N20" i="18" s="1"/>
  <c r="O54" i="15"/>
  <c r="T20" i="18" s="1"/>
  <c r="L54" i="15"/>
  <c r="F54" i="15"/>
  <c r="N54" i="15"/>
  <c r="Q20" i="18" s="1"/>
  <c r="I54" i="15"/>
  <c r="S20" i="18" s="1"/>
  <c r="S20" i="20" s="1"/>
  <c r="T20" i="20" s="1"/>
  <c r="H54" i="15"/>
  <c r="P20" i="18" s="1"/>
  <c r="G20" i="20"/>
  <c r="G20" i="18"/>
  <c r="U54" i="21"/>
  <c r="F84" i="15"/>
  <c r="O84" i="15"/>
  <c r="M84" i="15"/>
  <c r="I84" i="15"/>
  <c r="N84" i="15"/>
  <c r="L84" i="15"/>
  <c r="H84" i="15"/>
  <c r="G84" i="15"/>
  <c r="U64" i="21"/>
  <c r="N94" i="15"/>
  <c r="L94" i="15"/>
  <c r="G94" i="15"/>
  <c r="I94" i="15"/>
  <c r="O94" i="15"/>
  <c r="F94" i="15"/>
  <c r="H94" i="15"/>
  <c r="M94" i="15"/>
  <c r="U68" i="21"/>
  <c r="L98" i="15"/>
  <c r="N98" i="15"/>
  <c r="G98" i="15"/>
  <c r="I98" i="15"/>
  <c r="M98" i="15"/>
  <c r="F98" i="15"/>
  <c r="J98" i="15" s="1"/>
  <c r="H98" i="15"/>
  <c r="O98" i="15"/>
  <c r="U28" i="21"/>
  <c r="G58" i="15"/>
  <c r="M24" i="18" s="1"/>
  <c r="O58" i="15"/>
  <c r="T24" i="18" s="1"/>
  <c r="M58" i="15"/>
  <c r="N24" i="18" s="1"/>
  <c r="H58" i="15"/>
  <c r="P24" i="18" s="1"/>
  <c r="N58" i="15"/>
  <c r="Q24" i="18" s="1"/>
  <c r="F58" i="15"/>
  <c r="I58" i="15"/>
  <c r="S24" i="18" s="1"/>
  <c r="L58" i="15"/>
  <c r="G24" i="20"/>
  <c r="G24" i="18"/>
  <c r="N70" i="15"/>
  <c r="H70" i="15"/>
  <c r="F70" i="15"/>
  <c r="I70" i="15"/>
  <c r="U40" i="21"/>
  <c r="M70" i="15"/>
  <c r="L70" i="15"/>
  <c r="G70" i="15"/>
  <c r="O70" i="15"/>
  <c r="U31" i="21"/>
  <c r="O61" i="15"/>
  <c r="T27" i="18" s="1"/>
  <c r="L61" i="15"/>
  <c r="M61" i="15"/>
  <c r="N27" i="18" s="1"/>
  <c r="F61" i="15"/>
  <c r="G61" i="15"/>
  <c r="M27" i="18" s="1"/>
  <c r="I61" i="15"/>
  <c r="S27" i="18" s="1"/>
  <c r="H61" i="15"/>
  <c r="P27" i="18" s="1"/>
  <c r="N61" i="15"/>
  <c r="Q27" i="18" s="1"/>
  <c r="G27" i="20"/>
  <c r="G27" i="18"/>
  <c r="R52" i="15"/>
  <c r="P181" i="18"/>
  <c r="J18" i="18"/>
  <c r="Z18" i="20" s="1"/>
  <c r="J52" i="15"/>
  <c r="D802" i="15"/>
  <c r="C794" i="15" s="1"/>
  <c r="U155" i="18"/>
  <c r="U192" i="18"/>
  <c r="U195" i="18"/>
  <c r="U196" i="18"/>
  <c r="T7" i="18"/>
  <c r="U191" i="18"/>
  <c r="U187" i="18"/>
  <c r="U188" i="18"/>
  <c r="S155" i="20"/>
  <c r="T155" i="20" s="1"/>
  <c r="S40" i="20"/>
  <c r="T40" i="20" s="1"/>
  <c r="S165" i="20"/>
  <c r="S136" i="20"/>
  <c r="T136" i="20" s="1"/>
  <c r="S117" i="20"/>
  <c r="T117" i="20" s="1"/>
  <c r="S56" i="20"/>
  <c r="S30" i="20"/>
  <c r="T30" i="20" s="1"/>
  <c r="S175" i="20"/>
  <c r="S145" i="20"/>
  <c r="T145" i="20" s="1"/>
  <c r="S102" i="20"/>
  <c r="T102" i="20" s="1"/>
  <c r="S123" i="20"/>
  <c r="T123" i="20" s="1"/>
  <c r="S174" i="20"/>
  <c r="S148" i="20"/>
  <c r="T148" i="20" s="1"/>
  <c r="S129" i="20"/>
  <c r="T129" i="20" s="1"/>
  <c r="S110" i="20"/>
  <c r="T110" i="20" s="1"/>
  <c r="S50" i="20"/>
  <c r="T50" i="20" s="1"/>
  <c r="S27" i="20"/>
  <c r="T27" i="20" s="1"/>
  <c r="S138" i="20"/>
  <c r="T138" i="20" s="1"/>
  <c r="S51" i="20"/>
  <c r="T51" i="20" s="1"/>
  <c r="S176" i="20"/>
  <c r="S139" i="20"/>
  <c r="T139" i="20" s="1"/>
  <c r="S103" i="20"/>
  <c r="T103" i="20" s="1"/>
  <c r="S29" i="20"/>
  <c r="T29" i="20" s="1"/>
  <c r="S95" i="20"/>
  <c r="T95" i="20" s="1"/>
  <c r="S73" i="20"/>
  <c r="T73" i="20" s="1"/>
  <c r="S87" i="20"/>
  <c r="T87" i="20" s="1"/>
  <c r="S91" i="20"/>
  <c r="S85" i="20"/>
  <c r="T85" i="20" s="1"/>
  <c r="S177" i="20"/>
  <c r="S153" i="20"/>
  <c r="T153" i="20" s="1"/>
  <c r="S132" i="20"/>
  <c r="T132" i="20" s="1"/>
  <c r="S113" i="20"/>
  <c r="T113" i="20" s="1"/>
  <c r="S48" i="20"/>
  <c r="T48" i="20" s="1"/>
  <c r="S26" i="20"/>
  <c r="T26" i="20" s="1"/>
  <c r="S171" i="20"/>
  <c r="S134" i="20"/>
  <c r="T134" i="20" s="1"/>
  <c r="S62" i="20"/>
  <c r="T62" i="20" s="1"/>
  <c r="S168" i="20"/>
  <c r="S112" i="20"/>
  <c r="T112" i="20" s="1"/>
  <c r="S25" i="20"/>
  <c r="T25" i="20" s="1"/>
  <c r="S170" i="20"/>
  <c r="S144" i="20"/>
  <c r="S125" i="20"/>
  <c r="T125" i="20" s="1"/>
  <c r="S101" i="20"/>
  <c r="S45" i="20"/>
  <c r="S23" i="20"/>
  <c r="T23" i="20" s="1"/>
  <c r="S130" i="20"/>
  <c r="T130" i="20" s="1"/>
  <c r="S38" i="20"/>
  <c r="T38" i="20" s="1"/>
  <c r="S172" i="20"/>
  <c r="S131" i="20"/>
  <c r="T131" i="20" s="1"/>
  <c r="S59" i="20"/>
  <c r="T59" i="20" s="1"/>
  <c r="S21" i="20"/>
  <c r="T21" i="20" s="1"/>
  <c r="S72" i="20"/>
  <c r="T72" i="20" s="1"/>
  <c r="S86" i="20"/>
  <c r="T86" i="20" s="1"/>
  <c r="S82" i="20"/>
  <c r="T82" i="20" s="1"/>
  <c r="S80" i="20"/>
  <c r="S173" i="20"/>
  <c r="S128" i="20"/>
  <c r="T128" i="20" s="1"/>
  <c r="S41" i="20"/>
  <c r="T41" i="20" s="1"/>
  <c r="S167" i="20"/>
  <c r="S46" i="20"/>
  <c r="T46" i="20" s="1"/>
  <c r="S63" i="20"/>
  <c r="T63" i="20" s="1"/>
  <c r="S166" i="20"/>
  <c r="S121" i="20"/>
  <c r="S37" i="20"/>
  <c r="T37" i="20" s="1"/>
  <c r="S122" i="20"/>
  <c r="T122" i="20" s="1"/>
  <c r="S164" i="20"/>
  <c r="S47" i="20"/>
  <c r="T47" i="20" s="1"/>
  <c r="S75" i="20"/>
  <c r="T75" i="20" s="1"/>
  <c r="S92" i="20"/>
  <c r="T92" i="20" s="1"/>
  <c r="U130" i="18"/>
  <c r="U115" i="18"/>
  <c r="U95" i="18"/>
  <c r="U73" i="18"/>
  <c r="U57" i="18"/>
  <c r="U30" i="18"/>
  <c r="U22" i="18"/>
  <c r="U138" i="18"/>
  <c r="U114" i="18"/>
  <c r="U74" i="18"/>
  <c r="U31" i="18"/>
  <c r="U149" i="18"/>
  <c r="U135" i="18"/>
  <c r="U102" i="18"/>
  <c r="U148" i="18"/>
  <c r="S169" i="20"/>
  <c r="S124" i="20"/>
  <c r="T124" i="20" s="1"/>
  <c r="S35" i="20"/>
  <c r="T35" i="20" s="1"/>
  <c r="S163" i="20"/>
  <c r="S28" i="20"/>
  <c r="T28" i="20" s="1"/>
  <c r="S52" i="20"/>
  <c r="T52" i="20" s="1"/>
  <c r="S154" i="20"/>
  <c r="T154" i="20" s="1"/>
  <c r="S114" i="20"/>
  <c r="T114" i="20" s="1"/>
  <c r="S31" i="20"/>
  <c r="T31" i="20" s="1"/>
  <c r="S58" i="20"/>
  <c r="T58" i="20" s="1"/>
  <c r="S150" i="20"/>
  <c r="T150" i="20" s="1"/>
  <c r="S39" i="20"/>
  <c r="T39" i="20" s="1"/>
  <c r="S93" i="20"/>
  <c r="T93" i="20" s="1"/>
  <c r="S83" i="20"/>
  <c r="T83" i="20" s="1"/>
  <c r="S147" i="20"/>
  <c r="T147" i="20" s="1"/>
  <c r="S109" i="20"/>
  <c r="S22" i="20"/>
  <c r="T22" i="20" s="1"/>
  <c r="S126" i="20"/>
  <c r="T126" i="20" s="1"/>
  <c r="S146" i="20"/>
  <c r="T146" i="20" s="1"/>
  <c r="S10" i="20"/>
  <c r="T10" i="20" s="1"/>
  <c r="S137" i="20"/>
  <c r="T137" i="20" s="1"/>
  <c r="S61" i="20"/>
  <c r="T61" i="20" s="1"/>
  <c r="S19" i="20"/>
  <c r="T19" i="20" s="1"/>
  <c r="S32" i="20"/>
  <c r="T32" i="20" s="1"/>
  <c r="S127" i="20"/>
  <c r="T127" i="20" s="1"/>
  <c r="S81" i="20"/>
  <c r="T81" i="20" s="1"/>
  <c r="S84" i="20"/>
  <c r="T84" i="20" s="1"/>
  <c r="S94" i="20"/>
  <c r="T94" i="20" s="1"/>
  <c r="U139" i="18"/>
  <c r="U123" i="18"/>
  <c r="U111" i="18"/>
  <c r="U84" i="18"/>
  <c r="U61" i="18"/>
  <c r="U26" i="18"/>
  <c r="U18" i="18"/>
  <c r="U131" i="18"/>
  <c r="U94" i="18"/>
  <c r="U56" i="18"/>
  <c r="U25" i="18"/>
  <c r="U145" i="18"/>
  <c r="U126" i="18"/>
  <c r="U91" i="18"/>
  <c r="S140" i="20"/>
  <c r="T140" i="20" s="1"/>
  <c r="S135" i="20"/>
  <c r="T135" i="20" s="1"/>
  <c r="S149" i="20"/>
  <c r="T149" i="20" s="1"/>
  <c r="S76" i="20"/>
  <c r="T76" i="20" s="1"/>
  <c r="U153" i="18"/>
  <c r="U113" i="18"/>
  <c r="U63" i="18"/>
  <c r="U28" i="18"/>
  <c r="U133" i="18"/>
  <c r="U60" i="18"/>
  <c r="U147" i="18"/>
  <c r="U93" i="18"/>
  <c r="U136" i="18"/>
  <c r="U103" i="18"/>
  <c r="U81" i="18"/>
  <c r="U41" i="18"/>
  <c r="U122" i="18"/>
  <c r="U72" i="18"/>
  <c r="U27" i="18"/>
  <c r="U80" i="18"/>
  <c r="U39" i="18"/>
  <c r="S60" i="20"/>
  <c r="T60" i="20" s="1"/>
  <c r="S178" i="20"/>
  <c r="S24" i="20"/>
  <c r="T24" i="20" s="1"/>
  <c r="S74" i="20"/>
  <c r="T74" i="20" s="1"/>
  <c r="U132" i="18"/>
  <c r="U109" i="18"/>
  <c r="U59" i="18"/>
  <c r="U24" i="18"/>
  <c r="U124" i="18"/>
  <c r="U37" i="18"/>
  <c r="U137" i="18"/>
  <c r="U150" i="18"/>
  <c r="U134" i="18"/>
  <c r="U101" i="18"/>
  <c r="U51" i="18"/>
  <c r="U38" i="18"/>
  <c r="U116" i="18"/>
  <c r="U62" i="18"/>
  <c r="U23" i="18"/>
  <c r="U76" i="18"/>
  <c r="U82" i="18"/>
  <c r="S18" i="20"/>
  <c r="S133" i="20"/>
  <c r="T133" i="20" s="1"/>
  <c r="S116" i="20"/>
  <c r="T116" i="20" s="1"/>
  <c r="U125" i="18"/>
  <c r="U86" i="18"/>
  <c r="U35" i="18"/>
  <c r="U20" i="18"/>
  <c r="U110" i="18"/>
  <c r="U29" i="18"/>
  <c r="U128" i="18"/>
  <c r="U146" i="18"/>
  <c r="U129" i="18"/>
  <c r="U92" i="18"/>
  <c r="U48" i="18"/>
  <c r="U154" i="18"/>
  <c r="U112" i="18"/>
  <c r="U58" i="18"/>
  <c r="U19" i="18"/>
  <c r="U71" i="18"/>
  <c r="U45" i="18"/>
  <c r="S115" i="20"/>
  <c r="T115" i="20" s="1"/>
  <c r="U32" i="18"/>
  <c r="U121" i="18"/>
  <c r="U46" i="18"/>
  <c r="U50" i="18"/>
  <c r="U75" i="18"/>
  <c r="U33" i="18"/>
  <c r="S57" i="20"/>
  <c r="T57" i="20" s="1"/>
  <c r="U144" i="18"/>
  <c r="U140" i="18"/>
  <c r="U52" i="18"/>
  <c r="U21" i="18"/>
  <c r="S71" i="20"/>
  <c r="U117" i="18"/>
  <c r="U87" i="18"/>
  <c r="U127" i="18"/>
  <c r="U85" i="18"/>
  <c r="U47" i="18"/>
  <c r="U83" i="18"/>
  <c r="S111" i="20"/>
  <c r="T111" i="20" s="1"/>
  <c r="U183" i="18"/>
  <c r="O188" i="18"/>
  <c r="O191" i="18"/>
  <c r="O187" i="18"/>
  <c r="O196" i="18"/>
  <c r="N7" i="18"/>
  <c r="M155" i="20"/>
  <c r="N155" i="20" s="1"/>
  <c r="O192" i="18"/>
  <c r="O155" i="18"/>
  <c r="M40" i="20"/>
  <c r="N40" i="20" s="1"/>
  <c r="O195" i="18"/>
  <c r="M61" i="20"/>
  <c r="N61" i="20" s="1"/>
  <c r="M37" i="20"/>
  <c r="N37" i="20" s="1"/>
  <c r="M18" i="20"/>
  <c r="M163" i="20"/>
  <c r="M134" i="20"/>
  <c r="N134" i="20" s="1"/>
  <c r="M115" i="20"/>
  <c r="N115" i="20" s="1"/>
  <c r="M32" i="20"/>
  <c r="N32" i="20" s="1"/>
  <c r="M140" i="20"/>
  <c r="N140" i="20" s="1"/>
  <c r="M56" i="20"/>
  <c r="M154" i="20"/>
  <c r="N154" i="20" s="1"/>
  <c r="M101" i="20"/>
  <c r="M46" i="20"/>
  <c r="N46" i="20" s="1"/>
  <c r="M23" i="20"/>
  <c r="N23" i="20" s="1"/>
  <c r="M168" i="20"/>
  <c r="N168" i="20" s="1"/>
  <c r="M139" i="20"/>
  <c r="N139" i="20" s="1"/>
  <c r="M123" i="20"/>
  <c r="N123" i="20" s="1"/>
  <c r="M59" i="20"/>
  <c r="N59" i="20" s="1"/>
  <c r="M20" i="20"/>
  <c r="N20" i="20" s="1"/>
  <c r="M147" i="20"/>
  <c r="N147" i="20" s="1"/>
  <c r="M113" i="20"/>
  <c r="N113" i="20" s="1"/>
  <c r="M41" i="20"/>
  <c r="N41" i="20" s="1"/>
  <c r="M170" i="20"/>
  <c r="N170" i="20" s="1"/>
  <c r="M133" i="20"/>
  <c r="N133" i="20" s="1"/>
  <c r="M91" i="20"/>
  <c r="M72" i="20"/>
  <c r="N72" i="20" s="1"/>
  <c r="M87" i="20"/>
  <c r="N87" i="20" s="1"/>
  <c r="M92" i="20"/>
  <c r="N92" i="20" s="1"/>
  <c r="M73" i="20"/>
  <c r="N73" i="20" s="1"/>
  <c r="M57" i="20"/>
  <c r="N57" i="20" s="1"/>
  <c r="M30" i="20"/>
  <c r="N30" i="20" s="1"/>
  <c r="M175" i="20"/>
  <c r="N175" i="20" s="1"/>
  <c r="M149" i="20"/>
  <c r="N149" i="20" s="1"/>
  <c r="M130" i="20"/>
  <c r="N130" i="20" s="1"/>
  <c r="M102" i="20"/>
  <c r="N102" i="20" s="1"/>
  <c r="M24" i="20"/>
  <c r="N24" i="20" s="1"/>
  <c r="M132" i="20"/>
  <c r="N132" i="20" s="1"/>
  <c r="M144" i="20"/>
  <c r="M62" i="20"/>
  <c r="N62" i="20" s="1"/>
  <c r="M38" i="20"/>
  <c r="N38" i="20" s="1"/>
  <c r="M19" i="20"/>
  <c r="N19" i="20" s="1"/>
  <c r="M164" i="20"/>
  <c r="N164" i="20" s="1"/>
  <c r="M135" i="20"/>
  <c r="N135" i="20" s="1"/>
  <c r="M116" i="20"/>
  <c r="N116" i="20" s="1"/>
  <c r="M47" i="20"/>
  <c r="N47" i="20" s="1"/>
  <c r="M177" i="20"/>
  <c r="N177" i="20" s="1"/>
  <c r="M136" i="20"/>
  <c r="N136" i="20" s="1"/>
  <c r="M10" i="20"/>
  <c r="N10" i="20" s="1"/>
  <c r="M29" i="20"/>
  <c r="N29" i="20" s="1"/>
  <c r="M166" i="20"/>
  <c r="N166" i="20" s="1"/>
  <c r="M125" i="20"/>
  <c r="N125" i="20" s="1"/>
  <c r="M80" i="20"/>
  <c r="M86" i="20"/>
  <c r="N86" i="20" s="1"/>
  <c r="M75" i="20"/>
  <c r="N75" i="20" s="1"/>
  <c r="M84" i="20"/>
  <c r="N84" i="20" s="1"/>
  <c r="M45" i="20"/>
  <c r="M167" i="20"/>
  <c r="N167" i="20" s="1"/>
  <c r="M122" i="20"/>
  <c r="N122" i="20" s="1"/>
  <c r="M165" i="20"/>
  <c r="N165" i="20" s="1"/>
  <c r="M174" i="20"/>
  <c r="N174" i="20" s="1"/>
  <c r="M51" i="20"/>
  <c r="N51" i="20" s="1"/>
  <c r="M172" i="20"/>
  <c r="N172" i="20" s="1"/>
  <c r="M127" i="20"/>
  <c r="N127" i="20" s="1"/>
  <c r="M28" i="20"/>
  <c r="N28" i="20" s="1"/>
  <c r="M117" i="20"/>
  <c r="N117" i="20" s="1"/>
  <c r="M178" i="20"/>
  <c r="N178" i="20" s="1"/>
  <c r="M110" i="20"/>
  <c r="N110" i="20" s="1"/>
  <c r="M76" i="20"/>
  <c r="N76" i="20" s="1"/>
  <c r="M83" i="20"/>
  <c r="N83" i="20" s="1"/>
  <c r="M26" i="20"/>
  <c r="N26" i="20" s="1"/>
  <c r="M145" i="20"/>
  <c r="N145" i="20" s="1"/>
  <c r="M63" i="20"/>
  <c r="N63" i="20" s="1"/>
  <c r="M124" i="20"/>
  <c r="N124" i="20" s="1"/>
  <c r="M129" i="20"/>
  <c r="N129" i="20" s="1"/>
  <c r="M31" i="20"/>
  <c r="N31" i="20" s="1"/>
  <c r="M150" i="20"/>
  <c r="N150" i="20" s="1"/>
  <c r="M112" i="20"/>
  <c r="N112" i="20" s="1"/>
  <c r="M169" i="20"/>
  <c r="N169" i="20" s="1"/>
  <c r="M60" i="20"/>
  <c r="N60" i="20" s="1"/>
  <c r="M148" i="20"/>
  <c r="N148" i="20" s="1"/>
  <c r="M93" i="20"/>
  <c r="N93" i="20" s="1"/>
  <c r="M95" i="20"/>
  <c r="N95" i="20" s="1"/>
  <c r="M94" i="20"/>
  <c r="N94" i="20" s="1"/>
  <c r="M35" i="20"/>
  <c r="N35" i="20" s="1"/>
  <c r="M22" i="20"/>
  <c r="N22" i="20" s="1"/>
  <c r="M138" i="20"/>
  <c r="N138" i="20" s="1"/>
  <c r="M52" i="20"/>
  <c r="N52" i="20" s="1"/>
  <c r="M109" i="20"/>
  <c r="M121" i="20"/>
  <c r="M27" i="20"/>
  <c r="N27" i="20" s="1"/>
  <c r="M146" i="20"/>
  <c r="N146" i="20" s="1"/>
  <c r="M103" i="20"/>
  <c r="N103" i="20" s="1"/>
  <c r="M153" i="20"/>
  <c r="N153" i="20" s="1"/>
  <c r="M48" i="20"/>
  <c r="N48" i="20" s="1"/>
  <c r="M137" i="20"/>
  <c r="N137" i="20" s="1"/>
  <c r="M81" i="20"/>
  <c r="N81" i="20" s="1"/>
  <c r="M82" i="20"/>
  <c r="N82" i="20" s="1"/>
  <c r="M85" i="20"/>
  <c r="N85" i="20" s="1"/>
  <c r="M126" i="20"/>
  <c r="N126" i="20" s="1"/>
  <c r="M176" i="20"/>
  <c r="N176" i="20" s="1"/>
  <c r="M21" i="20"/>
  <c r="N21" i="20" s="1"/>
  <c r="O154" i="18"/>
  <c r="O131" i="18"/>
  <c r="O114" i="18"/>
  <c r="O87" i="18"/>
  <c r="O62" i="18"/>
  <c r="O37" i="18"/>
  <c r="O29" i="18"/>
  <c r="O21" i="18"/>
  <c r="O117" i="18"/>
  <c r="O73" i="18"/>
  <c r="O30" i="18"/>
  <c r="O150" i="18"/>
  <c r="O136" i="18"/>
  <c r="O103" i="18"/>
  <c r="O147" i="18"/>
  <c r="O128" i="18"/>
  <c r="O93" i="18"/>
  <c r="O76" i="18"/>
  <c r="O47" i="18"/>
  <c r="O139" i="18"/>
  <c r="O111" i="18"/>
  <c r="O61" i="18"/>
  <c r="O22" i="18"/>
  <c r="O48" i="18"/>
  <c r="O41" i="18"/>
  <c r="M173" i="20"/>
  <c r="N173" i="20" s="1"/>
  <c r="M131" i="20"/>
  <c r="N131" i="20" s="1"/>
  <c r="M114" i="20"/>
  <c r="N114" i="20" s="1"/>
  <c r="O140" i="18"/>
  <c r="O124" i="18"/>
  <c r="M50" i="20"/>
  <c r="N50" i="20" s="1"/>
  <c r="M25" i="20"/>
  <c r="N25" i="20" s="1"/>
  <c r="M39" i="20"/>
  <c r="N39" i="20" s="1"/>
  <c r="M74" i="20"/>
  <c r="N74" i="20" s="1"/>
  <c r="O138" i="18"/>
  <c r="O122" i="18"/>
  <c r="O110" i="18"/>
  <c r="O74" i="18"/>
  <c r="O58" i="18"/>
  <c r="O33" i="18"/>
  <c r="O25" i="18"/>
  <c r="O130" i="18"/>
  <c r="O109" i="18"/>
  <c r="O59" i="18"/>
  <c r="O24" i="18"/>
  <c r="O146" i="18"/>
  <c r="O129" i="18"/>
  <c r="O92" i="18"/>
  <c r="O137" i="18"/>
  <c r="O121" i="18"/>
  <c r="O82" i="18"/>
  <c r="O52" i="18"/>
  <c r="O39" i="18"/>
  <c r="O125" i="18"/>
  <c r="O84" i="18"/>
  <c r="O32" i="18"/>
  <c r="O83" i="18"/>
  <c r="O38" i="18"/>
  <c r="M171" i="20"/>
  <c r="N171" i="20" s="1"/>
  <c r="O116" i="18"/>
  <c r="O72" i="18"/>
  <c r="O31" i="18"/>
  <c r="O123" i="18"/>
  <c r="O35" i="18"/>
  <c r="O144" i="18"/>
  <c r="O149" i="18"/>
  <c r="O102" i="18"/>
  <c r="O50" i="18"/>
  <c r="O115" i="18"/>
  <c r="O26" i="18"/>
  <c r="O81" i="18"/>
  <c r="O113" i="18"/>
  <c r="O134" i="18"/>
  <c r="O91" i="18"/>
  <c r="O45" i="18"/>
  <c r="O18" i="18"/>
  <c r="O85" i="18"/>
  <c r="O63" i="18"/>
  <c r="O126" i="18"/>
  <c r="O132" i="18"/>
  <c r="M58" i="20"/>
  <c r="N58" i="20" s="1"/>
  <c r="O112" i="18"/>
  <c r="O60" i="18"/>
  <c r="O27" i="18"/>
  <c r="O28" i="18"/>
  <c r="O145" i="18"/>
  <c r="O95" i="18"/>
  <c r="M71" i="20"/>
  <c r="O133" i="18"/>
  <c r="O19" i="18"/>
  <c r="O148" i="18"/>
  <c r="O71" i="18"/>
  <c r="O51" i="18"/>
  <c r="M128" i="20"/>
  <c r="N128" i="20" s="1"/>
  <c r="O94" i="18"/>
  <c r="O56" i="18"/>
  <c r="O23" i="18"/>
  <c r="O86" i="18"/>
  <c r="O20" i="18"/>
  <c r="O127" i="18"/>
  <c r="O135" i="18"/>
  <c r="O80" i="18"/>
  <c r="O153" i="18"/>
  <c r="O75" i="18"/>
  <c r="O46" i="18"/>
  <c r="O101" i="18"/>
  <c r="O57" i="18"/>
  <c r="M111" i="20"/>
  <c r="N111" i="20" s="1"/>
  <c r="O183" i="18"/>
  <c r="S181" i="18"/>
  <c r="K18" i="18"/>
  <c r="P52" i="15"/>
  <c r="M181" i="18"/>
  <c r="Q7" i="18"/>
  <c r="P40" i="20"/>
  <c r="Q40" i="20" s="1"/>
  <c r="R196" i="18"/>
  <c r="R192" i="18"/>
  <c r="R195" i="18"/>
  <c r="R187" i="18"/>
  <c r="P155" i="20"/>
  <c r="Q155" i="20" s="1"/>
  <c r="R188" i="18"/>
  <c r="R191" i="18"/>
  <c r="R155" i="18"/>
  <c r="P154" i="20"/>
  <c r="Q154" i="20" s="1"/>
  <c r="P164" i="20"/>
  <c r="Q164" i="20" s="1"/>
  <c r="P133" i="20"/>
  <c r="Q133" i="20" s="1"/>
  <c r="P114" i="20"/>
  <c r="Q114" i="20" s="1"/>
  <c r="P56" i="20"/>
  <c r="P27" i="20"/>
  <c r="Q27" i="20" s="1"/>
  <c r="P150" i="20"/>
  <c r="Q150" i="20" s="1"/>
  <c r="P58" i="20"/>
  <c r="Q58" i="20" s="1"/>
  <c r="P167" i="20"/>
  <c r="Q167" i="20" s="1"/>
  <c r="P59" i="20"/>
  <c r="Q59" i="20" s="1"/>
  <c r="P177" i="20"/>
  <c r="Q177" i="20" s="1"/>
  <c r="P149" i="20"/>
  <c r="Q149" i="20" s="1"/>
  <c r="P130" i="20"/>
  <c r="Q130" i="20" s="1"/>
  <c r="P102" i="20"/>
  <c r="Q102" i="20" s="1"/>
  <c r="P45" i="20"/>
  <c r="P24" i="20"/>
  <c r="Q24" i="20" s="1"/>
  <c r="P166" i="20"/>
  <c r="Q166" i="20" s="1"/>
  <c r="P123" i="20"/>
  <c r="Q123" i="20" s="1"/>
  <c r="P51" i="20"/>
  <c r="Q51" i="20" s="1"/>
  <c r="P21" i="20"/>
  <c r="Q21" i="20" s="1"/>
  <c r="P147" i="20"/>
  <c r="Q147" i="20" s="1"/>
  <c r="P113" i="20"/>
  <c r="Q113" i="20" s="1"/>
  <c r="P39" i="20"/>
  <c r="Q39" i="20" s="1"/>
  <c r="P87" i="20"/>
  <c r="Q87" i="20" s="1"/>
  <c r="P93" i="20"/>
  <c r="Q93" i="20" s="1"/>
  <c r="P84" i="20"/>
  <c r="Q84" i="20" s="1"/>
  <c r="P71" i="20"/>
  <c r="P72" i="20"/>
  <c r="Q72" i="20" s="1"/>
  <c r="P176" i="20"/>
  <c r="Q176" i="20" s="1"/>
  <c r="P148" i="20"/>
  <c r="Q148" i="20" s="1"/>
  <c r="P129" i="20"/>
  <c r="Q129" i="20" s="1"/>
  <c r="P110" i="20"/>
  <c r="Q110" i="20" s="1"/>
  <c r="P48" i="20"/>
  <c r="Q48" i="20" s="1"/>
  <c r="P23" i="20"/>
  <c r="Q23" i="20" s="1"/>
  <c r="P135" i="20"/>
  <c r="Q135" i="20" s="1"/>
  <c r="P38" i="20"/>
  <c r="Q38" i="20" s="1"/>
  <c r="P140" i="20"/>
  <c r="Q140" i="20" s="1"/>
  <c r="P47" i="20"/>
  <c r="Q47" i="20" s="1"/>
  <c r="P173" i="20"/>
  <c r="Q173" i="20" s="1"/>
  <c r="P145" i="20"/>
  <c r="Q145" i="20" s="1"/>
  <c r="P126" i="20"/>
  <c r="Q126" i="20" s="1"/>
  <c r="P61" i="20"/>
  <c r="Q61" i="20" s="1"/>
  <c r="P37" i="20"/>
  <c r="Q37" i="20" s="1"/>
  <c r="P20" i="20"/>
  <c r="Q20" i="20" s="1"/>
  <c r="P146" i="20"/>
  <c r="Q146" i="20" s="1"/>
  <c r="P116" i="20"/>
  <c r="Q116" i="20" s="1"/>
  <c r="P46" i="20"/>
  <c r="Q46" i="20" s="1"/>
  <c r="P153" i="20"/>
  <c r="Q153" i="20" s="1"/>
  <c r="P136" i="20"/>
  <c r="Q136" i="20" s="1"/>
  <c r="P109" i="20"/>
  <c r="P35" i="20"/>
  <c r="Q35" i="20" s="1"/>
  <c r="P76" i="20"/>
  <c r="Q76" i="20" s="1"/>
  <c r="P75" i="20"/>
  <c r="Q75" i="20" s="1"/>
  <c r="P95" i="20"/>
  <c r="Q95" i="20" s="1"/>
  <c r="P94" i="20"/>
  <c r="Q94" i="20" s="1"/>
  <c r="P81" i="20"/>
  <c r="Q81" i="20" s="1"/>
  <c r="P168" i="20"/>
  <c r="Q168" i="20" s="1"/>
  <c r="P121" i="20"/>
  <c r="P31" i="20"/>
  <c r="Q31" i="20" s="1"/>
  <c r="P112" i="20"/>
  <c r="Q112" i="20" s="1"/>
  <c r="P117" i="20"/>
  <c r="Q117" i="20" s="1"/>
  <c r="P165" i="20"/>
  <c r="Q165" i="20" s="1"/>
  <c r="P115" i="20"/>
  <c r="Q115" i="20" s="1"/>
  <c r="P28" i="20"/>
  <c r="Q28" i="20" s="1"/>
  <c r="P131" i="20"/>
  <c r="Q131" i="20" s="1"/>
  <c r="P25" i="20"/>
  <c r="Q25" i="20" s="1"/>
  <c r="P124" i="20"/>
  <c r="Q124" i="20" s="1"/>
  <c r="P18" i="20"/>
  <c r="P91" i="20"/>
  <c r="P86" i="20"/>
  <c r="Q86" i="20" s="1"/>
  <c r="P144" i="20"/>
  <c r="P101" i="20"/>
  <c r="P19" i="20"/>
  <c r="Q19" i="20" s="1"/>
  <c r="P29" i="20"/>
  <c r="Q29" i="20" s="1"/>
  <c r="P30" i="20"/>
  <c r="Q30" i="20" s="1"/>
  <c r="P138" i="20"/>
  <c r="Q138" i="20" s="1"/>
  <c r="P57" i="20"/>
  <c r="Q57" i="20" s="1"/>
  <c r="P178" i="20"/>
  <c r="Q178" i="20" s="1"/>
  <c r="P103" i="20"/>
  <c r="Q103" i="20" s="1"/>
  <c r="P171" i="20"/>
  <c r="Q171" i="20" s="1"/>
  <c r="P63" i="20"/>
  <c r="Q63" i="20" s="1"/>
  <c r="P80" i="20"/>
  <c r="P83" i="20"/>
  <c r="Q83" i="20" s="1"/>
  <c r="P92" i="20"/>
  <c r="Q92" i="20" s="1"/>
  <c r="P10" i="20"/>
  <c r="Q10" i="20" s="1"/>
  <c r="P137" i="20"/>
  <c r="Q137" i="20" s="1"/>
  <c r="P60" i="20"/>
  <c r="Q60" i="20" s="1"/>
  <c r="P170" i="20"/>
  <c r="Q170" i="20" s="1"/>
  <c r="P175" i="20"/>
  <c r="Q175" i="20" s="1"/>
  <c r="P22" i="20"/>
  <c r="Q22" i="20" s="1"/>
  <c r="P134" i="20"/>
  <c r="Q134" i="20" s="1"/>
  <c r="P50" i="20"/>
  <c r="Q50" i="20" s="1"/>
  <c r="P174" i="20"/>
  <c r="Q174" i="20" s="1"/>
  <c r="P62" i="20"/>
  <c r="Q62" i="20" s="1"/>
  <c r="P163" i="20"/>
  <c r="P52" i="20"/>
  <c r="Q52" i="20" s="1"/>
  <c r="P85" i="20"/>
  <c r="Q85" i="20" s="1"/>
  <c r="P82" i="20"/>
  <c r="Q82" i="20" s="1"/>
  <c r="P172" i="20"/>
  <c r="Q172" i="20" s="1"/>
  <c r="P128" i="20"/>
  <c r="Q128" i="20" s="1"/>
  <c r="P139" i="20"/>
  <c r="Q139" i="20" s="1"/>
  <c r="P74" i="20"/>
  <c r="Q74" i="20" s="1"/>
  <c r="R144" i="18"/>
  <c r="R127" i="18"/>
  <c r="R83" i="18"/>
  <c r="R46" i="18"/>
  <c r="P125" i="20"/>
  <c r="Q125" i="20" s="1"/>
  <c r="P169" i="20"/>
  <c r="Q169" i="20" s="1"/>
  <c r="P73" i="20"/>
  <c r="Q73" i="20" s="1"/>
  <c r="P41" i="20"/>
  <c r="Q41" i="20" s="1"/>
  <c r="P122" i="20"/>
  <c r="Q122" i="20" s="1"/>
  <c r="P132" i="20"/>
  <c r="Q132" i="20" s="1"/>
  <c r="R148" i="18"/>
  <c r="R134" i="18"/>
  <c r="R101" i="18"/>
  <c r="R51" i="18"/>
  <c r="R38" i="18"/>
  <c r="R146" i="18"/>
  <c r="R92" i="18"/>
  <c r="R145" i="18"/>
  <c r="R71" i="18"/>
  <c r="R45" i="18"/>
  <c r="R130" i="18"/>
  <c r="R115" i="18"/>
  <c r="R95" i="18"/>
  <c r="R140" i="18"/>
  <c r="R124" i="18"/>
  <c r="R112" i="18"/>
  <c r="R85" i="18"/>
  <c r="R60" i="18"/>
  <c r="R33" i="18"/>
  <c r="R25" i="18"/>
  <c r="R149" i="18"/>
  <c r="R126" i="18"/>
  <c r="R80" i="18"/>
  <c r="R84" i="18"/>
  <c r="R28" i="18"/>
  <c r="R63" i="18"/>
  <c r="R26" i="18"/>
  <c r="R81" i="18"/>
  <c r="R128" i="18"/>
  <c r="R52" i="18"/>
  <c r="R125" i="18"/>
  <c r="R113" i="18"/>
  <c r="R86" i="18"/>
  <c r="R138" i="18"/>
  <c r="R110" i="18"/>
  <c r="R74" i="18"/>
  <c r="R58" i="18"/>
  <c r="R23" i="18"/>
  <c r="R147" i="18"/>
  <c r="R93" i="18"/>
  <c r="R76" i="18"/>
  <c r="R20" i="18"/>
  <c r="R61" i="18"/>
  <c r="R18" i="18"/>
  <c r="R129" i="18"/>
  <c r="R121" i="18"/>
  <c r="R50" i="18"/>
  <c r="R139" i="18"/>
  <c r="R111" i="18"/>
  <c r="R133" i="18"/>
  <c r="R116" i="18"/>
  <c r="R94" i="18"/>
  <c r="R72" i="18"/>
  <c r="R29" i="18"/>
  <c r="R21" i="18"/>
  <c r="R91" i="18"/>
  <c r="R22" i="18"/>
  <c r="R59" i="18"/>
  <c r="P26" i="20"/>
  <c r="Q26" i="20" s="1"/>
  <c r="R150" i="18"/>
  <c r="R47" i="18"/>
  <c r="R109" i="18"/>
  <c r="R131" i="18"/>
  <c r="R87" i="18"/>
  <c r="R27" i="18"/>
  <c r="R82" i="18"/>
  <c r="R35" i="18"/>
  <c r="R24" i="18"/>
  <c r="P127" i="20"/>
  <c r="Q127" i="20" s="1"/>
  <c r="R136" i="18"/>
  <c r="R153" i="18"/>
  <c r="R122" i="18"/>
  <c r="R31" i="18"/>
  <c r="R30" i="18"/>
  <c r="R48" i="18"/>
  <c r="R123" i="18"/>
  <c r="R56" i="18"/>
  <c r="R137" i="18"/>
  <c r="R39" i="18"/>
  <c r="R75" i="18"/>
  <c r="R32" i="18"/>
  <c r="R41" i="18"/>
  <c r="R132" i="18"/>
  <c r="R154" i="18"/>
  <c r="R62" i="18"/>
  <c r="R135" i="18"/>
  <c r="R73" i="18"/>
  <c r="P32" i="20"/>
  <c r="Q32" i="20" s="1"/>
  <c r="R103" i="18"/>
  <c r="R102" i="18"/>
  <c r="R117" i="18"/>
  <c r="R114" i="18"/>
  <c r="R37" i="18"/>
  <c r="R19" i="18"/>
  <c r="R57" i="18"/>
  <c r="P111" i="20"/>
  <c r="Q111" i="20" s="1"/>
  <c r="R183" i="18"/>
  <c r="C797" i="15"/>
  <c r="U2" i="20"/>
  <c r="T33" i="18" l="1"/>
  <c r="T34" i="18" s="1"/>
  <c r="T42" i="18" s="1"/>
  <c r="T66" i="18" s="1"/>
  <c r="T6" i="18" s="1"/>
  <c r="J101" i="15"/>
  <c r="J95" i="15"/>
  <c r="P70" i="15"/>
  <c r="J96" i="15"/>
  <c r="R84" i="15"/>
  <c r="V54" i="21" s="1"/>
  <c r="P84" i="15"/>
  <c r="J20" i="18"/>
  <c r="V20" i="18" s="1"/>
  <c r="J54" i="15"/>
  <c r="J88" i="15"/>
  <c r="R88" i="15"/>
  <c r="V58" i="21" s="1"/>
  <c r="P88" i="15"/>
  <c r="J22" i="18"/>
  <c r="V22" i="18" s="1"/>
  <c r="J56" i="15"/>
  <c r="K23" i="18"/>
  <c r="P57" i="15"/>
  <c r="R57" i="15"/>
  <c r="V27" i="21" s="1"/>
  <c r="R101" i="15"/>
  <c r="V71" i="21" s="1"/>
  <c r="P101" i="15"/>
  <c r="J78" i="15"/>
  <c r="P78" i="15"/>
  <c r="R78" i="15"/>
  <c r="V48" i="21" s="1"/>
  <c r="J76" i="15"/>
  <c r="R64" i="15"/>
  <c r="V34" i="21" s="1"/>
  <c r="P64" i="15"/>
  <c r="K30" i="18"/>
  <c r="R93" i="15"/>
  <c r="V63" i="21" s="1"/>
  <c r="P93" i="15"/>
  <c r="J90" i="15"/>
  <c r="J100" i="15"/>
  <c r="R100" i="15"/>
  <c r="V70" i="21" s="1"/>
  <c r="P100" i="15"/>
  <c r="P87" i="15"/>
  <c r="R87" i="15"/>
  <c r="V57" i="21" s="1"/>
  <c r="P77" i="15"/>
  <c r="R77" i="15"/>
  <c r="V47" i="21" s="1"/>
  <c r="R67" i="15"/>
  <c r="V37" i="21" s="1"/>
  <c r="P67" i="15"/>
  <c r="K33" i="18"/>
  <c r="N33" i="18"/>
  <c r="N34" i="18" s="1"/>
  <c r="N42" i="18" s="1"/>
  <c r="N66" i="18" s="1"/>
  <c r="N6" i="18" s="1"/>
  <c r="J69" i="15"/>
  <c r="P69" i="15"/>
  <c r="R69" i="15"/>
  <c r="V39" i="21" s="1"/>
  <c r="R66" i="15"/>
  <c r="V36" i="21" s="1"/>
  <c r="P66" i="15"/>
  <c r="K32" i="18"/>
  <c r="J19" i="18"/>
  <c r="V19" i="18" s="1"/>
  <c r="J53" i="15"/>
  <c r="P61" i="15"/>
  <c r="R61" i="15"/>
  <c r="V31" i="21" s="1"/>
  <c r="K27" i="18"/>
  <c r="J70" i="15"/>
  <c r="J24" i="18"/>
  <c r="V24" i="18" s="1"/>
  <c r="J58" i="15"/>
  <c r="J84" i="15"/>
  <c r="R54" i="15"/>
  <c r="V24" i="21" s="1"/>
  <c r="P54" i="15"/>
  <c r="K20" i="18"/>
  <c r="J86" i="15"/>
  <c r="R65" i="15"/>
  <c r="V35" i="21" s="1"/>
  <c r="K31" i="18"/>
  <c r="P65" i="15"/>
  <c r="J82" i="15"/>
  <c r="P99" i="15"/>
  <c r="R99" i="15"/>
  <c r="V69" i="21" s="1"/>
  <c r="J89" i="15"/>
  <c r="P97" i="15"/>
  <c r="J60" i="15"/>
  <c r="J26" i="18"/>
  <c r="V26" i="18" s="1"/>
  <c r="K29" i="18"/>
  <c r="R63" i="15"/>
  <c r="V33" i="21" s="1"/>
  <c r="P63" i="15"/>
  <c r="R73" i="15"/>
  <c r="V43" i="21" s="1"/>
  <c r="J85" i="15"/>
  <c r="R85" i="15"/>
  <c r="V55" i="21" s="1"/>
  <c r="P85" i="15"/>
  <c r="P74" i="15"/>
  <c r="R74" i="15"/>
  <c r="V44" i="21" s="1"/>
  <c r="J74" i="15"/>
  <c r="J28" i="18"/>
  <c r="V28" i="18" s="1"/>
  <c r="J62" i="15"/>
  <c r="P33" i="18"/>
  <c r="R59" i="15"/>
  <c r="V29" i="21" s="1"/>
  <c r="K25" i="18"/>
  <c r="P59" i="15"/>
  <c r="Q33" i="18"/>
  <c r="Q34" i="18" s="1"/>
  <c r="Q42" i="18" s="1"/>
  <c r="Q66" i="18" s="1"/>
  <c r="R82" i="15"/>
  <c r="V52" i="21" s="1"/>
  <c r="P82" i="15"/>
  <c r="J64" i="15"/>
  <c r="J30" i="18"/>
  <c r="V30" i="18" s="1"/>
  <c r="R60" i="15"/>
  <c r="V30" i="21" s="1"/>
  <c r="K26" i="18"/>
  <c r="P60" i="15"/>
  <c r="R90" i="15"/>
  <c r="V60" i="21" s="1"/>
  <c r="P90" i="15"/>
  <c r="P80" i="15"/>
  <c r="R80" i="15"/>
  <c r="V50" i="21" s="1"/>
  <c r="P95" i="15"/>
  <c r="R95" i="15"/>
  <c r="V65" i="21" s="1"/>
  <c r="R68" i="15"/>
  <c r="V38" i="21" s="1"/>
  <c r="P68" i="15"/>
  <c r="J91" i="15"/>
  <c r="J81" i="15"/>
  <c r="R72" i="15"/>
  <c r="V42" i="21" s="1"/>
  <c r="P72" i="15"/>
  <c r="G33" i="18"/>
  <c r="G34" i="18" s="1"/>
  <c r="G34" i="20" s="1"/>
  <c r="G33" i="20"/>
  <c r="S33" i="18"/>
  <c r="S34" i="18" s="1"/>
  <c r="S42" i="18" s="1"/>
  <c r="S66" i="18" s="1"/>
  <c r="M33" i="18"/>
  <c r="J25" i="18"/>
  <c r="V25" i="18" s="1"/>
  <c r="J59" i="15"/>
  <c r="R79" i="15"/>
  <c r="V49" i="21" s="1"/>
  <c r="P79" i="15"/>
  <c r="J55" i="15"/>
  <c r="J21" i="18"/>
  <c r="V21" i="18" s="1"/>
  <c r="K21" i="18"/>
  <c r="P55" i="15"/>
  <c r="R55" i="15"/>
  <c r="V25" i="21" s="1"/>
  <c r="R75" i="15"/>
  <c r="V45" i="21" s="1"/>
  <c r="J32" i="18"/>
  <c r="V32" i="18" s="1"/>
  <c r="J66" i="15"/>
  <c r="J27" i="18"/>
  <c r="V27" i="18" s="1"/>
  <c r="J61" i="15"/>
  <c r="R70" i="15"/>
  <c r="V40" i="21" s="1"/>
  <c r="K24" i="18"/>
  <c r="R58" i="15"/>
  <c r="V28" i="21" s="1"/>
  <c r="P58" i="15"/>
  <c r="R98" i="15"/>
  <c r="V68" i="21" s="1"/>
  <c r="P98" i="15"/>
  <c r="J94" i="15"/>
  <c r="R94" i="15"/>
  <c r="V64" i="21" s="1"/>
  <c r="P94" i="15"/>
  <c r="R86" i="15"/>
  <c r="V56" i="21" s="1"/>
  <c r="P86" i="15"/>
  <c r="J65" i="15"/>
  <c r="J31" i="18"/>
  <c r="V31" i="18" s="1"/>
  <c r="P56" i="15"/>
  <c r="K22" i="18"/>
  <c r="R56" i="15"/>
  <c r="V26" i="21" s="1"/>
  <c r="R89" i="15"/>
  <c r="V59" i="21" s="1"/>
  <c r="J23" i="18"/>
  <c r="V23" i="18" s="1"/>
  <c r="J57" i="15"/>
  <c r="P76" i="15"/>
  <c r="R76" i="15"/>
  <c r="V46" i="21" s="1"/>
  <c r="J97" i="15"/>
  <c r="J93" i="15"/>
  <c r="J80" i="15"/>
  <c r="J29" i="18"/>
  <c r="V29" i="18" s="1"/>
  <c r="J63" i="15"/>
  <c r="R83" i="15"/>
  <c r="V53" i="21" s="1"/>
  <c r="P83" i="15"/>
  <c r="J73" i="15"/>
  <c r="J68" i="15"/>
  <c r="R91" i="15"/>
  <c r="V61" i="21" s="1"/>
  <c r="P91" i="15"/>
  <c r="P81" i="15"/>
  <c r="R81" i="15"/>
  <c r="V51" i="21" s="1"/>
  <c r="J77" i="15"/>
  <c r="R62" i="15"/>
  <c r="V32" i="21" s="1"/>
  <c r="P62" i="15"/>
  <c r="K28" i="18"/>
  <c r="J33" i="18"/>
  <c r="V33" i="18" s="1"/>
  <c r="J67" i="15"/>
  <c r="J79" i="15"/>
  <c r="P92" i="15"/>
  <c r="R92" i="15"/>
  <c r="V62" i="21" s="1"/>
  <c r="J71" i="15"/>
  <c r="R71" i="15"/>
  <c r="V41" i="21" s="1"/>
  <c r="P71" i="15"/>
  <c r="K19" i="18"/>
  <c r="R53" i="15"/>
  <c r="V23" i="21" s="1"/>
  <c r="P53" i="15"/>
  <c r="C103" i="15"/>
  <c r="U20" i="21" s="1"/>
  <c r="R96" i="15"/>
  <c r="V66" i="21" s="1"/>
  <c r="P96" i="15"/>
  <c r="V22" i="21"/>
  <c r="Z34" i="20"/>
  <c r="Z42" i="20" s="1"/>
  <c r="Z66" i="20" s="1"/>
  <c r="AA18" i="20"/>
  <c r="AA34" i="20" s="1"/>
  <c r="AA42" i="20" s="1"/>
  <c r="AA66" i="20" s="1"/>
  <c r="O189" i="18"/>
  <c r="U197" i="18"/>
  <c r="U104" i="18"/>
  <c r="T159" i="18"/>
  <c r="T181" i="18"/>
  <c r="U181" i="18" s="1"/>
  <c r="Q159" i="18"/>
  <c r="Q181" i="18"/>
  <c r="R181" i="18" s="1"/>
  <c r="Q6" i="18"/>
  <c r="N159" i="18"/>
  <c r="N181" i="18"/>
  <c r="O181" i="18" s="1"/>
  <c r="O88" i="18"/>
  <c r="R189" i="18"/>
  <c r="R64" i="18"/>
  <c r="R118" i="18"/>
  <c r="R197" i="18"/>
  <c r="O197" i="18"/>
  <c r="U151" i="18"/>
  <c r="R88" i="18"/>
  <c r="R104" i="18"/>
  <c r="Q101" i="20"/>
  <c r="Q104" i="20" s="1"/>
  <c r="P104" i="20"/>
  <c r="Q18" i="20"/>
  <c r="K7" i="18"/>
  <c r="L195" i="18"/>
  <c r="L196" i="18"/>
  <c r="L155" i="18"/>
  <c r="L191" i="18"/>
  <c r="J155" i="20"/>
  <c r="V155" i="20" s="1"/>
  <c r="L203" i="18"/>
  <c r="L188" i="18"/>
  <c r="L192" i="18"/>
  <c r="L187" i="18"/>
  <c r="J40" i="20"/>
  <c r="V40" i="20" s="1"/>
  <c r="J178" i="20"/>
  <c r="K178" i="20" s="1"/>
  <c r="J154" i="20"/>
  <c r="V154" i="20" s="1"/>
  <c r="J133" i="20"/>
  <c r="V133" i="20" s="1"/>
  <c r="J115" i="20"/>
  <c r="V115" i="20" s="1"/>
  <c r="J56" i="20"/>
  <c r="V56" i="20" s="1"/>
  <c r="J21" i="20"/>
  <c r="J153" i="20"/>
  <c r="V153" i="20" s="1"/>
  <c r="J48" i="20"/>
  <c r="V48" i="20" s="1"/>
  <c r="J171" i="20"/>
  <c r="K171" i="20" s="1"/>
  <c r="J145" i="20"/>
  <c r="V145" i="20" s="1"/>
  <c r="J126" i="20"/>
  <c r="V126" i="20" s="1"/>
  <c r="J102" i="20"/>
  <c r="V102" i="20" s="1"/>
  <c r="J51" i="20"/>
  <c r="V51" i="20" s="1"/>
  <c r="J28" i="20"/>
  <c r="J140" i="20"/>
  <c r="V140" i="20" s="1"/>
  <c r="J41" i="20"/>
  <c r="V41" i="20" s="1"/>
  <c r="J172" i="20"/>
  <c r="K172" i="20" s="1"/>
  <c r="J146" i="20"/>
  <c r="V146" i="20" s="1"/>
  <c r="J127" i="20"/>
  <c r="V127" i="20" s="1"/>
  <c r="J103" i="20"/>
  <c r="V103" i="20" s="1"/>
  <c r="J52" i="20"/>
  <c r="V52" i="20" s="1"/>
  <c r="J23" i="20"/>
  <c r="J169" i="20"/>
  <c r="K169" i="20" s="1"/>
  <c r="J109" i="20"/>
  <c r="V109" i="20" s="1"/>
  <c r="J73" i="20"/>
  <c r="V73" i="20" s="1"/>
  <c r="J94" i="20"/>
  <c r="V94" i="20" s="1"/>
  <c r="J74" i="20"/>
  <c r="V74" i="20" s="1"/>
  <c r="J84" i="20"/>
  <c r="V84" i="20" s="1"/>
  <c r="J174" i="20"/>
  <c r="K174" i="20" s="1"/>
  <c r="J148" i="20"/>
  <c r="V148" i="20" s="1"/>
  <c r="J129" i="20"/>
  <c r="V129" i="20" s="1"/>
  <c r="J101" i="20"/>
  <c r="V101" i="20" s="1"/>
  <c r="J50" i="20"/>
  <c r="V50" i="20" s="1"/>
  <c r="J25" i="20"/>
  <c r="J132" i="20"/>
  <c r="V132" i="20" s="1"/>
  <c r="J35" i="20"/>
  <c r="V35" i="20" s="1"/>
  <c r="J167" i="20"/>
  <c r="K167" i="20" s="1"/>
  <c r="J138" i="20"/>
  <c r="V138" i="20" s="1"/>
  <c r="J122" i="20"/>
  <c r="V122" i="20" s="1"/>
  <c r="J75" i="20"/>
  <c r="V75" i="20" s="1"/>
  <c r="J46" i="20"/>
  <c r="V46" i="20" s="1"/>
  <c r="J32" i="20"/>
  <c r="J124" i="20"/>
  <c r="V124" i="20" s="1"/>
  <c r="J22" i="20"/>
  <c r="J168" i="20"/>
  <c r="K168" i="20" s="1"/>
  <c r="J139" i="20"/>
  <c r="V139" i="20" s="1"/>
  <c r="J123" i="20"/>
  <c r="V123" i="20" s="1"/>
  <c r="J85" i="20"/>
  <c r="V85" i="20" s="1"/>
  <c r="J47" i="20"/>
  <c r="V47" i="20" s="1"/>
  <c r="J27" i="20"/>
  <c r="J147" i="20"/>
  <c r="V147" i="20" s="1"/>
  <c r="J93" i="20"/>
  <c r="V93" i="20" s="1"/>
  <c r="J86" i="20"/>
  <c r="V86" i="20" s="1"/>
  <c r="J80" i="20"/>
  <c r="V80" i="20" s="1"/>
  <c r="J170" i="20"/>
  <c r="K170" i="20" s="1"/>
  <c r="J144" i="20"/>
  <c r="V144" i="20" s="1"/>
  <c r="J125" i="20"/>
  <c r="V125" i="20" s="1"/>
  <c r="J71" i="20"/>
  <c r="V71" i="20" s="1"/>
  <c r="J45" i="20"/>
  <c r="V45" i="20" s="1"/>
  <c r="J29" i="20"/>
  <c r="J114" i="20"/>
  <c r="V114" i="20" s="1"/>
  <c r="J26" i="20"/>
  <c r="J163" i="20"/>
  <c r="J134" i="20"/>
  <c r="V134" i="20" s="1"/>
  <c r="J116" i="20"/>
  <c r="V116" i="20" s="1"/>
  <c r="J61" i="20"/>
  <c r="V61" i="20" s="1"/>
  <c r="J38" i="20"/>
  <c r="V38" i="20" s="1"/>
  <c r="J177" i="20"/>
  <c r="K177" i="20" s="1"/>
  <c r="J110" i="20"/>
  <c r="V110" i="20" s="1"/>
  <c r="J30" i="20"/>
  <c r="J164" i="20"/>
  <c r="K164" i="20" s="1"/>
  <c r="J135" i="20"/>
  <c r="V135" i="20" s="1"/>
  <c r="J117" i="20"/>
  <c r="V117" i="20" s="1"/>
  <c r="J62" i="20"/>
  <c r="V62" i="20" s="1"/>
  <c r="J39" i="20"/>
  <c r="V39" i="20" s="1"/>
  <c r="J31" i="20"/>
  <c r="J136" i="20"/>
  <c r="V136" i="20" s="1"/>
  <c r="J76" i="20"/>
  <c r="V76" i="20" s="1"/>
  <c r="J95" i="20"/>
  <c r="V95" i="20" s="1"/>
  <c r="J83" i="20"/>
  <c r="V83" i="20" s="1"/>
  <c r="J91" i="20"/>
  <c r="V91" i="20" s="1"/>
  <c r="J10" i="20"/>
  <c r="K10" i="20" s="1"/>
  <c r="J60" i="20"/>
  <c r="V60" i="20" s="1"/>
  <c r="J175" i="20"/>
  <c r="K175" i="20" s="1"/>
  <c r="J57" i="20"/>
  <c r="V57" i="20" s="1"/>
  <c r="J176" i="20"/>
  <c r="K176" i="20" s="1"/>
  <c r="J58" i="20"/>
  <c r="V58" i="20" s="1"/>
  <c r="J81" i="20"/>
  <c r="V81" i="20" s="1"/>
  <c r="J82" i="20"/>
  <c r="V82" i="20" s="1"/>
  <c r="L145" i="18"/>
  <c r="L135" i="18"/>
  <c r="L126" i="18"/>
  <c r="L102" i="18"/>
  <c r="L76" i="18"/>
  <c r="L52" i="18"/>
  <c r="L39" i="18"/>
  <c r="L154" i="18"/>
  <c r="L114" i="18"/>
  <c r="L85" i="18"/>
  <c r="L132" i="18"/>
  <c r="L125" i="18"/>
  <c r="L115" i="18"/>
  <c r="L86" i="18"/>
  <c r="L63" i="18"/>
  <c r="L28" i="18"/>
  <c r="L18" i="18"/>
  <c r="L134" i="18"/>
  <c r="L101" i="18"/>
  <c r="L38" i="18"/>
  <c r="L60" i="18"/>
  <c r="L37" i="18"/>
  <c r="K34" i="18"/>
  <c r="K42" i="18" s="1"/>
  <c r="K66" i="18" s="1"/>
  <c r="J166" i="20"/>
  <c r="K166" i="20" s="1"/>
  <c r="J37" i="20"/>
  <c r="V37" i="20" s="1"/>
  <c r="J149" i="20"/>
  <c r="V149" i="20" s="1"/>
  <c r="J24" i="20"/>
  <c r="J150" i="20"/>
  <c r="V150" i="20" s="1"/>
  <c r="J19" i="20"/>
  <c r="J72" i="20"/>
  <c r="V72" i="20" s="1"/>
  <c r="L50" i="18"/>
  <c r="L136" i="18"/>
  <c r="L83" i="18"/>
  <c r="L140" i="18"/>
  <c r="L133" i="18"/>
  <c r="L124" i="18"/>
  <c r="L112" i="18"/>
  <c r="L94" i="18"/>
  <c r="L153" i="18"/>
  <c r="L139" i="18"/>
  <c r="L130" i="18"/>
  <c r="L123" i="18"/>
  <c r="L113" i="18"/>
  <c r="L95" i="18"/>
  <c r="L84" i="18"/>
  <c r="L75" i="18"/>
  <c r="L61" i="18"/>
  <c r="L35" i="18"/>
  <c r="L26" i="18"/>
  <c r="L51" i="18"/>
  <c r="L74" i="18"/>
  <c r="L58" i="18"/>
  <c r="L33" i="18"/>
  <c r="L31" i="18"/>
  <c r="L29" i="18"/>
  <c r="L27" i="18"/>
  <c r="J137" i="20"/>
  <c r="V137" i="20" s="1"/>
  <c r="J18" i="20"/>
  <c r="J130" i="20"/>
  <c r="V130" i="20" s="1"/>
  <c r="J165" i="20"/>
  <c r="K165" i="20" s="1"/>
  <c r="J131" i="20"/>
  <c r="V131" i="20" s="1"/>
  <c r="J173" i="20"/>
  <c r="K173" i="20" s="1"/>
  <c r="J92" i="20"/>
  <c r="V92" i="20" s="1"/>
  <c r="L149" i="18"/>
  <c r="L93" i="18"/>
  <c r="L82" i="18"/>
  <c r="L47" i="18"/>
  <c r="L150" i="18"/>
  <c r="L81" i="18"/>
  <c r="L41" i="18"/>
  <c r="L138" i="18"/>
  <c r="L131" i="18"/>
  <c r="L122" i="18"/>
  <c r="L110" i="18"/>
  <c r="L111" i="18"/>
  <c r="L73" i="18"/>
  <c r="L59" i="18"/>
  <c r="L32" i="18"/>
  <c r="L24" i="18"/>
  <c r="L148" i="18"/>
  <c r="L129" i="18"/>
  <c r="L48" i="18"/>
  <c r="L72" i="18"/>
  <c r="L56" i="18"/>
  <c r="L25" i="18"/>
  <c r="L23" i="18"/>
  <c r="L21" i="18"/>
  <c r="L19" i="18"/>
  <c r="J121" i="20"/>
  <c r="V121" i="20" s="1"/>
  <c r="J113" i="20"/>
  <c r="V113" i="20" s="1"/>
  <c r="L137" i="18"/>
  <c r="L91" i="18"/>
  <c r="L45" i="18"/>
  <c r="L127" i="18"/>
  <c r="H103" i="15"/>
  <c r="L116" i="18"/>
  <c r="L109" i="18"/>
  <c r="L46" i="18"/>
  <c r="J63" i="20"/>
  <c r="V63" i="20" s="1"/>
  <c r="J128" i="20"/>
  <c r="V128" i="20" s="1"/>
  <c r="J33" i="20"/>
  <c r="L128" i="18"/>
  <c r="L80" i="18"/>
  <c r="L92" i="18"/>
  <c r="L30" i="18"/>
  <c r="L103" i="18"/>
  <c r="L62" i="18"/>
  <c r="J59" i="20"/>
  <c r="V59" i="20" s="1"/>
  <c r="L147" i="18"/>
  <c r="L144" i="18"/>
  <c r="L146" i="18"/>
  <c r="J112" i="20"/>
  <c r="V112" i="20" s="1"/>
  <c r="J87" i="20"/>
  <c r="V87" i="20" s="1"/>
  <c r="L121" i="18"/>
  <c r="L71" i="18"/>
  <c r="L87" i="18"/>
  <c r="L117" i="18"/>
  <c r="L22" i="18"/>
  <c r="L57" i="18"/>
  <c r="J20" i="20"/>
  <c r="L20" i="18"/>
  <c r="J111" i="20"/>
  <c r="V111" i="20" s="1"/>
  <c r="L183" i="18"/>
  <c r="O104" i="18"/>
  <c r="O77" i="18"/>
  <c r="N71" i="20"/>
  <c r="N77" i="20" s="1"/>
  <c r="M77" i="20"/>
  <c r="O34" i="18"/>
  <c r="O42" i="18" s="1"/>
  <c r="N121" i="20"/>
  <c r="N141" i="20" s="1"/>
  <c r="M141" i="20"/>
  <c r="N56" i="20"/>
  <c r="N64" i="20" s="1"/>
  <c r="M64" i="20"/>
  <c r="O193" i="18"/>
  <c r="U53" i="18"/>
  <c r="V169" i="20"/>
  <c r="W169" i="20" s="1"/>
  <c r="T169" i="20"/>
  <c r="T144" i="20"/>
  <c r="T151" i="20" s="1"/>
  <c r="S151" i="20"/>
  <c r="T168" i="20"/>
  <c r="V168" i="20"/>
  <c r="W168" i="20" s="1"/>
  <c r="V175" i="20"/>
  <c r="W175" i="20" s="1"/>
  <c r="T175" i="20"/>
  <c r="V18" i="18"/>
  <c r="J34" i="18"/>
  <c r="J42" i="18" s="1"/>
  <c r="J66" i="18" s="1"/>
  <c r="R141" i="18"/>
  <c r="R53" i="18"/>
  <c r="R151" i="18"/>
  <c r="Q163" i="20"/>
  <c r="Q179" i="20" s="1"/>
  <c r="Q9" i="20" s="1"/>
  <c r="P179" i="20"/>
  <c r="Q144" i="20"/>
  <c r="Q151" i="20" s="1"/>
  <c r="P151" i="20"/>
  <c r="Q71" i="20"/>
  <c r="Q77" i="20" s="1"/>
  <c r="P77" i="20"/>
  <c r="Q45" i="20"/>
  <c r="Q53" i="20" s="1"/>
  <c r="P53" i="20"/>
  <c r="O53" i="18"/>
  <c r="O118" i="18"/>
  <c r="N109" i="20"/>
  <c r="N118" i="20" s="1"/>
  <c r="M118" i="20"/>
  <c r="N45" i="20"/>
  <c r="N53" i="20" s="1"/>
  <c r="M53" i="20"/>
  <c r="N80" i="20"/>
  <c r="N88" i="20" s="1"/>
  <c r="M88" i="20"/>
  <c r="N91" i="20"/>
  <c r="N96" i="20" s="1"/>
  <c r="M96" i="20"/>
  <c r="M179" i="20"/>
  <c r="N163" i="20"/>
  <c r="N179" i="20" s="1"/>
  <c r="N9" i="20" s="1"/>
  <c r="U141" i="18"/>
  <c r="U77" i="18"/>
  <c r="U34" i="18"/>
  <c r="U42" i="18" s="1"/>
  <c r="T109" i="20"/>
  <c r="T118" i="20" s="1"/>
  <c r="S118" i="20"/>
  <c r="S179" i="20"/>
  <c r="V163" i="20"/>
  <c r="T163" i="20"/>
  <c r="V173" i="20"/>
  <c r="W173" i="20" s="1"/>
  <c r="T173" i="20"/>
  <c r="T172" i="20"/>
  <c r="V172" i="20"/>
  <c r="W172" i="20" s="1"/>
  <c r="T45" i="20"/>
  <c r="T53" i="20" s="1"/>
  <c r="S53" i="20"/>
  <c r="T170" i="20"/>
  <c r="V170" i="20"/>
  <c r="W170" i="20" s="1"/>
  <c r="V177" i="20"/>
  <c r="W177" i="20" s="1"/>
  <c r="T177" i="20"/>
  <c r="V165" i="20"/>
  <c r="W165" i="20" s="1"/>
  <c r="T165" i="20"/>
  <c r="U193" i="18"/>
  <c r="Q80" i="20"/>
  <c r="Q88" i="20" s="1"/>
  <c r="P88" i="20"/>
  <c r="Q121" i="20"/>
  <c r="Q141" i="20" s="1"/>
  <c r="P141" i="20"/>
  <c r="Q109" i="20"/>
  <c r="Q118" i="20" s="1"/>
  <c r="P118" i="20"/>
  <c r="O96" i="18"/>
  <c r="O141" i="18"/>
  <c r="N101" i="20"/>
  <c r="N104" i="20" s="1"/>
  <c r="M104" i="20"/>
  <c r="N18" i="20"/>
  <c r="T71" i="20"/>
  <c r="T77" i="20" s="1"/>
  <c r="S77" i="20"/>
  <c r="U88" i="18"/>
  <c r="U96" i="18"/>
  <c r="U64" i="18"/>
  <c r="T121" i="20"/>
  <c r="T141" i="20" s="1"/>
  <c r="S141" i="20"/>
  <c r="T167" i="20"/>
  <c r="V167" i="20"/>
  <c r="W167" i="20" s="1"/>
  <c r="T80" i="20"/>
  <c r="T88" i="20" s="1"/>
  <c r="S88" i="20"/>
  <c r="T101" i="20"/>
  <c r="T104" i="20" s="1"/>
  <c r="S104" i="20"/>
  <c r="T176" i="20"/>
  <c r="V176" i="20"/>
  <c r="W176" i="20" s="1"/>
  <c r="V174" i="20"/>
  <c r="W174" i="20" s="1"/>
  <c r="T174" i="20"/>
  <c r="T56" i="20"/>
  <c r="T64" i="20" s="1"/>
  <c r="S64" i="20"/>
  <c r="R77" i="18"/>
  <c r="R96" i="18"/>
  <c r="R34" i="18"/>
  <c r="R42" i="18" s="1"/>
  <c r="Q91" i="20"/>
  <c r="Q96" i="20" s="1"/>
  <c r="P96" i="20"/>
  <c r="Q56" i="20"/>
  <c r="Q64" i="20" s="1"/>
  <c r="P64" i="20"/>
  <c r="R193" i="18"/>
  <c r="O64" i="18"/>
  <c r="O151" i="18"/>
  <c r="N144" i="20"/>
  <c r="N151" i="20" s="1"/>
  <c r="M151" i="20"/>
  <c r="T18" i="20"/>
  <c r="U118" i="18"/>
  <c r="T178" i="20"/>
  <c r="V178" i="20"/>
  <c r="W178" i="20" s="1"/>
  <c r="T164" i="20"/>
  <c r="V164" i="20"/>
  <c r="W164" i="20" s="1"/>
  <c r="V166" i="20"/>
  <c r="W166" i="20" s="1"/>
  <c r="T166" i="20"/>
  <c r="T171" i="20"/>
  <c r="V171" i="20"/>
  <c r="W171" i="20" s="1"/>
  <c r="T91" i="20"/>
  <c r="T96" i="20" s="1"/>
  <c r="S96" i="20"/>
  <c r="U189" i="18"/>
  <c r="S159" i="18" l="1"/>
  <c r="S6" i="18"/>
  <c r="Y33" i="18"/>
  <c r="AB33" i="20"/>
  <c r="AC33" i="20" s="1"/>
  <c r="AB27" i="20"/>
  <c r="AC27" i="20" s="1"/>
  <c r="Y27" i="18"/>
  <c r="AB25" i="20"/>
  <c r="AC25" i="20" s="1"/>
  <c r="Y25" i="18"/>
  <c r="Y30" i="18"/>
  <c r="AB30" i="20"/>
  <c r="AC30" i="20" s="1"/>
  <c r="P33" i="20"/>
  <c r="H105" i="15"/>
  <c r="J105" i="15" s="1"/>
  <c r="AB19" i="20"/>
  <c r="AC19" i="20" s="1"/>
  <c r="Y19" i="18"/>
  <c r="R103" i="15"/>
  <c r="V20" i="21" s="1"/>
  <c r="AB23" i="20"/>
  <c r="AC23" i="20" s="1"/>
  <c r="Y23" i="18"/>
  <c r="H104" i="15"/>
  <c r="J104" i="15" s="1"/>
  <c r="M33" i="20"/>
  <c r="AB26" i="20"/>
  <c r="AC26" i="20" s="1"/>
  <c r="Y26" i="18"/>
  <c r="AB29" i="20"/>
  <c r="AC29" i="20" s="1"/>
  <c r="Y29" i="18"/>
  <c r="Y31" i="18"/>
  <c r="AB31" i="20"/>
  <c r="AC31" i="20" s="1"/>
  <c r="AB32" i="20"/>
  <c r="AC32" i="20" s="1"/>
  <c r="Y32" i="18"/>
  <c r="S33" i="20"/>
  <c r="H106" i="15"/>
  <c r="J106" i="15" s="1"/>
  <c r="Y28" i="18"/>
  <c r="AB28" i="20"/>
  <c r="AC28" i="20" s="1"/>
  <c r="Y24" i="18"/>
  <c r="AB24" i="20"/>
  <c r="AC24" i="20" s="1"/>
  <c r="Y22" i="18"/>
  <c r="AB22" i="20"/>
  <c r="AC22" i="20" s="1"/>
  <c r="P34" i="18"/>
  <c r="P42" i="18" s="1"/>
  <c r="P66" i="18" s="1"/>
  <c r="Y21" i="18"/>
  <c r="AB21" i="20"/>
  <c r="AC21" i="20" s="1"/>
  <c r="AB20" i="20"/>
  <c r="AC20" i="20" s="1"/>
  <c r="Y20" i="18"/>
  <c r="M34" i="18"/>
  <c r="M42" i="18" s="1"/>
  <c r="M66" i="18" s="1"/>
  <c r="O199" i="18"/>
  <c r="U199" i="18"/>
  <c r="R199" i="18"/>
  <c r="R66" i="18"/>
  <c r="R6" i="18" s="1"/>
  <c r="O66" i="18"/>
  <c r="O6" i="18" s="1"/>
  <c r="W59" i="20"/>
  <c r="K59" i="20"/>
  <c r="W113" i="20"/>
  <c r="K113" i="20"/>
  <c r="K131" i="20"/>
  <c r="W131" i="20"/>
  <c r="W137" i="20"/>
  <c r="K137" i="20"/>
  <c r="K24" i="20"/>
  <c r="V24" i="20"/>
  <c r="W24" i="20" s="1"/>
  <c r="K82" i="20"/>
  <c r="W82" i="20"/>
  <c r="W57" i="20"/>
  <c r="K57" i="20"/>
  <c r="K91" i="20"/>
  <c r="W136" i="20"/>
  <c r="K136" i="20"/>
  <c r="K117" i="20"/>
  <c r="W117" i="20"/>
  <c r="W110" i="20"/>
  <c r="K110" i="20"/>
  <c r="K116" i="20"/>
  <c r="W116" i="20"/>
  <c r="W114" i="20"/>
  <c r="K114" i="20"/>
  <c r="K125" i="20"/>
  <c r="W125" i="20"/>
  <c r="W86" i="20"/>
  <c r="K86" i="20"/>
  <c r="W47" i="20"/>
  <c r="K47" i="20"/>
  <c r="W46" i="20"/>
  <c r="K46" i="20"/>
  <c r="W50" i="20"/>
  <c r="K50" i="20"/>
  <c r="W73" i="20"/>
  <c r="K73" i="20"/>
  <c r="W52" i="20"/>
  <c r="K52" i="20"/>
  <c r="W51" i="20"/>
  <c r="K51" i="20"/>
  <c r="K56" i="20"/>
  <c r="V20" i="20"/>
  <c r="W20" i="20" s="1"/>
  <c r="K20" i="20"/>
  <c r="V33" i="20"/>
  <c r="W33" i="20" s="1"/>
  <c r="K33" i="20"/>
  <c r="K121" i="20"/>
  <c r="K72" i="20"/>
  <c r="W72" i="20"/>
  <c r="K149" i="20"/>
  <c r="W149" i="20"/>
  <c r="K81" i="20"/>
  <c r="W81" i="20"/>
  <c r="W83" i="20"/>
  <c r="K83" i="20"/>
  <c r="V31" i="20"/>
  <c r="W31" i="20" s="1"/>
  <c r="K31" i="20"/>
  <c r="W135" i="20"/>
  <c r="K135" i="20"/>
  <c r="W134" i="20"/>
  <c r="K134" i="20"/>
  <c r="V29" i="20"/>
  <c r="W29" i="20" s="1"/>
  <c r="K29" i="20"/>
  <c r="K144" i="20"/>
  <c r="W93" i="20"/>
  <c r="K93" i="20"/>
  <c r="K85" i="20"/>
  <c r="W85" i="20"/>
  <c r="K22" i="20"/>
  <c r="V22" i="20"/>
  <c r="W22" i="20" s="1"/>
  <c r="W75" i="20"/>
  <c r="K75" i="20"/>
  <c r="W35" i="20"/>
  <c r="K35" i="20"/>
  <c r="J104" i="20"/>
  <c r="K101" i="20"/>
  <c r="K84" i="20"/>
  <c r="W84" i="20"/>
  <c r="K109" i="20"/>
  <c r="K103" i="20"/>
  <c r="W103" i="20"/>
  <c r="W41" i="20"/>
  <c r="K41" i="20"/>
  <c r="K102" i="20"/>
  <c r="W102" i="20"/>
  <c r="W48" i="20"/>
  <c r="K48" i="20"/>
  <c r="W115" i="20"/>
  <c r="K115" i="20"/>
  <c r="W87" i="20"/>
  <c r="K87" i="20"/>
  <c r="W128" i="20"/>
  <c r="K128" i="20"/>
  <c r="W92" i="20"/>
  <c r="K92" i="20"/>
  <c r="K130" i="20"/>
  <c r="W130" i="20"/>
  <c r="K19" i="20"/>
  <c r="V19" i="20"/>
  <c r="W19" i="20" s="1"/>
  <c r="W37" i="20"/>
  <c r="K37" i="20"/>
  <c r="W58" i="20"/>
  <c r="K58" i="20"/>
  <c r="W60" i="20"/>
  <c r="K60" i="20"/>
  <c r="W95" i="20"/>
  <c r="K95" i="20"/>
  <c r="W39" i="20"/>
  <c r="K39" i="20"/>
  <c r="W38" i="20"/>
  <c r="K38" i="20"/>
  <c r="K45" i="20"/>
  <c r="K147" i="20"/>
  <c r="W147" i="20"/>
  <c r="K123" i="20"/>
  <c r="W123" i="20"/>
  <c r="W124" i="20"/>
  <c r="K124" i="20"/>
  <c r="W122" i="20"/>
  <c r="K122" i="20"/>
  <c r="W132" i="20"/>
  <c r="K132" i="20"/>
  <c r="K129" i="20"/>
  <c r="W129" i="20"/>
  <c r="K74" i="20"/>
  <c r="W74" i="20"/>
  <c r="W127" i="20"/>
  <c r="K127" i="20"/>
  <c r="K140" i="20"/>
  <c r="W140" i="20"/>
  <c r="K126" i="20"/>
  <c r="W126" i="20"/>
  <c r="W153" i="20"/>
  <c r="K153" i="20"/>
  <c r="W133" i="20"/>
  <c r="K133" i="20"/>
  <c r="W40" i="20"/>
  <c r="K40" i="20"/>
  <c r="W155" i="20"/>
  <c r="K155" i="20"/>
  <c r="AA6" i="20"/>
  <c r="AA159" i="20"/>
  <c r="AA8" i="20" s="1"/>
  <c r="W111" i="20"/>
  <c r="K111" i="20"/>
  <c r="K112" i="20"/>
  <c r="W112" i="20"/>
  <c r="W63" i="20"/>
  <c r="K63" i="20"/>
  <c r="K18" i="20"/>
  <c r="V18" i="20"/>
  <c r="K150" i="20"/>
  <c r="W150" i="20"/>
  <c r="K76" i="20"/>
  <c r="W76" i="20"/>
  <c r="W62" i="20"/>
  <c r="K62" i="20"/>
  <c r="K30" i="20"/>
  <c r="V30" i="20"/>
  <c r="W30" i="20" s="1"/>
  <c r="W61" i="20"/>
  <c r="K61" i="20"/>
  <c r="K26" i="20"/>
  <c r="V26" i="20"/>
  <c r="W26" i="20" s="1"/>
  <c r="K71" i="20"/>
  <c r="K80" i="20"/>
  <c r="K27" i="20"/>
  <c r="V27" i="20"/>
  <c r="W27" i="20" s="1"/>
  <c r="W139" i="20"/>
  <c r="K139" i="20"/>
  <c r="V32" i="20"/>
  <c r="W32" i="20" s="1"/>
  <c r="K32" i="20"/>
  <c r="K138" i="20"/>
  <c r="W138" i="20"/>
  <c r="V25" i="20"/>
  <c r="W25" i="20" s="1"/>
  <c r="K25" i="20"/>
  <c r="W148" i="20"/>
  <c r="K148" i="20"/>
  <c r="K94" i="20"/>
  <c r="W94" i="20"/>
  <c r="K23" i="20"/>
  <c r="V23" i="20"/>
  <c r="W23" i="20" s="1"/>
  <c r="K146" i="20"/>
  <c r="W146" i="20"/>
  <c r="K28" i="20"/>
  <c r="V28" i="20"/>
  <c r="W28" i="20" s="1"/>
  <c r="K145" i="20"/>
  <c r="W145" i="20"/>
  <c r="K21" i="20"/>
  <c r="V21" i="20"/>
  <c r="W21" i="20" s="1"/>
  <c r="K154" i="20"/>
  <c r="W154" i="20"/>
  <c r="Z181" i="20"/>
  <c r="AA181" i="20" s="1"/>
  <c r="Z6" i="20"/>
  <c r="Z159" i="20"/>
  <c r="Z8" i="20" s="1"/>
  <c r="U66" i="18"/>
  <c r="U6" i="18" s="1"/>
  <c r="L189" i="18"/>
  <c r="T201" i="18"/>
  <c r="T8" i="18"/>
  <c r="Q201" i="18"/>
  <c r="Q8" i="18"/>
  <c r="N201" i="18"/>
  <c r="N8" i="18"/>
  <c r="L141" i="18"/>
  <c r="K159" i="18"/>
  <c r="K181" i="18"/>
  <c r="K6" i="18"/>
  <c r="L53" i="18"/>
  <c r="J141" i="20"/>
  <c r="R98" i="18"/>
  <c r="R106" i="18" s="1"/>
  <c r="R157" i="18" s="1"/>
  <c r="R7" i="18" s="1"/>
  <c r="L88" i="18"/>
  <c r="T179" i="20"/>
  <c r="T9" i="20" s="1"/>
  <c r="P98" i="20"/>
  <c r="P106" i="20" s="1"/>
  <c r="P157" i="20" s="1"/>
  <c r="P7" i="20" s="1"/>
  <c r="P9" i="20"/>
  <c r="O98" i="18"/>
  <c r="O106" i="18" s="1"/>
  <c r="O157" i="18" s="1"/>
  <c r="L151" i="18"/>
  <c r="L96" i="18"/>
  <c r="L64" i="18"/>
  <c r="K163" i="20"/>
  <c r="K179" i="20" s="1"/>
  <c r="K9" i="20" s="1"/>
  <c r="J179" i="20"/>
  <c r="J53" i="20"/>
  <c r="L193" i="18"/>
  <c r="L197" i="18"/>
  <c r="V179" i="20"/>
  <c r="W163" i="20"/>
  <c r="W179" i="20" s="1"/>
  <c r="W9" i="20" s="1"/>
  <c r="M9" i="20"/>
  <c r="Q98" i="20"/>
  <c r="Q106" i="20" s="1"/>
  <c r="Q157" i="20" s="1"/>
  <c r="J181" i="18"/>
  <c r="J6" i="18"/>
  <c r="J159" i="18"/>
  <c r="H107" i="15"/>
  <c r="J103" i="15"/>
  <c r="J107" i="15" s="1"/>
  <c r="J34" i="20"/>
  <c r="J42" i="20" s="1"/>
  <c r="J77" i="20"/>
  <c r="J88" i="20"/>
  <c r="S98" i="20"/>
  <c r="S106" i="20" s="1"/>
  <c r="S157" i="20" s="1"/>
  <c r="S7" i="20" s="1"/>
  <c r="S9" i="20"/>
  <c r="U98" i="18"/>
  <c r="U106" i="18" s="1"/>
  <c r="U157" i="18" s="1"/>
  <c r="AB18" i="20"/>
  <c r="V34" i="18"/>
  <c r="V42" i="18" s="1"/>
  <c r="V66" i="18" s="1"/>
  <c r="Y18" i="18"/>
  <c r="Y34" i="18" s="1"/>
  <c r="Y42" i="18" s="1"/>
  <c r="Y66" i="18" s="1"/>
  <c r="M98" i="20"/>
  <c r="M106" i="20" s="1"/>
  <c r="M157" i="20" s="1"/>
  <c r="L34" i="18"/>
  <c r="L42" i="18" s="1"/>
  <c r="L77" i="18"/>
  <c r="J96" i="20"/>
  <c r="J64" i="20"/>
  <c r="T98" i="20"/>
  <c r="T106" i="20" s="1"/>
  <c r="T157" i="20" s="1"/>
  <c r="T7" i="20" s="1"/>
  <c r="N98" i="20"/>
  <c r="N106" i="20" s="1"/>
  <c r="N157" i="20" s="1"/>
  <c r="N7" i="20" s="1"/>
  <c r="L118" i="18"/>
  <c r="L104" i="18"/>
  <c r="J151" i="20"/>
  <c r="J118" i="20"/>
  <c r="M159" i="18" l="1"/>
  <c r="M6" i="18"/>
  <c r="N33" i="20"/>
  <c r="N34" i="20" s="1"/>
  <c r="N42" i="20" s="1"/>
  <c r="N66" i="20" s="1"/>
  <c r="M34" i="20"/>
  <c r="M42" i="20" s="1"/>
  <c r="M66" i="20" s="1"/>
  <c r="Q33" i="20"/>
  <c r="Q34" i="20" s="1"/>
  <c r="Q42" i="20" s="1"/>
  <c r="Q66" i="20" s="1"/>
  <c r="Q6" i="20" s="1"/>
  <c r="P34" i="20"/>
  <c r="P42" i="20" s="1"/>
  <c r="P66" i="20" s="1"/>
  <c r="P6" i="20" s="1"/>
  <c r="P6" i="18"/>
  <c r="P159" i="18"/>
  <c r="T33" i="20"/>
  <c r="T34" i="20" s="1"/>
  <c r="T42" i="20" s="1"/>
  <c r="T66" i="20" s="1"/>
  <c r="S34" i="20"/>
  <c r="S42" i="20" s="1"/>
  <c r="S66" i="20" s="1"/>
  <c r="S181" i="20" s="1"/>
  <c r="T181" i="20" s="1"/>
  <c r="S8" i="18"/>
  <c r="S201" i="18"/>
  <c r="K53" i="20"/>
  <c r="P181" i="20"/>
  <c r="Q181" i="20" s="1"/>
  <c r="K104" i="20"/>
  <c r="R159" i="18"/>
  <c r="R201" i="18" s="1"/>
  <c r="L98" i="18"/>
  <c r="L106" i="18" s="1"/>
  <c r="L157" i="18" s="1"/>
  <c r="L7" i="18" s="1"/>
  <c r="K77" i="20"/>
  <c r="K88" i="20"/>
  <c r="K118" i="20"/>
  <c r="P159" i="20"/>
  <c r="P8" i="20" s="1"/>
  <c r="W192" i="18"/>
  <c r="Z192" i="18" s="1"/>
  <c r="W155" i="18"/>
  <c r="W149" i="18"/>
  <c r="W145" i="18"/>
  <c r="W138" i="18"/>
  <c r="W134" i="18"/>
  <c r="W130" i="18"/>
  <c r="W126" i="18"/>
  <c r="W122" i="18"/>
  <c r="W115" i="18"/>
  <c r="W111" i="18"/>
  <c r="W102" i="18"/>
  <c r="W93" i="18"/>
  <c r="W86" i="18"/>
  <c r="W82" i="18"/>
  <c r="W75" i="18"/>
  <c r="W71" i="18"/>
  <c r="W60" i="18"/>
  <c r="W56" i="18"/>
  <c r="W48" i="18"/>
  <c r="W41" i="18"/>
  <c r="W37" i="18"/>
  <c r="W31" i="18"/>
  <c r="W27" i="18"/>
  <c r="W23" i="18"/>
  <c r="W19" i="18"/>
  <c r="W203" i="18"/>
  <c r="Z203" i="18" s="1"/>
  <c r="W191" i="18"/>
  <c r="W154" i="18"/>
  <c r="W148" i="18"/>
  <c r="W144" i="18"/>
  <c r="W137" i="18"/>
  <c r="W133" i="18"/>
  <c r="W129" i="18"/>
  <c r="W125" i="18"/>
  <c r="W121" i="18"/>
  <c r="W114" i="18"/>
  <c r="W110" i="18"/>
  <c r="W101" i="18"/>
  <c r="W92" i="18"/>
  <c r="W85" i="18"/>
  <c r="W81" i="18"/>
  <c r="W74" i="18"/>
  <c r="W63" i="18"/>
  <c r="W59" i="18"/>
  <c r="W52" i="18"/>
  <c r="W47" i="18"/>
  <c r="W40" i="18"/>
  <c r="W35" i="18"/>
  <c r="W30" i="18"/>
  <c r="W26" i="18"/>
  <c r="W22" i="18"/>
  <c r="W18" i="18"/>
  <c r="W196" i="18"/>
  <c r="Z196" i="18" s="1"/>
  <c r="W188" i="18"/>
  <c r="Z188" i="18" s="1"/>
  <c r="W153" i="18"/>
  <c r="W147" i="18"/>
  <c r="W140" i="18"/>
  <c r="W136" i="18"/>
  <c r="W132" i="18"/>
  <c r="W128" i="18"/>
  <c r="W124" i="18"/>
  <c r="W117" i="18"/>
  <c r="W113" i="18"/>
  <c r="W109" i="18"/>
  <c r="W95" i="18"/>
  <c r="W91" i="18"/>
  <c r="W84" i="18"/>
  <c r="W80" i="18"/>
  <c r="W73" i="18"/>
  <c r="W62" i="18"/>
  <c r="W58" i="18"/>
  <c r="W51" i="18"/>
  <c r="W46" i="18"/>
  <c r="W39" i="18"/>
  <c r="W33" i="18"/>
  <c r="W29" i="18"/>
  <c r="W25" i="18"/>
  <c r="W21" i="18"/>
  <c r="W195" i="18"/>
  <c r="W187" i="18"/>
  <c r="W150" i="18"/>
  <c r="W146" i="18"/>
  <c r="W139" i="18"/>
  <c r="W123" i="18"/>
  <c r="W94" i="18"/>
  <c r="W72" i="18"/>
  <c r="W45" i="18"/>
  <c r="W24" i="18"/>
  <c r="W135" i="18"/>
  <c r="W116" i="18"/>
  <c r="W87" i="18"/>
  <c r="W61" i="18"/>
  <c r="W38" i="18"/>
  <c r="W20" i="18"/>
  <c r="W131" i="18"/>
  <c r="W112" i="18"/>
  <c r="W83" i="18"/>
  <c r="W57" i="18"/>
  <c r="W32" i="18"/>
  <c r="W127" i="18"/>
  <c r="W103" i="18"/>
  <c r="W76" i="18"/>
  <c r="W50" i="18"/>
  <c r="W28" i="18"/>
  <c r="W109" i="20"/>
  <c r="W118" i="20" s="1"/>
  <c r="V118" i="20"/>
  <c r="W101" i="20"/>
  <c r="W104" i="20" s="1"/>
  <c r="V104" i="20"/>
  <c r="V151" i="20"/>
  <c r="W144" i="20"/>
  <c r="W151" i="20" s="1"/>
  <c r="K64" i="20"/>
  <c r="W91" i="20"/>
  <c r="W96" i="20" s="1"/>
  <c r="V96" i="20"/>
  <c r="V77" i="20"/>
  <c r="W71" i="20"/>
  <c r="W77" i="20" s="1"/>
  <c r="K151" i="20"/>
  <c r="W56" i="20"/>
  <c r="W64" i="20" s="1"/>
  <c r="V64" i="20"/>
  <c r="K96" i="20"/>
  <c r="V53" i="20"/>
  <c r="W45" i="20"/>
  <c r="W53" i="20" s="1"/>
  <c r="V141" i="20"/>
  <c r="W121" i="20"/>
  <c r="W141" i="20" s="1"/>
  <c r="K34" i="20"/>
  <c r="K42" i="20" s="1"/>
  <c r="V88" i="20"/>
  <c r="W80" i="20"/>
  <c r="W88" i="20" s="1"/>
  <c r="W18" i="20"/>
  <c r="W34" i="20" s="1"/>
  <c r="W42" i="20" s="1"/>
  <c r="V34" i="20"/>
  <c r="V42" i="20" s="1"/>
  <c r="K141" i="20"/>
  <c r="L181" i="18"/>
  <c r="U159" i="18"/>
  <c r="U7" i="18"/>
  <c r="R8" i="18"/>
  <c r="O159" i="18"/>
  <c r="O7" i="18"/>
  <c r="K201" i="18"/>
  <c r="K205" i="18" s="1"/>
  <c r="K8" i="18"/>
  <c r="L199" i="18"/>
  <c r="P183" i="20"/>
  <c r="Q183" i="20" s="1"/>
  <c r="M7" i="20"/>
  <c r="M183" i="20"/>
  <c r="N183" i="20" s="1"/>
  <c r="Q7" i="20"/>
  <c r="Q159" i="20"/>
  <c r="Q8" i="20" s="1"/>
  <c r="V6" i="18"/>
  <c r="V159" i="18"/>
  <c r="J98" i="20"/>
  <c r="J106" i="20" s="1"/>
  <c r="J157" i="20" s="1"/>
  <c r="J7" i="20" s="1"/>
  <c r="J66" i="20"/>
  <c r="J181" i="20" s="1"/>
  <c r="K181" i="20" s="1"/>
  <c r="M6" i="20"/>
  <c r="M159" i="20"/>
  <c r="M8" i="20" s="1"/>
  <c r="AC18" i="20"/>
  <c r="AC34" i="20" s="1"/>
  <c r="AC42" i="20" s="1"/>
  <c r="AC66" i="20" s="1"/>
  <c r="AB34" i="20"/>
  <c r="AB42" i="20" s="1"/>
  <c r="AB66" i="20" s="1"/>
  <c r="J201" i="18"/>
  <c r="J205" i="18" s="1"/>
  <c r="M203" i="18" s="1"/>
  <c r="J8" i="18"/>
  <c r="V9" i="20"/>
  <c r="J9" i="20"/>
  <c r="N6" i="20"/>
  <c r="N159" i="20"/>
  <c r="N8" i="20" s="1"/>
  <c r="S6" i="20"/>
  <c r="S159" i="20"/>
  <c r="S8" i="20" s="1"/>
  <c r="M181" i="20"/>
  <c r="N181" i="20" s="1"/>
  <c r="L66" i="18"/>
  <c r="L6" i="18" s="1"/>
  <c r="Y6" i="18"/>
  <c r="Y159" i="18"/>
  <c r="S183" i="20"/>
  <c r="T183" i="20" s="1"/>
  <c r="T6" i="20"/>
  <c r="T159" i="20"/>
  <c r="T8" i="20" s="1"/>
  <c r="P8" i="18" l="1"/>
  <c r="P201" i="18"/>
  <c r="M201" i="18"/>
  <c r="M8" i="18"/>
  <c r="K98" i="20"/>
  <c r="K106" i="20" s="1"/>
  <c r="W66" i="20"/>
  <c r="J183" i="20"/>
  <c r="K183" i="20" s="1"/>
  <c r="K157" i="20"/>
  <c r="K7" i="20" s="1"/>
  <c r="W98" i="20"/>
  <c r="W106" i="20" s="1"/>
  <c r="W157" i="20" s="1"/>
  <c r="W7" i="20" s="1"/>
  <c r="X50" i="20"/>
  <c r="Y50" i="20" s="1"/>
  <c r="X50" i="18"/>
  <c r="Z50" i="18"/>
  <c r="Z32" i="18"/>
  <c r="X32" i="18"/>
  <c r="X32" i="20"/>
  <c r="Y32" i="20" s="1"/>
  <c r="X131" i="18"/>
  <c r="Z131" i="18"/>
  <c r="X131" i="20"/>
  <c r="Y131" i="20" s="1"/>
  <c r="X87" i="18"/>
  <c r="Z87" i="18"/>
  <c r="X87" i="20"/>
  <c r="Y87" i="20" s="1"/>
  <c r="W53" i="18"/>
  <c r="X45" i="18"/>
  <c r="X45" i="20"/>
  <c r="Z45" i="18"/>
  <c r="X139" i="18"/>
  <c r="Z139" i="18"/>
  <c r="X139" i="20"/>
  <c r="Y139" i="20" s="1"/>
  <c r="Z195" i="18"/>
  <c r="Z197" i="18" s="1"/>
  <c r="W197" i="18"/>
  <c r="X33" i="20"/>
  <c r="Y33" i="20" s="1"/>
  <c r="Z33" i="18"/>
  <c r="X33" i="18"/>
  <c r="X58" i="20"/>
  <c r="Y58" i="20" s="1"/>
  <c r="X58" i="18"/>
  <c r="Z58" i="18"/>
  <c r="X84" i="18"/>
  <c r="X84" i="20"/>
  <c r="Y84" i="20" s="1"/>
  <c r="Z84" i="18"/>
  <c r="X113" i="18"/>
  <c r="X113" i="20"/>
  <c r="Y113" i="20" s="1"/>
  <c r="Z113" i="18"/>
  <c r="X132" i="20"/>
  <c r="Y132" i="20" s="1"/>
  <c r="Z132" i="18"/>
  <c r="X132" i="18"/>
  <c r="Z153" i="18"/>
  <c r="X153" i="20"/>
  <c r="Y153" i="20" s="1"/>
  <c r="X153" i="18"/>
  <c r="X22" i="20"/>
  <c r="Y22" i="20" s="1"/>
  <c r="Z22" i="18"/>
  <c r="X22" i="18"/>
  <c r="X40" i="20"/>
  <c r="Y40" i="20" s="1"/>
  <c r="Z40" i="18"/>
  <c r="X40" i="18"/>
  <c r="Z63" i="18"/>
  <c r="X63" i="18"/>
  <c r="X63" i="20"/>
  <c r="Y63" i="20" s="1"/>
  <c r="X92" i="18"/>
  <c r="X92" i="20"/>
  <c r="Y92" i="20" s="1"/>
  <c r="Z92" i="18"/>
  <c r="Z121" i="18"/>
  <c r="W141" i="18"/>
  <c r="X121" i="20"/>
  <c r="X121" i="18"/>
  <c r="X137" i="18"/>
  <c r="X137" i="20"/>
  <c r="Y137" i="20" s="1"/>
  <c r="Z137" i="18"/>
  <c r="W193" i="18"/>
  <c r="Z191" i="18"/>
  <c r="Z193" i="18" s="1"/>
  <c r="X27" i="20"/>
  <c r="Y27" i="20" s="1"/>
  <c r="X27" i="18"/>
  <c r="Z27" i="18"/>
  <c r="X48" i="18"/>
  <c r="Z48" i="18"/>
  <c r="X48" i="20"/>
  <c r="Y48" i="20" s="1"/>
  <c r="X75" i="20"/>
  <c r="Y75" i="20" s="1"/>
  <c r="Z75" i="18"/>
  <c r="X75" i="18"/>
  <c r="X102" i="18"/>
  <c r="Z102" i="18"/>
  <c r="X102" i="20"/>
  <c r="Y102" i="20" s="1"/>
  <c r="X126" i="20"/>
  <c r="Y126" i="20" s="1"/>
  <c r="Z126" i="18"/>
  <c r="X126" i="18"/>
  <c r="Z145" i="18"/>
  <c r="X145" i="20"/>
  <c r="Y145" i="20" s="1"/>
  <c r="X145" i="18"/>
  <c r="Z76" i="18"/>
  <c r="X76" i="18"/>
  <c r="X76" i="20"/>
  <c r="Y76" i="20" s="1"/>
  <c r="X57" i="20"/>
  <c r="Y57" i="20" s="1"/>
  <c r="X57" i="18"/>
  <c r="Z57" i="18"/>
  <c r="X20" i="18"/>
  <c r="X20" i="20"/>
  <c r="Y20" i="20" s="1"/>
  <c r="Z20" i="18"/>
  <c r="X116" i="18"/>
  <c r="X116" i="20"/>
  <c r="Y116" i="20" s="1"/>
  <c r="Z116" i="18"/>
  <c r="X72" i="20"/>
  <c r="Y72" i="20" s="1"/>
  <c r="Z72" i="18"/>
  <c r="X72" i="18"/>
  <c r="Z146" i="18"/>
  <c r="X146" i="18"/>
  <c r="X146" i="20"/>
  <c r="Y146" i="20" s="1"/>
  <c r="X21" i="20"/>
  <c r="Y21" i="20" s="1"/>
  <c r="X21" i="18"/>
  <c r="Z21" i="18"/>
  <c r="X39" i="20"/>
  <c r="Y39" i="20" s="1"/>
  <c r="Z39" i="18"/>
  <c r="X39" i="18"/>
  <c r="Z62" i="18"/>
  <c r="X62" i="18"/>
  <c r="X62" i="20"/>
  <c r="Y62" i="20" s="1"/>
  <c r="X91" i="18"/>
  <c r="X91" i="20"/>
  <c r="Z91" i="18"/>
  <c r="W96" i="18"/>
  <c r="Z117" i="18"/>
  <c r="X117" i="20"/>
  <c r="Y117" i="20" s="1"/>
  <c r="X117" i="18"/>
  <c r="X136" i="20"/>
  <c r="Y136" i="20" s="1"/>
  <c r="X136" i="18"/>
  <c r="Z136" i="18"/>
  <c r="X26" i="20"/>
  <c r="Y26" i="20" s="1"/>
  <c r="Z26" i="18"/>
  <c r="X26" i="18"/>
  <c r="X47" i="20"/>
  <c r="Y47" i="20" s="1"/>
  <c r="Z47" i="18"/>
  <c r="X47" i="18"/>
  <c r="X74" i="20"/>
  <c r="Y74" i="20" s="1"/>
  <c r="Z74" i="18"/>
  <c r="X74" i="18"/>
  <c r="Z101" i="18"/>
  <c r="X101" i="18"/>
  <c r="X101" i="20"/>
  <c r="W104" i="18"/>
  <c r="X125" i="20"/>
  <c r="Y125" i="20" s="1"/>
  <c r="Z125" i="18"/>
  <c r="X125" i="18"/>
  <c r="W151" i="18"/>
  <c r="Z144" i="18"/>
  <c r="X144" i="20"/>
  <c r="X144" i="18"/>
  <c r="X31" i="20"/>
  <c r="Y31" i="20" s="1"/>
  <c r="Z31" i="18"/>
  <c r="X31" i="18"/>
  <c r="W64" i="18"/>
  <c r="X56" i="20"/>
  <c r="X56" i="18"/>
  <c r="Z56" i="18"/>
  <c r="X82" i="20"/>
  <c r="Y82" i="20" s="1"/>
  <c r="X82" i="18"/>
  <c r="Z82" i="18"/>
  <c r="Z111" i="18"/>
  <c r="X111" i="18"/>
  <c r="X111" i="20"/>
  <c r="Y111" i="20" s="1"/>
  <c r="X130" i="18"/>
  <c r="X130" i="20"/>
  <c r="Y130" i="20" s="1"/>
  <c r="Z130" i="18"/>
  <c r="X149" i="20"/>
  <c r="Y149" i="20" s="1"/>
  <c r="Z149" i="18"/>
  <c r="X149" i="18"/>
  <c r="V66" i="20"/>
  <c r="V181" i="20" s="1"/>
  <c r="W181" i="20" s="1"/>
  <c r="X103" i="20"/>
  <c r="Y103" i="20" s="1"/>
  <c r="Z103" i="18"/>
  <c r="X103" i="18"/>
  <c r="X83" i="18"/>
  <c r="X83" i="20"/>
  <c r="Y83" i="20" s="1"/>
  <c r="Z83" i="18"/>
  <c r="X38" i="20"/>
  <c r="Y38" i="20" s="1"/>
  <c r="Z38" i="18"/>
  <c r="X38" i="18"/>
  <c r="Z135" i="18"/>
  <c r="X135" i="20"/>
  <c r="Y135" i="20" s="1"/>
  <c r="X135" i="18"/>
  <c r="X94" i="18"/>
  <c r="Z94" i="18"/>
  <c r="X94" i="20"/>
  <c r="Y94" i="20" s="1"/>
  <c r="X150" i="20"/>
  <c r="Y150" i="20" s="1"/>
  <c r="X150" i="18"/>
  <c r="Z150" i="18"/>
  <c r="X25" i="20"/>
  <c r="Y25" i="20" s="1"/>
  <c r="Z25" i="18"/>
  <c r="X25" i="18"/>
  <c r="X46" i="20"/>
  <c r="Y46" i="20" s="1"/>
  <c r="Z46" i="18"/>
  <c r="X46" i="18"/>
  <c r="Z73" i="18"/>
  <c r="X73" i="18"/>
  <c r="X73" i="20"/>
  <c r="Y73" i="20" s="1"/>
  <c r="X95" i="20"/>
  <c r="Y95" i="20" s="1"/>
  <c r="X95" i="18"/>
  <c r="Z95" i="18"/>
  <c r="X124" i="18"/>
  <c r="Z124" i="18"/>
  <c r="X124" i="20"/>
  <c r="Y124" i="20" s="1"/>
  <c r="X140" i="18"/>
  <c r="X140" i="20"/>
  <c r="Y140" i="20" s="1"/>
  <c r="Z140" i="18"/>
  <c r="X30" i="20"/>
  <c r="Y30" i="20" s="1"/>
  <c r="X30" i="18"/>
  <c r="Z30" i="18"/>
  <c r="X52" i="20"/>
  <c r="Y52" i="20" s="1"/>
  <c r="X52" i="18"/>
  <c r="Z52" i="18"/>
  <c r="X81" i="18"/>
  <c r="Z81" i="18"/>
  <c r="X81" i="20"/>
  <c r="Y81" i="20" s="1"/>
  <c r="Z110" i="18"/>
  <c r="X110" i="18"/>
  <c r="X110" i="20"/>
  <c r="Y110" i="20" s="1"/>
  <c r="X129" i="18"/>
  <c r="X129" i="20"/>
  <c r="Y129" i="20" s="1"/>
  <c r="Z129" i="18"/>
  <c r="Z148" i="18"/>
  <c r="X148" i="20"/>
  <c r="Y148" i="20" s="1"/>
  <c r="X148" i="18"/>
  <c r="X19" i="20"/>
  <c r="Y19" i="20" s="1"/>
  <c r="Z19" i="18"/>
  <c r="X19" i="18"/>
  <c r="X37" i="18"/>
  <c r="Z37" i="18"/>
  <c r="X37" i="20"/>
  <c r="Y37" i="20" s="1"/>
  <c r="Z60" i="18"/>
  <c r="X60" i="18"/>
  <c r="X60" i="20"/>
  <c r="Y60" i="20" s="1"/>
  <c r="X86" i="18"/>
  <c r="X86" i="20"/>
  <c r="Y86" i="20" s="1"/>
  <c r="Z86" i="18"/>
  <c r="X115" i="20"/>
  <c r="Y115" i="20" s="1"/>
  <c r="X115" i="18"/>
  <c r="Z115" i="18"/>
  <c r="X134" i="18"/>
  <c r="X134" i="20"/>
  <c r="Y134" i="20" s="1"/>
  <c r="Z134" i="18"/>
  <c r="X155" i="20"/>
  <c r="Y155" i="20" s="1"/>
  <c r="X155" i="18"/>
  <c r="Z155" i="18"/>
  <c r="X28" i="18"/>
  <c r="Z28" i="18"/>
  <c r="X28" i="20"/>
  <c r="Y28" i="20" s="1"/>
  <c r="X127" i="20"/>
  <c r="Y127" i="20" s="1"/>
  <c r="X127" i="18"/>
  <c r="Z127" i="18"/>
  <c r="Z112" i="18"/>
  <c r="X112" i="18"/>
  <c r="X112" i="20"/>
  <c r="Y112" i="20" s="1"/>
  <c r="X61" i="20"/>
  <c r="Y61" i="20" s="1"/>
  <c r="Z61" i="18"/>
  <c r="X61" i="18"/>
  <c r="X24" i="18"/>
  <c r="Z24" i="18"/>
  <c r="X24" i="20"/>
  <c r="Y24" i="20" s="1"/>
  <c r="Z123" i="18"/>
  <c r="X123" i="20"/>
  <c r="Y123" i="20" s="1"/>
  <c r="X123" i="18"/>
  <c r="Z187" i="18"/>
  <c r="Z189" i="18" s="1"/>
  <c r="W189" i="18"/>
  <c r="X29" i="20"/>
  <c r="Y29" i="20" s="1"/>
  <c r="X29" i="18"/>
  <c r="Z29" i="18"/>
  <c r="X51" i="18"/>
  <c r="X51" i="20"/>
  <c r="Y51" i="20" s="1"/>
  <c r="Z51" i="18"/>
  <c r="Z80" i="18"/>
  <c r="X80" i="18"/>
  <c r="X80" i="20"/>
  <c r="W88" i="18"/>
  <c r="X109" i="20"/>
  <c r="X109" i="18"/>
  <c r="Z109" i="18"/>
  <c r="W118" i="18"/>
  <c r="X128" i="18"/>
  <c r="Z128" i="18"/>
  <c r="X128" i="20"/>
  <c r="Y128" i="20" s="1"/>
  <c r="X147" i="20"/>
  <c r="Y147" i="20" s="1"/>
  <c r="Z147" i="18"/>
  <c r="X147" i="18"/>
  <c r="X195" i="18"/>
  <c r="X188" i="18"/>
  <c r="X191" i="18"/>
  <c r="X18" i="18"/>
  <c r="X196" i="18"/>
  <c r="X187" i="18"/>
  <c r="X192" i="18"/>
  <c r="W34" i="18"/>
  <c r="W42" i="18" s="1"/>
  <c r="Z18" i="18"/>
  <c r="X18" i="20"/>
  <c r="X203" i="18"/>
  <c r="X35" i="18"/>
  <c r="Z35" i="18"/>
  <c r="X35" i="20"/>
  <c r="Y35" i="20" s="1"/>
  <c r="Z59" i="18"/>
  <c r="X59" i="18"/>
  <c r="X59" i="20"/>
  <c r="Y59" i="20" s="1"/>
  <c r="X85" i="18"/>
  <c r="X85" i="20"/>
  <c r="Y85" i="20" s="1"/>
  <c r="Z85" i="18"/>
  <c r="X114" i="18"/>
  <c r="X114" i="20"/>
  <c r="Y114" i="20" s="1"/>
  <c r="Z114" i="18"/>
  <c r="X133" i="20"/>
  <c r="Y133" i="20" s="1"/>
  <c r="Z133" i="18"/>
  <c r="X133" i="18"/>
  <c r="X154" i="20"/>
  <c r="Y154" i="20" s="1"/>
  <c r="Z154" i="18"/>
  <c r="X154" i="18"/>
  <c r="X23" i="20"/>
  <c r="Y23" i="20" s="1"/>
  <c r="Z23" i="18"/>
  <c r="X23" i="18"/>
  <c r="X41" i="20"/>
  <c r="Y41" i="20" s="1"/>
  <c r="X41" i="18"/>
  <c r="Z41" i="18"/>
  <c r="X71" i="18"/>
  <c r="X71" i="20"/>
  <c r="W77" i="18"/>
  <c r="Z71" i="18"/>
  <c r="Z93" i="18"/>
  <c r="X93" i="18"/>
  <c r="X93" i="20"/>
  <c r="Y93" i="20" s="1"/>
  <c r="Z122" i="18"/>
  <c r="X122" i="18"/>
  <c r="X122" i="20"/>
  <c r="Y122" i="20" s="1"/>
  <c r="Z138" i="18"/>
  <c r="X138" i="18"/>
  <c r="X138" i="20"/>
  <c r="Y138" i="20" s="1"/>
  <c r="K66" i="20"/>
  <c r="V98" i="20"/>
  <c r="V106" i="20" s="1"/>
  <c r="V157" i="20" s="1"/>
  <c r="W6" i="20"/>
  <c r="M205" i="18"/>
  <c r="P203" i="18" s="1"/>
  <c r="N203" i="18"/>
  <c r="N205" i="18" s="1"/>
  <c r="U201" i="18"/>
  <c r="U8" i="18"/>
  <c r="O201" i="18"/>
  <c r="O8" i="18"/>
  <c r="J6" i="20"/>
  <c r="J159" i="20"/>
  <c r="J8" i="20" s="1"/>
  <c r="L159" i="18"/>
  <c r="AB6" i="20"/>
  <c r="AB159" i="20"/>
  <c r="AB8" i="20" s="1"/>
  <c r="V8" i="18"/>
  <c r="V201" i="18"/>
  <c r="Y8" i="18"/>
  <c r="Y201" i="18"/>
  <c r="Y205" i="18" s="1"/>
  <c r="AC6" i="20"/>
  <c r="AC159" i="20"/>
  <c r="AC8" i="20" s="1"/>
  <c r="V6" i="20" l="1"/>
  <c r="X189" i="18"/>
  <c r="Z77" i="18"/>
  <c r="Z199" i="18"/>
  <c r="W98" i="18"/>
  <c r="W106" i="18" s="1"/>
  <c r="W157" i="18" s="1"/>
  <c r="W7" i="18" s="1"/>
  <c r="X77" i="18"/>
  <c r="W66" i="18"/>
  <c r="W6" i="18" s="1"/>
  <c r="W199" i="18"/>
  <c r="X34" i="18"/>
  <c r="X42" i="18" s="1"/>
  <c r="X118" i="18"/>
  <c r="X88" i="18"/>
  <c r="Z64" i="18"/>
  <c r="Y144" i="20"/>
  <c r="Y151" i="20" s="1"/>
  <c r="X151" i="20"/>
  <c r="X104" i="18"/>
  <c r="X96" i="18"/>
  <c r="X141" i="20"/>
  <c r="Y121" i="20"/>
  <c r="Y141" i="20" s="1"/>
  <c r="X53" i="18"/>
  <c r="X193" i="18"/>
  <c r="Y109" i="20"/>
  <c r="Y118" i="20" s="1"/>
  <c r="X118" i="20"/>
  <c r="Z88" i="18"/>
  <c r="X64" i="18"/>
  <c r="Z151" i="18"/>
  <c r="Z104" i="18"/>
  <c r="Y18" i="20"/>
  <c r="Y34" i="20" s="1"/>
  <c r="Y42" i="20" s="1"/>
  <c r="X34" i="20"/>
  <c r="X42" i="20" s="1"/>
  <c r="Y56" i="20"/>
  <c r="Y64" i="20" s="1"/>
  <c r="X64" i="20"/>
  <c r="Z96" i="18"/>
  <c r="Z141" i="18"/>
  <c r="Z53" i="18"/>
  <c r="W159" i="20"/>
  <c r="W8" i="20" s="1"/>
  <c r="X77" i="20"/>
  <c r="Y71" i="20"/>
  <c r="Y77" i="20" s="1"/>
  <c r="Z34" i="18"/>
  <c r="Z42" i="18" s="1"/>
  <c r="X197" i="18"/>
  <c r="Z118" i="18"/>
  <c r="Y80" i="20"/>
  <c r="Y88" i="20" s="1"/>
  <c r="X88" i="20"/>
  <c r="X151" i="18"/>
  <c r="X104" i="20"/>
  <c r="Y101" i="20"/>
  <c r="Y104" i="20" s="1"/>
  <c r="Y91" i="20"/>
  <c r="Y96" i="20" s="1"/>
  <c r="X96" i="20"/>
  <c r="X141" i="18"/>
  <c r="X53" i="20"/>
  <c r="Y45" i="20"/>
  <c r="Y53" i="20" s="1"/>
  <c r="V7" i="20"/>
  <c r="V183" i="20"/>
  <c r="W183" i="20" s="1"/>
  <c r="V159" i="20"/>
  <c r="V8" i="20" s="1"/>
  <c r="K6" i="20"/>
  <c r="K159" i="20"/>
  <c r="K8" i="20" s="1"/>
  <c r="O203" i="18"/>
  <c r="O205" i="18" s="1"/>
  <c r="P205" i="18"/>
  <c r="S203" i="18" s="1"/>
  <c r="Q203" i="18"/>
  <c r="Q205" i="18" s="1"/>
  <c r="L201" i="18"/>
  <c r="L205" i="18" s="1"/>
  <c r="L8" i="18"/>
  <c r="W159" i="18" l="1"/>
  <c r="X199" i="18"/>
  <c r="X98" i="18"/>
  <c r="X106" i="18" s="1"/>
  <c r="X157" i="18" s="1"/>
  <c r="X7" i="18" s="1"/>
  <c r="Z98" i="18"/>
  <c r="Z106" i="18" s="1"/>
  <c r="Z157" i="18" s="1"/>
  <c r="Z7" i="18" s="1"/>
  <c r="X98" i="20"/>
  <c r="X106" i="20" s="1"/>
  <c r="X157" i="20" s="1"/>
  <c r="X7" i="20" s="1"/>
  <c r="X66" i="20"/>
  <c r="Y66" i="20"/>
  <c r="Y98" i="20"/>
  <c r="Y106" i="20" s="1"/>
  <c r="Y157" i="20" s="1"/>
  <c r="Y7" i="20" s="1"/>
  <c r="X66" i="18"/>
  <c r="Z66" i="18"/>
  <c r="R203" i="18"/>
  <c r="R205" i="18" s="1"/>
  <c r="S205" i="18"/>
  <c r="T203" i="18"/>
  <c r="T205" i="18" s="1"/>
  <c r="W205" i="18" l="1"/>
  <c r="W8" i="18"/>
  <c r="W201" i="18"/>
  <c r="Y6" i="20"/>
  <c r="Y159" i="20"/>
  <c r="Y8" i="20" s="1"/>
  <c r="Z6" i="18"/>
  <c r="Z159" i="18"/>
  <c r="X159" i="20"/>
  <c r="X8" i="20" s="1"/>
  <c r="X6" i="20"/>
  <c r="X6" i="18"/>
  <c r="X159" i="18"/>
  <c r="U203" i="18"/>
  <c r="U205" i="18" s="1"/>
  <c r="V205" i="18"/>
  <c r="X201" i="18" l="1"/>
  <c r="X205" i="18" s="1"/>
  <c r="X8" i="18"/>
  <c r="Z201" i="18"/>
  <c r="Z205" i="18" s="1"/>
  <c r="Z8" i="18"/>
</calcChain>
</file>

<file path=xl/comments1.xml><?xml version="1.0" encoding="utf-8"?>
<comments xmlns="http://schemas.openxmlformats.org/spreadsheetml/2006/main">
  <authors>
    <author>flackjo</author>
  </authors>
  <commentList>
    <comment ref="C29" authorId="0" shapeId="0">
      <text>
        <r>
          <rPr>
            <b/>
            <sz val="9"/>
            <color indexed="81"/>
            <rFont val="Tahoma"/>
            <family val="2"/>
          </rPr>
          <t xml:space="preserve">NOTE:
</t>
        </r>
        <r>
          <rPr>
            <sz val="9"/>
            <color indexed="81"/>
            <rFont val="Tahoma"/>
            <family val="2"/>
          </rPr>
          <t xml:space="preserve">Sample guidance comment...
</t>
        </r>
      </text>
    </comment>
  </commentList>
</comments>
</file>

<file path=xl/comments2.xml><?xml version="1.0" encoding="utf-8"?>
<comments xmlns="http://schemas.openxmlformats.org/spreadsheetml/2006/main">
  <authors>
    <author>Flack, John</author>
    <author>flackjo</author>
  </authors>
  <commentList>
    <comment ref="E21" authorId="0" shapeId="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B22" authorId="1" shapeId="0">
      <text>
        <r>
          <rPr>
            <b/>
            <sz val="9"/>
            <color indexed="81"/>
            <rFont val="Tahoma"/>
            <family val="2"/>
          </rPr>
          <t xml:space="preserve">NOTE:
</t>
        </r>
        <r>
          <rPr>
            <sz val="9"/>
            <color indexed="81"/>
            <rFont val="Tahoma"/>
            <family val="2"/>
          </rPr>
          <t>The</t>
        </r>
        <r>
          <rPr>
            <b/>
            <sz val="9"/>
            <color indexed="81"/>
            <rFont val="Tahoma"/>
            <family val="2"/>
          </rPr>
          <t xml:space="preserve"> PRIMARY District </t>
        </r>
        <r>
          <rPr>
            <sz val="9"/>
            <color indexed="81"/>
            <rFont val="Tahoma"/>
            <family val="2"/>
          </rPr>
          <t>is the district where the majority of students reside.</t>
        </r>
      </text>
    </comment>
    <comment ref="B23" authorId="1" shapeId="0">
      <text>
        <r>
          <rPr>
            <b/>
            <sz val="9"/>
            <color indexed="81"/>
            <rFont val="Tahoma"/>
            <family val="2"/>
          </rPr>
          <t xml:space="preserve">NOTE:
</t>
        </r>
        <r>
          <rPr>
            <sz val="9"/>
            <color indexed="81"/>
            <rFont val="Tahoma"/>
            <family val="2"/>
          </rPr>
          <t xml:space="preserve">The </t>
        </r>
        <r>
          <rPr>
            <b/>
            <sz val="9"/>
            <color indexed="81"/>
            <rFont val="Tahoma"/>
            <family val="2"/>
          </rPr>
          <t xml:space="preserve">SECONDARY District </t>
        </r>
        <r>
          <rPr>
            <sz val="9"/>
            <color indexed="81"/>
            <rFont val="Tahoma"/>
            <family val="2"/>
          </rPr>
          <t>is the district where the 2nd most number of students reside.</t>
        </r>
      </text>
    </comment>
  </commentList>
</comments>
</file>

<file path=xl/comments3.xml><?xml version="1.0" encoding="utf-8"?>
<comments xmlns="http://schemas.openxmlformats.org/spreadsheetml/2006/main">
  <authors>
    <author>Flack, John</author>
    <author>hrubyda</author>
  </authors>
  <commentList>
    <comment ref="D12" authorId="0" shapeId="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B13" authorId="1" shapeId="0">
      <text>
        <r>
          <rPr>
            <b/>
            <sz val="8"/>
            <color indexed="81"/>
            <rFont val="Tahoma"/>
            <family val="2"/>
          </rPr>
          <t xml:space="preserve">Sample titles that fall under this line:
- </t>
        </r>
        <r>
          <rPr>
            <sz val="8"/>
            <color indexed="81"/>
            <rFont val="Tahoma"/>
            <family val="2"/>
          </rPr>
          <t>Head of School
- Superintendant
- School Leader
- Executive Director
- CEO</t>
        </r>
      </text>
    </comment>
    <comment ref="B14" authorId="1" shapeId="0">
      <text>
        <r>
          <rPr>
            <b/>
            <sz val="8"/>
            <color indexed="81"/>
            <rFont val="Tahoma"/>
            <family val="2"/>
          </rPr>
          <t xml:space="preserve">Sample titles that fall under this line:
- </t>
        </r>
        <r>
          <rPr>
            <sz val="8"/>
            <color indexed="81"/>
            <rFont val="Tahoma"/>
            <family val="2"/>
          </rPr>
          <t>Principal
- Vice-Principal
- Assistant Principal
- Chief Academic Officer</t>
        </r>
      </text>
    </comment>
    <comment ref="B15" authorId="1" shapeId="0">
      <text>
        <r>
          <rPr>
            <b/>
            <sz val="8"/>
            <color indexed="81"/>
            <rFont val="Tahoma"/>
            <family val="2"/>
          </rPr>
          <t xml:space="preserve">Sample titles that fall under this line:
</t>
        </r>
        <r>
          <rPr>
            <sz val="8"/>
            <color indexed="81"/>
            <rFont val="Tahoma"/>
            <family val="2"/>
          </rPr>
          <t>Director, Deans, Coordinators of:
 - Curriculum
 - Instruction
 - Faculty
 - Students
 - Assessment
 - Student Affairs
 - Student Achievement
 - Development</t>
        </r>
      </text>
    </comment>
    <comment ref="B18" authorId="1" shapeId="0">
      <text>
        <r>
          <rPr>
            <b/>
            <sz val="8"/>
            <color indexed="81"/>
            <rFont val="Tahoma"/>
            <family val="2"/>
          </rPr>
          <t>Sample titles that fall under this line:</t>
        </r>
        <r>
          <rPr>
            <sz val="8"/>
            <color indexed="81"/>
            <rFont val="Tahoma"/>
            <family val="2"/>
          </rPr>
          <t xml:space="preserve">
 - Secretary
 - Receptionist
 - Attendance Clerk
 - Office Manager</t>
        </r>
      </text>
    </comment>
    <comment ref="D23" authorId="0" shapeId="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B24" authorId="1" shapeId="0">
      <text>
        <r>
          <rPr>
            <b/>
            <sz val="8"/>
            <color indexed="81"/>
            <rFont val="Tahoma"/>
            <family val="2"/>
          </rPr>
          <t>Sample titles that fall under this line:</t>
        </r>
        <r>
          <rPr>
            <sz val="8"/>
            <color indexed="81"/>
            <rFont val="Tahoma"/>
            <family val="2"/>
          </rPr>
          <t xml:space="preserve">
Content/Subject Area Teachers:
   - ELA
   - Math
   - Social Studies
   - Science</t>
        </r>
      </text>
    </comment>
    <comment ref="B28" authorId="1" shapeId="0">
      <text>
        <r>
          <rPr>
            <b/>
            <sz val="8"/>
            <color indexed="81"/>
            <rFont val="Tahoma"/>
            <family val="2"/>
          </rPr>
          <t>Sample titles that fall under this line:</t>
        </r>
        <r>
          <rPr>
            <sz val="8"/>
            <color indexed="81"/>
            <rFont val="Tahoma"/>
            <family val="2"/>
          </rPr>
          <t xml:space="preserve">
 - ESL
 - Reading
 - Math and/or Literacy Specialists
 - Art
 - PE
 - Music
 - Foreign Languages
 - Photography
 - Ceramics</t>
        </r>
      </text>
    </comment>
    <comment ref="B30" authorId="1" shapeId="0">
      <text>
        <r>
          <rPr>
            <b/>
            <sz val="8"/>
            <color indexed="81"/>
            <rFont val="Tahoma"/>
            <family val="2"/>
          </rPr>
          <t>Sample titles that fall under this line:</t>
        </r>
        <r>
          <rPr>
            <sz val="8"/>
            <color indexed="81"/>
            <rFont val="Tahoma"/>
            <family val="2"/>
          </rPr>
          <t xml:space="preserve">
 - Speech Therapists
 - Social Workers</t>
        </r>
      </text>
    </comment>
    <comment ref="D36" authorId="0" shapeId="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B41" authorId="1" shapeId="0">
      <text>
        <r>
          <rPr>
            <b/>
            <sz val="8"/>
            <color indexed="81"/>
            <rFont val="Tahoma"/>
            <family val="2"/>
          </rPr>
          <t>Sample titles that fall under this line:</t>
        </r>
        <r>
          <rPr>
            <sz val="8"/>
            <color indexed="81"/>
            <rFont val="Tahoma"/>
            <family val="2"/>
          </rPr>
          <t xml:space="preserve">
Cafeteria
Other</t>
        </r>
      </text>
    </comment>
  </commentList>
</comments>
</file>

<file path=xl/comments4.xml><?xml version="1.0" encoding="utf-8"?>
<comments xmlns="http://schemas.openxmlformats.org/spreadsheetml/2006/main">
  <authors>
    <author>hrubyda</author>
    <author>Flack, John</author>
    <author>flackjo</author>
  </authors>
  <commentList>
    <comment ref="B10" authorId="0" shapeId="0">
      <text>
        <r>
          <rPr>
            <b/>
            <sz val="9"/>
            <color indexed="81"/>
            <rFont val="Tahoma"/>
            <family val="2"/>
          </rPr>
          <t>Institute:</t>
        </r>
        <r>
          <rPr>
            <sz val="9"/>
            <color indexed="81"/>
            <rFont val="Tahoma"/>
            <family val="2"/>
          </rPr>
          <t xml:space="preserve">
This line should show how many students a school intends to be paid for.  
For Example:
If a school plans on enrollment of 100 students however is budgeting to only receive 95% of those students, 95 should be entered in in this row.  </t>
        </r>
      </text>
    </comment>
    <comment ref="I12" authorId="1" shapeId="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G17" authorId="0" shapeId="0">
      <text>
        <r>
          <rPr>
            <b/>
            <sz val="8"/>
            <color indexed="81"/>
            <rFont val="Tahoma"/>
            <family val="2"/>
          </rPr>
          <t xml:space="preserve">Institute:
</t>
        </r>
        <r>
          <rPr>
            <sz val="8"/>
            <color indexed="81"/>
            <rFont val="Tahoma"/>
            <family val="2"/>
          </rPr>
          <t>CURRENT YEAR PER PUPIL REVENUE RATE</t>
        </r>
      </text>
    </comment>
    <comment ref="I17" authorId="2" shapeId="0">
      <text>
        <r>
          <rPr>
            <b/>
            <sz val="9"/>
            <color indexed="81"/>
            <rFont val="Tahoma"/>
            <family val="2"/>
          </rPr>
          <t>NOTE:</t>
        </r>
        <r>
          <rPr>
            <sz val="9"/>
            <color indexed="81"/>
            <rFont val="Tahoma"/>
            <family val="2"/>
          </rPr>
          <t xml:space="preserve">
Default = 25% per Qtr
May be modified as appropriate.</t>
        </r>
      </text>
    </comment>
    <comment ref="E33" authorId="0" shapeId="0">
      <text>
        <r>
          <rPr>
            <b/>
            <sz val="8"/>
            <color indexed="81"/>
            <rFont val="Tahoma"/>
            <family val="2"/>
          </rPr>
          <t>Institute:</t>
        </r>
        <r>
          <rPr>
            <sz val="8"/>
            <color indexed="81"/>
            <rFont val="Tahoma"/>
            <family val="2"/>
          </rPr>
          <t xml:space="preserve">
All Districts after 15th highest enrolled district are combined under "ALL OTHER"</t>
        </r>
      </text>
    </comment>
    <comment ref="G33" authorId="0" shapeId="0">
      <text>
        <r>
          <rPr>
            <b/>
            <sz val="8"/>
            <color indexed="81"/>
            <rFont val="Tahoma"/>
            <family val="2"/>
          </rPr>
          <t>Institute:</t>
        </r>
        <r>
          <rPr>
            <sz val="8"/>
            <color indexed="81"/>
            <rFont val="Tahoma"/>
            <family val="2"/>
          </rPr>
          <t xml:space="preserve">
This figure is a weighted average of all other districts' rates under ALL OTHER</t>
        </r>
      </text>
    </comment>
    <comment ref="G70" authorId="0" shapeId="0">
      <text>
        <r>
          <rPr>
            <b/>
            <sz val="8"/>
            <color indexed="81"/>
            <rFont val="Tahoma"/>
            <family val="2"/>
          </rPr>
          <t>Institute:</t>
        </r>
        <r>
          <rPr>
            <sz val="8"/>
            <color indexed="81"/>
            <rFont val="Tahoma"/>
            <family val="2"/>
          </rPr>
          <t xml:space="preserve">
Figures represent the average of the Quarterly Budgeted/Revised Budgeted FTE count for each position.</t>
        </r>
      </text>
    </comment>
    <comment ref="D71" authorId="0" shapeId="0">
      <text>
        <r>
          <rPr>
            <b/>
            <sz val="8"/>
            <color indexed="81"/>
            <rFont val="Tahoma"/>
            <family val="2"/>
          </rPr>
          <t xml:space="preserve">Institute:
Sample titles that fall under this line:
 - </t>
        </r>
        <r>
          <rPr>
            <sz val="8"/>
            <color indexed="81"/>
            <rFont val="Tahoma"/>
            <family val="2"/>
          </rPr>
          <t>Head of School
 - Superintendant
 - School Leader
 - Executive Director
 - CEO</t>
        </r>
      </text>
    </comment>
    <comment ref="D72" authorId="0" shapeId="0">
      <text>
        <r>
          <rPr>
            <b/>
            <sz val="8"/>
            <color indexed="81"/>
            <rFont val="Tahoma"/>
            <family val="2"/>
          </rPr>
          <t xml:space="preserve">Institute:
Sample titles that fall under this line:
 - </t>
        </r>
        <r>
          <rPr>
            <sz val="8"/>
            <color indexed="81"/>
            <rFont val="Tahoma"/>
            <family val="2"/>
          </rPr>
          <t>Principal
 - Vice-Principal
 - Assistant Principal
 - Chief Academic Officer</t>
        </r>
      </text>
    </comment>
    <comment ref="D73" authorId="0" shapeId="0">
      <text>
        <r>
          <rPr>
            <b/>
            <sz val="8"/>
            <color indexed="81"/>
            <rFont val="Tahoma"/>
            <family val="2"/>
          </rPr>
          <t xml:space="preserve">Institute:
Sample titles that fall under this line:
</t>
        </r>
        <r>
          <rPr>
            <sz val="8"/>
            <color indexed="81"/>
            <rFont val="Tahoma"/>
            <family val="2"/>
          </rPr>
          <t>Director, Deans, Coordinators of:</t>
        </r>
        <r>
          <rPr>
            <sz val="8"/>
            <color indexed="81"/>
            <rFont val="Tahoma"/>
            <family val="2"/>
          </rPr>
          <t xml:space="preserve">
 - Curriculum
 - Instruction
 - Faculty
 - Students
 - Assessment
 - Student Affairs
 - Student Achievement
 - Development</t>
        </r>
      </text>
    </comment>
    <comment ref="D76" authorId="0" shapeId="0">
      <text>
        <r>
          <rPr>
            <b/>
            <sz val="8"/>
            <color indexed="81"/>
            <rFont val="Tahoma"/>
            <family val="2"/>
          </rPr>
          <t>Institute:
Sample titles that fall under this line:</t>
        </r>
        <r>
          <rPr>
            <sz val="8"/>
            <color indexed="81"/>
            <rFont val="Tahoma"/>
            <family val="2"/>
          </rPr>
          <t xml:space="preserve">
 - Secretary
 - Receptionist
 - Attendance Clerk
 - Office Manager</t>
        </r>
      </text>
    </comment>
    <comment ref="D80" authorId="0" shapeId="0">
      <text>
        <r>
          <rPr>
            <b/>
            <sz val="8"/>
            <color indexed="81"/>
            <rFont val="Tahoma"/>
            <family val="2"/>
          </rPr>
          <t>Institute:
Sample titles that fall under this line:</t>
        </r>
        <r>
          <rPr>
            <sz val="8"/>
            <color indexed="81"/>
            <rFont val="Tahoma"/>
            <family val="2"/>
          </rPr>
          <t xml:space="preserve">
Content/Subject Area Teachers:
   - ELA
   - Math
   - Social Studies
   - Science</t>
        </r>
      </text>
    </comment>
    <comment ref="D84" authorId="0" shapeId="0">
      <text>
        <r>
          <rPr>
            <b/>
            <sz val="8"/>
            <color indexed="81"/>
            <rFont val="Tahoma"/>
            <family val="2"/>
          </rPr>
          <t>Institute:
Sample titles that fall under this line:</t>
        </r>
        <r>
          <rPr>
            <sz val="8"/>
            <color indexed="81"/>
            <rFont val="Tahoma"/>
            <family val="2"/>
          </rPr>
          <t xml:space="preserve">
 - ESL
 - Reading
 - Math and/or Literacy Specialists
 - Art
 - PE
 - Music
 - Foreign Languages
 - Photography
 - Ceramics</t>
        </r>
      </text>
    </comment>
    <comment ref="D86" authorId="0" shapeId="0">
      <text>
        <r>
          <rPr>
            <b/>
            <sz val="8"/>
            <color indexed="81"/>
            <rFont val="Tahoma"/>
            <family val="2"/>
          </rPr>
          <t>Institute:
Sample titles that fall under this line:</t>
        </r>
        <r>
          <rPr>
            <sz val="8"/>
            <color indexed="81"/>
            <rFont val="Tahoma"/>
            <family val="2"/>
          </rPr>
          <t xml:space="preserve">
 - Speech Therapists
 - Social Workers</t>
        </r>
      </text>
    </comment>
    <comment ref="D95" authorId="0" shapeId="0">
      <text>
        <r>
          <rPr>
            <b/>
            <sz val="8"/>
            <color indexed="81"/>
            <rFont val="Tahoma"/>
            <family val="2"/>
          </rPr>
          <t>Institute:</t>
        </r>
        <r>
          <rPr>
            <sz val="8"/>
            <color indexed="81"/>
            <rFont val="Tahoma"/>
            <family val="2"/>
          </rPr>
          <t xml:space="preserve">
Cafeteria
Other</t>
        </r>
      </text>
    </comment>
    <comment ref="D102" authorId="0" shapeId="0">
      <text>
        <r>
          <rPr>
            <b/>
            <sz val="8"/>
            <color indexed="81"/>
            <rFont val="Tahoma"/>
            <family val="2"/>
          </rPr>
          <t>Institute:</t>
        </r>
        <r>
          <rPr>
            <sz val="8"/>
            <color indexed="81"/>
            <rFont val="Tahoma"/>
            <family val="2"/>
          </rPr>
          <t xml:space="preserve">
Health and Dental
Social Security
Medicare
Unemployment
Other
</t>
        </r>
      </text>
    </comment>
    <comment ref="D117" authorId="0" shapeId="0">
      <text>
        <r>
          <rPr>
            <b/>
            <sz val="8"/>
            <color indexed="81"/>
            <rFont val="Tahoma"/>
            <family val="2"/>
          </rPr>
          <t xml:space="preserve">Institute:
</t>
        </r>
        <r>
          <rPr>
            <sz val="8"/>
            <color indexed="81"/>
            <rFont val="Tahoma"/>
            <family val="2"/>
          </rPr>
          <t>Janitorial</t>
        </r>
        <r>
          <rPr>
            <b/>
            <sz val="8"/>
            <color indexed="81"/>
            <rFont val="Tahoma"/>
            <family val="2"/>
          </rPr>
          <t xml:space="preserve">
</t>
        </r>
        <r>
          <rPr>
            <sz val="8"/>
            <color indexed="81"/>
            <rFont val="Tahoma"/>
            <family val="2"/>
          </rPr>
          <t xml:space="preserve">Consultants
 - Assessment
 - Technology
 - Other
Security
Background Screening
Public Relations
</t>
        </r>
      </text>
    </comment>
    <comment ref="D121" authorId="0" shapeId="0">
      <text>
        <r>
          <rPr>
            <b/>
            <sz val="8"/>
            <color indexed="81"/>
            <rFont val="Tahoma"/>
            <family val="2"/>
          </rPr>
          <t>Institute:</t>
        </r>
        <r>
          <rPr>
            <sz val="8"/>
            <color indexed="81"/>
            <rFont val="Tahoma"/>
            <family val="2"/>
          </rPr>
          <t xml:space="preserve">
Development
Conferences</t>
        </r>
      </text>
    </comment>
    <comment ref="D125" authorId="0" shapeId="0">
      <text>
        <r>
          <rPr>
            <b/>
            <sz val="8"/>
            <color indexed="81"/>
            <rFont val="Tahoma"/>
            <family val="2"/>
          </rPr>
          <t>Institute:</t>
        </r>
        <r>
          <rPr>
            <sz val="8"/>
            <color indexed="81"/>
            <rFont val="Tahoma"/>
            <family val="2"/>
          </rPr>
          <t xml:space="preserve">
Curriculum
</t>
        </r>
      </text>
    </comment>
    <comment ref="D126" authorId="0" shapeId="0">
      <text>
        <r>
          <rPr>
            <b/>
            <sz val="8"/>
            <color indexed="81"/>
            <rFont val="Tahoma"/>
            <family val="2"/>
          </rPr>
          <t>Institute:</t>
        </r>
        <r>
          <rPr>
            <sz val="8"/>
            <color indexed="81"/>
            <rFont val="Tahoma"/>
            <family val="2"/>
          </rPr>
          <t xml:space="preserve">
Instructional
Non-Instructional
Athletic
Music
Office Equipment
</t>
        </r>
        <r>
          <rPr>
            <b/>
            <sz val="8"/>
            <color indexed="81"/>
            <rFont val="Tahoma"/>
            <family val="2"/>
          </rPr>
          <t>* Includes the Purchase or Lease of  any of the above</t>
        </r>
      </text>
    </comment>
    <comment ref="D128" authorId="0" shapeId="0">
      <text>
        <r>
          <rPr>
            <b/>
            <sz val="8"/>
            <color indexed="81"/>
            <rFont val="Tahoma"/>
            <family val="2"/>
          </rPr>
          <t>Institute:</t>
        </r>
        <r>
          <rPr>
            <sz val="8"/>
            <color indexed="81"/>
            <rFont val="Tahoma"/>
            <family val="2"/>
          </rPr>
          <t xml:space="preserve">
Hardware
Software
Internet
Wiring
Other</t>
        </r>
      </text>
    </comment>
    <comment ref="D132" authorId="0" shapeId="0">
      <text>
        <r>
          <rPr>
            <b/>
            <sz val="8"/>
            <color indexed="81"/>
            <rFont val="Tahoma"/>
            <family val="2"/>
          </rPr>
          <t>Institute:</t>
        </r>
        <r>
          <rPr>
            <sz val="8"/>
            <color indexed="81"/>
            <rFont val="Tahoma"/>
            <family val="2"/>
          </rPr>
          <t xml:space="preserve">
Uniforms
Special Events</t>
        </r>
      </text>
    </comment>
    <comment ref="D133" authorId="0" shapeId="0">
      <text>
        <r>
          <rPr>
            <b/>
            <sz val="8"/>
            <color indexed="81"/>
            <rFont val="Tahoma"/>
            <family val="2"/>
          </rPr>
          <t>Institute:</t>
        </r>
        <r>
          <rPr>
            <sz val="8"/>
            <color indexed="81"/>
            <rFont val="Tahoma"/>
            <family val="2"/>
          </rPr>
          <t xml:space="preserve">
Printing
Postage
Copying
All Other</t>
        </r>
      </text>
    </comment>
    <comment ref="D134" authorId="0" shapeId="0">
      <text>
        <r>
          <rPr>
            <b/>
            <sz val="8"/>
            <color indexed="81"/>
            <rFont val="Tahoma"/>
            <family val="2"/>
          </rPr>
          <t>Institute:</t>
        </r>
        <r>
          <rPr>
            <sz val="8"/>
            <color indexed="81"/>
            <rFont val="Tahoma"/>
            <family val="2"/>
          </rPr>
          <t xml:space="preserve">
Conferences</t>
        </r>
      </text>
    </comment>
    <comment ref="D140" authorId="0" shapeId="0">
      <text>
        <r>
          <rPr>
            <b/>
            <sz val="8"/>
            <color indexed="81"/>
            <rFont val="Tahoma"/>
            <family val="2"/>
          </rPr>
          <t>Institute:</t>
        </r>
        <r>
          <rPr>
            <sz val="8"/>
            <color indexed="81"/>
            <rFont val="Tahoma"/>
            <family val="2"/>
          </rPr>
          <t xml:space="preserve">
Interest 
Bank Charges
Bad Debt
Misc. Fees (i.e. Licensing)
Dues &amp; Membership
All Other 
</t>
        </r>
        <r>
          <rPr>
            <b/>
            <sz val="8"/>
            <color indexed="81"/>
            <rFont val="Tahoma"/>
            <family val="2"/>
          </rPr>
          <t>(If any questions contact Institute)</t>
        </r>
      </text>
    </comment>
    <comment ref="D146" authorId="2" shapeId="0">
      <text>
        <r>
          <rPr>
            <b/>
            <sz val="9"/>
            <color indexed="81"/>
            <rFont val="Tahoma"/>
            <family val="2"/>
          </rPr>
          <t>Institute:</t>
        </r>
        <r>
          <rPr>
            <sz val="9"/>
            <color indexed="81"/>
            <rFont val="Tahoma"/>
            <family val="2"/>
          </rPr>
          <t xml:space="preserve">
Include any Facility Rental/Leasing/Financing costs.</t>
        </r>
      </text>
    </comment>
    <comment ref="D147" authorId="0" shapeId="0">
      <text>
        <r>
          <rPr>
            <b/>
            <sz val="8"/>
            <color indexed="81"/>
            <rFont val="Tahoma"/>
            <family val="2"/>
          </rPr>
          <t>Institute:</t>
        </r>
        <r>
          <rPr>
            <sz val="8"/>
            <color indexed="81"/>
            <rFont val="Tahoma"/>
            <family val="2"/>
          </rPr>
          <t xml:space="preserve">
Facility
Equipment</t>
        </r>
      </text>
    </comment>
    <comment ref="D148" authorId="0" shapeId="0">
      <text>
        <r>
          <rPr>
            <b/>
            <sz val="8"/>
            <color indexed="81"/>
            <rFont val="Tahoma"/>
            <family val="2"/>
          </rPr>
          <t>Institute:</t>
        </r>
        <r>
          <rPr>
            <sz val="8"/>
            <color indexed="81"/>
            <rFont val="Tahoma"/>
            <family val="2"/>
          </rPr>
          <t xml:space="preserve">
Facility Related
</t>
        </r>
        <r>
          <rPr>
            <b/>
            <sz val="8"/>
            <color indexed="81"/>
            <rFont val="Tahoma"/>
            <family val="2"/>
          </rPr>
          <t>* Includes the Purchase or Lease of  any equipment</t>
        </r>
      </text>
    </comment>
    <comment ref="D150" authorId="0" shapeId="0">
      <text>
        <r>
          <rPr>
            <b/>
            <sz val="8"/>
            <color indexed="81"/>
            <rFont val="Tahoma"/>
            <family val="2"/>
          </rPr>
          <t>Institute:</t>
        </r>
        <r>
          <rPr>
            <sz val="8"/>
            <color indexed="81"/>
            <rFont val="Tahoma"/>
            <family val="2"/>
          </rPr>
          <t xml:space="preserve">
Electric
Gas
Other</t>
        </r>
      </text>
    </comment>
  </commentList>
</comments>
</file>

<file path=xl/comments5.xml><?xml version="1.0" encoding="utf-8"?>
<comments xmlns="http://schemas.openxmlformats.org/spreadsheetml/2006/main">
  <authors>
    <author>Flack, John</author>
    <author>hrubyda</author>
  </authors>
  <commentList>
    <comment ref="E6" authorId="0" shapeId="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C12" authorId="1" shapeId="0">
      <text>
        <r>
          <rPr>
            <b/>
            <sz val="8"/>
            <color indexed="81"/>
            <rFont val="Tahoma"/>
            <family val="2"/>
          </rPr>
          <t>Institute:</t>
        </r>
        <r>
          <rPr>
            <sz val="8"/>
            <color indexed="81"/>
            <rFont val="Tahoma"/>
            <family val="2"/>
          </rPr>
          <t xml:space="preserve">
State, Federal or other grants due to the school.</t>
        </r>
      </text>
    </comment>
    <comment ref="C20" authorId="1" shapeId="0">
      <text>
        <r>
          <rPr>
            <b/>
            <sz val="8"/>
            <color indexed="81"/>
            <rFont val="Tahoma"/>
            <family val="2"/>
          </rPr>
          <t>Institute:</t>
        </r>
        <r>
          <rPr>
            <sz val="8"/>
            <color indexed="81"/>
            <rFont val="Tahoma"/>
            <family val="2"/>
          </rPr>
          <t xml:space="preserve">
Operating and Capital Reserves, Deferred Costs, Investments, Due from Affiliate/CMO, Fixed Assets</t>
        </r>
      </text>
    </comment>
    <comment ref="C31" authorId="1" shapeId="0">
      <text>
        <r>
          <rPr>
            <b/>
            <sz val="8"/>
            <color indexed="81"/>
            <rFont val="Tahoma"/>
            <family val="2"/>
          </rPr>
          <t>Institute:</t>
        </r>
        <r>
          <rPr>
            <sz val="8"/>
            <color indexed="81"/>
            <rFont val="Tahoma"/>
            <family val="2"/>
          </rPr>
          <t xml:space="preserve">
Land, Building, Loan(s) related</t>
        </r>
      </text>
    </comment>
    <comment ref="C32" authorId="1" shapeId="0">
      <text>
        <r>
          <rPr>
            <b/>
            <sz val="8"/>
            <color indexed="81"/>
            <rFont val="Tahoma"/>
            <family val="2"/>
          </rPr>
          <t>Institute:</t>
        </r>
        <r>
          <rPr>
            <sz val="8"/>
            <color indexed="81"/>
            <rFont val="Tahoma"/>
            <family val="2"/>
          </rPr>
          <t xml:space="preserve">
Obligations under, Capital Leases, Advanced Billing, Due to Affiliate/CMO, 
</t>
        </r>
      </text>
    </comment>
    <comment ref="C35" authorId="1" shapeId="0">
      <text>
        <r>
          <rPr>
            <b/>
            <sz val="8"/>
            <color indexed="81"/>
            <rFont val="Tahoma"/>
            <family val="2"/>
          </rPr>
          <t xml:space="preserve">Institute:
</t>
        </r>
        <r>
          <rPr>
            <sz val="8"/>
            <color indexed="81"/>
            <rFont val="Tahoma"/>
            <family val="2"/>
          </rPr>
          <t>Land, Building, Loan(s) related</t>
        </r>
      </text>
    </comment>
  </commentList>
</comments>
</file>

<file path=xl/comments6.xml><?xml version="1.0" encoding="utf-8"?>
<comments xmlns="http://schemas.openxmlformats.org/spreadsheetml/2006/main">
  <authors>
    <author>hrubyda</author>
  </authors>
  <commentList>
    <comment ref="B10" authorId="0" shapeId="0">
      <text>
        <r>
          <rPr>
            <b/>
            <sz val="9"/>
            <color indexed="81"/>
            <rFont val="Tahoma"/>
            <family val="2"/>
          </rPr>
          <t>Institute:</t>
        </r>
        <r>
          <rPr>
            <sz val="9"/>
            <color indexed="81"/>
            <rFont val="Tahoma"/>
            <family val="2"/>
          </rPr>
          <t xml:space="preserve">
This line should show how many students a school intends to be paid for.  
For Example:
If a school plans on enrollment of 100 students however is budgeting to only receive 95% of those students, 95 should be entered in in this row.  </t>
        </r>
      </text>
    </comment>
    <comment ref="G17" authorId="0" shapeId="0">
      <text>
        <r>
          <rPr>
            <b/>
            <sz val="8"/>
            <color indexed="81"/>
            <rFont val="Tahoma"/>
            <family val="2"/>
          </rPr>
          <t xml:space="preserve">Institute:
</t>
        </r>
        <r>
          <rPr>
            <sz val="8"/>
            <color indexed="81"/>
            <rFont val="Tahoma"/>
            <family val="2"/>
          </rPr>
          <t>CURRENT YEAR PER PUPIL REVENUE RATE</t>
        </r>
      </text>
    </comment>
    <comment ref="E33" authorId="0" shapeId="0">
      <text>
        <r>
          <rPr>
            <b/>
            <sz val="8"/>
            <color indexed="81"/>
            <rFont val="Tahoma"/>
            <family val="2"/>
          </rPr>
          <t>Institute:</t>
        </r>
        <r>
          <rPr>
            <sz val="8"/>
            <color indexed="81"/>
            <rFont val="Tahoma"/>
            <family val="2"/>
          </rPr>
          <t xml:space="preserve">
All Districts after 15th highest enrolled  district go under OTHER</t>
        </r>
      </text>
    </comment>
    <comment ref="G33" authorId="0" shapeId="0">
      <text>
        <r>
          <rPr>
            <b/>
            <sz val="8"/>
            <color indexed="81"/>
            <rFont val="Tahoma"/>
            <family val="2"/>
          </rPr>
          <t>Institute:</t>
        </r>
        <r>
          <rPr>
            <sz val="8"/>
            <color indexed="81"/>
            <rFont val="Tahoma"/>
            <family val="2"/>
          </rPr>
          <t xml:space="preserve">
This figure is a weighted average of all other districts' rates under ALL OTHER</t>
        </r>
      </text>
    </comment>
    <comment ref="G70" authorId="0" shapeId="0">
      <text>
        <r>
          <rPr>
            <b/>
            <sz val="8"/>
            <color indexed="81"/>
            <rFont val="Tahoma"/>
            <family val="2"/>
          </rPr>
          <t>Institute:</t>
        </r>
        <r>
          <rPr>
            <sz val="8"/>
            <color indexed="81"/>
            <rFont val="Tahoma"/>
            <family val="2"/>
          </rPr>
          <t xml:space="preserve">
Enter FTE Positions each quarter on tab:
</t>
        </r>
        <r>
          <rPr>
            <b/>
            <sz val="8"/>
            <color indexed="81"/>
            <rFont val="Tahoma"/>
            <family val="2"/>
          </rPr>
          <t xml:space="preserve">1.2) Staffing Plan
</t>
        </r>
        <r>
          <rPr>
            <sz val="8"/>
            <color indexed="81"/>
            <rFont val="Tahoma"/>
            <family val="2"/>
          </rPr>
          <t>(Range O13:R41)</t>
        </r>
      </text>
    </comment>
    <comment ref="D71" authorId="0" shapeId="0">
      <text>
        <r>
          <rPr>
            <b/>
            <sz val="8"/>
            <color indexed="81"/>
            <rFont val="Tahoma"/>
            <family val="2"/>
          </rPr>
          <t xml:space="preserve">Institute:
Sample titles that fall under this line:
 - </t>
        </r>
        <r>
          <rPr>
            <sz val="8"/>
            <color indexed="81"/>
            <rFont val="Tahoma"/>
            <family val="2"/>
          </rPr>
          <t>Head of School
 - Superintendant
 - School Leader
 - Executive Director
 - CEO</t>
        </r>
      </text>
    </comment>
    <comment ref="D72" authorId="0" shapeId="0">
      <text>
        <r>
          <rPr>
            <b/>
            <sz val="8"/>
            <color indexed="81"/>
            <rFont val="Tahoma"/>
            <family val="2"/>
          </rPr>
          <t xml:space="preserve">Institute:
Sample titles that fall under this line:
 - </t>
        </r>
        <r>
          <rPr>
            <sz val="8"/>
            <color indexed="81"/>
            <rFont val="Tahoma"/>
            <family val="2"/>
          </rPr>
          <t>Principal
 - Vice-Principal
 - Assistant Principal
 - Chief Academic Officer</t>
        </r>
      </text>
    </comment>
    <comment ref="D73" authorId="0" shapeId="0">
      <text>
        <r>
          <rPr>
            <b/>
            <sz val="8"/>
            <color indexed="81"/>
            <rFont val="Tahoma"/>
            <family val="2"/>
          </rPr>
          <t xml:space="preserve">Institute:
Sample titles that fall under this line:
</t>
        </r>
        <r>
          <rPr>
            <sz val="8"/>
            <color indexed="81"/>
            <rFont val="Tahoma"/>
            <family val="2"/>
          </rPr>
          <t>Director, Deans, Coordinators of:</t>
        </r>
        <r>
          <rPr>
            <sz val="8"/>
            <color indexed="81"/>
            <rFont val="Tahoma"/>
            <family val="2"/>
          </rPr>
          <t xml:space="preserve">
 - Curriculum
 - Instruction
 - Faculty
 - Students
 - Assessment
 - Student Affairs
 - Student Achievement
 - Development</t>
        </r>
      </text>
    </comment>
    <comment ref="D76" authorId="0" shapeId="0">
      <text>
        <r>
          <rPr>
            <b/>
            <sz val="8"/>
            <color indexed="81"/>
            <rFont val="Tahoma"/>
            <family val="2"/>
          </rPr>
          <t>Institute:
Sample titles that fall under this line:</t>
        </r>
        <r>
          <rPr>
            <sz val="8"/>
            <color indexed="81"/>
            <rFont val="Tahoma"/>
            <family val="2"/>
          </rPr>
          <t xml:space="preserve">
 - Secretary
 - Receptionist
 - Attendance Clerk
 - Office Manager</t>
        </r>
      </text>
    </comment>
    <comment ref="D80" authorId="0" shapeId="0">
      <text>
        <r>
          <rPr>
            <b/>
            <sz val="8"/>
            <color indexed="81"/>
            <rFont val="Tahoma"/>
            <family val="2"/>
          </rPr>
          <t>Institute:
Sample titles that fall under this line:</t>
        </r>
        <r>
          <rPr>
            <sz val="8"/>
            <color indexed="81"/>
            <rFont val="Tahoma"/>
            <family val="2"/>
          </rPr>
          <t xml:space="preserve">
Content/Subject Area Teachers:
   - ELA
   - Math
   - Social Studies
   - Science</t>
        </r>
      </text>
    </comment>
    <comment ref="D84" authorId="0" shapeId="0">
      <text>
        <r>
          <rPr>
            <b/>
            <sz val="8"/>
            <color indexed="81"/>
            <rFont val="Tahoma"/>
            <family val="2"/>
          </rPr>
          <t>Institute:
Sample titles that fall under this line:</t>
        </r>
        <r>
          <rPr>
            <sz val="8"/>
            <color indexed="81"/>
            <rFont val="Tahoma"/>
            <family val="2"/>
          </rPr>
          <t xml:space="preserve">
 - ESL
 - Reading
 - Math and/or Literacy Specialists
 - Art
 - PE
 - Music
 - Foreign Languages
 - Photography
 - Ceramics</t>
        </r>
      </text>
    </comment>
    <comment ref="D86" authorId="0" shapeId="0">
      <text>
        <r>
          <rPr>
            <b/>
            <sz val="8"/>
            <color indexed="81"/>
            <rFont val="Tahoma"/>
            <family val="2"/>
          </rPr>
          <t>Institute:
Sample titles that fall under this line:</t>
        </r>
        <r>
          <rPr>
            <sz val="8"/>
            <color indexed="81"/>
            <rFont val="Tahoma"/>
            <family val="2"/>
          </rPr>
          <t xml:space="preserve">
 - Speech Therapists
 - Social Workers</t>
        </r>
      </text>
    </comment>
    <comment ref="D95" authorId="0" shapeId="0">
      <text>
        <r>
          <rPr>
            <b/>
            <sz val="8"/>
            <color indexed="81"/>
            <rFont val="Tahoma"/>
            <family val="2"/>
          </rPr>
          <t>Institute:</t>
        </r>
        <r>
          <rPr>
            <sz val="8"/>
            <color indexed="81"/>
            <rFont val="Tahoma"/>
            <family val="2"/>
          </rPr>
          <t xml:space="preserve">
Cafeteria
Other</t>
        </r>
      </text>
    </comment>
    <comment ref="D102" authorId="0" shapeId="0">
      <text>
        <r>
          <rPr>
            <b/>
            <sz val="8"/>
            <color indexed="81"/>
            <rFont val="Tahoma"/>
            <family val="2"/>
          </rPr>
          <t>Institute:</t>
        </r>
        <r>
          <rPr>
            <sz val="8"/>
            <color indexed="81"/>
            <rFont val="Tahoma"/>
            <family val="2"/>
          </rPr>
          <t xml:space="preserve">
Health and Dental
Social Security
Medicare
Unemployment
Other
</t>
        </r>
      </text>
    </comment>
    <comment ref="D117" authorId="0" shapeId="0">
      <text>
        <r>
          <rPr>
            <b/>
            <sz val="8"/>
            <color indexed="81"/>
            <rFont val="Tahoma"/>
            <family val="2"/>
          </rPr>
          <t xml:space="preserve">Institute:
</t>
        </r>
        <r>
          <rPr>
            <sz val="8"/>
            <color indexed="81"/>
            <rFont val="Tahoma"/>
            <family val="2"/>
          </rPr>
          <t>Janitorial</t>
        </r>
        <r>
          <rPr>
            <b/>
            <sz val="8"/>
            <color indexed="81"/>
            <rFont val="Tahoma"/>
            <family val="2"/>
          </rPr>
          <t xml:space="preserve">
</t>
        </r>
        <r>
          <rPr>
            <sz val="8"/>
            <color indexed="81"/>
            <rFont val="Tahoma"/>
            <family val="2"/>
          </rPr>
          <t xml:space="preserve">Consultants
 - Assessment
 - Technology
 - Other
Security
Background Screening
Public Relations
</t>
        </r>
      </text>
    </comment>
    <comment ref="D121" authorId="0" shapeId="0">
      <text>
        <r>
          <rPr>
            <b/>
            <sz val="8"/>
            <color indexed="81"/>
            <rFont val="Tahoma"/>
            <family val="2"/>
          </rPr>
          <t>Institute:</t>
        </r>
        <r>
          <rPr>
            <sz val="8"/>
            <color indexed="81"/>
            <rFont val="Tahoma"/>
            <family val="2"/>
          </rPr>
          <t xml:space="preserve">
Development
Conferences</t>
        </r>
      </text>
    </comment>
    <comment ref="D125" authorId="0" shapeId="0">
      <text>
        <r>
          <rPr>
            <b/>
            <sz val="8"/>
            <color indexed="81"/>
            <rFont val="Tahoma"/>
            <family val="2"/>
          </rPr>
          <t>Institute:</t>
        </r>
        <r>
          <rPr>
            <sz val="8"/>
            <color indexed="81"/>
            <rFont val="Tahoma"/>
            <family val="2"/>
          </rPr>
          <t xml:space="preserve">
Curriculum
</t>
        </r>
      </text>
    </comment>
    <comment ref="D126" authorId="0" shapeId="0">
      <text>
        <r>
          <rPr>
            <b/>
            <sz val="8"/>
            <color indexed="81"/>
            <rFont val="Tahoma"/>
            <family val="2"/>
          </rPr>
          <t>Institute:</t>
        </r>
        <r>
          <rPr>
            <sz val="8"/>
            <color indexed="81"/>
            <rFont val="Tahoma"/>
            <family val="2"/>
          </rPr>
          <t xml:space="preserve">
Instructional
Non-Instructional
Athletic
Music
Office Equipment
</t>
        </r>
        <r>
          <rPr>
            <b/>
            <sz val="8"/>
            <color indexed="81"/>
            <rFont val="Tahoma"/>
            <family val="2"/>
          </rPr>
          <t>* Includes the Purchase or Lease of  any of the above</t>
        </r>
      </text>
    </comment>
    <comment ref="D128" authorId="0" shapeId="0">
      <text>
        <r>
          <rPr>
            <b/>
            <sz val="8"/>
            <color indexed="81"/>
            <rFont val="Tahoma"/>
            <family val="2"/>
          </rPr>
          <t>Institute:</t>
        </r>
        <r>
          <rPr>
            <sz val="8"/>
            <color indexed="81"/>
            <rFont val="Tahoma"/>
            <family val="2"/>
          </rPr>
          <t xml:space="preserve">
Hardware
Software
Internet
Wiring
Other</t>
        </r>
      </text>
    </comment>
    <comment ref="D132" authorId="0" shapeId="0">
      <text>
        <r>
          <rPr>
            <b/>
            <sz val="8"/>
            <color indexed="81"/>
            <rFont val="Tahoma"/>
            <family val="2"/>
          </rPr>
          <t>Institute:</t>
        </r>
        <r>
          <rPr>
            <sz val="8"/>
            <color indexed="81"/>
            <rFont val="Tahoma"/>
            <family val="2"/>
          </rPr>
          <t xml:space="preserve">
Uniforms
Special Events</t>
        </r>
      </text>
    </comment>
    <comment ref="D133" authorId="0" shapeId="0">
      <text>
        <r>
          <rPr>
            <b/>
            <sz val="8"/>
            <color indexed="81"/>
            <rFont val="Tahoma"/>
            <family val="2"/>
          </rPr>
          <t>Institute:</t>
        </r>
        <r>
          <rPr>
            <sz val="8"/>
            <color indexed="81"/>
            <rFont val="Tahoma"/>
            <family val="2"/>
          </rPr>
          <t xml:space="preserve">
Printing
Postage
Copying
All Other</t>
        </r>
      </text>
    </comment>
    <comment ref="D134" authorId="0" shapeId="0">
      <text>
        <r>
          <rPr>
            <b/>
            <sz val="8"/>
            <color indexed="81"/>
            <rFont val="Tahoma"/>
            <family val="2"/>
          </rPr>
          <t>Institute:</t>
        </r>
        <r>
          <rPr>
            <sz val="8"/>
            <color indexed="81"/>
            <rFont val="Tahoma"/>
            <family val="2"/>
          </rPr>
          <t xml:space="preserve">
Conferences</t>
        </r>
      </text>
    </comment>
    <comment ref="D140" authorId="0" shapeId="0">
      <text>
        <r>
          <rPr>
            <b/>
            <sz val="8"/>
            <color indexed="81"/>
            <rFont val="Tahoma"/>
            <family val="2"/>
          </rPr>
          <t>Institute:</t>
        </r>
        <r>
          <rPr>
            <sz val="8"/>
            <color indexed="81"/>
            <rFont val="Tahoma"/>
            <family val="2"/>
          </rPr>
          <t xml:space="preserve">
Interest 
Bank Charges
Bad Debt
Misc. Fees (i.e. Licensing)
Dues &amp; Membership
All Other 
</t>
        </r>
        <r>
          <rPr>
            <b/>
            <sz val="8"/>
            <color indexed="81"/>
            <rFont val="Tahoma"/>
            <family val="2"/>
          </rPr>
          <t>(If any questions contact CSI)</t>
        </r>
      </text>
    </comment>
    <comment ref="D147" authorId="0" shapeId="0">
      <text>
        <r>
          <rPr>
            <b/>
            <sz val="9"/>
            <color indexed="81"/>
            <rFont val="Tahoma"/>
            <family val="2"/>
          </rPr>
          <t xml:space="preserve">Institute:
</t>
        </r>
        <r>
          <rPr>
            <sz val="9"/>
            <color indexed="81"/>
            <rFont val="Tahoma"/>
            <family val="2"/>
          </rPr>
          <t>Include any Facility Rental/Leasing/Financing costs.</t>
        </r>
      </text>
    </comment>
    <comment ref="D148" authorId="0" shapeId="0">
      <text>
        <r>
          <rPr>
            <b/>
            <sz val="8"/>
            <color indexed="81"/>
            <rFont val="Tahoma"/>
            <family val="2"/>
          </rPr>
          <t>Institute:</t>
        </r>
        <r>
          <rPr>
            <sz val="8"/>
            <color indexed="81"/>
            <rFont val="Tahoma"/>
            <family val="2"/>
          </rPr>
          <t xml:space="preserve">
Facility Related
</t>
        </r>
        <r>
          <rPr>
            <b/>
            <sz val="8"/>
            <color indexed="81"/>
            <rFont val="Tahoma"/>
            <family val="2"/>
          </rPr>
          <t>* Includes the Purchase or Lease of  any equipment</t>
        </r>
      </text>
    </comment>
    <comment ref="D150" authorId="0" shapeId="0">
      <text>
        <r>
          <rPr>
            <b/>
            <sz val="8"/>
            <color indexed="81"/>
            <rFont val="Tahoma"/>
            <family val="2"/>
          </rPr>
          <t>Institute:</t>
        </r>
        <r>
          <rPr>
            <sz val="8"/>
            <color indexed="81"/>
            <rFont val="Tahoma"/>
            <family val="2"/>
          </rPr>
          <t xml:space="preserve">
Electric
Gas
Other</t>
        </r>
      </text>
    </comment>
  </commentList>
</comments>
</file>

<file path=xl/comments7.xml><?xml version="1.0" encoding="utf-8"?>
<comments xmlns="http://schemas.openxmlformats.org/spreadsheetml/2006/main">
  <authors>
    <author>flackjo</author>
    <author>Flack, John</author>
  </authors>
  <commentList>
    <comment ref="C808" authorId="0" shapeId="0">
      <text>
        <r>
          <rPr>
            <sz val="9"/>
            <color indexed="81"/>
            <rFont val="Tahoma"/>
            <family val="2"/>
          </rPr>
          <t>2009 = 2009-10</t>
        </r>
      </text>
    </comment>
    <comment ref="D808" authorId="0" shapeId="0">
      <text>
        <r>
          <rPr>
            <sz val="9"/>
            <color indexed="81"/>
            <rFont val="Tahoma"/>
            <family val="2"/>
          </rPr>
          <t xml:space="preserve">2016 = 2015-16
</t>
        </r>
      </text>
    </comment>
    <comment ref="F860" authorId="1" shapeId="0">
      <text>
        <r>
          <rPr>
            <b/>
            <sz val="9"/>
            <color indexed="81"/>
            <rFont val="Tahoma"/>
            <family val="2"/>
          </rPr>
          <t>Flack, John:</t>
        </r>
        <r>
          <rPr>
            <sz val="9"/>
            <color indexed="81"/>
            <rFont val="Tahoma"/>
            <family val="2"/>
          </rPr>
          <t xml:space="preserve">
The "Surviving" Ed Corp will not open until 2020-21.
</t>
        </r>
      </text>
    </comment>
    <comment ref="D882" authorId="1" shapeId="0">
      <text>
        <r>
          <rPr>
            <b/>
            <sz val="9"/>
            <color indexed="81"/>
            <rFont val="Tahoma"/>
            <family val="2"/>
          </rPr>
          <t>Flack, John:</t>
        </r>
        <r>
          <rPr>
            <sz val="9"/>
            <color indexed="81"/>
            <rFont val="Tahoma"/>
            <family val="2"/>
          </rPr>
          <t xml:space="preserve">
2015 (was "mini-merged"  for just 1 year with with Excellence Charter Schools (code 505)
</t>
        </r>
      </text>
    </comment>
    <comment ref="E882" authorId="0" shapeId="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 ref="D883" authorId="1" shapeId="0">
      <text>
        <r>
          <rPr>
            <b/>
            <sz val="9"/>
            <color indexed="81"/>
            <rFont val="Tahoma"/>
            <family val="2"/>
          </rPr>
          <t>Flack, John:</t>
        </r>
        <r>
          <rPr>
            <sz val="9"/>
            <color indexed="81"/>
            <rFont val="Tahoma"/>
            <family val="2"/>
          </rPr>
          <t xml:space="preserve">
2015 (was "mini-merged"  for just 1 year with with Excellence Charter Schools (code 505)
</t>
        </r>
      </text>
    </comment>
    <comment ref="E883" authorId="0" shapeId="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List>
</comments>
</file>

<file path=xl/sharedStrings.xml><?xml version="1.0" encoding="utf-8"?>
<sst xmlns="http://schemas.openxmlformats.org/spreadsheetml/2006/main" count="2416" uniqueCount="2041">
  <si>
    <t>Total Expenses</t>
  </si>
  <si>
    <t>Board Expenses</t>
  </si>
  <si>
    <t>Field Trips</t>
  </si>
  <si>
    <t>Insurance</t>
  </si>
  <si>
    <t>Janitorial</t>
  </si>
  <si>
    <t>Legal</t>
  </si>
  <si>
    <t>Office Expense</t>
  </si>
  <si>
    <t>Security</t>
  </si>
  <si>
    <t>Staff Recruitment</t>
  </si>
  <si>
    <t>Utilities</t>
  </si>
  <si>
    <t>Substitute Teachers</t>
  </si>
  <si>
    <t>Teaching Assistants</t>
  </si>
  <si>
    <t>Specialty Teachers</t>
  </si>
  <si>
    <t>Aides</t>
  </si>
  <si>
    <t>Payroll Taxes</t>
  </si>
  <si>
    <t>Nurse Services</t>
  </si>
  <si>
    <t>Payroll Services</t>
  </si>
  <si>
    <t>Special Ed Services</t>
  </si>
  <si>
    <t>Staff Development</t>
  </si>
  <si>
    <t>Transportation (student)</t>
  </si>
  <si>
    <t>No. of Positions</t>
  </si>
  <si>
    <t>Per Pupil Revenue</t>
  </si>
  <si>
    <t>Net Income</t>
  </si>
  <si>
    <t>Total Revenue</t>
  </si>
  <si>
    <t>REVENUE</t>
  </si>
  <si>
    <t>REVENUES FROM STATE SOURCES</t>
  </si>
  <si>
    <t>Special Education Revenue</t>
  </si>
  <si>
    <t>Grants</t>
  </si>
  <si>
    <t>Stimulus</t>
  </si>
  <si>
    <t>Other</t>
  </si>
  <si>
    <t>TOTAL REVENUE FROM STATE SOURCES</t>
  </si>
  <si>
    <t>REVENUE FROM FEDERAL FUNDING</t>
  </si>
  <si>
    <t>IDEA Special Needs</t>
  </si>
  <si>
    <t>Title I</t>
  </si>
  <si>
    <t>Title Funding - Other</t>
  </si>
  <si>
    <t>School Food Service (Free Lunch)</t>
  </si>
  <si>
    <t>Charter School Program (CSP) Planning &amp; Implementation</t>
  </si>
  <si>
    <t xml:space="preserve">Other </t>
  </si>
  <si>
    <t>TOTAL REVENUE FROM FEDERAL SOURCES</t>
  </si>
  <si>
    <t>LOCAL and OTHER REVENUE</t>
  </si>
  <si>
    <t>Contributions and Donations</t>
  </si>
  <si>
    <t>Fundraising</t>
  </si>
  <si>
    <t>Erate Reimbursement</t>
  </si>
  <si>
    <t>Earnings on Investments</t>
  </si>
  <si>
    <t>Interest Income</t>
  </si>
  <si>
    <t>Food Service (Income from meals)</t>
  </si>
  <si>
    <t>Text Book</t>
  </si>
  <si>
    <t>OTHER</t>
  </si>
  <si>
    <t>TOTAL REVENUE FROM LOCAL and OTHER SOURCES</t>
  </si>
  <si>
    <t xml:space="preserve">TOTAL REVENUE </t>
  </si>
  <si>
    <t>EXPENSES</t>
  </si>
  <si>
    <t>Teachers - Regular</t>
  </si>
  <si>
    <t>Teachers - SPED</t>
  </si>
  <si>
    <t>Technology</t>
  </si>
  <si>
    <t xml:space="preserve">Repairs &amp; Maintenance </t>
  </si>
  <si>
    <t>TOTAL EXPENSES</t>
  </si>
  <si>
    <t>Equipment / Furniture</t>
  </si>
  <si>
    <t>Food Service / School Lunch</t>
  </si>
  <si>
    <t>Retirement / Pension</t>
  </si>
  <si>
    <t>Student Recruitment / Marketing</t>
  </si>
  <si>
    <t>Student Testing &amp; Assessment</t>
  </si>
  <si>
    <t>Travel (Staff)</t>
  </si>
  <si>
    <t xml:space="preserve">Telephone </t>
  </si>
  <si>
    <t>Student Services - other</t>
  </si>
  <si>
    <t>Special Ed Supplies &amp; Materials</t>
  </si>
  <si>
    <t xml:space="preserve">Accounting / Audit </t>
  </si>
  <si>
    <t>Management Company Fee</t>
  </si>
  <si>
    <t>Other Purchased / Professional / Consulting</t>
  </si>
  <si>
    <t>Titlement Services (i.e. Title I)</t>
  </si>
  <si>
    <t>Fringe / Employee Benefits</t>
  </si>
  <si>
    <t>Textbooks / Workbooks</t>
  </si>
  <si>
    <t>Classroom / Teaching Supplies &amp; Materials</t>
  </si>
  <si>
    <t>Supplies &amp; Materials other</t>
  </si>
  <si>
    <t>Therapists &amp; Counselors</t>
  </si>
  <si>
    <t>School Meals / Lunch</t>
  </si>
  <si>
    <t>TOTAL ADMINISTRATIVE STAFF</t>
  </si>
  <si>
    <t>ADMINISTRATIVE STAFF PERSONNEL COSTS</t>
  </si>
  <si>
    <t>INSTRUCTIONAL PERSONNEL COSTS</t>
  </si>
  <si>
    <t>TOTAL INSTRUCTIONAL</t>
  </si>
  <si>
    <t>NON-INSTRUCTIONAL PERSONNEL COSTS</t>
  </si>
  <si>
    <t>TOTAL NON-INSTRUCTIONAL</t>
  </si>
  <si>
    <t>SUBTOTAL PERSONNEL SERVICE COSTS</t>
  </si>
  <si>
    <t>PAYROLL TAXES AND BENEFITS</t>
  </si>
  <si>
    <t>TOTAL PAYROLL TAXES AND BENEFITS</t>
  </si>
  <si>
    <t>TOTAL PERSONNEL SERVICE COSTS</t>
  </si>
  <si>
    <t>CONTRACTED SERVICES</t>
  </si>
  <si>
    <t>TOTAL CONTRACTED SERVICES</t>
  </si>
  <si>
    <t>SCHOOL OPERATIONS</t>
  </si>
  <si>
    <t>TOTAL SCHOOL OPERATIONS</t>
  </si>
  <si>
    <t>FACILITY OPERATION &amp; MAINTENANCE</t>
  </si>
  <si>
    <t>TOTAL FACILITY OPERATION &amp; MAINTENANCE</t>
  </si>
  <si>
    <t>DEPRECIATION &amp; AMORTIZATION</t>
  </si>
  <si>
    <t>ENROLLMENT - *School Districts Are Linked To Above Entries*</t>
  </si>
  <si>
    <t>TOTAL ENROLLMENT</t>
  </si>
  <si>
    <t>REVENUE PER PUPIL</t>
  </si>
  <si>
    <t>EXPENSES PER PUPIL</t>
  </si>
  <si>
    <t>NET INCOME</t>
  </si>
  <si>
    <t>DESCRIPTION OF ASSUMPTIONS</t>
  </si>
  <si>
    <t>CFO / Director of Finance</t>
  </si>
  <si>
    <t>Operation / Business Manager</t>
  </si>
  <si>
    <t>Nurse</t>
  </si>
  <si>
    <t>Librarian</t>
  </si>
  <si>
    <t>Custodian</t>
  </si>
  <si>
    <t>Year 1</t>
  </si>
  <si>
    <t>Year 2</t>
  </si>
  <si>
    <t>Year 3</t>
  </si>
  <si>
    <t>Year 4</t>
  </si>
  <si>
    <t>Year 5</t>
  </si>
  <si>
    <t>District Code</t>
  </si>
  <si>
    <t>School District Name</t>
  </si>
  <si>
    <t>Executive Management</t>
  </si>
  <si>
    <t>Instructional Management</t>
  </si>
  <si>
    <t>Deans, Directors &amp; Coordinators</t>
  </si>
  <si>
    <t>Administrative Staff</t>
  </si>
  <si>
    <t>Contact Name:</t>
  </si>
  <si>
    <t>Contact Email:</t>
  </si>
  <si>
    <t>Contact Phone:</t>
  </si>
  <si>
    <t>Contact Title:</t>
  </si>
  <si>
    <t>Per Pupil Rate</t>
  </si>
  <si>
    <t>CONTROL SHEET</t>
  </si>
  <si>
    <t>DATA VALIDATION LISTS</t>
  </si>
  <si>
    <t>Year</t>
  </si>
  <si>
    <t>Yr1Start</t>
  </si>
  <si>
    <t>Yr1End</t>
  </si>
  <si>
    <t>SELECTION</t>
  </si>
  <si>
    <t>AcadYrs</t>
  </si>
  <si>
    <t>5 YEARS</t>
  </si>
  <si>
    <t>DVList-AcadYr</t>
  </si>
  <si>
    <t>Selection</t>
  </si>
  <si>
    <t>SELECTED ACADEMIC YEARS TABLE</t>
  </si>
  <si>
    <t>User Selection:</t>
  </si>
  <si>
    <t>Charter Funding Alphabetical By NYS School District</t>
  </si>
  <si>
    <t>CENTRAL VALLEY CSD AT ILION-MOHAWK</t>
  </si>
  <si>
    <t>Form Display Options</t>
  </si>
  <si>
    <t>Completion Test</t>
  </si>
  <si>
    <t>School Name</t>
  </si>
  <si>
    <t>User Input:</t>
  </si>
  <si>
    <t>Contact Name</t>
  </si>
  <si>
    <t>Contact Title</t>
  </si>
  <si>
    <t>Contact Email</t>
  </si>
  <si>
    <t>Contact Phone</t>
  </si>
  <si>
    <t>INFORMATION COMPLETION</t>
  </si>
  <si>
    <t>MESSAGES</t>
  </si>
  <si>
    <t>ENROLLMENT</t>
  </si>
  <si>
    <t>Enrollment</t>
  </si>
  <si>
    <t>GRADE LEVELS</t>
  </si>
  <si>
    <t>Elementary School</t>
  </si>
  <si>
    <t>Middle School</t>
  </si>
  <si>
    <t>High School</t>
  </si>
  <si>
    <t>RATE PER PUPIL</t>
  </si>
  <si>
    <t>WEIGHTED AVERAGE - ALL DISTRICTS</t>
  </si>
  <si>
    <t>WEIGHTED AVERAGES</t>
  </si>
  <si>
    <t>PER PUPIL RATE ("PPR") - TABLE DATE</t>
  </si>
  <si>
    <r>
      <rPr>
        <b/>
        <sz val="11.5"/>
        <rFont val="Calibri"/>
        <family val="2"/>
        <scheme val="minor"/>
      </rPr>
      <t xml:space="preserve">Per Pupil Rate - Table Date </t>
    </r>
    <r>
      <rPr>
        <sz val="11.5"/>
        <rFont val="Calibri"/>
        <family val="2"/>
        <scheme val="minor"/>
      </rPr>
      <t>(Determined via formula…</t>
    </r>
    <r>
      <rPr>
        <b/>
        <i/>
        <sz val="11.5"/>
        <rFont val="Calibri"/>
        <family val="2"/>
        <scheme val="minor"/>
      </rPr>
      <t>VERIFY</t>
    </r>
    <r>
      <rPr>
        <sz val="11.5"/>
        <rFont val="Calibri"/>
        <family val="2"/>
        <scheme val="minor"/>
      </rPr>
      <t>!)</t>
    </r>
  </si>
  <si>
    <t>Instructions</t>
  </si>
  <si>
    <t>Funding by District</t>
  </si>
  <si>
    <t>CELL COLORS &amp; GUIDANCE COMMENTS</t>
  </si>
  <si>
    <t>DYCD (Department of Youth and Community Development)</t>
  </si>
  <si>
    <t>PRIMARY District</t>
  </si>
  <si>
    <t>TOTAL PERSONNEL SERVICE FTE</t>
  </si>
  <si>
    <t>ADMINISTRATIVE PERSONNEL FTE</t>
  </si>
  <si>
    <t>INSTRUCTIONAL PERSONNEL FTE</t>
  </si>
  <si>
    <t>NON-INSTRUCTIONAL PERSONNEL FTE</t>
  </si>
  <si>
    <t xml:space="preserve"> = Enter information into the light BLUE shaded cells.</t>
  </si>
  <si>
    <t>=  Cells containing RED triangles in the upper right corner contain "guidance comments" on that particular line item.  Please "mouse-over" the triangle to reveal each comment.</t>
  </si>
  <si>
    <t>Description of Assumptions</t>
  </si>
  <si>
    <t>"0" = No entry
"1" = Entry</t>
  </si>
  <si>
    <t>DISTRICT NAME(S)</t>
  </si>
  <si>
    <t>PRIMARY/OTHER</t>
  </si>
  <si>
    <t xml:space="preserve"> = Cells labeled in ORANGE containe guidance regarding the input of information.</t>
  </si>
  <si>
    <t>NonSelectedSchools</t>
  </si>
  <si>
    <t>Rows</t>
  </si>
  <si>
    <r>
      <t>UNIQUE DROP DOWN LIST</t>
    </r>
    <r>
      <rPr>
        <i/>
        <u/>
        <sz val="11.5"/>
        <color rgb="FFFF0000"/>
        <rFont val="Calibri"/>
        <family val="2"/>
        <scheme val="minor"/>
      </rPr>
      <t xml:space="preserve"> (Array Formula - requires Ctrl-Shift-Enter)</t>
    </r>
  </si>
  <si>
    <t>These formulas must be updated when updating the Funding By District Table.</t>
  </si>
  <si>
    <t>This is used to create the dropdown list on tab 2) Enrollment Chart.</t>
  </si>
  <si>
    <t>IMPORTANT NOTE:</t>
  </si>
  <si>
    <t>&lt;--Not Array Formula</t>
  </si>
  <si>
    <t>(Down v)</t>
  </si>
  <si>
    <t>ARRAY FORMULAS</t>
  </si>
  <si>
    <t>STEPS</t>
  </si>
  <si>
    <t>&lt;</t>
  </si>
  <si>
    <t>1) Select entire Array Formula Range in Column B (# of rows = # of schools in table)</t>
  </si>
  <si>
    <t>4) Update  "Countif" formula in Column C (helper formula for Array Formula to use)</t>
  </si>
  <si>
    <t>2) Press F2 to edit formula (add/delete rows)</t>
  </si>
  <si>
    <r>
      <t xml:space="preserve">3) Press </t>
    </r>
    <r>
      <rPr>
        <b/>
        <u val="singleAccounting"/>
        <sz val="11.5"/>
        <rFont val="Calibri"/>
        <family val="2"/>
        <scheme val="minor"/>
      </rPr>
      <t>"Ctrl-Shift-Enter"</t>
    </r>
    <r>
      <rPr>
        <sz val="11.5"/>
        <rFont val="Calibri"/>
        <family val="2"/>
        <scheme val="minor"/>
      </rPr>
      <t xml:space="preserve"> to enter Array Formula (important!)</t>
    </r>
  </si>
  <si>
    <t>Please complete entering all information on tab - "2) Enrollment Chart"</t>
  </si>
  <si>
    <t>http://www.contextures.com/xlDataVal03.html</t>
  </si>
  <si>
    <t>WEBSITE:</t>
  </si>
  <si>
    <t>BASIC TUITION</t>
  </si>
  <si>
    <t>Current Academic Year:</t>
  </si>
  <si>
    <t>Prior Academic Year:</t>
  </si>
  <si>
    <t>BLANK:</t>
  </si>
  <si>
    <t>blank</t>
  </si>
  <si>
    <t>Prior Period: (Calculated)</t>
  </si>
  <si>
    <t>BALANCE SHEET</t>
  </si>
  <si>
    <t>Prior Year</t>
  </si>
  <si>
    <t>Q1</t>
  </si>
  <si>
    <t>Q2</t>
  </si>
  <si>
    <t>Q3</t>
  </si>
  <si>
    <t>Q4</t>
  </si>
  <si>
    <t>As of 9/30</t>
  </si>
  <si>
    <t>As of 12/31</t>
  </si>
  <si>
    <t>As of 3/31</t>
  </si>
  <si>
    <t>As of 6/30</t>
  </si>
  <si>
    <t>ASSETS</t>
  </si>
  <si>
    <t>CURRENT ASSETS</t>
  </si>
  <si>
    <t xml:space="preserve">Cash and cash equivalents </t>
  </si>
  <si>
    <t>Grants and contracts receivable</t>
  </si>
  <si>
    <t>Accounts receivables</t>
  </si>
  <si>
    <t>Prepaid Expenses</t>
  </si>
  <si>
    <t>Contributions and other receivables</t>
  </si>
  <si>
    <t>TOTAL CURRENT ASSETS</t>
  </si>
  <si>
    <t>PROPERTY, BUILDING AND EQUIPMENT, net</t>
  </si>
  <si>
    <t>OTHER ASSETS</t>
  </si>
  <si>
    <t>TOTAL ASSETS</t>
  </si>
  <si>
    <t>LIABILITIES AND NET ASSETS</t>
  </si>
  <si>
    <t>CURRENT LIABILITIES</t>
  </si>
  <si>
    <t>Accounts payable and accrued expenses</t>
  </si>
  <si>
    <t>Accrued payroll and benefits</t>
  </si>
  <si>
    <t>Current maturities of long-term debt</t>
  </si>
  <si>
    <t>Short Term Debt - Bonds, Notes Payable</t>
  </si>
  <si>
    <t>TOTAL CURRENT LIABILITIES</t>
  </si>
  <si>
    <t>LONG-TERM DEBT and NOTES PAYABLE, net current maturities</t>
  </si>
  <si>
    <t>TOTAL LIABILITIES</t>
  </si>
  <si>
    <t>NET ASSETS</t>
  </si>
  <si>
    <t>Unrestricted</t>
  </si>
  <si>
    <t>Temporarily restricted</t>
  </si>
  <si>
    <t>TOTAL NET ASSETS</t>
  </si>
  <si>
    <t>TOTAL LIABILITIES AND NET ASSETS</t>
  </si>
  <si>
    <t>Budget / Operating Plan</t>
  </si>
  <si>
    <t>Actual Student Enrollment</t>
  </si>
  <si>
    <t>Total Paid Student Enrollment</t>
  </si>
  <si>
    <t>Prior Year Actual</t>
  </si>
  <si>
    <t>1st Quarter - 7/1 - 9/30</t>
  </si>
  <si>
    <t>2nd Quarter - 10/1 - 12/31</t>
  </si>
  <si>
    <t>3rd Quarter - 1/1 - 3/31</t>
  </si>
  <si>
    <t>4th Quarter - 4/1 - 6/30</t>
  </si>
  <si>
    <t>Total Year</t>
  </si>
  <si>
    <t>VARIANCE</t>
  </si>
  <si>
    <t>Variance</t>
  </si>
  <si>
    <t>SECONDARY District</t>
  </si>
  <si>
    <t>Other District 3</t>
  </si>
  <si>
    <t>Other District 4</t>
  </si>
  <si>
    <t>Other District 5</t>
  </si>
  <si>
    <t>Other District 6</t>
  </si>
  <si>
    <t>Other District 7</t>
  </si>
  <si>
    <t>Other District 8</t>
  </si>
  <si>
    <t>Other District 9</t>
  </si>
  <si>
    <t>Other District 10</t>
  </si>
  <si>
    <t>Other District 11</t>
  </si>
  <si>
    <t>Other District 12</t>
  </si>
  <si>
    <t>Other District 13</t>
  </si>
  <si>
    <t>Other District 14</t>
  </si>
  <si>
    <t>Other District 15</t>
  </si>
  <si>
    <t>Other District 16</t>
  </si>
  <si>
    <t>Other District 17</t>
  </si>
  <si>
    <t>Other District 18</t>
  </si>
  <si>
    <t>Other District 19</t>
  </si>
  <si>
    <t>Other District 20</t>
  </si>
  <si>
    <t>Other District 21</t>
  </si>
  <si>
    <t>Other District 22</t>
  </si>
  <si>
    <t>Other District 23</t>
  </si>
  <si>
    <t>Other District 24</t>
  </si>
  <si>
    <t>Other District 25</t>
  </si>
  <si>
    <t>Other District 26</t>
  </si>
  <si>
    <t>Other District 27</t>
  </si>
  <si>
    <t>Other District 28</t>
  </si>
  <si>
    <t>Other District 29</t>
  </si>
  <si>
    <t>Other District 30</t>
  </si>
  <si>
    <t>Other District 31</t>
  </si>
  <si>
    <t>Other District 32</t>
  </si>
  <si>
    <t>Other District 33</t>
  </si>
  <si>
    <t>Other District 34</t>
  </si>
  <si>
    <t>Other District 35</t>
  </si>
  <si>
    <t>Other District 36</t>
  </si>
  <si>
    <t>Other District 37</t>
  </si>
  <si>
    <t>Other District 38</t>
  </si>
  <si>
    <t>Other District 39</t>
  </si>
  <si>
    <t>Other District 40</t>
  </si>
  <si>
    <t>Other District 41</t>
  </si>
  <si>
    <t>Other District 42</t>
  </si>
  <si>
    <t>Other District 43</t>
  </si>
  <si>
    <t>Other District 44</t>
  </si>
  <si>
    <t>Other District 45</t>
  </si>
  <si>
    <t>Other District 46</t>
  </si>
  <si>
    <t>Other District 47</t>
  </si>
  <si>
    <t>Other District 48</t>
  </si>
  <si>
    <t>Other District 49</t>
  </si>
  <si>
    <t>Other District 50</t>
  </si>
  <si>
    <t>Current Year</t>
  </si>
  <si>
    <t>Original Budget</t>
  </si>
  <si>
    <t>Revised Budget</t>
  </si>
  <si>
    <t>Original Budget vs. PY Budget</t>
  </si>
  <si>
    <t>Revised Budget vs. PY Budget</t>
  </si>
  <si>
    <t>SUM of Basic Tuition for DISTRICTS 16-50</t>
  </si>
  <si>
    <t>COUNT "Others" Districts from 16-50 =</t>
  </si>
  <si>
    <t>AVG COUNT "Others" Enrollment from 16-50 =</t>
  </si>
  <si>
    <t>Weighted Avg Others 16-50</t>
  </si>
  <si>
    <t>Backed-in calc:</t>
  </si>
  <si>
    <t>Rev</t>
  </si>
  <si>
    <t>This section checks to make sure that revenue is NOT reported WITHOUT corresponding enrollment.  #DIV/0! reveals that error.</t>
  </si>
  <si>
    <t>Total</t>
  </si>
  <si>
    <t>Error Check</t>
  </si>
  <si>
    <t>Annual Report Requirement</t>
  </si>
  <si>
    <t>for SUNY Authorized Charter Schools</t>
  </si>
  <si>
    <t>Administrative expenditures per pupil:</t>
  </si>
  <si>
    <t>Per NYS Statute</t>
  </si>
  <si>
    <t>Administrative expenditures per pupil: the sum of all general administration salaries and other general administration expenditures divided by the total number of enrolled students. Employee benefit costs or expenditures should not be reported here.</t>
  </si>
  <si>
    <t>TOTALS AND VARIANCE ANALYSIS</t>
  </si>
  <si>
    <t>Actual</t>
  </si>
  <si>
    <t>Current Budget</t>
  </si>
  <si>
    <t>Current Budget   (Current Quarter)</t>
  </si>
  <si>
    <t>Actual                     vs.                       Current Budget</t>
  </si>
  <si>
    <t>Current Budget - TY</t>
  </si>
  <si>
    <t>Actual          vs.              Current Budget TY</t>
  </si>
  <si>
    <t>Original Budget   (Current Quarter)</t>
  </si>
  <si>
    <t>Actual                  vs.               Original Budget</t>
  </si>
  <si>
    <t>Original Budget - TY</t>
  </si>
  <si>
    <t>Actual              vs.            Original Budget TY</t>
  </si>
  <si>
    <t>Actual CY            vs.            Actual PY</t>
  </si>
  <si>
    <t>* Enrollment Data Based on Last Actual Quarter Completed</t>
  </si>
  <si>
    <t>STAFFING PLAN - FULL TIME EQUIVALENT ("FTE")</t>
  </si>
  <si>
    <t>Original Budgeted Enrollment</t>
  </si>
  <si>
    <t>Actual Enrollment</t>
  </si>
  <si>
    <t>QUARTER 1</t>
  </si>
  <si>
    <t>QUARTER 2</t>
  </si>
  <si>
    <t>QUARTER 3</t>
  </si>
  <si>
    <t>QUARTER 4</t>
  </si>
  <si>
    <t>ACTUAL</t>
  </si>
  <si>
    <t>PRIOR YEAR</t>
  </si>
  <si>
    <t>NUMBER OF SCHOOL DISTRICTS ENROLLED:</t>
  </si>
  <si>
    <t>ORIGINAL REVENUE (CALCULATED)</t>
  </si>
  <si>
    <t>REVISED REVENUE (CALCULATED)</t>
  </si>
  <si>
    <t>AVG ENROLLMENT</t>
  </si>
  <si>
    <t>NUMBER OF STUDENTS ENROLLED:</t>
  </si>
  <si>
    <r>
      <rPr>
        <b/>
        <i/>
        <sz val="11.5"/>
        <rFont val="Calibri"/>
        <family val="2"/>
        <scheme val="minor"/>
      </rPr>
      <t>Revised</t>
    </r>
    <r>
      <rPr>
        <sz val="11.5"/>
        <rFont val="Calibri"/>
        <family val="2"/>
        <scheme val="minor"/>
      </rPr>
      <t xml:space="preserve"> Budgeted Enrollment</t>
    </r>
  </si>
  <si>
    <t xml:space="preserve">*NOTE: THIS TAB ONLY NEEDS TO BE COMPLETED FOR Q4 </t>
  </si>
  <si>
    <t>Number of Districts:</t>
  </si>
  <si>
    <t>K</t>
  </si>
  <si>
    <t>GRADES</t>
  </si>
  <si>
    <t>ENROLLMENT BY GRADES</t>
  </si>
  <si>
    <t>ENROLLMENT BY DISTRICT</t>
  </si>
  <si>
    <t>ACTUAL ENROLLMENT BY QUARTER</t>
  </si>
  <si>
    <t>ANNUAL BUDGETED FTE</t>
  </si>
  <si>
    <t>ACTUAL QUARTERLY FTE</t>
  </si>
  <si>
    <r>
      <rPr>
        <b/>
        <i/>
        <sz val="11.5"/>
        <rFont val="Calibri"/>
        <family val="2"/>
        <scheme val="minor"/>
      </rPr>
      <t xml:space="preserve"> *NOTE:</t>
    </r>
    <r>
      <rPr>
        <i/>
        <sz val="11.5"/>
        <rFont val="Calibri"/>
        <family val="2"/>
        <scheme val="minor"/>
      </rPr>
      <t xml:space="preserve">  Enter the number of FTE positions in the "blue" cells.</t>
    </r>
  </si>
  <si>
    <t>Original</t>
  </si>
  <si>
    <t>Revised</t>
  </si>
  <si>
    <t>Building and Land Rent / Lease / Facility Finance Interest</t>
  </si>
  <si>
    <r>
      <t xml:space="preserve">ANNUAL BUDGET
</t>
    </r>
    <r>
      <rPr>
        <sz val="12"/>
        <rFont val="Calibri"/>
        <family val="2"/>
        <scheme val="minor"/>
      </rPr>
      <t>TOTAL DISTRICTS/ENROLLMENT BY QUARTER</t>
    </r>
  </si>
  <si>
    <t>ACTUAL QUARTERLY
TOTAL DISTRICTS/ENROLLMENT</t>
  </si>
  <si>
    <t>ANNUAL BUDGET
ENROLLMENT BY QUARTER</t>
  </si>
  <si>
    <t>TOTAL Per Pupil Revenue (Weighted Average Per Pupil Funding)</t>
  </si>
  <si>
    <t>ALL OTHER School Districts: ( Weighted Avg )</t>
  </si>
  <si>
    <t>1.) Name of School</t>
  </si>
  <si>
    <t>2.) Enrollment</t>
  </si>
  <si>
    <t>3.) Staffing Plan</t>
  </si>
  <si>
    <t>4.) Yearly Budget</t>
  </si>
  <si>
    <t>5.) Balance Sheet</t>
  </si>
  <si>
    <t>6.) Quarterly Report</t>
  </si>
  <si>
    <t>7.) Annual Report Requirement</t>
  </si>
  <si>
    <t>Provides description of tabs and input requirements.</t>
  </si>
  <si>
    <t>INITIAL BUDGETED ENROLLMENT</t>
  </si>
  <si>
    <t>Avg. No. of Positions</t>
  </si>
  <si>
    <t>Complete when submitting Actual Quarter 4.</t>
  </si>
  <si>
    <t>GENERAL INSTRUCTIONS FOR
ANNUAL BUDGET/QUARTERLY REPORT</t>
  </si>
  <si>
    <t>Deferred Revenue</t>
  </si>
  <si>
    <t>ANNUAL BUDGET &amp; QUARTERLY REPORT TEMPLATE</t>
  </si>
  <si>
    <t>*NOTE: Enrollment, Revenue and Expediture Data IN the 'Total and Variance Analysis' Section is Based on LAST ACTUAL Quarter Completed</t>
  </si>
  <si>
    <t>Please complete entering all information  on tab - "1) Name of School"</t>
  </si>
  <si>
    <t>Please enter school name on tab - "1) Name of School"</t>
  </si>
  <si>
    <t>1- GRAY tab contains the Instructions</t>
  </si>
  <si>
    <t>2- BLUE tabs require input of information</t>
  </si>
  <si>
    <t>TEMPLATE TABS</t>
  </si>
  <si>
    <t>ADDISON CSD</t>
  </si>
  <si>
    <t>ADIRONDACK CSD</t>
  </si>
  <si>
    <t>AFTON CSD</t>
  </si>
  <si>
    <t>AKRON CSD</t>
  </si>
  <si>
    <t>ALBANY CITY SD</t>
  </si>
  <si>
    <t>ALBION CSD</t>
  </si>
  <si>
    <t>ALDEN CSD</t>
  </si>
  <si>
    <t>ALEXANDER CSD</t>
  </si>
  <si>
    <t>ALEXANDRIA CSD</t>
  </si>
  <si>
    <t>ALFRED-ALMOND CSD</t>
  </si>
  <si>
    <t>ALLEGANY-LIMESTONE CSD</t>
  </si>
  <si>
    <t>ALTMAR-PARISH-WILLIAMSTOWN CSD</t>
  </si>
  <si>
    <t>AMAGANSETT UFSD</t>
  </si>
  <si>
    <t>AMHERST CSD</t>
  </si>
  <si>
    <t>AMITYVILLE UFSD</t>
  </si>
  <si>
    <t>AMSTERDAM CITY SD</t>
  </si>
  <si>
    <t>ANDES CSD</t>
  </si>
  <si>
    <t>ANDOVER CSD</t>
  </si>
  <si>
    <t>ARDSLEY UFSD</t>
  </si>
  <si>
    <t>ARGYLE CSD</t>
  </si>
  <si>
    <t>ARKPORT CSD</t>
  </si>
  <si>
    <t>ARLINGTON CSD</t>
  </si>
  <si>
    <t>ATTICA CSD</t>
  </si>
  <si>
    <t>AUBURN CITY SD</t>
  </si>
  <si>
    <t>AUSABLE VALLEY CSD</t>
  </si>
  <si>
    <t>AVERILL PARK CSD</t>
  </si>
  <si>
    <t>AVOCA CSD</t>
  </si>
  <si>
    <t>AVON CSD</t>
  </si>
  <si>
    <t>BABYLON UFSD</t>
  </si>
  <si>
    <t>BAINBRIDGE-GUILFORD CSD</t>
  </si>
  <si>
    <t>BALDWIN UFSD</t>
  </si>
  <si>
    <t>BALDWINSVILLE CSD</t>
  </si>
  <si>
    <t>BALLSTON SPA CSD</t>
  </si>
  <si>
    <t>BARKER CSD</t>
  </si>
  <si>
    <t>BATAVIA CITY SD</t>
  </si>
  <si>
    <t>BATH CSD</t>
  </si>
  <si>
    <t>BAY SHORE UFSD</t>
  </si>
  <si>
    <t>BAYPORT-BLUE POINT UFSD</t>
  </si>
  <si>
    <t>BEACON CITY SD</t>
  </si>
  <si>
    <t>BEAVER RIVER CSD</t>
  </si>
  <si>
    <t>BEDFORD CSD</t>
  </si>
  <si>
    <t>BEEKMANTOWN CSD</t>
  </si>
  <si>
    <t>BELFAST CSD</t>
  </si>
  <si>
    <t>BELLEVILLE HENDERSON CSD</t>
  </si>
  <si>
    <t>BELLMORE UFSD</t>
  </si>
  <si>
    <t>BELLMORE-MERRICK CENTRAL HS DISTRICT</t>
  </si>
  <si>
    <t>BEMUS POINT CSD</t>
  </si>
  <si>
    <t>BERLIN CSD</t>
  </si>
  <si>
    <t>BERNE-KNOX-WESTERLO CSD</t>
  </si>
  <si>
    <t>BETHLEHEM CSD</t>
  </si>
  <si>
    <t>BETHPAGE UFSD</t>
  </si>
  <si>
    <t>BINGHAMTON CITY SD</t>
  </si>
  <si>
    <t>BLIND BROOK-RYE UFSD</t>
  </si>
  <si>
    <t>BOLIVAR-RICHBURG CSD</t>
  </si>
  <si>
    <t>BOLTON CSD</t>
  </si>
  <si>
    <t>BRADFORD CSD</t>
  </si>
  <si>
    <t>BRASHER FALLS CSD</t>
  </si>
  <si>
    <t>BRENTWOOD UFSD</t>
  </si>
  <si>
    <t>BREWSTER CSD</t>
  </si>
  <si>
    <t>BRIARCLIFF MANOR UFSD</t>
  </si>
  <si>
    <t>BRIDGEHAMPTON UFSD</t>
  </si>
  <si>
    <t>BRIGHTON CSD</t>
  </si>
  <si>
    <t>BROADALBIN-PERTH CSD</t>
  </si>
  <si>
    <t>BROCKPORT CSD</t>
  </si>
  <si>
    <t>BROCTON CSD</t>
  </si>
  <si>
    <t>BRONXVILLE UFSD</t>
  </si>
  <si>
    <t>BROOKFIELD CSD</t>
  </si>
  <si>
    <t>BROOKHAVEN-COMSEWOGUE UFSD</t>
  </si>
  <si>
    <t>BRUNSWICK CSD (BRITTONKILL)</t>
  </si>
  <si>
    <t>BRUSHTON-MOIRA CSD</t>
  </si>
  <si>
    <t>BUFFALO CITY SD</t>
  </si>
  <si>
    <t>BURNT HILLS-BALLSTON LAKE CSD</t>
  </si>
  <si>
    <t>BYRAM HILLS CSD</t>
  </si>
  <si>
    <t>BYRON-BERGEN CSD</t>
  </si>
  <si>
    <t>CAIRO-DURHAM CSD</t>
  </si>
  <si>
    <t>CALEDONIA-MUMFORD CSD</t>
  </si>
  <si>
    <t>CAMBRIDGE CSD</t>
  </si>
  <si>
    <t>CAMDEN CSD</t>
  </si>
  <si>
    <t>CAMPBELL-SAVONA CSD</t>
  </si>
  <si>
    <t>CANAJOHARIE CSD</t>
  </si>
  <si>
    <t>CANANDAIGUA CITY SD</t>
  </si>
  <si>
    <t>CANASERAGA CSD</t>
  </si>
  <si>
    <t>CANASTOTA CSD</t>
  </si>
  <si>
    <t>CANDOR CSD</t>
  </si>
  <si>
    <t>CANISTEO-GREENWOOD CSD</t>
  </si>
  <si>
    <t>CANTON CSD</t>
  </si>
  <si>
    <t>CARLE PLACE UFSD</t>
  </si>
  <si>
    <t>CARMEL CSD</t>
  </si>
  <si>
    <t>CARTHAGE CSD</t>
  </si>
  <si>
    <t>CASSADAGA VALLEY CSD</t>
  </si>
  <si>
    <t>CATO-MERIDIAN CSD</t>
  </si>
  <si>
    <t>CATSKILL CSD</t>
  </si>
  <si>
    <t>CATTARAUGUS-LITTLE VALLEY CSD</t>
  </si>
  <si>
    <t>CAZENOVIA CSD</t>
  </si>
  <si>
    <t>CENTER MORICHES UFSD</t>
  </si>
  <si>
    <t>CENTRAL ISLIP UFSD</t>
  </si>
  <si>
    <t>CENTRAL SQUARE CSD</t>
  </si>
  <si>
    <t>CHAPPAQUA CSD</t>
  </si>
  <si>
    <t>CHARLOTTE VALLEY CSD</t>
  </si>
  <si>
    <t>CHATEAUGAY CSD</t>
  </si>
  <si>
    <t>CHATHAM CSD</t>
  </si>
  <si>
    <t>CHAUTAUQUA LAKE CSD</t>
  </si>
  <si>
    <t>CHAZY UFSD</t>
  </si>
  <si>
    <t>CHEEKTOWAGA CSD</t>
  </si>
  <si>
    <t>CHEEKTOWAGA-MARYVALE UFSD</t>
  </si>
  <si>
    <t>CHEEKTOWAGA-SLOAN UFSD</t>
  </si>
  <si>
    <t>CHENANGO FORKS CSD</t>
  </si>
  <si>
    <t>CHENANGO VALLEY CSD</t>
  </si>
  <si>
    <t>CHERRY VALLEY-SPRINGFIELD CSD</t>
  </si>
  <si>
    <t>CHESTER UFSD</t>
  </si>
  <si>
    <t>CHITTENANGO CSD</t>
  </si>
  <si>
    <t>CHURCHVILLE-CHILI CSD</t>
  </si>
  <si>
    <t>CINCINNATUS CSD</t>
  </si>
  <si>
    <t>CLARENCE CSD</t>
  </si>
  <si>
    <t>CLARKSTOWN CSD</t>
  </si>
  <si>
    <t>CLEVELAND HILL UFSD</t>
  </si>
  <si>
    <t>CLIFTON-FINE CSD</t>
  </si>
  <si>
    <t>CLINTON CSD</t>
  </si>
  <si>
    <t>CLYDE-SAVANNAH CSD</t>
  </si>
  <si>
    <t>CLYMER CSD</t>
  </si>
  <si>
    <t>COBLESKILL-RICHMONDVILLE CSD</t>
  </si>
  <si>
    <t>COHOES CITY SD</t>
  </si>
  <si>
    <t>COLD SPRING HARBOR CSD</t>
  </si>
  <si>
    <t>COLTON-PIERREPONT CSD</t>
  </si>
  <si>
    <t>COMMACK UFSD</t>
  </si>
  <si>
    <t>CONNETQUOT CSD</t>
  </si>
  <si>
    <t>COOPERSTOWN CSD</t>
  </si>
  <si>
    <t>COPENHAGEN CSD</t>
  </si>
  <si>
    <t>COPIAGUE UFSD</t>
  </si>
  <si>
    <t>CORINTH CSD</t>
  </si>
  <si>
    <t>CORNING CITY SD</t>
  </si>
  <si>
    <t>CORNWALL CSD</t>
  </si>
  <si>
    <t>CORTLAND CITY SD</t>
  </si>
  <si>
    <t>COXSACKIE-ATHENS CSD</t>
  </si>
  <si>
    <t>CROTON-HARMON UFSD</t>
  </si>
  <si>
    <t>CROWN POINT CSD</t>
  </si>
  <si>
    <t>CUBA-RUSHFORD CSD</t>
  </si>
  <si>
    <t>DALTON-NUNDA CSD (KESHEQUA)</t>
  </si>
  <si>
    <t>DANSVILLE CSD</t>
  </si>
  <si>
    <t>DEER PARK UFSD</t>
  </si>
  <si>
    <t>DELAWARE ACADEMY CSD AT DELHI</t>
  </si>
  <si>
    <t>DEPEW UFSD</t>
  </si>
  <si>
    <t>DEPOSIT CSD</t>
  </si>
  <si>
    <t>DERUYTER CSD</t>
  </si>
  <si>
    <t>DOBBS FERRY UFSD</t>
  </si>
  <si>
    <t>DOLGEVILLE CSD</t>
  </si>
  <si>
    <t>DOVER UFSD</t>
  </si>
  <si>
    <t>DOWNSVILLE CSD</t>
  </si>
  <si>
    <t>DRYDEN CSD</t>
  </si>
  <si>
    <t>DUANESBURG CSD</t>
  </si>
  <si>
    <t>DUNDEE CSD</t>
  </si>
  <si>
    <t>DUNKIRK CITY SD</t>
  </si>
  <si>
    <t>EAST AURORA UFSD</t>
  </si>
  <si>
    <t>EAST BLOOMFIELD CSD</t>
  </si>
  <si>
    <t>EAST GREENBUSH CSD</t>
  </si>
  <si>
    <t>EAST HAMPTON UFSD</t>
  </si>
  <si>
    <t>EAST IRONDEQUOIT CSD</t>
  </si>
  <si>
    <t>EAST ISLIP UFSD</t>
  </si>
  <si>
    <t>EAST MEADOW UFSD</t>
  </si>
  <si>
    <t>EAST MORICHES UFSD</t>
  </si>
  <si>
    <t>EAST QUOGUE UFSD</t>
  </si>
  <si>
    <t>EAST RAMAPO CSD (SPRING VALLEY)</t>
  </si>
  <si>
    <t>EAST ROCHESTER UFSD</t>
  </si>
  <si>
    <t>EAST ROCKAWAY UFSD</t>
  </si>
  <si>
    <t>EAST SYRACUSE-MINOA CSD</t>
  </si>
  <si>
    <t>EAST WILLISTON UFSD</t>
  </si>
  <si>
    <t>EASTCHESTER UFSD</t>
  </si>
  <si>
    <t>EASTPORT-SOUTH MANOR CSD</t>
  </si>
  <si>
    <t>EDEN CSD</t>
  </si>
  <si>
    <t>EDGEMONT UFSD</t>
  </si>
  <si>
    <t>EDINBURG COMMON SD</t>
  </si>
  <si>
    <t>EDMESTON CSD</t>
  </si>
  <si>
    <t>EDWARDS-KNOX CSD</t>
  </si>
  <si>
    <t>ELBA CSD</t>
  </si>
  <si>
    <t>ELDRED CSD</t>
  </si>
  <si>
    <t>ELIZABETHTOWN-LEWIS CSD</t>
  </si>
  <si>
    <t>ELLENVILLE CSD</t>
  </si>
  <si>
    <t>ELLICOTTVILLE CSD</t>
  </si>
  <si>
    <t>ELMIRA CITY SD</t>
  </si>
  <si>
    <t>ELMIRA HEIGHTS CSD</t>
  </si>
  <si>
    <t>ELMONT UFSD</t>
  </si>
  <si>
    <t>ELMSFORD UFSD</t>
  </si>
  <si>
    <t>ELWOOD UFSD</t>
  </si>
  <si>
    <t>EVANS-BRANT CSD (LAKE SHORE)</t>
  </si>
  <si>
    <t>FABIUS-POMPEY CSD</t>
  </si>
  <si>
    <t>FAIRPORT CSD</t>
  </si>
  <si>
    <t>FALCONER CSD</t>
  </si>
  <si>
    <t>FALLSBURG CSD</t>
  </si>
  <si>
    <t>FARMINGDALE UFSD</t>
  </si>
  <si>
    <t>FAYETTEVILLE-MANLIUS CSD</t>
  </si>
  <si>
    <t>FILLMORE CSD</t>
  </si>
  <si>
    <t>FIRE ISLAND UFSD</t>
  </si>
  <si>
    <t>FISHERS ISLAND UFSD</t>
  </si>
  <si>
    <t>FLORAL PARK-BELLEROSE UFSD</t>
  </si>
  <si>
    <t>FLORIDA UFSD</t>
  </si>
  <si>
    <t>FONDA-FULTONVILLE CSD</t>
  </si>
  <si>
    <t>FORESTVILLE CSD</t>
  </si>
  <si>
    <t>FORT ANN CSD</t>
  </si>
  <si>
    <t>FORT EDWARD UFSD</t>
  </si>
  <si>
    <t>FORT PLAIN CSD</t>
  </si>
  <si>
    <t>FRANKFORT-SCHUYLER CSD</t>
  </si>
  <si>
    <t>FRANKLIN CSD</t>
  </si>
  <si>
    <t>FRANKLIN SQUARE UFSD</t>
  </si>
  <si>
    <t>FRANKLINVILLE CSD</t>
  </si>
  <si>
    <t>FREDONIA CSD</t>
  </si>
  <si>
    <t>FREEPORT UFSD</t>
  </si>
  <si>
    <t>FREWSBURG CSD</t>
  </si>
  <si>
    <t>FRIENDSHIP CSD</t>
  </si>
  <si>
    <t>FRONTIER CSD</t>
  </si>
  <si>
    <t>FULTON CITY SD</t>
  </si>
  <si>
    <t>GALWAY CSD</t>
  </si>
  <si>
    <t>GANANDA CSD</t>
  </si>
  <si>
    <t>GARDEN CITY UFSD</t>
  </si>
  <si>
    <t>GARRISON UFSD</t>
  </si>
  <si>
    <t>GATES-CHILI CSD</t>
  </si>
  <si>
    <t>GENERAL BROWN CSD</t>
  </si>
  <si>
    <t>GENESEE VALLEY CSD</t>
  </si>
  <si>
    <t>GENESEO CSD</t>
  </si>
  <si>
    <t>GENEVA CITY SD</t>
  </si>
  <si>
    <t>GEORGETOWN-SOUTH OTSELIC CSD</t>
  </si>
  <si>
    <t>GERMANTOWN CSD</t>
  </si>
  <si>
    <t>GILBERTSVILLE-MOUNT UPTON CSD</t>
  </si>
  <si>
    <t>GILBOA-CONESVILLE CSD</t>
  </si>
  <si>
    <t>GLEN COVE CITY SD</t>
  </si>
  <si>
    <t>GLENS FALLS CITY SD</t>
  </si>
  <si>
    <t>GLENS FALLS COMN SD</t>
  </si>
  <si>
    <t>GLOVERSVILLE CITY SD</t>
  </si>
  <si>
    <t>GORHAM-MIDDLESEX CSD (MARCUS WHITMAN</t>
  </si>
  <si>
    <t>GOSHEN CSD</t>
  </si>
  <si>
    <t>GOUVERNEUR CSD</t>
  </si>
  <si>
    <t>GOWANDA CSD</t>
  </si>
  <si>
    <t>GRAND ISLAND CSD</t>
  </si>
  <si>
    <t>GRANVILLE CSD</t>
  </si>
  <si>
    <t>GREAT NECK UFSD</t>
  </si>
  <si>
    <t>GREECE CSD</t>
  </si>
  <si>
    <t>GREEN ISLAND UFSD</t>
  </si>
  <si>
    <t>GREENBURGH CSD</t>
  </si>
  <si>
    <t>GREENE CSD</t>
  </si>
  <si>
    <t>GREENPORT UFSD</t>
  </si>
  <si>
    <t>GREENVILLE CSD</t>
  </si>
  <si>
    <t>GREENWICH CSD</t>
  </si>
  <si>
    <t>GREENWOOD LAKE UFSD</t>
  </si>
  <si>
    <t>GROTON CSD</t>
  </si>
  <si>
    <t>GUILDERLAND CSD</t>
  </si>
  <si>
    <t>HADLEY-LUZERNE CSD</t>
  </si>
  <si>
    <t>HALDANE CSD</t>
  </si>
  <si>
    <t>HALF HOLLOW HILLS CSD</t>
  </si>
  <si>
    <t>HAMBURG CSD</t>
  </si>
  <si>
    <t>HAMILTON CSD</t>
  </si>
  <si>
    <t>HAMMOND CSD</t>
  </si>
  <si>
    <t>HAMMONDSPORT CSD</t>
  </si>
  <si>
    <t>HAMPTON BAYS UFSD</t>
  </si>
  <si>
    <t>HANCOCK CSD</t>
  </si>
  <si>
    <t>HANNIBAL CSD</t>
  </si>
  <si>
    <t>HARBORFIELDS CSD</t>
  </si>
  <si>
    <t>HARPURSVILLE CSD</t>
  </si>
  <si>
    <t>HARRISON CSD</t>
  </si>
  <si>
    <t>HARRISVILLE CSD</t>
  </si>
  <si>
    <t>HARTFORD CSD</t>
  </si>
  <si>
    <t>HASTINGS-ON-HUDSON UFSD</t>
  </si>
  <si>
    <t>HAUPPAUGE UFSD</t>
  </si>
  <si>
    <t>HAVERSTRAW-STONY POINT CSD (NORTH RO</t>
  </si>
  <si>
    <t>HEMPSTEAD UFSD</t>
  </si>
  <si>
    <t>HENDRICK HUDSON CSD</t>
  </si>
  <si>
    <t>HERKIMER CSD</t>
  </si>
  <si>
    <t>HERMON-DEKALB CSD</t>
  </si>
  <si>
    <t>HERRICKS UFSD</t>
  </si>
  <si>
    <t>HEUVELTON CSD</t>
  </si>
  <si>
    <t>HEWLETT-WOODMERE UFSD</t>
  </si>
  <si>
    <t>HICKSVILLE UFSD</t>
  </si>
  <si>
    <t>HIGHLAND CSD</t>
  </si>
  <si>
    <t>HIGHLAND FALLS CSD</t>
  </si>
  <si>
    <t>HILTON CSD</t>
  </si>
  <si>
    <t>HINSDALE CSD</t>
  </si>
  <si>
    <t>HOLLAND CSD</t>
  </si>
  <si>
    <t>HOLLAND PATENT CSD</t>
  </si>
  <si>
    <t>HOLLEY CSD</t>
  </si>
  <si>
    <t>HOMER CSD</t>
  </si>
  <si>
    <t>HONEOYE CSD</t>
  </si>
  <si>
    <t>HONEOYE FALLS-LIMA CSD</t>
  </si>
  <si>
    <t>HOOSIC VALLEY CSD</t>
  </si>
  <si>
    <t>HOOSICK FALLS CSD</t>
  </si>
  <si>
    <t>HORNELL CITY SD</t>
  </si>
  <si>
    <t>HORSEHEADS CSD</t>
  </si>
  <si>
    <t>HUDSON CITY SD</t>
  </si>
  <si>
    <t>HUDSON FALLS CSD</t>
  </si>
  <si>
    <t>HUNTER-TANNERSVILLE CSD</t>
  </si>
  <si>
    <t>HUNTINGTON UFSD</t>
  </si>
  <si>
    <t>HYDE PARK CSD</t>
  </si>
  <si>
    <t>INDIAN LAKE CSD</t>
  </si>
  <si>
    <t>INDIAN RIVER CSD</t>
  </si>
  <si>
    <t>INLET COMN SD</t>
  </si>
  <si>
    <t>IROQUOIS CSD</t>
  </si>
  <si>
    <t>IRVINGTON UFSD</t>
  </si>
  <si>
    <t>ISLAND PARK UFSD</t>
  </si>
  <si>
    <t>ISLAND TREES UFSD</t>
  </si>
  <si>
    <t>ISLIP UFSD</t>
  </si>
  <si>
    <t>ITHACA CITY SD</t>
  </si>
  <si>
    <t>JAMESTOWN CITY SD</t>
  </si>
  <si>
    <t>JAMESVILLE-DEWITT CSD</t>
  </si>
  <si>
    <t>JASPER-TROUPSBURG CSD</t>
  </si>
  <si>
    <t>JEFFERSON CSD</t>
  </si>
  <si>
    <t>JERICHO UFSD</t>
  </si>
  <si>
    <t>JOHNSBURG CSD</t>
  </si>
  <si>
    <t>JOHNSON CITY CSD</t>
  </si>
  <si>
    <t>JOHNSTOWN CITY SD</t>
  </si>
  <si>
    <t>JORDAN-ELBRIDGE CSD</t>
  </si>
  <si>
    <t>KATONAH-LEWISBORO UFSD</t>
  </si>
  <si>
    <t>KEENE CSD</t>
  </si>
  <si>
    <t>KENDALL CSD</t>
  </si>
  <si>
    <t>KENMORE-TONAWANDA UFSD</t>
  </si>
  <si>
    <t>KINDERHOOK CSD</t>
  </si>
  <si>
    <t>KINGS PARK CSD</t>
  </si>
  <si>
    <t>KINGSTON CITY SD</t>
  </si>
  <si>
    <t>KIRYAS JOEL VILLAGE UFSD</t>
  </si>
  <si>
    <t>LA FARGEVILLE CSD</t>
  </si>
  <si>
    <t>LACKAWANNA CITY SD</t>
  </si>
  <si>
    <t>LAFAYETTE CSD</t>
  </si>
  <si>
    <t>LAKE GEORGE CSD</t>
  </si>
  <si>
    <t>LAKE PLACID CSD</t>
  </si>
  <si>
    <t>LAKE PLEASANT CSD</t>
  </si>
  <si>
    <t>LAKELAND CSD</t>
  </si>
  <si>
    <t>LANCASTER CSD</t>
  </si>
  <si>
    <t>LANSING CSD</t>
  </si>
  <si>
    <t>LANSINGBURGH CSD</t>
  </si>
  <si>
    <t>LAURENS CSD</t>
  </si>
  <si>
    <t>LAWRENCE UFSD</t>
  </si>
  <si>
    <t>LE ROY CSD</t>
  </si>
  <si>
    <t>LETCHWORTH CSD</t>
  </si>
  <si>
    <t>LEVITTOWN UFSD</t>
  </si>
  <si>
    <t>LEWISTON-PORTER CSD</t>
  </si>
  <si>
    <t>LIBERTY CSD</t>
  </si>
  <si>
    <t>LINDENHURST UFSD</t>
  </si>
  <si>
    <t>LISBON CSD</t>
  </si>
  <si>
    <t>LITTLE FALLS CITY SD</t>
  </si>
  <si>
    <t>LIVERPOOL CSD</t>
  </si>
  <si>
    <t>LIVINGSTON MANOR CSD</t>
  </si>
  <si>
    <t>LIVONIA CSD</t>
  </si>
  <si>
    <t>LOCKPORT CITY SD</t>
  </si>
  <si>
    <t>LOCUST VALLEY CSD</t>
  </si>
  <si>
    <t>LONG BEACH CITY SD</t>
  </si>
  <si>
    <t>LONG LAKE CSD</t>
  </si>
  <si>
    <t>LONGWOOD CSD</t>
  </si>
  <si>
    <t>LOWVILLE ACADEMY &amp; CSD</t>
  </si>
  <si>
    <t>LYME CSD</t>
  </si>
  <si>
    <t>LYNBROOK UFSD</t>
  </si>
  <si>
    <t>LYNCOURT UFSD</t>
  </si>
  <si>
    <t>LYNDONVILLE CSD</t>
  </si>
  <si>
    <t>LYONS CSD</t>
  </si>
  <si>
    <t>MADISON CSD</t>
  </si>
  <si>
    <t>MADRID-WADDINGTON CSD</t>
  </si>
  <si>
    <t>MAHOPAC CSD</t>
  </si>
  <si>
    <t>MAINE-ENDWELL CSD</t>
  </si>
  <si>
    <t>MALONE CSD</t>
  </si>
  <si>
    <t>MALVERNE UFSD</t>
  </si>
  <si>
    <t>MAMARONECK UFSD</t>
  </si>
  <si>
    <t>MANCHESTER-SHORTSVILLE CSD (RED JACK</t>
  </si>
  <si>
    <t>MANHASSET UFSD</t>
  </si>
  <si>
    <t>MARATHON CSD</t>
  </si>
  <si>
    <t>MARCELLUS CSD</t>
  </si>
  <si>
    <t>MARGARETVILLE CSD</t>
  </si>
  <si>
    <t>MARION CSD</t>
  </si>
  <si>
    <t>MARLBORO CSD</t>
  </si>
  <si>
    <t>MASSAPEQUA UFSD</t>
  </si>
  <si>
    <t>MASSENA CSD</t>
  </si>
  <si>
    <t>MATTITUCK-CUTCHOGUE UFSD</t>
  </si>
  <si>
    <t>MAYFIELD CSD</t>
  </si>
  <si>
    <t>MCGRAW CSD</t>
  </si>
  <si>
    <t>MECHANICVILLE CITY SD</t>
  </si>
  <si>
    <t>MEDINA CSD</t>
  </si>
  <si>
    <t>MENANDS UFSD</t>
  </si>
  <si>
    <t>MERRICK UFSD</t>
  </si>
  <si>
    <t>MEXICO CSD</t>
  </si>
  <si>
    <t>MIDDLE COUNTRY CSD</t>
  </si>
  <si>
    <t>MIDDLEBURGH CSD</t>
  </si>
  <si>
    <t>MIDDLETOWN CITY SD</t>
  </si>
  <si>
    <t>MILFORD CSD</t>
  </si>
  <si>
    <t>MILLBROOK CSD</t>
  </si>
  <si>
    <t>MILLER PLACE UFSD</t>
  </si>
  <si>
    <t>MINEOLA UFSD</t>
  </si>
  <si>
    <t>MINERVA CSD</t>
  </si>
  <si>
    <t>MINISINK VALLEY CSD</t>
  </si>
  <si>
    <t>MONROE-WOODBURY CSD</t>
  </si>
  <si>
    <t>MONTAUK UFSD</t>
  </si>
  <si>
    <t>MONTICELLO CSD</t>
  </si>
  <si>
    <t>MORAVIA CSD</t>
  </si>
  <si>
    <t>MORIAH CSD</t>
  </si>
  <si>
    <t>MORRIS CSD</t>
  </si>
  <si>
    <t>MORRISTOWN CSD</t>
  </si>
  <si>
    <t>MORRISVILLE-EATON CSD</t>
  </si>
  <si>
    <t>MOUNT MARKHAM CSD</t>
  </si>
  <si>
    <t>MT MORRIS CSD</t>
  </si>
  <si>
    <t>MT PLEASANT CSD</t>
  </si>
  <si>
    <t>MT SINAI UFSD</t>
  </si>
  <si>
    <t>MT VERNON SCHOOL DISTRICT</t>
  </si>
  <si>
    <t>NANUET UFSD</t>
  </si>
  <si>
    <t>NAPLES CSD</t>
  </si>
  <si>
    <t>NEW HARTFORD CSD</t>
  </si>
  <si>
    <t>NEW HYDE PARK-GARDEN CITY PARK UFSD</t>
  </si>
  <si>
    <t>NEW LEBANON CSD</t>
  </si>
  <si>
    <t>NEW PALTZ CSD</t>
  </si>
  <si>
    <t>NEW ROCHELLE CITY SD</t>
  </si>
  <si>
    <t>NEW SUFFOLK COMN SD</t>
  </si>
  <si>
    <t>NEWARK CSD</t>
  </si>
  <si>
    <t>NEWARK VALLEY CSD</t>
  </si>
  <si>
    <t>NEWBURGH CITY SD</t>
  </si>
  <si>
    <t>NEWCOMB CSD</t>
  </si>
  <si>
    <t>NEWFANE CSD</t>
  </si>
  <si>
    <t>NEWFIELD CSD</t>
  </si>
  <si>
    <t>NIAGARA FALLS CITY SD</t>
  </si>
  <si>
    <t>NIAGARA-WHEATFIELD CSD</t>
  </si>
  <si>
    <t>NISKAYUNA CSD</t>
  </si>
  <si>
    <t>NORTH BABYLON UFSD</t>
  </si>
  <si>
    <t>NORTH BELLMORE UFSD</t>
  </si>
  <si>
    <t>NORTH COLLINS CSD</t>
  </si>
  <si>
    <t>NORTH COLONIE CSD</t>
  </si>
  <si>
    <t>NORTH GREENBUSH COMN SD (WILLIAMS)</t>
  </si>
  <si>
    <t>NORTH MERRICK UFSD</t>
  </si>
  <si>
    <t>NORTH ROSE-WOLCOTT CSD</t>
  </si>
  <si>
    <t>NORTH SALEM CSD</t>
  </si>
  <si>
    <t>NORTH SHORE CSD</t>
  </si>
  <si>
    <t>NORTH SYRACUSE CSD</t>
  </si>
  <si>
    <t>NORTH TONAWANDA CITY SD</t>
  </si>
  <si>
    <t>NORTH WARREN CSD</t>
  </si>
  <si>
    <t>NORTHEAST CSD</t>
  </si>
  <si>
    <t>NORTHEASTERN CLINTON CSD</t>
  </si>
  <si>
    <t>NORTHERN ADIRONDACK CSD</t>
  </si>
  <si>
    <t>NORTHPORT-EAST NORTHPORT UFSD</t>
  </si>
  <si>
    <t>NORTHVILLE CSD</t>
  </si>
  <si>
    <t>NORWICH CITY SD</t>
  </si>
  <si>
    <t>NORWOOD-NORFOLK CSD</t>
  </si>
  <si>
    <t>NY MILLS UFSD</t>
  </si>
  <si>
    <t>NYACK UFSD</t>
  </si>
  <si>
    <t>NYC CHANCELLOR'S OFFICE</t>
  </si>
  <si>
    <t>OAKFIELD-ALABAMA CSD</t>
  </si>
  <si>
    <t>OCEANSIDE UFSD</t>
  </si>
  <si>
    <t>ODESSA-MONTOUR CSD</t>
  </si>
  <si>
    <t>OGDENSBURG CITY SD</t>
  </si>
  <si>
    <t>OLEAN CITY SD</t>
  </si>
  <si>
    <t>ONEIDA CITY SD</t>
  </si>
  <si>
    <t>ONEONTA CITY SD</t>
  </si>
  <si>
    <t>ONONDAGA CSD</t>
  </si>
  <si>
    <t>ONTEORA CSD</t>
  </si>
  <si>
    <t>OPPENHEIM-EPHRATAH-ST. JOHNSVILLE CSD</t>
  </si>
  <si>
    <t>ORCHARD PARK CSD</t>
  </si>
  <si>
    <t>ORISKANY CSD</t>
  </si>
  <si>
    <t>OSSINING UFSD</t>
  </si>
  <si>
    <t>OSWEGO CITY SD</t>
  </si>
  <si>
    <t>OTEGO-UNADILLA CSD</t>
  </si>
  <si>
    <t>OWEGO-APALACHIN CSD</t>
  </si>
  <si>
    <t>OXFORD ACADEMY &amp; CSD</t>
  </si>
  <si>
    <t>OYSTER BAY-EAST NORWICH CSD</t>
  </si>
  <si>
    <t>OYSTERPONDS UFSD</t>
  </si>
  <si>
    <t>PALMYRA-MACEDON CSD</t>
  </si>
  <si>
    <t>PANAMA CSD</t>
  </si>
  <si>
    <t>PARISHVILLE-HOPKINTON CSD</t>
  </si>
  <si>
    <t>PATCHOGUE-MEDFORD UFSD</t>
  </si>
  <si>
    <t>PAVILION CSD</t>
  </si>
  <si>
    <t>PAWLING CSD</t>
  </si>
  <si>
    <t>PEARL RIVER UFSD</t>
  </si>
  <si>
    <t>PEEKSKILL CITY SD</t>
  </si>
  <si>
    <t>PELHAM UFSD</t>
  </si>
  <si>
    <t>PEMBROKE CSD</t>
  </si>
  <si>
    <t>PENFIELD CSD</t>
  </si>
  <si>
    <t>PENN YAN CSD</t>
  </si>
  <si>
    <t>PERRY CSD</t>
  </si>
  <si>
    <t>PERU CSD</t>
  </si>
  <si>
    <t>PHELPS-CLIFTON SPRINGS CSD</t>
  </si>
  <si>
    <t>PHOENIX CSD</t>
  </si>
  <si>
    <t>PINE BUSH CSD</t>
  </si>
  <si>
    <t>PINE PLAINS CSD</t>
  </si>
  <si>
    <t>PINE VALLEY CSD (SOUTH DAYTON)</t>
  </si>
  <si>
    <t>PITTSFORD CSD</t>
  </si>
  <si>
    <t>PLAINEDGE UFSD</t>
  </si>
  <si>
    <t>PLAINVIEW-OLD BETHPAGE CSD</t>
  </si>
  <si>
    <t>PLATTSBURGH CITY SD</t>
  </si>
  <si>
    <t>PLEASANTVILLE UFSD</t>
  </si>
  <si>
    <t>POCANTICO HILLS CSD</t>
  </si>
  <si>
    <t>POLAND CSD</t>
  </si>
  <si>
    <t>PORT BYRON CSD</t>
  </si>
  <si>
    <t>PORT CHESTER-RYE UFSD</t>
  </si>
  <si>
    <t>PORT JEFFERSON UFSD</t>
  </si>
  <si>
    <t>PORT JERVIS CITY SD</t>
  </si>
  <si>
    <t>PORT WASHINGTON UFSD</t>
  </si>
  <si>
    <t>PORTVILLE CSD</t>
  </si>
  <si>
    <t>POTSDAM CSD</t>
  </si>
  <si>
    <t>POUGHKEEPSIE CITY SD</t>
  </si>
  <si>
    <t>PRATTSBURGH CSD</t>
  </si>
  <si>
    <t>PULASKI CSD</t>
  </si>
  <si>
    <t>PUTNAM CSD</t>
  </si>
  <si>
    <t>PUTNAM VALLEY CSD</t>
  </si>
  <si>
    <t>QUEENSBURY UFSD</t>
  </si>
  <si>
    <t>QUOGUE UFSD</t>
  </si>
  <si>
    <t>RAMAPO CSD (SUFFERN)</t>
  </si>
  <si>
    <t>RANDOLPH CSD</t>
  </si>
  <si>
    <t>RAVENA-COEYMANS-SELKIRK CSD</t>
  </si>
  <si>
    <t>RED CREEK CSD</t>
  </si>
  <si>
    <t>RED HOOK CSD</t>
  </si>
  <si>
    <t>REMSEN CSD</t>
  </si>
  <si>
    <t>REMSENBURG-SPEONK UFSD</t>
  </si>
  <si>
    <t>RENSSELAER CITY SD</t>
  </si>
  <si>
    <t>RHINEBECK CSD</t>
  </si>
  <si>
    <t>RICHFIELD SPRINGS CSD</t>
  </si>
  <si>
    <t>RIPLEY CSD</t>
  </si>
  <si>
    <t>RIVERHEAD CSD</t>
  </si>
  <si>
    <t>ROCHESTER CITY SD</t>
  </si>
  <si>
    <t>ROCKVILLE CENTRE UFSD</t>
  </si>
  <si>
    <t>ROCKY POINT UFSD</t>
  </si>
  <si>
    <t>ROME CITY SD</t>
  </si>
  <si>
    <t>ROMULUS CSD</t>
  </si>
  <si>
    <t>RONDOUT VALLEY CSD</t>
  </si>
  <si>
    <t>ROOSEVELT UFSD</t>
  </si>
  <si>
    <t>ROSCOE CSD</t>
  </si>
  <si>
    <t>ROSLYN UFSD</t>
  </si>
  <si>
    <t>ROTTERDAM-MOHONASEN CSD</t>
  </si>
  <si>
    <t>ROXBURY CSD</t>
  </si>
  <si>
    <t>ROYALTON-HARTLAND CSD</t>
  </si>
  <si>
    <t>RUSH-HENRIETTA CSD</t>
  </si>
  <si>
    <t>RYE CITY SD</t>
  </si>
  <si>
    <t>RYE NECK UFSD</t>
  </si>
  <si>
    <t>SACHEM CSD</t>
  </si>
  <si>
    <t>SACKETS HARBOR CSD</t>
  </si>
  <si>
    <t>SAG HARBOR UFSD</t>
  </si>
  <si>
    <t>SAGAPONACK COMN SD</t>
  </si>
  <si>
    <t>SALAMANCA CITY SD</t>
  </si>
  <si>
    <t>SALEM CSD</t>
  </si>
  <si>
    <t>SALMON RIVER CSD</t>
  </si>
  <si>
    <t>SANDY CREEK CSD</t>
  </si>
  <si>
    <t>SARANAC CSD</t>
  </si>
  <si>
    <t>SARANAC LAKE CSD</t>
  </si>
  <si>
    <t>SARATOGA SPRINGS CITY SD</t>
  </si>
  <si>
    <t>SAUGERTIES CSD</t>
  </si>
  <si>
    <t>SAUQUOIT VALLEY CSD</t>
  </si>
  <si>
    <t>SAYVILLE UFSD</t>
  </si>
  <si>
    <t>SCARSDALE UFSD</t>
  </si>
  <si>
    <t>SCHALMONT CSD</t>
  </si>
  <si>
    <t>SCHENECTADY CITY SD</t>
  </si>
  <si>
    <t>SCHENEVUS CSD</t>
  </si>
  <si>
    <t>SCHODACK CSD</t>
  </si>
  <si>
    <t>SCHOHARIE CSD</t>
  </si>
  <si>
    <t>SCHROON LAKE CSD</t>
  </si>
  <si>
    <t>SCHUYLERVILLE CSD</t>
  </si>
  <si>
    <t>SCIO CSD</t>
  </si>
  <si>
    <t>SCOTIA-GLENVILLE CSD</t>
  </si>
  <si>
    <t>SEAFORD UFSD</t>
  </si>
  <si>
    <t>SENECA FALLS CSD</t>
  </si>
  <si>
    <t>SEWANHAKA CENTRAL HS DISTRICT</t>
  </si>
  <si>
    <t>SHARON SPRINGS CSD</t>
  </si>
  <si>
    <t>SHELTER ISLAND UFSD</t>
  </si>
  <si>
    <t>SHENENDEHOWA CSD</t>
  </si>
  <si>
    <t>SHERBURNE-EARLVILLE CSD</t>
  </si>
  <si>
    <t>SHERMAN CSD</t>
  </si>
  <si>
    <t>SHERRILL CITY SD</t>
  </si>
  <si>
    <t>SHOREHAM-WADING RIVER CSD</t>
  </si>
  <si>
    <t>SIDNEY CSD</t>
  </si>
  <si>
    <t>SILVER CREEK CSD</t>
  </si>
  <si>
    <t>SKANEATELES CSD</t>
  </si>
  <si>
    <t>SMITHTOWN CSD</t>
  </si>
  <si>
    <t>SODUS CSD</t>
  </si>
  <si>
    <t>SOLVAY UFSD</t>
  </si>
  <si>
    <t>SOMERS CSD</t>
  </si>
  <si>
    <t>SOUTH COLONIE CSD</t>
  </si>
  <si>
    <t>SOUTH COUNTRY CSD</t>
  </si>
  <si>
    <t>SOUTH GLENS FALLS CSD</t>
  </si>
  <si>
    <t>SOUTH HUNTINGTON UFSD</t>
  </si>
  <si>
    <t>SOUTH JEFFERSON CSD</t>
  </si>
  <si>
    <t>SOUTH KORTRIGHT CSD</t>
  </si>
  <si>
    <t>SOUTH LEWIS CSD</t>
  </si>
  <si>
    <t>SOUTH ORANGETOWN CSD</t>
  </si>
  <si>
    <t>SOUTH SENECA CSD</t>
  </si>
  <si>
    <t>SOUTHAMPTON UFSD</t>
  </si>
  <si>
    <t>SOUTHERN CAYUGA CSD</t>
  </si>
  <si>
    <t>SOUTHOLD UFSD</t>
  </si>
  <si>
    <t>SOUTHWESTERN CSD AT JAMESTOWN</t>
  </si>
  <si>
    <t>SPACKENKILL UFSD</t>
  </si>
  <si>
    <t>SPENCERPORT CSD</t>
  </si>
  <si>
    <t>SPENCER-VAN ETTEN CSD</t>
  </si>
  <si>
    <t>SPRINGS UFSD</t>
  </si>
  <si>
    <t>SPRINGVILLE-GRIFFITH INST CSD</t>
  </si>
  <si>
    <t>ST REGIS FALLS CSD</t>
  </si>
  <si>
    <t>STAMFORD CSD</t>
  </si>
  <si>
    <t>STARPOINT CSD</t>
  </si>
  <si>
    <t>STILLWATER CSD</t>
  </si>
  <si>
    <t>STOCKBRIDGE VALLEY CSD</t>
  </si>
  <si>
    <t>SULLIVAN WEST CSD</t>
  </si>
  <si>
    <t>SUSQUEHANNA VALLEY CSD</t>
  </si>
  <si>
    <t>SWEET HOME CSD</t>
  </si>
  <si>
    <t>SYOSSET CSD</t>
  </si>
  <si>
    <t>SYRACUSE CITY SD</t>
  </si>
  <si>
    <t>TACONIC HILLS CSD</t>
  </si>
  <si>
    <t>THOUSAND ISLANDS CSD</t>
  </si>
  <si>
    <t>THREE VILLAGE CSD</t>
  </si>
  <si>
    <t>TICONDEROGA CSD</t>
  </si>
  <si>
    <t>TIOGA CSD</t>
  </si>
  <si>
    <t>TONAWANDA CITY SD</t>
  </si>
  <si>
    <t>TOWN OF WEBB UFSD</t>
  </si>
  <si>
    <t>TRI-VALLEY CSD</t>
  </si>
  <si>
    <t>TROY CITY SD</t>
  </si>
  <si>
    <t>TRUMANSBURG CSD</t>
  </si>
  <si>
    <t>TUCKAHOE COMN SD</t>
  </si>
  <si>
    <t>TUCKAHOE UFSD</t>
  </si>
  <si>
    <t>TULLY CSD</t>
  </si>
  <si>
    <t>TUPPER LAKE CSD</t>
  </si>
  <si>
    <t>TUXEDO UFSD</t>
  </si>
  <si>
    <t>UFSD-TARRYTOWNS</t>
  </si>
  <si>
    <t>UNADILLA VALLEY CSD</t>
  </si>
  <si>
    <t>UNION SPRINGS CSD</t>
  </si>
  <si>
    <t>UNIONDALE UFSD</t>
  </si>
  <si>
    <t>UNION-ENDICOTT CSD</t>
  </si>
  <si>
    <t>UTICA CITY SD</t>
  </si>
  <si>
    <t>VALHALLA UFSD</t>
  </si>
  <si>
    <t>VALLEY CSD (MONTGOMERY)</t>
  </si>
  <si>
    <t>VALLEY STREAM 13 UFSD</t>
  </si>
  <si>
    <t>VALLEY STREAM 24 UFSD</t>
  </si>
  <si>
    <t>VALLEY STREAM 30 UFSD</t>
  </si>
  <si>
    <t>VALLEY STREAM CENTRAL HS DISTRICT</t>
  </si>
  <si>
    <t>VAN HORNESVILLE-OWEN D YOUNG CSD</t>
  </si>
  <si>
    <t>VESTAL CSD</t>
  </si>
  <si>
    <t>VICTOR CSD</t>
  </si>
  <si>
    <t>VOORHEESVILLE CSD</t>
  </si>
  <si>
    <t>WAINSCOTT COMN SD</t>
  </si>
  <si>
    <t>WALLKILL CSD</t>
  </si>
  <si>
    <t>WALTON CSD</t>
  </si>
  <si>
    <t>WANTAGH UFSD</t>
  </si>
  <si>
    <t>WAPPINGERS CSD</t>
  </si>
  <si>
    <t>WARRENSBURG CSD</t>
  </si>
  <si>
    <t>WARSAW CSD</t>
  </si>
  <si>
    <t>WARWICK VALLEY CSD</t>
  </si>
  <si>
    <t>WASHINGTONVILLE CSD</t>
  </si>
  <si>
    <t>WATERFORD-HALFMOON UFSD</t>
  </si>
  <si>
    <t>WATERLOO CSD</t>
  </si>
  <si>
    <t>WATERTOWN CITY SD</t>
  </si>
  <si>
    <t>WATERVILLE CSD</t>
  </si>
  <si>
    <t>WATERVLIET CITY SD</t>
  </si>
  <si>
    <t>WATKINS GLEN CSD</t>
  </si>
  <si>
    <t>WAVERLY CSD</t>
  </si>
  <si>
    <t>WAYLAND-COHOCTON CSD</t>
  </si>
  <si>
    <t>WAYNE CSD</t>
  </si>
  <si>
    <t>WEBSTER CSD</t>
  </si>
  <si>
    <t>WEEDSPORT CSD</t>
  </si>
  <si>
    <t>WELLS CSD</t>
  </si>
  <si>
    <t>WELLSVILLE CSD</t>
  </si>
  <si>
    <t>WEST BABYLON UFSD</t>
  </si>
  <si>
    <t>WEST CANADA VALLEY CSD</t>
  </si>
  <si>
    <t>WEST GENESEE CSD</t>
  </si>
  <si>
    <t>WEST HEMPSTEAD UFSD</t>
  </si>
  <si>
    <t>WEST IRONDEQUOIT CSD</t>
  </si>
  <si>
    <t>WEST ISLIP UFSD</t>
  </si>
  <si>
    <t>WEST SENECA CSD</t>
  </si>
  <si>
    <t>WEST VALLEY CSD</t>
  </si>
  <si>
    <t>WESTBURY UFSD</t>
  </si>
  <si>
    <t>WESTFIELD CSD</t>
  </si>
  <si>
    <t>WESTHAMPTON BEACH UFSD</t>
  </si>
  <si>
    <t>WESTHILL CSD</t>
  </si>
  <si>
    <t>WESTMORELAND CSD</t>
  </si>
  <si>
    <t>WESTPORT CSD</t>
  </si>
  <si>
    <t>WHEATLAND-CHILI CSD</t>
  </si>
  <si>
    <t>WHEELERVILLE UFSD</t>
  </si>
  <si>
    <t>WHITE PLAINS CITY SD</t>
  </si>
  <si>
    <t>WHITEHALL CSD</t>
  </si>
  <si>
    <t>WHITESBORO CSD</t>
  </si>
  <si>
    <t>WHITESVILLE CSD</t>
  </si>
  <si>
    <t>WHITNEY POINT CSD</t>
  </si>
  <si>
    <t>WILLIAM FLOYD UFSD</t>
  </si>
  <si>
    <t>WILLIAMSON CSD</t>
  </si>
  <si>
    <t>WILLIAMSVILLE CSD</t>
  </si>
  <si>
    <t>WILLSBORO CSD</t>
  </si>
  <si>
    <t>WILSON CSD</t>
  </si>
  <si>
    <t>WINDHAM-ASHLAND-JEWETT CSD</t>
  </si>
  <si>
    <t>WINDSOR CSD</t>
  </si>
  <si>
    <t>WORCESTER CSD</t>
  </si>
  <si>
    <t>WYANDANCH UFSD</t>
  </si>
  <si>
    <t>WYNANTSKILL UFSD</t>
  </si>
  <si>
    <t>WYOMING CSD</t>
  </si>
  <si>
    <t>YONKERS CITY SD</t>
  </si>
  <si>
    <t>YORK CSD</t>
  </si>
  <si>
    <t>YORKSHIRE-PIONEER CSD</t>
  </si>
  <si>
    <t>YORKTOWN CSD</t>
  </si>
  <si>
    <t>* (Sum of Charter School Basic Tuition and Supplemental Basic Tuition)</t>
  </si>
  <si>
    <t>enter name</t>
  </si>
  <si>
    <t>enter title</t>
  </si>
  <si>
    <t>enter email address</t>
  </si>
  <si>
    <t>enter phone number</t>
  </si>
  <si>
    <t>SCHOOLS</t>
  </si>
  <si>
    <t>Academy Charter School, The</t>
  </si>
  <si>
    <t>Achievement First Brownsville Charter School</t>
  </si>
  <si>
    <t>Achievement First Bushwick Charter School</t>
  </si>
  <si>
    <t>Achievement First Apollo Charter School</t>
  </si>
  <si>
    <t>Albany Community Charter School</t>
  </si>
  <si>
    <t>Albany Leadership Charter High School for Girls</t>
  </si>
  <si>
    <t>Bedford Stuyvesant Collegiate Charter School</t>
  </si>
  <si>
    <t>Bronx Charter School for Better Learning</t>
  </si>
  <si>
    <t>Bronx Charter School for Excellence</t>
  </si>
  <si>
    <t>Bronx Preparatory Charter School</t>
  </si>
  <si>
    <t>Brooklyn Dreams Charter School</t>
  </si>
  <si>
    <t>Brooklyn Excelsior Charter School</t>
  </si>
  <si>
    <t>Brownsville Collegiate Charter School</t>
  </si>
  <si>
    <t>Buffalo United Charter School</t>
  </si>
  <si>
    <t>Community Partnership Charter School</t>
  </si>
  <si>
    <t>Ocean Hill Collegiate Charter School</t>
  </si>
  <si>
    <t>Brooklyn East Collegiate Charter School</t>
  </si>
  <si>
    <t>Eugenio Maria de Hostos Charter School</t>
  </si>
  <si>
    <t>Excellence Boys Charter School of Bedford Stuyvesant</t>
  </si>
  <si>
    <t>Excellence Girls Charter School</t>
  </si>
  <si>
    <t>Family Life Academy Charter School</t>
  </si>
  <si>
    <t>Girls Preparatory Charter School of New York</t>
  </si>
  <si>
    <t>Girls Preparatory Charter School of the Bronx</t>
  </si>
  <si>
    <t>Grand Concourse Academy Charter School</t>
  </si>
  <si>
    <t>University Prep Charter High School</t>
  </si>
  <si>
    <t>Harbor Science and Arts Charter School</t>
  </si>
  <si>
    <t>Harlem Prep Charter School</t>
  </si>
  <si>
    <t>Harlem Link Charter School</t>
  </si>
  <si>
    <t>Success Academy Charter School - Harlem 2</t>
  </si>
  <si>
    <t>Success Academy Charter School - Harlem 3</t>
  </si>
  <si>
    <t>Success Academy Charter School - Harlem 4</t>
  </si>
  <si>
    <t>Success Academy Charter School - Harlem 5</t>
  </si>
  <si>
    <t>Success Academy Charter School - Bronx 2</t>
  </si>
  <si>
    <t>Success Academy Charter School - Bronx 1</t>
  </si>
  <si>
    <t>Henry Johnson Charter School</t>
  </si>
  <si>
    <t>Icahn Charter School 1</t>
  </si>
  <si>
    <t>Icahn Charter School 2</t>
  </si>
  <si>
    <t>Icahn Charter School 3</t>
  </si>
  <si>
    <t>Icahn Charter School 4</t>
  </si>
  <si>
    <t>Icahn Charter School 5</t>
  </si>
  <si>
    <t>King Center Charter School</t>
  </si>
  <si>
    <t>Kings Collegiate Charter School</t>
  </si>
  <si>
    <t>KIPP Tech Valley Charter School</t>
  </si>
  <si>
    <t>Leadership Preparatory Bedford Stuyvesant Charter School</t>
  </si>
  <si>
    <t>Leadership Preparatory Brownsville Charter School</t>
  </si>
  <si>
    <t>Leadership Preparatory Ocean Hill Charter School</t>
  </si>
  <si>
    <t>Leadership Preparatory Canarsie Charter School</t>
  </si>
  <si>
    <t>Merrick Academy - Queens Public Charter School</t>
  </si>
  <si>
    <t>New Roots Charter School</t>
  </si>
  <si>
    <t>New World Preparatory Charter School</t>
  </si>
  <si>
    <t>Our World Neighborhood Charter School</t>
  </si>
  <si>
    <t>Roosevelt Children's Academy Charter School</t>
  </si>
  <si>
    <t>South Buffalo Charter School</t>
  </si>
  <si>
    <t>Tapestry Charter School</t>
  </si>
  <si>
    <t>True North Rochester Preparatory Charter School</t>
  </si>
  <si>
    <t>True North Troy Preparatory Charter School</t>
  </si>
  <si>
    <t>University Preparatory Charter School for Young Men</t>
  </si>
  <si>
    <t>UFT Charter School</t>
  </si>
  <si>
    <t>Academy of the City Charter School</t>
  </si>
  <si>
    <t>Success Academy Charter School - Bed Stuy 1</t>
  </si>
  <si>
    <t>Broome Street Academy Charter High School</t>
  </si>
  <si>
    <t>East Harlem Scholars Academy Charter School</t>
  </si>
  <si>
    <t>Explore Excel Charter School</t>
  </si>
  <si>
    <t>New Visions Charter High School for Advanced Math and Science</t>
  </si>
  <si>
    <t>New Visions Charter High School for the Humanities</t>
  </si>
  <si>
    <t>True North Rochester Preparatory Charter School - West Campus</t>
  </si>
  <si>
    <t>Success Academy Charter School - Upper West</t>
  </si>
  <si>
    <t>Achievement First Aspire Charter School</t>
  </si>
  <si>
    <t>Beginning with Children Charter School II</t>
  </si>
  <si>
    <t>Success Academy Charter School - Bed Stuy 2</t>
  </si>
  <si>
    <t>Success Academy Charter School - Cobble Hill</t>
  </si>
  <si>
    <t>Success Academy Charter School - Williamsburg</t>
  </si>
  <si>
    <t>Canarsie Ascend Charter School</t>
  </si>
  <si>
    <t>Central Queens Academy Charter School</t>
  </si>
  <si>
    <t>Children's Aid College Prep Charter School</t>
  </si>
  <si>
    <t>Explore Exceed Charter School</t>
  </si>
  <si>
    <t>Family Life Academy Charter School II</t>
  </si>
  <si>
    <t>Icahn Charter School 6</t>
  </si>
  <si>
    <t>Icahn Charter School 7</t>
  </si>
  <si>
    <t>Manhattan Charter School II</t>
  </si>
  <si>
    <t>Boys Preparatory Charter School of New York</t>
  </si>
  <si>
    <t>Success Academy Charter School - Fort Greene</t>
  </si>
  <si>
    <t>Success Academy Charter School - Prospect Heights</t>
  </si>
  <si>
    <t>Success Academy Charter School - Crown Heights</t>
  </si>
  <si>
    <t>Success Academy Charter School - Hell's Kitchen</t>
  </si>
  <si>
    <t>Success Academy Charter School - Union Square</t>
  </si>
  <si>
    <t>Success Academy Charter School - Bronx 3</t>
  </si>
  <si>
    <t>East Harlem Scholars Academy Charter School II</t>
  </si>
  <si>
    <t>Achievement First North Brooklyn Preparatory Charter School</t>
  </si>
  <si>
    <t>Rochester Preparatory Charter School 3</t>
  </si>
  <si>
    <t>Central Brooklyn Ascend Charter School</t>
  </si>
  <si>
    <t>Middle Village Preparatory Charter School</t>
  </si>
  <si>
    <t>Family Life Academy Charter School III</t>
  </si>
  <si>
    <t>Achievement First Linden Charter School</t>
  </si>
  <si>
    <t>Success Academy Charter School - Washington Heights</t>
  </si>
  <si>
    <t>Success Academy Charter School - Bronx 4</t>
  </si>
  <si>
    <t>Success Academy Charter School - Bensonhurst</t>
  </si>
  <si>
    <t>Success Academy Charter School - Bergen Beach</t>
  </si>
  <si>
    <t>Success Academy Charter School - Rosedale</t>
  </si>
  <si>
    <t>Success Academy Charter School - Springfield Gardens</t>
  </si>
  <si>
    <t>Success Academy Charter School - Harlem 1</t>
  </si>
  <si>
    <t>Atmosphere Academy Public Charter School</t>
  </si>
  <si>
    <t>Bronx Charter School for Better Learning II</t>
  </si>
  <si>
    <t>Finn Academy: An Elmira Charter School</t>
  </si>
  <si>
    <t>International Charter School of New York, The</t>
  </si>
  <si>
    <t>Storefront Academy Charter School</t>
  </si>
  <si>
    <t>Explore Charter School</t>
  </si>
  <si>
    <t>Explore Empower Charter School</t>
  </si>
  <si>
    <t>Williamsburg Collegiate Charter School</t>
  </si>
  <si>
    <t>New York City Charter School of the Arts</t>
  </si>
  <si>
    <t>Bronx Charter School for Excellence 2</t>
  </si>
  <si>
    <t>Achievement First Crown Heights Charter School</t>
  </si>
  <si>
    <t>Achievement First East New York Charter School</t>
  </si>
  <si>
    <t>Achievement First Endeavor Charter School</t>
  </si>
  <si>
    <t>Brooklyn Ascend Charter School</t>
  </si>
  <si>
    <t>Brownsville Ascend Charter School</t>
  </si>
  <si>
    <t>Bushwick Ascend Charter School</t>
  </si>
  <si>
    <t>Manhattan Charter School</t>
  </si>
  <si>
    <r>
      <t xml:space="preserve">Select from drop-down list </t>
    </r>
    <r>
      <rPr>
        <sz val="11.5"/>
        <rFont val="Calibri"/>
        <family val="2"/>
      </rPr>
      <t>→</t>
    </r>
  </si>
  <si>
    <r>
      <t xml:space="preserve">Select grade 5 level from drop-down list </t>
    </r>
    <r>
      <rPr>
        <sz val="11.5"/>
        <rFont val="Calibri"/>
        <family val="2"/>
      </rPr>
      <t>→</t>
    </r>
  </si>
  <si>
    <r>
      <t xml:space="preserve">(Select from drop-down list) </t>
    </r>
    <r>
      <rPr>
        <b/>
        <sz val="11.5"/>
        <rFont val="Calibri"/>
        <family val="2"/>
      </rPr>
      <t>→</t>
    </r>
  </si>
  <si>
    <t>(Select from drop-down list) →</t>
  </si>
  <si>
    <t>Charter School Tuition Rates</t>
  </si>
  <si>
    <t>Name:</t>
  </si>
  <si>
    <t>CONTACT INFORMATION</t>
  </si>
  <si>
    <t>REPORT PERIOD</t>
  </si>
  <si>
    <t>SCHOOL</t>
  </si>
  <si>
    <t>NA</t>
  </si>
  <si>
    <t>MergeCorpID</t>
  </si>
  <si>
    <t>MergeName</t>
  </si>
  <si>
    <t>YrOpen</t>
  </si>
  <si>
    <t>MergeYr</t>
  </si>
  <si>
    <t>Achievement First Voyager Charter School</t>
  </si>
  <si>
    <t>QTR</t>
  </si>
  <si>
    <t>DATA-INPUT</t>
  </si>
  <si>
    <t>RESULT</t>
  </si>
  <si>
    <t>Most Recent Qtr with Data:</t>
  </si>
  <si>
    <t>QUARTER DATA-INPUT CHECKER</t>
  </si>
  <si>
    <t>*This simply indicates that at least one (1) data item was input for each given quarter.</t>
  </si>
  <si>
    <r>
      <rPr>
        <b/>
        <i/>
        <sz val="11.5"/>
        <rFont val="Calibri"/>
        <family val="2"/>
        <scheme val="minor"/>
      </rPr>
      <t>*NOTE:</t>
    </r>
    <r>
      <rPr>
        <i/>
        <sz val="11.5"/>
        <rFont val="Calibri"/>
        <family val="2"/>
        <scheme val="minor"/>
      </rPr>
      <t xml:space="preserve">  State the assumptions that are being made for personnel FTE levels.</t>
    </r>
  </si>
  <si>
    <r>
      <rPr>
        <b/>
        <i/>
        <sz val="11.5"/>
        <rFont val="Calibri"/>
        <family val="2"/>
        <scheme val="minor"/>
      </rPr>
      <t>*NOTE:</t>
    </r>
    <r>
      <rPr>
        <i/>
        <sz val="11.5"/>
        <rFont val="Calibri"/>
        <family val="2"/>
        <scheme val="minor"/>
      </rPr>
      <t xml:space="preserve">  If there are NO budget revisions at the time of quarterly submittal leave the 'REVISED' Column(s) COMPLETELY BLANK.
If budget revisions ARE made, the entire "REVISED" budget columns for the affected quarter(s) must be completed on tabs 2, 3 and 4.</t>
    </r>
  </si>
  <si>
    <r>
      <rPr>
        <b/>
        <i/>
        <sz val="11.5"/>
        <rFont val="Calibri"/>
        <family val="2"/>
        <scheme val="minor"/>
      </rPr>
      <t xml:space="preserve">*NOTE:  </t>
    </r>
    <r>
      <rPr>
        <i/>
        <sz val="11.5"/>
        <rFont val="Calibri"/>
        <family val="2"/>
        <scheme val="minor"/>
      </rPr>
      <t>Each quarter, the actual FTE should be input.</t>
    </r>
  </si>
  <si>
    <r>
      <rPr>
        <b/>
        <sz val="11.5"/>
        <rFont val="Calibri"/>
        <family val="2"/>
        <scheme val="minor"/>
      </rPr>
      <t>*NOTE:</t>
    </r>
    <r>
      <rPr>
        <sz val="11.5"/>
        <rFont val="Calibri"/>
        <family val="2"/>
        <scheme val="minor"/>
      </rPr>
      <t xml:space="preserve">  </t>
    </r>
    <r>
      <rPr>
        <i/>
        <sz val="11.5"/>
        <rFont val="Calibri"/>
        <family val="2"/>
        <scheme val="minor"/>
      </rPr>
      <t>If there are NO budget revisions at the time of quarterly submittal leave the 'REVISED' Column(s) COMPLETELY BLANK.  If budget revisions ARE made, the entire "REVISED" budget columns for the affected quarter(s) must be completed on tabs 2, 3 and 4.</t>
    </r>
  </si>
  <si>
    <r>
      <rPr>
        <b/>
        <sz val="11.5"/>
        <rFont val="Calibri"/>
        <family val="2"/>
        <scheme val="minor"/>
      </rPr>
      <t xml:space="preserve">*NOTE:  </t>
    </r>
    <r>
      <rPr>
        <i/>
        <sz val="11.5"/>
        <rFont val="Calibri"/>
        <family val="2"/>
        <scheme val="minor"/>
      </rPr>
      <t>If there are NO budget revisions at the time of quarterly submittal leave the 'REVISED' Column(s) COMPLETELY BLANK.
If budget revisions ARE made, the entire "REVISED" budget columns for the affected quarter(s) must be completed on tabs 2, 3 and 4.</t>
    </r>
  </si>
  <si>
    <t>PPR %/Qtr-&gt;</t>
  </si>
  <si>
    <t>TOTAL</t>
  </si>
  <si>
    <t>BS-NeedCode</t>
  </si>
  <si>
    <t>0=EdCorp(StandAlone)</t>
  </si>
  <si>
    <t>1=EdCorp(SurvivingMerge)</t>
  </si>
  <si>
    <t>2=School(Merged)</t>
  </si>
  <si>
    <t>BS_Note_Code</t>
  </si>
  <si>
    <t>BSMessages</t>
  </si>
  <si>
    <t>BSNote1</t>
  </si>
  <si>
    <t>&gt;Select school name from list.
&gt;Enter contact information.</t>
  </si>
  <si>
    <t>Enter enrollment information for Annual Budget (&amp; Revisions) and Quarterly Actuals.  Includes:
&gt;Enrollment by Grade
&gt;Enrollment by District</t>
  </si>
  <si>
    <t>Allocate Per Pupil Revenue by Quarter</t>
  </si>
  <si>
    <t>Enter Actual Quarterly Report information .  Includes:
&gt;Actual Enrollment data and Per Pupil Revenue for the current year are populated based upon input on tab "2.) Enrollment."
&gt;Actual FTE for current year is populated based upon input on tab
"3.) Staffing Plan."
&gt;All other sources of revenue
&gt;All expenses</t>
  </si>
  <si>
    <t>Success Academy Charter School - Bed Stuy 3</t>
  </si>
  <si>
    <t>Success Academy Charter School - Bushwick</t>
  </si>
  <si>
    <t>Success Academy Charter School - Far Rockaway</t>
  </si>
  <si>
    <t>Success Academy Charter School - Flatbush</t>
  </si>
  <si>
    <t>Success Academy Charter School - South Jamaica</t>
  </si>
  <si>
    <t xml:space="preserve"> </t>
  </si>
  <si>
    <t>Success Academy Charter School - Hudson Yards</t>
  </si>
  <si>
    <t>Success Academy Charter School - Harlem 6</t>
  </si>
  <si>
    <t>Elmwood Village Charter School Hertel</t>
  </si>
  <si>
    <t>New York Center for Autism Charter School Bronx</t>
  </si>
  <si>
    <t>Bronx Charter School for Excellence 3</t>
  </si>
  <si>
    <t>Brooklyn Emerging Leaders Academy Charter School</t>
  </si>
  <si>
    <t>Forte Preparatory Academy Charter School</t>
  </si>
  <si>
    <t>Legacy College Preparatory Charter School</t>
  </si>
  <si>
    <t>Brilla College Preparatory Charter School</t>
  </si>
  <si>
    <t>Elmwood Village Charter School Days Park</t>
  </si>
  <si>
    <t>New York Center for Autism Charter School</t>
  </si>
  <si>
    <t>Brooklyn Prospect Charter School - CSD 15</t>
  </si>
  <si>
    <t>Brooklyn Prospect Charter School - CSD 13</t>
  </si>
  <si>
    <t>School</t>
  </si>
  <si>
    <t>SurvivingSchool</t>
  </si>
  <si>
    <t>New Visions AIM Charter High School I</t>
  </si>
  <si>
    <t>New Visions AIM Charter High School II</t>
  </si>
  <si>
    <t>NYC DoE Rental Assistance</t>
  </si>
  <si>
    <t>BUDGET APPROVAL CONFIRMATION</t>
  </si>
  <si>
    <t>BUDGET APPROVAL - Extension Message</t>
  </si>
  <si>
    <t>Hyde Leadership Charter School</t>
  </si>
  <si>
    <t>DREAM Charter School</t>
  </si>
  <si>
    <t>Budget Approved by Board:</t>
  </si>
  <si>
    <t>Democracy Preparatory Charter School</t>
  </si>
  <si>
    <t>CASH FLOW ADJUSTMENTS</t>
  </si>
  <si>
    <t>Example - Add Back Depreciation</t>
  </si>
  <si>
    <t>Total Operating Activities</t>
  </si>
  <si>
    <t>Example - Subtract Property and Equipment Expenditures</t>
  </si>
  <si>
    <t>Total Investment Activities</t>
  </si>
  <si>
    <t>Example - Add Expected Proceeds from a Loan or Line of Credit</t>
  </si>
  <si>
    <t>Total Financing Activities</t>
  </si>
  <si>
    <t>Total Cash Flow Adjustments</t>
  </si>
  <si>
    <t>Beginning Cash Balance</t>
  </si>
  <si>
    <t>ENDING CASH BALANCE</t>
  </si>
  <si>
    <r>
      <t>OPERATING ACTIVITIES {</t>
    </r>
    <r>
      <rPr>
        <i/>
        <sz val="11.5"/>
        <color indexed="8"/>
        <rFont val="Calibri"/>
        <family val="2"/>
        <scheme val="minor"/>
      </rPr>
      <t>enter descriptions below</t>
    </r>
    <r>
      <rPr>
        <sz val="11.5"/>
        <color indexed="8"/>
        <rFont val="Calibri"/>
        <family val="2"/>
        <scheme val="minor"/>
      </rPr>
      <t>}</t>
    </r>
  </si>
  <si>
    <t>UNGRADED</t>
  </si>
  <si>
    <t>PRE-K</t>
  </si>
  <si>
    <t>{ENTER YEAR}</t>
  </si>
  <si>
    <r>
      <t>INVESTMENT ACTIVITIES {</t>
    </r>
    <r>
      <rPr>
        <i/>
        <sz val="11.5"/>
        <rFont val="Calibri"/>
        <family val="2"/>
        <scheme val="minor"/>
      </rPr>
      <t>enter descriptions below</t>
    </r>
    <r>
      <rPr>
        <sz val="11.5"/>
        <rFont val="Calibri"/>
        <family val="2"/>
        <scheme val="minor"/>
      </rPr>
      <t>}</t>
    </r>
  </si>
  <si>
    <r>
      <t>FINANCING ACTIVITIES {</t>
    </r>
    <r>
      <rPr>
        <i/>
        <sz val="11.5"/>
        <rFont val="Calibri"/>
        <family val="2"/>
        <scheme val="minor"/>
      </rPr>
      <t>enter descriptions below</t>
    </r>
    <r>
      <rPr>
        <sz val="11.5"/>
        <rFont val="Calibri"/>
        <family val="2"/>
        <scheme val="minor"/>
      </rPr>
      <t>}</t>
    </r>
  </si>
  <si>
    <t>SurvivingEdCorp</t>
  </si>
  <si>
    <t>DEFERRED RENT</t>
  </si>
  <si>
    <t>Academic Leadership Charter School</t>
  </si>
  <si>
    <t>Academy Charter School, The (Combined)</t>
  </si>
  <si>
    <t>Achievement First Brooklyn Charter Schools (Combined)</t>
  </si>
  <si>
    <t>Amber Charter School East Harlem</t>
  </si>
  <si>
    <t>Amber Charter School (Combined)</t>
  </si>
  <si>
    <t>Amber Charter School Kingsbridge</t>
  </si>
  <si>
    <t>Brilla College Preparatory Charter Schools (Combined)</t>
  </si>
  <si>
    <t>Bronx Charter School for Excellence (Combined)</t>
  </si>
  <si>
    <t>Bronx Charter School for Excellence 4</t>
  </si>
  <si>
    <t>Democracy Prep New York Charter Schools (Combined)</t>
  </si>
  <si>
    <t>Brooklyn Prospect Charter School (Combined)</t>
  </si>
  <si>
    <t>Buffalo Collegiate Charter School</t>
  </si>
  <si>
    <t>Ascend Charter Schools (Combined)</t>
  </si>
  <si>
    <t>Cardinal McCloskey Community Charter School</t>
  </si>
  <si>
    <t>Coney Island Preparatory Public Charter School</t>
  </si>
  <si>
    <t>Cypress Hills Ascend Charter School</t>
  </si>
  <si>
    <t>East Harlem Scholars Academy Charter School (Combined)</t>
  </si>
  <si>
    <t>Elm Community Charter School</t>
  </si>
  <si>
    <t>Explore Charter Schools of Brooklyn (Combined)</t>
  </si>
  <si>
    <t>Family Life Academy Charter Schools (Combined)</t>
  </si>
  <si>
    <t>Public Preparatory Charter School Academies (Combined)</t>
  </si>
  <si>
    <t>Harlem Village Academy East Charter School</t>
  </si>
  <si>
    <t>Harlem Village Academy West Charter School</t>
  </si>
  <si>
    <t>International Leadership Charter High School</t>
  </si>
  <si>
    <t>Uncommon New York City Charter Schools (Combined)</t>
  </si>
  <si>
    <t>Manhattan Charter Schools (Combined)</t>
  </si>
  <si>
    <t>Our World Neighborhood Charter School (Combined)</t>
  </si>
  <si>
    <t>Our World Neighborhood Charter School 2</t>
  </si>
  <si>
    <t>PAVE Academy Charter School</t>
  </si>
  <si>
    <t>Persistence Preparatory Academy Charter School</t>
  </si>
  <si>
    <t>Success Academy Charter Schools - NYC (Combined)</t>
  </si>
  <si>
    <t>True North Rochester Preparatory Charter School (Combined)</t>
  </si>
  <si>
    <t>Urban Assembly Charter School for Computer Science</t>
  </si>
  <si>
    <t>Zeta Charter Schools - New York City (Combined)</t>
  </si>
  <si>
    <t>Bronx Charter School for Better Learning (Combined)</t>
  </si>
  <si>
    <t>Bronx Charter School for Excellence 5</t>
  </si>
  <si>
    <t>Brooklyn Prospect Charter School - CSD 15.2</t>
  </si>
  <si>
    <t>Democracy Prep Endurance Charter School</t>
  </si>
  <si>
    <t>Democracy Prep Harlem Charter School</t>
  </si>
  <si>
    <t>DREAM Charter School (Combined)</t>
  </si>
  <si>
    <t>DREAM Charter School Mott Haven</t>
  </si>
  <si>
    <t>Elmwood Village Charter Schools (Combined)</t>
  </si>
  <si>
    <t>Harlem Village Academy West 2 Charter School</t>
  </si>
  <si>
    <t>Harlem Village Academy Charter School (Combined)</t>
  </si>
  <si>
    <t>KIPP Always Mentally Prepared Charter School</t>
  </si>
  <si>
    <t>KIPP Bronx Charter School II</t>
  </si>
  <si>
    <t>KIPP NYC Public Charter Schools II (Combined)</t>
  </si>
  <si>
    <t>KIPP Bronx Charter School III</t>
  </si>
  <si>
    <t>KIPP Freedom Charter School</t>
  </si>
  <si>
    <t>KIPP Infinity Charter School</t>
  </si>
  <si>
    <t>KIPP S.T.A.R. College Prep Charter School</t>
  </si>
  <si>
    <t>NYC Autism Charter Schools (Combined)</t>
  </si>
  <si>
    <t>Storefont Academy Charter School (Combined)</t>
  </si>
  <si>
    <t>Storefront Academy Harlem Charter School</t>
  </si>
  <si>
    <t>Truxton Academy Charter School</t>
  </si>
  <si>
    <t>University Prep Public Charter Schools (Combined)</t>
  </si>
  <si>
    <t>University Prep Charter Middle School</t>
  </si>
  <si>
    <t>Valence College Preparatory Charter School</t>
  </si>
  <si>
    <t>Zeta Charter School - Bronx 1</t>
  </si>
  <si>
    <t>Zeta Charter School - Inwood 1</t>
  </si>
  <si>
    <t>Final 2019-20 Basic Tuition*</t>
  </si>
  <si>
    <r>
      <t>Enter Yearly Budget information.  Includes:
&gt;"</t>
    </r>
    <r>
      <rPr>
        <b/>
        <sz val="11.5"/>
        <rFont val="Calibri"/>
        <family val="2"/>
        <scheme val="minor"/>
      </rPr>
      <t>Prior Year</t>
    </r>
    <r>
      <rPr>
        <sz val="11.5"/>
        <rFont val="Calibri"/>
        <family val="2"/>
        <scheme val="minor"/>
      </rPr>
      <t xml:space="preserve">" column may </t>
    </r>
    <r>
      <rPr>
        <i/>
        <u/>
        <sz val="11.5"/>
        <rFont val="Calibri"/>
        <family val="2"/>
        <scheme val="minor"/>
      </rPr>
      <t>initially</t>
    </r>
    <r>
      <rPr>
        <sz val="11.5"/>
        <rFont val="Calibri"/>
        <family val="2"/>
        <scheme val="minor"/>
      </rPr>
      <t xml:space="preserve"> be completed based upon preliminary data, and </t>
    </r>
    <r>
      <rPr>
        <i/>
        <u/>
        <sz val="11.5"/>
        <rFont val="Calibri"/>
        <family val="2"/>
        <scheme val="minor"/>
      </rPr>
      <t>subsequently</t>
    </r>
    <r>
      <rPr>
        <sz val="11.5"/>
        <rFont val="Calibri"/>
        <family val="2"/>
        <scheme val="minor"/>
      </rPr>
      <t xml:space="preserve"> adjusted with Annual Audited data when the Quarter 2 Actuals are being submitted. (Note: Quarterly Revenue allocation may be set)
&gt;Budgeted Enrollment data and Per Pupil Revenue for the current year are populated based upon input on tab "2.) Enrollment."
&gt;Budgeted FTE for current year is populated based upon input on tab "3.) Staffing Plan."
&gt;All other sources of revenue
&gt;All expenses
&gt;Budget Revisions, as necessary and </t>
    </r>
    <r>
      <rPr>
        <i/>
        <sz val="11.5"/>
        <rFont val="Calibri"/>
        <family val="2"/>
        <scheme val="minor"/>
      </rPr>
      <t>approved</t>
    </r>
    <r>
      <rPr>
        <sz val="11.5"/>
        <rFont val="Calibri"/>
        <family val="2"/>
        <scheme val="minor"/>
      </rPr>
      <t xml:space="preserve"> by the school's Board of Directors, should be submitted when submitting Quarterly Actuals.</t>
    </r>
  </si>
  <si>
    <r>
      <t>Enter Balance Sheet information for EdCorps.  Separate schools merged into a primary EdCorp should NOT use this tab.
&gt;"</t>
    </r>
    <r>
      <rPr>
        <b/>
        <sz val="11.5"/>
        <rFont val="Calibri"/>
        <family val="2"/>
        <scheme val="minor"/>
      </rPr>
      <t>Prior Yea</t>
    </r>
    <r>
      <rPr>
        <sz val="11.5"/>
        <rFont val="Calibri"/>
        <family val="2"/>
        <scheme val="minor"/>
      </rPr>
      <t xml:space="preserve">r" column may be </t>
    </r>
    <r>
      <rPr>
        <i/>
        <u/>
        <sz val="11.5"/>
        <rFont val="Calibri"/>
        <family val="2"/>
        <scheme val="minor"/>
      </rPr>
      <t>initially</t>
    </r>
    <r>
      <rPr>
        <sz val="11.5"/>
        <rFont val="Calibri"/>
        <family val="2"/>
        <scheme val="minor"/>
      </rPr>
      <t xml:space="preserve"> completed based upon preliminary data, and </t>
    </r>
    <r>
      <rPr>
        <i/>
        <u/>
        <sz val="11.5"/>
        <rFont val="Calibri"/>
        <family val="2"/>
        <scheme val="minor"/>
      </rPr>
      <t>subsequently</t>
    </r>
    <r>
      <rPr>
        <sz val="11.5"/>
        <rFont val="Calibri"/>
        <family val="2"/>
        <scheme val="minor"/>
      </rPr>
      <t xml:space="preserve"> adjusted with Annual Audited data when the Quarter 2 Actuals are being submitted.</t>
    </r>
  </si>
  <si>
    <r>
      <t>Enter staffing plan information for Annual Budget (&amp; Revisions) and Quarterly Actuals.  Includes:
&gt;Full Time Equivalent (FTE), by Position Category, By Quarter
&gt;"</t>
    </r>
    <r>
      <rPr>
        <b/>
        <sz val="11.5"/>
        <rFont val="Calibri"/>
        <family val="2"/>
        <scheme val="minor"/>
      </rPr>
      <t>Prior Year</t>
    </r>
    <r>
      <rPr>
        <sz val="11.5"/>
        <rFont val="Calibri"/>
        <family val="2"/>
        <scheme val="minor"/>
      </rPr>
      <t xml:space="preserve">" column may </t>
    </r>
    <r>
      <rPr>
        <i/>
        <u/>
        <sz val="11.5"/>
        <rFont val="Calibri"/>
        <family val="2"/>
        <scheme val="minor"/>
      </rPr>
      <t>initially</t>
    </r>
    <r>
      <rPr>
        <sz val="11.5"/>
        <rFont val="Calibri"/>
        <family val="2"/>
        <scheme val="minor"/>
      </rPr>
      <t xml:space="preserve"> be completed based upon preliminary data, and </t>
    </r>
    <r>
      <rPr>
        <i/>
        <u/>
        <sz val="11.5"/>
        <rFont val="Calibri"/>
        <family val="2"/>
        <scheme val="minor"/>
      </rPr>
      <t>subsequently</t>
    </r>
    <r>
      <rPr>
        <sz val="11.5"/>
        <rFont val="Calibri"/>
        <family val="2"/>
        <scheme val="minor"/>
      </rPr>
      <t xml:space="preserve"> adjusted with Annual Audited data when the Quarter 2 Actuals are being submitted.</t>
    </r>
  </si>
  <si>
    <t>SCHOOLS FOR WHICH TUITION SHOULD BE $0 (See Cell C52:C101 formulas)</t>
  </si>
  <si>
    <t>PY Actual (PY TY / No. of COMPLETED Actual CY Quarters)</t>
  </si>
  <si>
    <t>PPR</t>
  </si>
  <si>
    <t>TOTAL Per Pupil Revenue</t>
  </si>
  <si>
    <t>Weighted Avg PPR</t>
  </si>
  <si>
    <t>COVID-19 / CONTINGENCY</t>
  </si>
  <si>
    <t>Green Tech Charter School</t>
  </si>
  <si>
    <t>Brilla Veritas Charter School</t>
  </si>
  <si>
    <t>NYC Autism Charter School Bronx</t>
  </si>
  <si>
    <t>NYC Autism Charter School East Harlem</t>
  </si>
  <si>
    <t>East Brooklyn Ascend Charter School</t>
  </si>
  <si>
    <t>Academy Charter School - Uniondale, The</t>
  </si>
  <si>
    <t>Brilla Caritas Charter School</t>
  </si>
  <si>
    <t>Brilla Pax Charter School</t>
  </si>
  <si>
    <t>Capital Preparatory Bronx Charter School</t>
  </si>
  <si>
    <t>Lefferts Gardens Ascend Charter School</t>
  </si>
  <si>
    <t>East Flatbush Ascend Charter School</t>
  </si>
  <si>
    <t>Wildflower New York Charter school</t>
  </si>
  <si>
    <t>Lamad Academy Charter School</t>
  </si>
  <si>
    <t>Girls Preparatory Charter School of the Bronx II</t>
  </si>
  <si>
    <t>Zeta Charter School - New York City 3</t>
  </si>
  <si>
    <t>Zeta Charter School - New York City 4</t>
  </si>
  <si>
    <t>KIPP NYC Washington Heights Academy Charter School</t>
  </si>
  <si>
    <t>Capital Preparatory Harlem Charter School</t>
  </si>
  <si>
    <t>Buffalo Creek Academy Charter School</t>
  </si>
  <si>
    <t>Capital Prep Charter Schools NY (Combined)</t>
  </si>
  <si>
    <t>Budgeted PPR</t>
  </si>
  <si>
    <t>Sisulu-Walker Charter School of Harlem</t>
  </si>
  <si>
    <r>
      <t xml:space="preserve"> Select from drop-down list </t>
    </r>
    <r>
      <rPr>
        <sz val="10"/>
        <color theme="1"/>
        <rFont val="Calibri"/>
        <family val="2"/>
      </rPr>
      <t>→</t>
    </r>
  </si>
  <si>
    <t xml:space="preserve"> Select from drop-down list →</t>
  </si>
  <si>
    <t>570101</t>
  </si>
  <si>
    <t>410401</t>
  </si>
  <si>
    <t>080101</t>
  </si>
  <si>
    <t>142101</t>
  </si>
  <si>
    <t>010100</t>
  </si>
  <si>
    <t>450101</t>
  </si>
  <si>
    <t>140101</t>
  </si>
  <si>
    <t>180202</t>
  </si>
  <si>
    <t>220202</t>
  </si>
  <si>
    <t>020101</t>
  </si>
  <si>
    <t>040302</t>
  </si>
  <si>
    <t>460102</t>
  </si>
  <si>
    <t>580303</t>
  </si>
  <si>
    <t>140201</t>
  </si>
  <si>
    <t>580106</t>
  </si>
  <si>
    <t>270100</t>
  </si>
  <si>
    <t>120102</t>
  </si>
  <si>
    <t>020601</t>
  </si>
  <si>
    <t>660405</t>
  </si>
  <si>
    <t>640101</t>
  </si>
  <si>
    <t>571901</t>
  </si>
  <si>
    <t>131601</t>
  </si>
  <si>
    <t>670201</t>
  </si>
  <si>
    <t>050100</t>
  </si>
  <si>
    <t>090201</t>
  </si>
  <si>
    <t>491302</t>
  </si>
  <si>
    <t>570201</t>
  </si>
  <si>
    <t>240101</t>
  </si>
  <si>
    <t>580101</t>
  </si>
  <si>
    <t>080201</t>
  </si>
  <si>
    <t>280210</t>
  </si>
  <si>
    <t>420901</t>
  </si>
  <si>
    <t>521301</t>
  </si>
  <si>
    <t>401301</t>
  </si>
  <si>
    <t>180300</t>
  </si>
  <si>
    <t>570302</t>
  </si>
  <si>
    <t>580501</t>
  </si>
  <si>
    <t>580505</t>
  </si>
  <si>
    <t>130200</t>
  </si>
  <si>
    <t>231301</t>
  </si>
  <si>
    <t>660102</t>
  </si>
  <si>
    <t>090301</t>
  </si>
  <si>
    <t>020801</t>
  </si>
  <si>
    <t>220909</t>
  </si>
  <si>
    <t>280207</t>
  </si>
  <si>
    <t>280253</t>
  </si>
  <si>
    <t>061001</t>
  </si>
  <si>
    <t>490101</t>
  </si>
  <si>
    <t>010201</t>
  </si>
  <si>
    <t>010306</t>
  </si>
  <si>
    <t>280521</t>
  </si>
  <si>
    <t>030200</t>
  </si>
  <si>
    <t>661905</t>
  </si>
  <si>
    <t>022902</t>
  </si>
  <si>
    <t>630101</t>
  </si>
  <si>
    <t>151801</t>
  </si>
  <si>
    <t xml:space="preserve">BOQUET VALLEY </t>
  </si>
  <si>
    <t>570401</t>
  </si>
  <si>
    <t>510101</t>
  </si>
  <si>
    <t>580512</t>
  </si>
  <si>
    <t>480601</t>
  </si>
  <si>
    <t>661402</t>
  </si>
  <si>
    <t>580909</t>
  </si>
  <si>
    <t>260101</t>
  </si>
  <si>
    <t>171102</t>
  </si>
  <si>
    <t>261801</t>
  </si>
  <si>
    <t>062301</t>
  </si>
  <si>
    <t>660303</t>
  </si>
  <si>
    <t>250109</t>
  </si>
  <si>
    <t>580203</t>
  </si>
  <si>
    <t>490202</t>
  </si>
  <si>
    <t>161601</t>
  </si>
  <si>
    <t>140600</t>
  </si>
  <si>
    <t>520101</t>
  </si>
  <si>
    <t>661201</t>
  </si>
  <si>
    <t>180701</t>
  </si>
  <si>
    <t>190301</t>
  </si>
  <si>
    <t>240201</t>
  </si>
  <si>
    <t>641610</t>
  </si>
  <si>
    <t>410601</t>
  </si>
  <si>
    <t>570603</t>
  </si>
  <si>
    <t>270301</t>
  </si>
  <si>
    <t>430300</t>
  </si>
  <si>
    <t>021102</t>
  </si>
  <si>
    <t>250901</t>
  </si>
  <si>
    <t>600301</t>
  </si>
  <si>
    <t>571502</t>
  </si>
  <si>
    <t>510201</t>
  </si>
  <si>
    <t>280411</t>
  </si>
  <si>
    <t>480102</t>
  </si>
  <si>
    <t>222201</t>
  </si>
  <si>
    <t>060401</t>
  </si>
  <si>
    <t>050401</t>
  </si>
  <si>
    <t>190401</t>
  </si>
  <si>
    <t>042302</t>
  </si>
  <si>
    <t>250201</t>
  </si>
  <si>
    <t>580233</t>
  </si>
  <si>
    <t>580513</t>
  </si>
  <si>
    <t>460801</t>
  </si>
  <si>
    <t>212101</t>
  </si>
  <si>
    <t>661004</t>
  </si>
  <si>
    <t>120401</t>
  </si>
  <si>
    <t>160801</t>
  </si>
  <si>
    <t>101001</t>
  </si>
  <si>
    <t>060503</t>
  </si>
  <si>
    <t>090601</t>
  </si>
  <si>
    <t>140701</t>
  </si>
  <si>
    <t>140702</t>
  </si>
  <si>
    <t>140709</t>
  </si>
  <si>
    <t>030101</t>
  </si>
  <si>
    <t>030701</t>
  </si>
  <si>
    <t>472202</t>
  </si>
  <si>
    <t>440201</t>
  </si>
  <si>
    <t>251601</t>
  </si>
  <si>
    <t>261501</t>
  </si>
  <si>
    <t>110101</t>
  </si>
  <si>
    <t>140801</t>
  </si>
  <si>
    <t>500101</t>
  </si>
  <si>
    <t>140703</t>
  </si>
  <si>
    <t>510401</t>
  </si>
  <si>
    <t>411101</t>
  </si>
  <si>
    <t>650301</t>
  </si>
  <si>
    <t>060701</t>
  </si>
  <si>
    <t>541102</t>
  </si>
  <si>
    <t>010500</t>
  </si>
  <si>
    <t>580402</t>
  </si>
  <si>
    <t>510501</t>
  </si>
  <si>
    <t>580410</t>
  </si>
  <si>
    <t>580507</t>
  </si>
  <si>
    <t>471701</t>
  </si>
  <si>
    <t>230201</t>
  </si>
  <si>
    <t>580105</t>
  </si>
  <si>
    <t>520401</t>
  </si>
  <si>
    <t>571000</t>
  </si>
  <si>
    <t>440301</t>
  </si>
  <si>
    <t>110200</t>
  </si>
  <si>
    <t>190501</t>
  </si>
  <si>
    <t>660202</t>
  </si>
  <si>
    <t>150203</t>
  </si>
  <si>
    <t>022302</t>
  </si>
  <si>
    <t>241101</t>
  </si>
  <si>
    <t>241001</t>
  </si>
  <si>
    <t>580107</t>
  </si>
  <si>
    <t>120501</t>
  </si>
  <si>
    <t>140707</t>
  </si>
  <si>
    <t>031301</t>
  </si>
  <si>
    <t>250301</t>
  </si>
  <si>
    <t>660403</t>
  </si>
  <si>
    <t>211003</t>
  </si>
  <si>
    <t>130502</t>
  </si>
  <si>
    <t>120301</t>
  </si>
  <si>
    <t>610301</t>
  </si>
  <si>
    <t>530101</t>
  </si>
  <si>
    <t>680801</t>
  </si>
  <si>
    <t>060800</t>
  </si>
  <si>
    <t>140301</t>
  </si>
  <si>
    <t>430501</t>
  </si>
  <si>
    <t>490301</t>
  </si>
  <si>
    <t>580301</t>
  </si>
  <si>
    <t>260801</t>
  </si>
  <si>
    <t>580503</t>
  </si>
  <si>
    <t>280203</t>
  </si>
  <si>
    <t>580234</t>
  </si>
  <si>
    <t>580917</t>
  </si>
  <si>
    <t>500402</t>
  </si>
  <si>
    <t>261313</t>
  </si>
  <si>
    <t>280219</t>
  </si>
  <si>
    <t>420401</t>
  </si>
  <si>
    <t>280402</t>
  </si>
  <si>
    <t>660301</t>
  </si>
  <si>
    <t>580912</t>
  </si>
  <si>
    <t>141201</t>
  </si>
  <si>
    <t>660406</t>
  </si>
  <si>
    <t>520601</t>
  </si>
  <si>
    <t>470501</t>
  </si>
  <si>
    <t>513102</t>
  </si>
  <si>
    <t>180901</t>
  </si>
  <si>
    <t>590801</t>
  </si>
  <si>
    <t>150301</t>
  </si>
  <si>
    <t>622002</t>
  </si>
  <si>
    <t>040901</t>
  </si>
  <si>
    <t>070600</t>
  </si>
  <si>
    <t>070902</t>
  </si>
  <si>
    <t>280216</t>
  </si>
  <si>
    <t>660409</t>
  </si>
  <si>
    <t>580401</t>
  </si>
  <si>
    <t>141401</t>
  </si>
  <si>
    <t>420601</t>
  </si>
  <si>
    <t>261301</t>
  </si>
  <si>
    <t>061101</t>
  </si>
  <si>
    <t>590501</t>
  </si>
  <si>
    <t>280522</t>
  </si>
  <si>
    <t>421001</t>
  </si>
  <si>
    <t>022001</t>
  </si>
  <si>
    <t>580514</t>
  </si>
  <si>
    <t>581004</t>
  </si>
  <si>
    <t>280222</t>
  </si>
  <si>
    <t>442115</t>
  </si>
  <si>
    <t>270601</t>
  </si>
  <si>
    <t>061503</t>
  </si>
  <si>
    <t>640502</t>
  </si>
  <si>
    <t>640601</t>
  </si>
  <si>
    <t>270701</t>
  </si>
  <si>
    <t>210402</t>
  </si>
  <si>
    <t>120701</t>
  </si>
  <si>
    <t>280217</t>
  </si>
  <si>
    <t>041101</t>
  </si>
  <si>
    <t>062201</t>
  </si>
  <si>
    <t>280209</t>
  </si>
  <si>
    <t>060301</t>
  </si>
  <si>
    <t>021601</t>
  </si>
  <si>
    <t>141604</t>
  </si>
  <si>
    <t>460500</t>
  </si>
  <si>
    <t>520701</t>
  </si>
  <si>
    <t>650902</t>
  </si>
  <si>
    <t>280218</t>
  </si>
  <si>
    <t>480404</t>
  </si>
  <si>
    <t>260401</t>
  </si>
  <si>
    <t>220401</t>
  </si>
  <si>
    <t>020702</t>
  </si>
  <si>
    <t>240401</t>
  </si>
  <si>
    <t>430700</t>
  </si>
  <si>
    <t>081401</t>
  </si>
  <si>
    <t>100902</t>
  </si>
  <si>
    <t>470202</t>
  </si>
  <si>
    <t>540801</t>
  </si>
  <si>
    <t>280100</t>
  </si>
  <si>
    <t>630300</t>
  </si>
  <si>
    <t>630918</t>
  </si>
  <si>
    <t>170500</t>
  </si>
  <si>
    <t>430901</t>
  </si>
  <si>
    <t>440601</t>
  </si>
  <si>
    <t>511101</t>
  </si>
  <si>
    <t>042801</t>
  </si>
  <si>
    <t>141501</t>
  </si>
  <si>
    <t>640701</t>
  </si>
  <si>
    <t>280407</t>
  </si>
  <si>
    <t>260501</t>
  </si>
  <si>
    <t>010701</t>
  </si>
  <si>
    <t>660407</t>
  </si>
  <si>
    <t>080601</t>
  </si>
  <si>
    <t>581010</t>
  </si>
  <si>
    <t>190701</t>
  </si>
  <si>
    <t>640801</t>
  </si>
  <si>
    <t>442111</t>
  </si>
  <si>
    <t>610501</t>
  </si>
  <si>
    <t>010802</t>
  </si>
  <si>
    <t>630801</t>
  </si>
  <si>
    <t>480401</t>
  </si>
  <si>
    <t>580405</t>
  </si>
  <si>
    <t>141601</t>
  </si>
  <si>
    <t>250701</t>
  </si>
  <si>
    <t>511201</t>
  </si>
  <si>
    <t>572901</t>
  </si>
  <si>
    <t>580905</t>
  </si>
  <si>
    <t>120906</t>
  </si>
  <si>
    <t>460701</t>
  </si>
  <si>
    <t>580406</t>
  </si>
  <si>
    <t>030501</t>
  </si>
  <si>
    <t>660501</t>
  </si>
  <si>
    <t>230301</t>
  </si>
  <si>
    <t>641001</t>
  </si>
  <si>
    <t>660404</t>
  </si>
  <si>
    <t>580506</t>
  </si>
  <si>
    <t>500201</t>
  </si>
  <si>
    <t>280201</t>
  </si>
  <si>
    <t>660203</t>
  </si>
  <si>
    <t>210601</t>
  </si>
  <si>
    <t>511301</t>
  </si>
  <si>
    <t>280409</t>
  </si>
  <si>
    <t>512404</t>
  </si>
  <si>
    <t>280214</t>
  </si>
  <si>
    <t>280517</t>
  </si>
  <si>
    <t>620803</t>
  </si>
  <si>
    <t>440901</t>
  </si>
  <si>
    <t>261101</t>
  </si>
  <si>
    <t>041401</t>
  </si>
  <si>
    <t>141701</t>
  </si>
  <si>
    <t>412201</t>
  </si>
  <si>
    <t>450704</t>
  </si>
  <si>
    <t>110701</t>
  </si>
  <si>
    <t>431401</t>
  </si>
  <si>
    <t>260901</t>
  </si>
  <si>
    <t>491401</t>
  </si>
  <si>
    <t>490501</t>
  </si>
  <si>
    <t>571800</t>
  </si>
  <si>
    <t>070901</t>
  </si>
  <si>
    <t>101300</t>
  </si>
  <si>
    <t>641301</t>
  </si>
  <si>
    <t>190901</t>
  </si>
  <si>
    <t>580403</t>
  </si>
  <si>
    <t>130801</t>
  </si>
  <si>
    <t>200401</t>
  </si>
  <si>
    <t>220301</t>
  </si>
  <si>
    <t>200501</t>
  </si>
  <si>
    <t>141301</t>
  </si>
  <si>
    <t>660402</t>
  </si>
  <si>
    <t>280231</t>
  </si>
  <si>
    <t>280226</t>
  </si>
  <si>
    <t>580502</t>
  </si>
  <si>
    <t>610600</t>
  </si>
  <si>
    <t>061700</t>
  </si>
  <si>
    <t>420411</t>
  </si>
  <si>
    <t>572702</t>
  </si>
  <si>
    <t>540901</t>
  </si>
  <si>
    <t>280515</t>
  </si>
  <si>
    <t>630601</t>
  </si>
  <si>
    <t>031502</t>
  </si>
  <si>
    <t>170600</t>
  </si>
  <si>
    <t>420501</t>
  </si>
  <si>
    <t>660101</t>
  </si>
  <si>
    <t>150601</t>
  </si>
  <si>
    <t>450607</t>
  </si>
  <si>
    <t>142601</t>
  </si>
  <si>
    <t>101401</t>
  </si>
  <si>
    <t>580805</t>
  </si>
  <si>
    <t>620600</t>
  </si>
  <si>
    <t>441202</t>
  </si>
  <si>
    <t>221401</t>
  </si>
  <si>
    <t>141800</t>
  </si>
  <si>
    <t>420807</t>
  </si>
  <si>
    <t>630701</t>
  </si>
  <si>
    <t>151102</t>
  </si>
  <si>
    <t>200601</t>
  </si>
  <si>
    <t>662401</t>
  </si>
  <si>
    <t>141901</t>
  </si>
  <si>
    <t>610801</t>
  </si>
  <si>
    <t>490601</t>
  </si>
  <si>
    <t>470801</t>
  </si>
  <si>
    <t>280215</t>
  </si>
  <si>
    <t>181001</t>
  </si>
  <si>
    <t>670401</t>
  </si>
  <si>
    <t>280205</t>
  </si>
  <si>
    <t>400301</t>
  </si>
  <si>
    <t>590901</t>
  </si>
  <si>
    <t>580104</t>
  </si>
  <si>
    <t>511602</t>
  </si>
  <si>
    <t>210800</t>
  </si>
  <si>
    <t>421501</t>
  </si>
  <si>
    <t>591302</t>
  </si>
  <si>
    <t>240801</t>
  </si>
  <si>
    <t>400400</t>
  </si>
  <si>
    <t>280503</t>
  </si>
  <si>
    <t>280300</t>
  </si>
  <si>
    <t>200701</t>
  </si>
  <si>
    <t>580212</t>
  </si>
  <si>
    <t>230901</t>
  </si>
  <si>
    <t>221301</t>
  </si>
  <si>
    <t>280220</t>
  </si>
  <si>
    <t>421504</t>
  </si>
  <si>
    <t>451001</t>
  </si>
  <si>
    <t>650501</t>
  </si>
  <si>
    <t>251101</t>
  </si>
  <si>
    <t>511901</t>
  </si>
  <si>
    <t>480101</t>
  </si>
  <si>
    <t>031101</t>
  </si>
  <si>
    <t>161501</t>
  </si>
  <si>
    <t>280212</t>
  </si>
  <si>
    <t>660701</t>
  </si>
  <si>
    <t>431101</t>
  </si>
  <si>
    <t>280406</t>
  </si>
  <si>
    <t>110901</t>
  </si>
  <si>
    <t>421101</t>
  </si>
  <si>
    <t>121401</t>
  </si>
  <si>
    <t>650701</t>
  </si>
  <si>
    <t>621001</t>
  </si>
  <si>
    <t>280523</t>
  </si>
  <si>
    <t>512001</t>
  </si>
  <si>
    <t>581012</t>
  </si>
  <si>
    <t>170801</t>
  </si>
  <si>
    <t>110304</t>
  </si>
  <si>
    <t>521200</t>
  </si>
  <si>
    <t>450801</t>
  </si>
  <si>
    <t>010615</t>
  </si>
  <si>
    <t>280225</t>
  </si>
  <si>
    <t>460901</t>
  </si>
  <si>
    <t>580211</t>
  </si>
  <si>
    <t>541001</t>
  </si>
  <si>
    <t>441000</t>
  </si>
  <si>
    <t>471101</t>
  </si>
  <si>
    <t>132201</t>
  </si>
  <si>
    <t>580208</t>
  </si>
  <si>
    <t>280410</t>
  </si>
  <si>
    <t>150801</t>
  </si>
  <si>
    <t>441101</t>
  </si>
  <si>
    <t>441201</t>
  </si>
  <si>
    <t>580306</t>
  </si>
  <si>
    <t>591401</t>
  </si>
  <si>
    <t>051301</t>
  </si>
  <si>
    <t>150901</t>
  </si>
  <si>
    <t>471201</t>
  </si>
  <si>
    <t>512101</t>
  </si>
  <si>
    <t>250401</t>
  </si>
  <si>
    <t>212001</t>
  </si>
  <si>
    <t>240901</t>
  </si>
  <si>
    <t>660801</t>
  </si>
  <si>
    <t>580207</t>
  </si>
  <si>
    <t>660900</t>
  </si>
  <si>
    <t>500108</t>
  </si>
  <si>
    <t>431201</t>
  </si>
  <si>
    <t>411501</t>
  </si>
  <si>
    <t>280405</t>
  </si>
  <si>
    <t>101601</t>
  </si>
  <si>
    <t>621101</t>
  </si>
  <si>
    <t>661100</t>
  </si>
  <si>
    <t>581015</t>
  </si>
  <si>
    <t>650101</t>
  </si>
  <si>
    <t>600402</t>
  </si>
  <si>
    <t>441600</t>
  </si>
  <si>
    <t>151001</t>
  </si>
  <si>
    <t>400601</t>
  </si>
  <si>
    <t>610901</t>
  </si>
  <si>
    <t>400800</t>
  </si>
  <si>
    <t>400701</t>
  </si>
  <si>
    <t>530301</t>
  </si>
  <si>
    <t>580103</t>
  </si>
  <si>
    <t>280204</t>
  </si>
  <si>
    <t>142201</t>
  </si>
  <si>
    <t>010623</t>
  </si>
  <si>
    <t>490801</t>
  </si>
  <si>
    <t>280229</t>
  </si>
  <si>
    <t>651501</t>
  </si>
  <si>
    <t>661301</t>
  </si>
  <si>
    <t>280501</t>
  </si>
  <si>
    <t>420303</t>
  </si>
  <si>
    <t>400900</t>
  </si>
  <si>
    <t>630202</t>
  </si>
  <si>
    <t>131101</t>
  </si>
  <si>
    <t>090501</t>
  </si>
  <si>
    <t>090901</t>
  </si>
  <si>
    <t>580404</t>
  </si>
  <si>
    <t>170901</t>
  </si>
  <si>
    <t>081200</t>
  </si>
  <si>
    <t>512201</t>
  </si>
  <si>
    <t>411504</t>
  </si>
  <si>
    <t>500304</t>
  </si>
  <si>
    <t>300000</t>
  </si>
  <si>
    <t>181101</t>
  </si>
  <si>
    <t>280211</t>
  </si>
  <si>
    <t>550101</t>
  </si>
  <si>
    <t>512300</t>
  </si>
  <si>
    <t>042400</t>
  </si>
  <si>
    <t>251400</t>
  </si>
  <si>
    <t>471400</t>
  </si>
  <si>
    <t>421201</t>
  </si>
  <si>
    <t>621201</t>
  </si>
  <si>
    <t>271201</t>
  </si>
  <si>
    <t>142301</t>
  </si>
  <si>
    <t>412901</t>
  </si>
  <si>
    <t>661401</t>
  </si>
  <si>
    <t>461300</t>
  </si>
  <si>
    <t>471601</t>
  </si>
  <si>
    <t>600601</t>
  </si>
  <si>
    <t>081501</t>
  </si>
  <si>
    <t>280506</t>
  </si>
  <si>
    <t>581002</t>
  </si>
  <si>
    <t>650901</t>
  </si>
  <si>
    <t>061601</t>
  </si>
  <si>
    <t>512501</t>
  </si>
  <si>
    <t>580224</t>
  </si>
  <si>
    <t>181201</t>
  </si>
  <si>
    <t>131201</t>
  </si>
  <si>
    <t>500308</t>
  </si>
  <si>
    <t>661500</t>
  </si>
  <si>
    <t>661601</t>
  </si>
  <si>
    <t>181302</t>
  </si>
  <si>
    <t>261201</t>
  </si>
  <si>
    <t>680601</t>
  </si>
  <si>
    <t>671201</t>
  </si>
  <si>
    <t>091101</t>
  </si>
  <si>
    <t>431301</t>
  </si>
  <si>
    <t>462001</t>
  </si>
  <si>
    <t>440401</t>
  </si>
  <si>
    <t>131301</t>
  </si>
  <si>
    <t>060601</t>
  </si>
  <si>
    <t>261401</t>
  </si>
  <si>
    <t>280518</t>
  </si>
  <si>
    <t>280504</t>
  </si>
  <si>
    <t>091200</t>
  </si>
  <si>
    <t>660809</t>
  </si>
  <si>
    <t>660802</t>
  </si>
  <si>
    <t>211103</t>
  </si>
  <si>
    <t>051101</t>
  </si>
  <si>
    <t>661904</t>
  </si>
  <si>
    <t>580206</t>
  </si>
  <si>
    <t>441800</t>
  </si>
  <si>
    <t>280404</t>
  </si>
  <si>
    <t>042901</t>
  </si>
  <si>
    <t>512902</t>
  </si>
  <si>
    <t>131500</t>
  </si>
  <si>
    <t>572301</t>
  </si>
  <si>
    <t>461801</t>
  </si>
  <si>
    <t>641401</t>
  </si>
  <si>
    <t>480503</t>
  </si>
  <si>
    <t>630902</t>
  </si>
  <si>
    <t>580903</t>
  </si>
  <si>
    <t>500401</t>
  </si>
  <si>
    <t>043001</t>
  </si>
  <si>
    <t>010402</t>
  </si>
  <si>
    <t>651503</t>
  </si>
  <si>
    <t>131701</t>
  </si>
  <si>
    <t>411701</t>
  </si>
  <si>
    <t>580901</t>
  </si>
  <si>
    <t>491200</t>
  </si>
  <si>
    <t>131801</t>
  </si>
  <si>
    <t>472001</t>
  </si>
  <si>
    <t>062401</t>
  </si>
  <si>
    <t>580602</t>
  </si>
  <si>
    <t>261600</t>
  </si>
  <si>
    <t>280221</t>
  </si>
  <si>
    <t>580209</t>
  </si>
  <si>
    <t>411800</t>
  </si>
  <si>
    <t>560603</t>
  </si>
  <si>
    <t>620901</t>
  </si>
  <si>
    <t>280208</t>
  </si>
  <si>
    <t>591301</t>
  </si>
  <si>
    <t>280403</t>
  </si>
  <si>
    <t>530515</t>
  </si>
  <si>
    <t>121502</t>
  </si>
  <si>
    <t>401201</t>
  </si>
  <si>
    <t>261701</t>
  </si>
  <si>
    <t>661800</t>
  </si>
  <si>
    <t>661901</t>
  </si>
  <si>
    <t>580205</t>
  </si>
  <si>
    <t>221001</t>
  </si>
  <si>
    <t>580305</t>
  </si>
  <si>
    <t>580910</t>
  </si>
  <si>
    <t>043200</t>
  </si>
  <si>
    <t>641501</t>
  </si>
  <si>
    <t>161201</t>
  </si>
  <si>
    <t>461901</t>
  </si>
  <si>
    <t>091402</t>
  </si>
  <si>
    <t>161401</t>
  </si>
  <si>
    <t>521800</t>
  </si>
  <si>
    <t>621601</t>
  </si>
  <si>
    <t>411603</t>
  </si>
  <si>
    <t>580504</t>
  </si>
  <si>
    <t>662001</t>
  </si>
  <si>
    <t>530501</t>
  </si>
  <si>
    <t>530600</t>
  </si>
  <si>
    <t>470901</t>
  </si>
  <si>
    <t>491501</t>
  </si>
  <si>
    <t>541201</t>
  </si>
  <si>
    <t>151401</t>
  </si>
  <si>
    <t>521701</t>
  </si>
  <si>
    <t>022401</t>
  </si>
  <si>
    <t>530202</t>
  </si>
  <si>
    <t>280206</t>
  </si>
  <si>
    <t>560701</t>
  </si>
  <si>
    <t>280252</t>
  </si>
  <si>
    <t>541401</t>
  </si>
  <si>
    <t>580701</t>
  </si>
  <si>
    <t>520302</t>
  </si>
  <si>
    <t>082001</t>
  </si>
  <si>
    <t>062601</t>
  </si>
  <si>
    <t>412000</t>
  </si>
  <si>
    <t>580601</t>
  </si>
  <si>
    <t>121601</t>
  </si>
  <si>
    <t>061501</t>
  </si>
  <si>
    <t>421601</t>
  </si>
  <si>
    <t>580801</t>
  </si>
  <si>
    <t>651201</t>
  </si>
  <si>
    <t>420702</t>
  </si>
  <si>
    <t>662101</t>
  </si>
  <si>
    <t>010601</t>
  </si>
  <si>
    <t>580235</t>
  </si>
  <si>
    <t>521401</t>
  </si>
  <si>
    <t>580413</t>
  </si>
  <si>
    <t>220101</t>
  </si>
  <si>
    <t>121702</t>
  </si>
  <si>
    <t>231101</t>
  </si>
  <si>
    <t>500301</t>
  </si>
  <si>
    <t>560501</t>
  </si>
  <si>
    <t>580906</t>
  </si>
  <si>
    <t>050701</t>
  </si>
  <si>
    <t>581005</t>
  </si>
  <si>
    <t>060201</t>
  </si>
  <si>
    <t>131602</t>
  </si>
  <si>
    <t>261001</t>
  </si>
  <si>
    <t>600801</t>
  </si>
  <si>
    <t>580304</t>
  </si>
  <si>
    <t>141101</t>
  </si>
  <si>
    <t>161801</t>
  </si>
  <si>
    <t>121701</t>
  </si>
  <si>
    <t>401001</t>
  </si>
  <si>
    <t>522001</t>
  </si>
  <si>
    <t>251501</t>
  </si>
  <si>
    <t>591502</t>
  </si>
  <si>
    <t>030601</t>
  </si>
  <si>
    <t>140207</t>
  </si>
  <si>
    <t>280502</t>
  </si>
  <si>
    <t>421800</t>
  </si>
  <si>
    <t>100501</t>
  </si>
  <si>
    <t>220701</t>
  </si>
  <si>
    <t>580201</t>
  </si>
  <si>
    <t>151501</t>
  </si>
  <si>
    <t>600903</t>
  </si>
  <si>
    <t>142500</t>
  </si>
  <si>
    <t>211901</t>
  </si>
  <si>
    <t>591201</t>
  </si>
  <si>
    <t>491700</t>
  </si>
  <si>
    <t>611001</t>
  </si>
  <si>
    <t>580913</t>
  </si>
  <si>
    <t>660302</t>
  </si>
  <si>
    <t>421902</t>
  </si>
  <si>
    <t>160101</t>
  </si>
  <si>
    <t>441903</t>
  </si>
  <si>
    <t>660401</t>
  </si>
  <si>
    <t>081003</t>
  </si>
  <si>
    <t>051901</t>
  </si>
  <si>
    <t>280202</t>
  </si>
  <si>
    <t>031501</t>
  </si>
  <si>
    <t>412300</t>
  </si>
  <si>
    <t>660805</t>
  </si>
  <si>
    <t>441301</t>
  </si>
  <si>
    <t>280213</t>
  </si>
  <si>
    <t>280224</t>
  </si>
  <si>
    <t>280230</t>
  </si>
  <si>
    <t>280251</t>
  </si>
  <si>
    <t>211701</t>
  </si>
  <si>
    <t>031601</t>
  </si>
  <si>
    <t>431701</t>
  </si>
  <si>
    <t>011003</t>
  </si>
  <si>
    <t>580302</t>
  </si>
  <si>
    <t>621801</t>
  </si>
  <si>
    <t>121901</t>
  </si>
  <si>
    <t>280223</t>
  </si>
  <si>
    <t>132101</t>
  </si>
  <si>
    <t>631201</t>
  </si>
  <si>
    <t>671501</t>
  </si>
  <si>
    <t>442101</t>
  </si>
  <si>
    <t>440102</t>
  </si>
  <si>
    <t>522101</t>
  </si>
  <si>
    <t>561006</t>
  </si>
  <si>
    <t>222000</t>
  </si>
  <si>
    <t>411902</t>
  </si>
  <si>
    <t>011200</t>
  </si>
  <si>
    <t>550301</t>
  </si>
  <si>
    <t>600101</t>
  </si>
  <si>
    <t>573002</t>
  </si>
  <si>
    <t>650801</t>
  </si>
  <si>
    <t>261901</t>
  </si>
  <si>
    <t>050301</t>
  </si>
  <si>
    <t>200901</t>
  </si>
  <si>
    <t>022601</t>
  </si>
  <si>
    <t>580102</t>
  </si>
  <si>
    <t>210302</t>
  </si>
  <si>
    <t>420101</t>
  </si>
  <si>
    <t>280227</t>
  </si>
  <si>
    <t>260803</t>
  </si>
  <si>
    <t>580509</t>
  </si>
  <si>
    <t>142801</t>
  </si>
  <si>
    <t>040204</t>
  </si>
  <si>
    <t>280401</t>
  </si>
  <si>
    <t>062901</t>
  </si>
  <si>
    <t>580902</t>
  </si>
  <si>
    <t>420701</t>
  </si>
  <si>
    <t>412801</t>
  </si>
  <si>
    <t>151601</t>
  </si>
  <si>
    <t>262001</t>
  </si>
  <si>
    <t>170301</t>
  </si>
  <si>
    <t>662200</t>
  </si>
  <si>
    <t>641701</t>
  </si>
  <si>
    <t>412902</t>
  </si>
  <si>
    <t>022101</t>
  </si>
  <si>
    <t>031401</t>
  </si>
  <si>
    <t>580232</t>
  </si>
  <si>
    <t>651402</t>
  </si>
  <si>
    <t>140203</t>
  </si>
  <si>
    <t>151701</t>
  </si>
  <si>
    <t>401501</t>
  </si>
  <si>
    <t>191401</t>
  </si>
  <si>
    <t>031701</t>
  </si>
  <si>
    <t>472506</t>
  </si>
  <si>
    <t>580109</t>
  </si>
  <si>
    <t>490804</t>
  </si>
  <si>
    <t>671002</t>
  </si>
  <si>
    <t>662300</t>
  </si>
  <si>
    <t>241701</t>
  </si>
  <si>
    <t>043501</t>
  </si>
  <si>
    <t>662402</t>
  </si>
  <si>
    <t/>
  </si>
  <si>
    <t>Final 2020-21 Basic Tuition*</t>
  </si>
  <si>
    <t>Ver. 20200526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</si>
</sst>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Red]\(#,##0.00\)"/>
    <numFmt numFmtId="165" formatCode="_(* #,##0.00_);_(* \(#,##0.00\);_(* &quot;-&quot;_);_(@_)"/>
    <numFmt numFmtId="166" formatCode="##,###"/>
    <numFmt numFmtId="167" formatCode="0.0"/>
    <numFmt numFmtId="168" formatCode="mm/dd/yy"/>
    <numFmt numFmtId="169" formatCode="0_);[Red]\(0\)"/>
    <numFmt numFmtId="170" formatCode="_(* #,##0.00_);_(* \(#,##0.00\);_(* \-??_);_(@_)"/>
    <numFmt numFmtId="171" formatCode="[&lt;=9999999]###\-####;\(###\)\ ###\-####"/>
    <numFmt numFmtId="172" formatCode="_(* #,##0_);_(* \(#,##0\);_(* &quot;-&quot;??_);_(@_)"/>
    <numFmt numFmtId="173" formatCode="_(* #,##0.0_);_(* \(#,##0.0\);_(* &quot;-&quot;_);_(@_)"/>
    <numFmt numFmtId="174" formatCode="0.0%"/>
    <numFmt numFmtId="175" formatCode="00"/>
  </numFmts>
  <fonts count="138">
    <font>
      <sz val="10"/>
      <name val="Arial"/>
    </font>
    <font>
      <sz val="11"/>
      <color theme="1"/>
      <name val="Calibri"/>
      <family val="2"/>
      <scheme val="minor"/>
    </font>
    <font>
      <sz val="12"/>
      <color theme="1"/>
      <name val="Calibri"/>
      <family val="2"/>
      <scheme val="minor"/>
    </font>
    <font>
      <sz val="11"/>
      <color theme="1"/>
      <name val="Calibri"/>
      <family val="2"/>
      <scheme val="minor"/>
    </font>
    <font>
      <sz val="10"/>
      <name val="Arial"/>
      <family val="2"/>
    </font>
    <font>
      <sz val="8"/>
      <name val="Arial"/>
      <family val="2"/>
    </font>
    <font>
      <b/>
      <sz val="12"/>
      <color indexed="8"/>
      <name val="Arial"/>
      <family val="2"/>
    </font>
    <font>
      <b/>
      <sz val="8"/>
      <color indexed="8"/>
      <name val="Arial"/>
      <family val="2"/>
    </font>
    <font>
      <sz val="8"/>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9"/>
      <name val="Arial"/>
      <family val="2"/>
    </font>
    <font>
      <b/>
      <sz val="8"/>
      <color indexed="9"/>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sz val="8"/>
      <color indexed="12"/>
      <name val="Arial"/>
      <family val="2"/>
    </font>
    <font>
      <sz val="8"/>
      <color indexed="8"/>
      <name val="Wingdings"/>
      <charset val="2"/>
    </font>
    <font>
      <b/>
      <sz val="8"/>
      <color indexed="81"/>
      <name val="Tahoma"/>
      <family val="2"/>
    </font>
    <font>
      <sz val="8"/>
      <color indexed="81"/>
      <name val="Tahoma"/>
      <family val="2"/>
    </font>
    <font>
      <sz val="10"/>
      <name val="Verdana"/>
      <family val="2"/>
    </font>
    <font>
      <sz val="10"/>
      <color indexed="8"/>
      <name val="Arial"/>
      <family val="2"/>
    </font>
    <font>
      <b/>
      <sz val="9"/>
      <color indexed="81"/>
      <name val="Tahoma"/>
      <family val="2"/>
    </font>
    <font>
      <sz val="9"/>
      <color indexed="81"/>
      <name val="Tahoma"/>
      <family val="2"/>
    </font>
    <font>
      <b/>
      <sz val="12"/>
      <name val="Arial"/>
      <family val="2"/>
    </font>
    <font>
      <sz val="10"/>
      <name val="Verdana"/>
      <family val="2"/>
    </font>
    <font>
      <b/>
      <sz val="12"/>
      <color indexed="9"/>
      <name val="Arial"/>
      <family val="2"/>
    </font>
    <font>
      <sz val="12"/>
      <name val="Arial"/>
      <family val="2"/>
    </font>
    <font>
      <sz val="10"/>
      <name val="Arial"/>
      <family val="2"/>
    </font>
    <font>
      <sz val="11"/>
      <name val="Arial"/>
      <family val="2"/>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u/>
      <sz val="10"/>
      <color theme="10"/>
      <name val="Arial"/>
      <family val="2"/>
    </font>
    <font>
      <u/>
      <sz val="10"/>
      <color indexed="12"/>
      <name val="Arial"/>
      <family val="2"/>
    </font>
    <font>
      <u/>
      <sz val="11"/>
      <color theme="10"/>
      <name val="Calibri"/>
      <family val="2"/>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color theme="1"/>
      <name val="Calibri"/>
      <family val="2"/>
      <scheme val="minor"/>
    </font>
    <font>
      <u/>
      <sz val="10"/>
      <color theme="11"/>
      <name val="Arial"/>
      <family val="2"/>
    </font>
    <font>
      <u/>
      <sz val="12"/>
      <color indexed="12"/>
      <name val="Calibri"/>
      <family val="2"/>
    </font>
    <font>
      <sz val="8"/>
      <name val="Calibri"/>
      <family val="2"/>
      <scheme val="minor"/>
    </font>
    <font>
      <sz val="11.5"/>
      <name val="Calibri"/>
      <family val="2"/>
      <scheme val="minor"/>
    </font>
    <font>
      <b/>
      <sz val="14"/>
      <name val="Calibri"/>
      <family val="2"/>
      <scheme val="minor"/>
    </font>
    <font>
      <b/>
      <sz val="11.5"/>
      <name val="Calibri"/>
      <family val="2"/>
      <scheme val="minor"/>
    </font>
    <font>
      <i/>
      <sz val="12"/>
      <name val="Calibri"/>
      <family val="2"/>
      <scheme val="minor"/>
    </font>
    <font>
      <b/>
      <sz val="10"/>
      <name val="Arial"/>
      <family val="2"/>
    </font>
    <font>
      <sz val="10"/>
      <name val="Arial"/>
      <family val="2"/>
    </font>
    <font>
      <u/>
      <sz val="10"/>
      <color theme="10"/>
      <name val="Arial"/>
      <family val="2"/>
    </font>
    <font>
      <b/>
      <i/>
      <sz val="11.5"/>
      <name val="Calibri"/>
      <family val="2"/>
      <scheme val="minor"/>
    </font>
    <font>
      <sz val="11.5"/>
      <color theme="0"/>
      <name val="Calibri"/>
      <family val="2"/>
      <scheme val="minor"/>
    </font>
    <font>
      <b/>
      <sz val="11.5"/>
      <color theme="0"/>
      <name val="Calibri"/>
      <family val="2"/>
      <scheme val="minor"/>
    </font>
    <font>
      <b/>
      <sz val="16"/>
      <name val="Calibri"/>
      <family val="2"/>
      <scheme val="minor"/>
    </font>
    <font>
      <b/>
      <sz val="11.5"/>
      <color theme="1"/>
      <name val="Calibri"/>
      <family val="2"/>
      <scheme val="minor"/>
    </font>
    <font>
      <b/>
      <u/>
      <sz val="14"/>
      <name val="Calibri"/>
      <family val="2"/>
      <scheme val="minor"/>
    </font>
    <font>
      <u/>
      <sz val="11.5"/>
      <name val="Calibri"/>
      <family val="2"/>
      <scheme val="minor"/>
    </font>
    <font>
      <b/>
      <u/>
      <sz val="11.5"/>
      <name val="Calibri"/>
      <family val="2"/>
      <scheme val="minor"/>
    </font>
    <font>
      <i/>
      <sz val="11.5"/>
      <name val="Calibri"/>
      <family val="2"/>
      <scheme val="minor"/>
    </font>
    <font>
      <b/>
      <sz val="11.5"/>
      <color indexed="9"/>
      <name val="Calibri"/>
      <family val="2"/>
      <scheme val="minor"/>
    </font>
    <font>
      <u/>
      <sz val="11.5"/>
      <color theme="10"/>
      <name val="Calibri"/>
      <family val="2"/>
      <scheme val="minor"/>
    </font>
    <font>
      <u val="singleAccounting"/>
      <sz val="11.5"/>
      <name val="Calibri"/>
      <family val="2"/>
      <scheme val="minor"/>
    </font>
    <font>
      <b/>
      <u val="singleAccounting"/>
      <sz val="11.5"/>
      <name val="Calibri"/>
      <family val="2"/>
      <scheme val="minor"/>
    </font>
    <font>
      <sz val="11.5"/>
      <color indexed="8"/>
      <name val="Calibri"/>
      <family val="2"/>
      <scheme val="minor"/>
    </font>
    <font>
      <b/>
      <sz val="11.5"/>
      <color indexed="8"/>
      <name val="Calibri"/>
      <family val="2"/>
      <scheme val="minor"/>
    </font>
    <font>
      <sz val="14"/>
      <name val="Calibri"/>
      <family val="2"/>
      <scheme val="minor"/>
    </font>
    <font>
      <i/>
      <u/>
      <sz val="11.5"/>
      <color rgb="FFFF0000"/>
      <name val="Calibri"/>
      <family val="2"/>
      <scheme val="minor"/>
    </font>
    <font>
      <b/>
      <i/>
      <sz val="10"/>
      <name val="Arial"/>
      <family val="2"/>
    </font>
    <font>
      <sz val="11.5"/>
      <name val="Calibri"/>
      <family val="2"/>
    </font>
    <font>
      <b/>
      <sz val="11.5"/>
      <name val="Calibri"/>
      <family val="2"/>
    </font>
    <font>
      <sz val="11.5"/>
      <color rgb="FFFF0000"/>
      <name val="Calibri"/>
      <family val="2"/>
      <scheme val="minor"/>
    </font>
    <font>
      <b/>
      <sz val="11.5"/>
      <color rgb="FFFF0000"/>
      <name val="Calibri"/>
      <family val="2"/>
      <scheme val="minor"/>
    </font>
    <font>
      <b/>
      <sz val="12"/>
      <name val="Calibri"/>
      <family val="2"/>
      <scheme val="minor"/>
    </font>
    <font>
      <sz val="10"/>
      <name val="Calibri"/>
      <family val="2"/>
      <scheme val="minor"/>
    </font>
    <font>
      <b/>
      <sz val="14"/>
      <color theme="0"/>
      <name val="Calibri"/>
      <family val="2"/>
      <scheme val="minor"/>
    </font>
    <font>
      <b/>
      <sz val="16"/>
      <color theme="0"/>
      <name val="Calibri"/>
      <family val="2"/>
      <scheme val="minor"/>
    </font>
    <font>
      <b/>
      <sz val="11.5"/>
      <color theme="0"/>
      <name val="Calibri"/>
      <family val="2"/>
    </font>
    <font>
      <b/>
      <sz val="11.5"/>
      <color theme="1"/>
      <name val="Calibri"/>
      <family val="2"/>
    </font>
    <font>
      <sz val="12"/>
      <name val="Calibri"/>
      <family val="2"/>
      <scheme val="minor"/>
    </font>
    <font>
      <sz val="11"/>
      <color rgb="FF000000"/>
      <name val="Calibri"/>
      <family val="2"/>
      <scheme val="minor"/>
    </font>
    <font>
      <sz val="8"/>
      <color theme="1"/>
      <name val="Tahoma"/>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theme="1"/>
      <name val="Tahoma"/>
      <family val="2"/>
    </font>
    <font>
      <b/>
      <sz val="8"/>
      <color rgb="FF3F3F3F"/>
      <name val="Tahoma"/>
      <family val="2"/>
    </font>
    <font>
      <sz val="8"/>
      <color theme="3"/>
      <name val="Tahoma"/>
      <family val="2"/>
    </font>
    <font>
      <sz val="8"/>
      <color rgb="FFFF0000"/>
      <name val="Tahoma"/>
      <family val="2"/>
    </font>
    <font>
      <b/>
      <sz val="18"/>
      <name val="Calibri"/>
      <family val="2"/>
      <scheme val="minor"/>
    </font>
    <font>
      <b/>
      <sz val="10"/>
      <color theme="0"/>
      <name val="Arial"/>
      <family val="2"/>
    </font>
    <font>
      <b/>
      <sz val="10"/>
      <color theme="0"/>
      <name val="Calibri"/>
      <family val="2"/>
      <scheme val="minor"/>
    </font>
    <font>
      <sz val="10"/>
      <color theme="1"/>
      <name val="Calibri"/>
      <family val="2"/>
      <scheme val="minor"/>
    </font>
    <font>
      <sz val="10"/>
      <color theme="1"/>
      <name val="Calibri"/>
      <family val="2"/>
    </font>
    <font>
      <sz val="10"/>
      <color rgb="FF00B050"/>
      <name val="Arial"/>
      <family val="2"/>
    </font>
    <font>
      <sz val="10"/>
      <color theme="3"/>
      <name val="Arial"/>
      <family val="2"/>
    </font>
    <font>
      <sz val="8"/>
      <color rgb="FF000000"/>
      <name val="Tahoma"/>
      <family val="2"/>
    </font>
    <font>
      <i/>
      <sz val="11.5"/>
      <color indexed="8"/>
      <name val="Calibri"/>
      <family val="2"/>
      <scheme val="minor"/>
    </font>
    <font>
      <u/>
      <sz val="9"/>
      <color indexed="81"/>
      <name val="Tahoma"/>
      <family val="2"/>
    </font>
    <font>
      <i/>
      <u/>
      <sz val="11.5"/>
      <name val="Calibri"/>
      <family val="2"/>
      <scheme val="minor"/>
    </font>
    <font>
      <sz val="8"/>
      <color theme="0" tint="-0.499984740745262"/>
      <name val="Calibri"/>
      <family val="2"/>
      <scheme val="minor"/>
    </font>
    <font>
      <sz val="10"/>
      <name val="Times New Roman"/>
      <family val="1"/>
    </font>
  </fonts>
  <fills count="9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indexed="31"/>
        <bgColor indexed="64"/>
      </patternFill>
    </fill>
    <fill>
      <patternFill patternType="solid">
        <fgColor indexed="10"/>
        <bgColor indexed="64"/>
      </patternFill>
    </fill>
    <fill>
      <patternFill patternType="solid">
        <fgColor theme="3" tint="-0.499984740745262"/>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38"/>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21"/>
      </patternFill>
    </fill>
    <fill>
      <patternFill patternType="solid">
        <fgColor indexed="10"/>
        <bgColor indexed="60"/>
      </patternFill>
    </fill>
    <fill>
      <patternFill patternType="solid">
        <fgColor indexed="57"/>
        <bgColor indexed="38"/>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rgb="FFCCCCFF"/>
        <bgColor indexed="64"/>
      </patternFill>
    </fill>
    <fill>
      <patternFill patternType="solid">
        <fgColor theme="0"/>
        <bgColor indexed="64"/>
      </patternFill>
    </fill>
    <fill>
      <patternFill patternType="solid">
        <fgColor rgb="FFFFFF00"/>
        <bgColor indexed="64"/>
      </patternFill>
    </fill>
    <fill>
      <patternFill patternType="solid">
        <fgColor rgb="FFFFCC99"/>
        <bgColor indexed="64"/>
      </patternFill>
    </fill>
    <fill>
      <patternFill patternType="solid">
        <fgColor rgb="FFFFC000"/>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0000"/>
        <bgColor indexed="64"/>
      </patternFill>
    </fill>
    <fill>
      <patternFill patternType="solid">
        <fgColor rgb="FF00336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4" tint="0.59999389629810485"/>
        <bgColor theme="4" tint="0.59999389629810485"/>
      </patternFill>
    </fill>
    <fill>
      <patternFill patternType="solid">
        <fgColor theme="3"/>
        <bgColor indexed="64"/>
      </patternFill>
    </fill>
    <fill>
      <patternFill patternType="solid">
        <fgColor theme="6" tint="0.59999389629810485"/>
        <bgColor indexed="64"/>
      </patternFill>
    </fill>
    <fill>
      <patternFill patternType="solid">
        <fgColor theme="4" tint="0.79998168889431442"/>
        <bgColor theme="4" tint="0.79998168889431442"/>
      </patternFill>
    </fill>
  </fills>
  <borders count="3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23"/>
      </top>
      <bottom/>
      <diagonal/>
    </border>
    <border>
      <left style="thick">
        <color indexed="23"/>
      </left>
      <right/>
      <top/>
      <bottom/>
      <diagonal/>
    </border>
    <border>
      <left/>
      <right style="thick">
        <color indexed="23"/>
      </right>
      <top/>
      <bottom/>
      <diagonal/>
    </border>
    <border>
      <left style="thick">
        <color indexed="23"/>
      </left>
      <right/>
      <top style="thin">
        <color indexed="23"/>
      </top>
      <bottom/>
      <diagonal/>
    </border>
    <border>
      <left/>
      <right/>
      <top style="thin">
        <color indexed="23"/>
      </top>
      <bottom/>
      <diagonal/>
    </border>
    <border>
      <left style="thin">
        <color indexed="23"/>
      </left>
      <right/>
      <top style="thin">
        <color indexed="23"/>
      </top>
      <bottom/>
      <diagonal/>
    </border>
    <border>
      <left style="thick">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23"/>
      </left>
      <right/>
      <top/>
      <bottom style="thin">
        <color indexed="23"/>
      </bottom>
      <diagonal/>
    </border>
    <border>
      <left/>
      <right/>
      <top/>
      <bottom style="thin">
        <color indexed="55"/>
      </bottom>
      <diagonal/>
    </border>
    <border>
      <left style="thin">
        <color indexed="55"/>
      </left>
      <right style="thick">
        <color indexed="23"/>
      </right>
      <top style="thin">
        <color indexed="55"/>
      </top>
      <bottom style="thin">
        <color indexed="55"/>
      </bottom>
      <diagonal/>
    </border>
    <border>
      <left/>
      <right/>
      <top style="thin">
        <color indexed="55"/>
      </top>
      <bottom/>
      <diagonal/>
    </border>
    <border>
      <left/>
      <right/>
      <top style="thin">
        <color indexed="55"/>
      </top>
      <bottom style="thin">
        <color indexed="55"/>
      </bottom>
      <diagonal/>
    </border>
    <border>
      <left style="thick">
        <color indexed="23"/>
      </left>
      <right style="thin">
        <color indexed="22"/>
      </right>
      <top/>
      <bottom style="thick">
        <color indexed="23"/>
      </bottom>
      <diagonal/>
    </border>
    <border>
      <left/>
      <right/>
      <top/>
      <bottom style="thick">
        <color indexed="23"/>
      </bottom>
      <diagonal/>
    </border>
    <border>
      <left style="thin">
        <color indexed="22"/>
      </left>
      <right/>
      <top/>
      <bottom style="thick">
        <color indexed="23"/>
      </bottom>
      <diagonal/>
    </border>
    <border>
      <left style="thin">
        <color indexed="55"/>
      </left>
      <right style="thin">
        <color indexed="55"/>
      </right>
      <top style="thin">
        <color indexed="55"/>
      </top>
      <bottom style="thin">
        <color indexed="55"/>
      </bottom>
      <diagonal/>
    </border>
    <border>
      <left/>
      <right/>
      <top style="thin">
        <color indexed="23"/>
      </top>
      <bottom style="thin">
        <color indexed="23"/>
      </bottom>
      <diagonal/>
    </border>
    <border>
      <left/>
      <right style="thin">
        <color indexed="55"/>
      </right>
      <top style="thin">
        <color indexed="55"/>
      </top>
      <bottom style="thin">
        <color indexed="55"/>
      </bottom>
      <diagonal/>
    </border>
    <border>
      <left/>
      <right style="thick">
        <color indexed="23"/>
      </right>
      <top style="thin">
        <color indexed="23"/>
      </top>
      <bottom/>
      <diagonal/>
    </border>
    <border>
      <left/>
      <right style="thick">
        <color indexed="23"/>
      </right>
      <top/>
      <bottom style="thin">
        <color indexed="55"/>
      </bottom>
      <diagonal/>
    </border>
    <border>
      <left style="thin">
        <color indexed="23"/>
      </left>
      <right style="thick">
        <color indexed="23"/>
      </right>
      <top style="thin">
        <color indexed="55"/>
      </top>
      <bottom style="thin">
        <color indexed="55"/>
      </bottom>
      <diagonal/>
    </border>
    <border>
      <left/>
      <right style="thick">
        <color indexed="23"/>
      </right>
      <top style="thin">
        <color indexed="55"/>
      </top>
      <bottom/>
      <diagonal/>
    </border>
    <border>
      <left/>
      <right style="thick">
        <color indexed="23"/>
      </right>
      <top style="thin">
        <color indexed="55"/>
      </top>
      <bottom style="thin">
        <color indexed="55"/>
      </bottom>
      <diagonal/>
    </border>
    <border>
      <left style="thin">
        <color indexed="23"/>
      </left>
      <right style="thin">
        <color indexed="55"/>
      </right>
      <top style="thin">
        <color indexed="55"/>
      </top>
      <bottom style="thick">
        <color indexed="23"/>
      </bottom>
      <diagonal/>
    </border>
    <border>
      <left style="thin">
        <color indexed="23"/>
      </left>
      <right style="thick">
        <color indexed="23"/>
      </right>
      <top style="thin">
        <color indexed="55"/>
      </top>
      <bottom style="thick">
        <color indexed="23"/>
      </bottom>
      <diagonal/>
    </border>
    <border>
      <left style="thick">
        <color indexed="23"/>
      </left>
      <right/>
      <top style="thick">
        <color indexed="23"/>
      </top>
      <bottom/>
      <diagonal/>
    </border>
    <border>
      <left/>
      <right style="thick">
        <color indexed="23"/>
      </right>
      <top/>
      <bottom style="thin">
        <color indexed="23"/>
      </bottom>
      <diagonal/>
    </border>
    <border>
      <left style="thin">
        <color indexed="23"/>
      </left>
      <right/>
      <top style="thin">
        <color indexed="55"/>
      </top>
      <bottom style="thin">
        <color indexed="55"/>
      </bottom>
      <diagonal/>
    </border>
    <border>
      <left/>
      <right style="thin">
        <color indexed="23"/>
      </right>
      <top style="thin">
        <color indexed="23"/>
      </top>
      <bottom style="thin">
        <color indexed="23"/>
      </bottom>
      <diagonal/>
    </border>
    <border>
      <left/>
      <right style="thin">
        <color indexed="55"/>
      </right>
      <top style="thin">
        <color indexed="55"/>
      </top>
      <bottom style="thick">
        <color indexed="23"/>
      </bottom>
      <diagonal/>
    </border>
    <border>
      <left/>
      <right style="thin">
        <color indexed="23"/>
      </right>
      <top/>
      <bottom/>
      <diagonal/>
    </border>
    <border>
      <left style="thin">
        <color indexed="23"/>
      </left>
      <right style="thin">
        <color indexed="23"/>
      </right>
      <top/>
      <bottom style="thin">
        <color indexed="23"/>
      </bottom>
      <diagonal/>
    </border>
    <border>
      <left style="thin">
        <color indexed="23"/>
      </left>
      <right style="thin">
        <color indexed="23"/>
      </right>
      <top style="thin">
        <color indexed="55"/>
      </top>
      <bottom style="thin">
        <color indexed="55"/>
      </bottom>
      <diagonal/>
    </border>
    <border>
      <left/>
      <right style="thick">
        <color indexed="55"/>
      </right>
      <top style="thin">
        <color indexed="55"/>
      </top>
      <bottom style="thin">
        <color indexed="55"/>
      </bottom>
      <diagonal/>
    </border>
    <border>
      <left style="thick">
        <color indexed="23"/>
      </left>
      <right/>
      <top/>
      <bottom style="thick">
        <color indexed="23"/>
      </bottom>
      <diagonal/>
    </border>
    <border>
      <left/>
      <right style="thick">
        <color indexed="23"/>
      </right>
      <top style="thick">
        <color indexed="23"/>
      </top>
      <bottom/>
      <diagonal/>
    </border>
    <border>
      <left style="thin">
        <color indexed="23"/>
      </left>
      <right style="thin">
        <color indexed="23"/>
      </right>
      <top style="thin">
        <color indexed="55"/>
      </top>
      <bottom style="thin">
        <color indexed="23"/>
      </bottom>
      <diagonal/>
    </border>
    <border>
      <left style="medium">
        <color auto="1"/>
      </left>
      <right/>
      <top/>
      <bottom/>
      <diagonal/>
    </border>
    <border>
      <left/>
      <right style="medium">
        <color auto="1"/>
      </right>
      <top/>
      <bottom/>
      <diagonal/>
    </border>
    <border>
      <left/>
      <right style="thin">
        <color auto="1"/>
      </right>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3"/>
      </left>
      <right style="thin">
        <color indexed="55"/>
      </right>
      <top style="thin">
        <color indexed="55"/>
      </top>
      <bottom style="thin">
        <color indexed="55"/>
      </bottom>
      <diagonal/>
    </border>
    <border>
      <left/>
      <right/>
      <top style="medium">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23"/>
      </top>
      <bottom/>
      <diagonal/>
    </border>
    <border>
      <left style="medium">
        <color indexed="23"/>
      </left>
      <right/>
      <top/>
      <bottom/>
      <diagonal/>
    </border>
    <border>
      <left style="medium">
        <color indexed="23"/>
      </left>
      <right/>
      <top/>
      <bottom style="thin">
        <color indexed="23"/>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23"/>
      </left>
      <right style="thin">
        <color indexed="23"/>
      </right>
      <top style="thin">
        <color indexed="23"/>
      </top>
      <bottom style="thin">
        <color indexed="55"/>
      </bottom>
      <diagonal/>
    </border>
    <border>
      <left style="thin">
        <color indexed="23"/>
      </left>
      <right style="thin">
        <color indexed="55"/>
      </right>
      <top style="thin">
        <color indexed="23"/>
      </top>
      <bottom style="thin">
        <color indexed="55"/>
      </bottom>
      <diagonal/>
    </border>
    <border>
      <left style="medium">
        <color indexed="23"/>
      </left>
      <right style="medium">
        <color indexed="23"/>
      </right>
      <top/>
      <bottom/>
      <diagonal/>
    </border>
    <border>
      <left/>
      <right/>
      <top/>
      <bottom style="double">
        <color indexed="64"/>
      </bottom>
      <diagonal/>
    </border>
    <border>
      <left style="thick">
        <color indexed="23"/>
      </left>
      <right style="medium">
        <color indexed="23"/>
      </right>
      <top style="medium">
        <color indexed="23"/>
      </top>
      <bottom/>
      <diagonal/>
    </border>
    <border>
      <left style="thick">
        <color indexed="23"/>
      </left>
      <right style="medium">
        <color indexed="23"/>
      </right>
      <top/>
      <bottom/>
      <diagonal/>
    </border>
    <border>
      <left style="medium">
        <color indexed="23"/>
      </left>
      <right/>
      <top style="thin">
        <color indexed="23"/>
      </top>
      <bottom/>
      <diagonal/>
    </border>
    <border>
      <left/>
      <right style="medium">
        <color indexed="23"/>
      </right>
      <top style="thin">
        <color indexed="23"/>
      </top>
      <bottom/>
      <diagonal/>
    </border>
    <border>
      <left/>
      <right style="medium">
        <color indexed="23"/>
      </right>
      <top/>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style="thin">
        <color indexed="55"/>
      </top>
      <bottom style="thin">
        <color indexed="55"/>
      </bottom>
      <diagonal/>
    </border>
    <border>
      <left style="medium">
        <color indexed="23"/>
      </left>
      <right style="thin">
        <color indexed="55"/>
      </right>
      <top style="thin">
        <color indexed="55"/>
      </top>
      <bottom style="thin">
        <color indexed="55"/>
      </bottom>
      <diagonal/>
    </border>
    <border>
      <left style="thick">
        <color indexed="23"/>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ck">
        <color indexed="23"/>
      </left>
      <right/>
      <top style="thin">
        <color indexed="55"/>
      </top>
      <bottom style="thin">
        <color indexed="55"/>
      </bottom>
      <diagonal/>
    </border>
    <border>
      <left style="medium">
        <color indexed="23"/>
      </left>
      <right style="thin">
        <color indexed="55"/>
      </right>
      <top style="thin">
        <color indexed="55"/>
      </top>
      <bottom style="thick">
        <color indexed="23"/>
      </bottom>
      <diagonal/>
    </border>
    <border>
      <left/>
      <right style="thick">
        <color indexed="23"/>
      </right>
      <top style="thin">
        <color indexed="55"/>
      </top>
      <bottom style="thick">
        <color indexed="23"/>
      </bottom>
      <diagonal/>
    </border>
    <border>
      <left style="thick">
        <color indexed="23"/>
      </left>
      <right style="medium">
        <color indexed="23"/>
      </right>
      <top/>
      <bottom style="medium">
        <color indexed="23"/>
      </bottom>
      <diagonal/>
    </border>
    <border>
      <left/>
      <right/>
      <top style="thick">
        <color indexed="55"/>
      </top>
      <bottom/>
      <diagonal/>
    </border>
    <border>
      <left style="thin">
        <color indexed="55"/>
      </left>
      <right/>
      <top/>
      <bottom/>
      <diagonal/>
    </border>
    <border>
      <left style="thick">
        <color indexed="23"/>
      </left>
      <right style="thin">
        <color indexed="55"/>
      </right>
      <top style="thin">
        <color indexed="55"/>
      </top>
      <bottom style="thick">
        <color indexed="23"/>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55"/>
      </right>
      <top/>
      <bottom/>
      <diagonal/>
    </border>
    <border>
      <left style="thick">
        <color indexed="23"/>
      </left>
      <right style="thin">
        <color indexed="23"/>
      </right>
      <top/>
      <bottom/>
      <diagonal/>
    </border>
    <border>
      <left style="thin">
        <color indexed="23"/>
      </left>
      <right style="medium">
        <color indexed="23"/>
      </right>
      <top/>
      <bottom/>
      <diagonal/>
    </border>
    <border>
      <left style="medium">
        <color indexed="23"/>
      </left>
      <right style="thick">
        <color indexed="23"/>
      </right>
      <top/>
      <bottom/>
      <diagonal/>
    </border>
    <border>
      <left style="thin">
        <color indexed="23"/>
      </left>
      <right/>
      <top/>
      <bottom/>
      <diagonal/>
    </border>
    <border>
      <left style="thick">
        <color indexed="23"/>
      </left>
      <right style="thin">
        <color indexed="23"/>
      </right>
      <top/>
      <bottom style="thin">
        <color indexed="23"/>
      </bottom>
      <diagonal/>
    </border>
    <border>
      <left style="medium">
        <color indexed="23"/>
      </left>
      <right style="thin">
        <color indexed="55"/>
      </right>
      <top/>
      <bottom style="thin">
        <color indexed="55"/>
      </bottom>
      <diagonal/>
    </border>
    <border>
      <left style="thin">
        <color indexed="23"/>
      </left>
      <right style="medium">
        <color indexed="23"/>
      </right>
      <top/>
      <bottom style="thin">
        <color indexed="23"/>
      </bottom>
      <diagonal/>
    </border>
    <border>
      <left style="medium">
        <color indexed="23"/>
      </left>
      <right style="thick">
        <color indexed="23"/>
      </right>
      <top/>
      <bottom style="thin">
        <color indexed="23"/>
      </bottom>
      <diagonal/>
    </border>
    <border>
      <left/>
      <right style="medium">
        <color indexed="23"/>
      </right>
      <top style="thin">
        <color indexed="55"/>
      </top>
      <bottom style="thin">
        <color indexed="55"/>
      </bottom>
      <diagonal/>
    </border>
    <border>
      <left style="thick">
        <color indexed="23"/>
      </left>
      <right style="thin">
        <color indexed="23"/>
      </right>
      <top style="thin">
        <color indexed="55"/>
      </top>
      <bottom style="thin">
        <color indexed="55"/>
      </bottom>
      <diagonal/>
    </border>
    <border>
      <left style="thin">
        <color indexed="23"/>
      </left>
      <right style="medium">
        <color indexed="23"/>
      </right>
      <top style="thin">
        <color indexed="23"/>
      </top>
      <bottom style="thin">
        <color indexed="23"/>
      </bottom>
      <diagonal/>
    </border>
    <border>
      <left/>
      <right style="medium">
        <color indexed="55"/>
      </right>
      <top style="thin">
        <color indexed="55"/>
      </top>
      <bottom style="thin">
        <color indexed="55"/>
      </bottom>
      <diagonal/>
    </border>
    <border>
      <left style="thick">
        <color indexed="64"/>
      </left>
      <right style="thick">
        <color indexed="64"/>
      </right>
      <top style="thick">
        <color indexed="64"/>
      </top>
      <bottom style="thick">
        <color indexed="64"/>
      </bottom>
      <diagonal/>
    </border>
    <border>
      <left style="thin">
        <color indexed="23"/>
      </left>
      <right style="medium">
        <color indexed="23"/>
      </right>
      <top style="thin">
        <color indexed="55"/>
      </top>
      <bottom style="thin">
        <color indexed="55"/>
      </bottom>
      <diagonal/>
    </border>
    <border>
      <left style="medium">
        <color indexed="23"/>
      </left>
      <right style="thick">
        <color indexed="23"/>
      </right>
      <top style="thin">
        <color indexed="55"/>
      </top>
      <bottom style="thin">
        <color indexed="55"/>
      </bottom>
      <diagonal/>
    </border>
    <border>
      <left style="thin">
        <color indexed="23"/>
      </left>
      <right style="medium">
        <color indexed="55"/>
      </right>
      <top style="thin">
        <color indexed="55"/>
      </top>
      <bottom style="thin">
        <color indexed="55"/>
      </bottom>
      <diagonal/>
    </border>
    <border>
      <left style="medium">
        <color indexed="23"/>
      </left>
      <right style="thin">
        <color indexed="23"/>
      </right>
      <top style="thin">
        <color indexed="55"/>
      </top>
      <bottom style="thin">
        <color indexed="55"/>
      </bottom>
      <diagonal/>
    </border>
    <border>
      <left style="thin">
        <color indexed="23"/>
      </left>
      <right style="medium">
        <color indexed="23"/>
      </right>
      <top style="thin">
        <color indexed="23"/>
      </top>
      <bottom style="thin">
        <color indexed="55"/>
      </bottom>
      <diagonal/>
    </border>
    <border>
      <left style="thin">
        <color indexed="23"/>
      </left>
      <right style="medium">
        <color indexed="55"/>
      </right>
      <top style="thin">
        <color indexed="55"/>
      </top>
      <bottom style="thick">
        <color indexed="23"/>
      </bottom>
      <diagonal/>
    </border>
    <border>
      <left style="thick">
        <color indexed="23"/>
      </left>
      <right/>
      <top style="thin">
        <color indexed="55"/>
      </top>
      <bottom style="thick">
        <color indexed="55"/>
      </bottom>
      <diagonal/>
    </border>
    <border>
      <left style="thin">
        <color indexed="23"/>
      </left>
      <right/>
      <top style="thin">
        <color indexed="55"/>
      </top>
      <bottom style="thick">
        <color indexed="55"/>
      </bottom>
      <diagonal/>
    </border>
    <border>
      <left style="thin">
        <color indexed="23"/>
      </left>
      <right style="medium">
        <color indexed="23"/>
      </right>
      <top style="thin">
        <color indexed="55"/>
      </top>
      <bottom style="thick">
        <color indexed="55"/>
      </bottom>
      <diagonal/>
    </border>
    <border>
      <left style="medium">
        <color indexed="23"/>
      </left>
      <right/>
      <top style="thin">
        <color indexed="55"/>
      </top>
      <bottom style="thick">
        <color indexed="55"/>
      </bottom>
      <diagonal/>
    </border>
    <border>
      <left style="thin">
        <color indexed="23"/>
      </left>
      <right style="medium">
        <color indexed="55"/>
      </right>
      <top style="thin">
        <color indexed="55"/>
      </top>
      <bottom style="thick">
        <color indexed="55"/>
      </bottom>
      <diagonal/>
    </border>
    <border>
      <left/>
      <right style="thick">
        <color indexed="23"/>
      </right>
      <top style="thin">
        <color indexed="55"/>
      </top>
      <bottom style="thick">
        <color indexed="55"/>
      </bottom>
      <diagonal/>
    </border>
    <border>
      <left style="thin">
        <color indexed="55"/>
      </left>
      <right style="medium">
        <color indexed="55"/>
      </right>
      <top style="thin">
        <color indexed="55"/>
      </top>
      <bottom style="thin">
        <color indexed="55"/>
      </bottom>
      <diagonal/>
    </border>
    <border>
      <left style="thin">
        <color indexed="55"/>
      </left>
      <right style="medium">
        <color indexed="23"/>
      </right>
      <top style="thin">
        <color indexed="55"/>
      </top>
      <bottom style="thin">
        <color indexed="55"/>
      </bottom>
      <diagonal/>
    </border>
    <border>
      <left/>
      <right style="medium">
        <color indexed="23"/>
      </right>
      <top/>
      <bottom style="medium">
        <color indexed="23"/>
      </bottom>
      <diagonal/>
    </border>
    <border>
      <left style="thick">
        <color indexed="23"/>
      </left>
      <right/>
      <top/>
      <bottom style="thin">
        <color indexed="55"/>
      </bottom>
      <diagonal/>
    </border>
    <border>
      <left style="medium">
        <color indexed="55"/>
      </left>
      <right style="thin">
        <color indexed="23"/>
      </right>
      <top style="thin">
        <color indexed="55"/>
      </top>
      <bottom style="thin">
        <color indexed="23"/>
      </bottom>
      <diagonal/>
    </border>
    <border>
      <left style="medium">
        <color indexed="55"/>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ck">
        <color indexed="55"/>
      </bottom>
      <diagonal/>
    </border>
    <border>
      <left style="thin">
        <color indexed="55"/>
      </left>
      <right/>
      <top/>
      <bottom style="thick">
        <color indexed="55"/>
      </bottom>
      <diagonal/>
    </border>
    <border>
      <left/>
      <right/>
      <top/>
      <bottom style="thick">
        <color indexed="55"/>
      </bottom>
      <diagonal/>
    </border>
    <border>
      <left style="medium">
        <color indexed="55"/>
      </left>
      <right style="thin">
        <color indexed="55"/>
      </right>
      <top style="thin">
        <color indexed="55"/>
      </top>
      <bottom style="thick">
        <color indexed="55"/>
      </bottom>
      <diagonal/>
    </border>
    <border>
      <left style="thin">
        <color indexed="55"/>
      </left>
      <right style="thick">
        <color indexed="23"/>
      </right>
      <top style="thin">
        <color indexed="55"/>
      </top>
      <bottom style="thick">
        <color indexed="55"/>
      </bottom>
      <diagonal/>
    </border>
    <border>
      <left style="thick">
        <color indexed="23"/>
      </left>
      <right/>
      <top/>
      <bottom style="medium">
        <color indexed="64"/>
      </bottom>
      <diagonal/>
    </border>
    <border>
      <left style="medium">
        <color indexed="23"/>
      </left>
      <right style="thin">
        <color indexed="55"/>
      </right>
      <top style="thin">
        <color indexed="55"/>
      </top>
      <bottom style="medium">
        <color indexed="64"/>
      </bottom>
      <diagonal/>
    </border>
    <border>
      <left style="thin">
        <color indexed="23"/>
      </left>
      <right style="thin">
        <color indexed="55"/>
      </right>
      <top style="thin">
        <color indexed="55"/>
      </top>
      <bottom style="medium">
        <color indexed="64"/>
      </bottom>
      <diagonal/>
    </border>
    <border>
      <left style="thin">
        <color indexed="23"/>
      </left>
      <right style="medium">
        <color indexed="55"/>
      </right>
      <top style="thin">
        <color indexed="55"/>
      </top>
      <bottom style="medium">
        <color indexed="64"/>
      </bottom>
      <diagonal/>
    </border>
    <border>
      <left/>
      <right style="thin">
        <color indexed="55"/>
      </right>
      <top style="thin">
        <color indexed="55"/>
      </top>
      <bottom style="medium">
        <color indexed="64"/>
      </bottom>
      <diagonal/>
    </border>
    <border>
      <left style="thin">
        <color indexed="23"/>
      </left>
      <right style="thick">
        <color indexed="23"/>
      </right>
      <top style="thin">
        <color indexed="55"/>
      </top>
      <bottom style="medium">
        <color indexed="64"/>
      </bottom>
      <diagonal/>
    </border>
    <border>
      <left style="thick">
        <color indexed="23"/>
      </left>
      <right style="thin">
        <color indexed="55"/>
      </right>
      <top style="thin">
        <color indexed="55"/>
      </top>
      <bottom style="medium">
        <color indexed="64"/>
      </bottom>
      <diagonal/>
    </border>
    <border>
      <left style="thin">
        <color indexed="23"/>
      </left>
      <right style="medium">
        <color indexed="23"/>
      </right>
      <top style="thin">
        <color indexed="55"/>
      </top>
      <bottom style="medium">
        <color indexed="64"/>
      </bottom>
      <diagonal/>
    </border>
    <border>
      <left/>
      <right style="thick">
        <color indexed="23"/>
      </right>
      <top style="thin">
        <color indexed="55"/>
      </top>
      <bottom style="medium">
        <color indexed="64"/>
      </bottom>
      <diagonal/>
    </border>
    <border>
      <left/>
      <right style="medium">
        <color indexed="23"/>
      </right>
      <top/>
      <bottom style="medium">
        <color indexed="64"/>
      </bottom>
      <diagonal/>
    </border>
    <border>
      <left/>
      <right style="thin">
        <color indexed="64"/>
      </right>
      <top/>
      <bottom style="thin">
        <color indexed="64"/>
      </bottom>
      <diagonal/>
    </border>
    <border>
      <left/>
      <right style="medium">
        <color indexed="23"/>
      </right>
      <top style="thick">
        <color indexed="23"/>
      </top>
      <bottom/>
      <diagonal/>
    </border>
    <border>
      <left/>
      <right style="thick">
        <color indexed="55"/>
      </right>
      <top style="thick">
        <color indexed="23"/>
      </top>
      <bottom/>
      <diagonal/>
    </border>
    <border>
      <left style="thick">
        <color indexed="55"/>
      </left>
      <right/>
      <top style="thick">
        <color indexed="23"/>
      </top>
      <bottom/>
      <diagonal/>
    </border>
    <border>
      <left/>
      <right style="thick">
        <color indexed="55"/>
      </right>
      <top/>
      <bottom/>
      <diagonal/>
    </border>
    <border>
      <left style="thick">
        <color indexed="55"/>
      </left>
      <right/>
      <top style="thick">
        <color indexed="55"/>
      </top>
      <bottom/>
      <diagonal/>
    </border>
    <border>
      <left style="thick">
        <color indexed="55"/>
      </left>
      <right/>
      <top/>
      <bottom/>
      <diagonal/>
    </border>
    <border>
      <left/>
      <right style="thick">
        <color indexed="23"/>
      </right>
      <top style="medium">
        <color indexed="23"/>
      </top>
      <bottom/>
      <diagonal/>
    </border>
    <border>
      <left/>
      <right style="medium">
        <color indexed="23"/>
      </right>
      <top/>
      <bottom style="thick">
        <color indexed="23"/>
      </bottom>
      <diagonal/>
    </border>
    <border>
      <left style="thin">
        <color indexed="55"/>
      </left>
      <right style="medium">
        <color indexed="23"/>
      </right>
      <top/>
      <bottom/>
      <diagonal/>
    </border>
    <border>
      <left style="thin">
        <color auto="1"/>
      </left>
      <right style="thin">
        <color auto="1"/>
      </right>
      <top/>
      <bottom/>
      <diagonal/>
    </border>
    <border>
      <left/>
      <right style="medium">
        <color indexed="64"/>
      </right>
      <top/>
      <bottom/>
      <diagonal/>
    </border>
    <border>
      <left style="thin">
        <color auto="1"/>
      </left>
      <right style="medium">
        <color indexed="64"/>
      </right>
      <top style="medium">
        <color indexed="64"/>
      </top>
      <bottom style="thin">
        <color auto="1"/>
      </bottom>
      <diagonal/>
    </border>
    <border>
      <left/>
      <right style="thick">
        <color indexed="23"/>
      </right>
      <top style="thin">
        <color indexed="55"/>
      </top>
      <bottom style="thin">
        <color indexed="23"/>
      </bottom>
      <diagonal/>
    </border>
    <border>
      <left/>
      <right style="thick">
        <color indexed="23"/>
      </right>
      <top/>
      <bottom style="thick">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23"/>
      </top>
      <bottom/>
      <diagonal/>
    </border>
    <border>
      <left style="medium">
        <color indexed="23"/>
      </left>
      <right/>
      <top style="thin">
        <color indexed="23"/>
      </top>
      <bottom/>
      <diagonal/>
    </border>
    <border>
      <left/>
      <right style="medium">
        <color indexed="23"/>
      </right>
      <top style="thin">
        <color indexed="55"/>
      </top>
      <bottom/>
      <diagonal/>
    </border>
    <border>
      <left/>
      <right style="thick">
        <color indexed="23"/>
      </right>
      <top style="thin">
        <color indexed="55"/>
      </top>
      <bottom/>
      <diagonal/>
    </border>
    <border>
      <left style="thick">
        <color indexed="23"/>
      </left>
      <right style="thin">
        <color indexed="23"/>
      </right>
      <top style="thin">
        <color indexed="23"/>
      </top>
      <bottom/>
      <diagonal/>
    </border>
    <border>
      <left/>
      <right style="thin">
        <color indexed="23"/>
      </right>
      <top style="thin">
        <color indexed="23"/>
      </top>
      <bottom/>
      <diagonal/>
    </border>
    <border>
      <left style="thin">
        <color indexed="23"/>
      </left>
      <right style="medium">
        <color indexed="23"/>
      </right>
      <top style="thin">
        <color indexed="23"/>
      </top>
      <bottom/>
      <diagonal/>
    </border>
    <border>
      <left style="medium">
        <color indexed="23"/>
      </left>
      <right style="thick">
        <color indexed="23"/>
      </right>
      <top style="thin">
        <color indexed="23"/>
      </top>
      <bottom/>
      <diagonal/>
    </border>
    <border>
      <left style="medium">
        <color indexed="23"/>
      </left>
      <right style="thin">
        <color indexed="23"/>
      </right>
      <top/>
      <bottom style="thin">
        <color indexed="23"/>
      </bottom>
      <diagonal/>
    </border>
    <border>
      <left style="thick">
        <color indexed="23"/>
      </left>
      <right/>
      <top style="thin">
        <color indexed="23"/>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medium">
        <color indexed="23"/>
      </left>
      <right/>
      <top style="thin">
        <color indexed="55"/>
      </top>
      <bottom style="thin">
        <color indexed="55"/>
      </bottom>
      <diagonal/>
    </border>
    <border>
      <left style="medium">
        <color indexed="23"/>
      </left>
      <right style="thin">
        <color indexed="55"/>
      </right>
      <top style="thin">
        <color indexed="55"/>
      </top>
      <bottom style="thin">
        <color indexed="55"/>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5"/>
      </top>
      <bottom style="thin">
        <color indexed="55"/>
      </bottom>
      <diagonal/>
    </border>
    <border>
      <left style="thin">
        <color auto="1"/>
      </left>
      <right style="thin">
        <color auto="1"/>
      </right>
      <top style="thin">
        <color auto="1"/>
      </top>
      <bottom style="thin">
        <color auto="1"/>
      </bottom>
      <diagonal/>
    </border>
    <border>
      <left style="medium">
        <color indexed="55"/>
      </left>
      <right style="thin">
        <color indexed="55"/>
      </right>
      <top style="thin">
        <color indexed="55"/>
      </top>
      <bottom style="thin">
        <color indexed="55"/>
      </bottom>
      <diagonal/>
    </border>
    <border>
      <left style="thick">
        <color indexed="23"/>
      </left>
      <right style="medium">
        <color indexed="23"/>
      </right>
      <top style="thick">
        <color indexed="23"/>
      </top>
      <bottom/>
      <diagonal/>
    </border>
    <border>
      <left/>
      <right style="medium">
        <color indexed="23"/>
      </right>
      <top style="thin">
        <color indexed="23"/>
      </top>
      <bottom/>
      <diagonal/>
    </border>
    <border>
      <left/>
      <right style="thick">
        <color indexed="23"/>
      </right>
      <top style="thin">
        <color indexed="23"/>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style="thick">
        <color indexed="23"/>
      </right>
      <top style="thin">
        <color indexed="55"/>
      </top>
      <bottom style="thin">
        <color indexed="55"/>
      </bottom>
      <diagonal/>
    </border>
    <border>
      <left style="thick">
        <color indexed="23"/>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medium">
        <color indexed="23"/>
      </left>
      <right style="medium">
        <color indexed="23"/>
      </right>
      <top style="thin">
        <color indexed="55"/>
      </top>
      <bottom style="thin">
        <color indexed="55"/>
      </bottom>
      <diagonal/>
    </border>
    <border>
      <left/>
      <right style="thick">
        <color indexed="23"/>
      </right>
      <top style="thin">
        <color indexed="55"/>
      </top>
      <bottom style="thin">
        <color indexed="55"/>
      </bottom>
      <diagonal/>
    </border>
    <border>
      <left style="thin">
        <color indexed="55"/>
      </left>
      <right style="thin">
        <color indexed="55"/>
      </right>
      <top style="thin">
        <color indexed="55"/>
      </top>
      <bottom/>
      <diagonal/>
    </border>
    <border>
      <left style="thin">
        <color indexed="23"/>
      </left>
      <right style="thin">
        <color indexed="55"/>
      </right>
      <top style="thin">
        <color indexed="55"/>
      </top>
      <bottom style="thin">
        <color indexed="55"/>
      </bottom>
      <diagonal/>
    </border>
    <border>
      <left style="thin">
        <color indexed="23"/>
      </left>
      <right style="thick">
        <color indexed="23"/>
      </right>
      <top style="thin">
        <color indexed="55"/>
      </top>
      <bottom style="thin">
        <color indexed="55"/>
      </bottom>
      <diagonal/>
    </border>
    <border>
      <left style="thin">
        <color indexed="23"/>
      </left>
      <right/>
      <top style="thin">
        <color indexed="55"/>
      </top>
      <bottom style="thin">
        <color indexed="55"/>
      </bottom>
      <diagonal/>
    </border>
    <border>
      <left style="thick">
        <color indexed="23"/>
      </left>
      <right/>
      <top style="thin">
        <color indexed="55"/>
      </top>
      <bottom style="thin">
        <color indexed="55"/>
      </bottom>
      <diagonal/>
    </border>
    <border>
      <left/>
      <right/>
      <top style="thin">
        <color indexed="55"/>
      </top>
      <bottom/>
      <diagonal/>
    </border>
    <border>
      <left/>
      <right style="thick">
        <color indexed="55"/>
      </right>
      <top style="thin">
        <color indexed="55"/>
      </top>
      <bottom style="thin">
        <color indexed="55"/>
      </bottom>
      <diagonal/>
    </border>
    <border>
      <left style="thick">
        <color indexed="55"/>
      </left>
      <right/>
      <top style="thin">
        <color indexed="55"/>
      </top>
      <bottom style="thin">
        <color indexed="55"/>
      </bottom>
      <diagonal/>
    </border>
    <border>
      <left/>
      <right/>
      <top style="thin">
        <color indexed="55"/>
      </top>
      <bottom style="thick">
        <color indexed="23"/>
      </bottom>
      <diagonal/>
    </border>
    <border>
      <left style="medium">
        <color indexed="23"/>
      </left>
      <right/>
      <top style="thin">
        <color indexed="55"/>
      </top>
      <bottom style="thick">
        <color indexed="23"/>
      </bottom>
      <diagonal/>
    </border>
    <border>
      <left style="thin">
        <color indexed="23"/>
      </left>
      <right style="thin">
        <color indexed="23"/>
      </right>
      <top style="thin">
        <color indexed="55"/>
      </top>
      <bottom style="thick">
        <color indexed="23"/>
      </bottom>
      <diagonal/>
    </border>
    <border>
      <left style="medium">
        <color indexed="23"/>
      </left>
      <right style="thin">
        <color indexed="55"/>
      </right>
      <top style="thin">
        <color indexed="55"/>
      </top>
      <bottom style="thick">
        <color indexed="23"/>
      </bottom>
      <diagonal/>
    </border>
    <border>
      <left style="thin">
        <color indexed="23"/>
      </left>
      <right style="thin">
        <color indexed="55"/>
      </right>
      <top style="thin">
        <color indexed="55"/>
      </top>
      <bottom style="thick">
        <color indexed="23"/>
      </bottom>
      <diagonal/>
    </border>
    <border>
      <left/>
      <right style="thick">
        <color indexed="55"/>
      </right>
      <top style="thin">
        <color indexed="55"/>
      </top>
      <bottom style="thick">
        <color indexed="23"/>
      </bottom>
      <diagonal/>
    </border>
    <border>
      <left style="thick">
        <color indexed="55"/>
      </left>
      <right style="thin">
        <color indexed="55"/>
      </right>
      <top style="thin">
        <color indexed="55"/>
      </top>
      <bottom/>
      <diagonal/>
    </border>
    <border>
      <left style="thin">
        <color indexed="23"/>
      </left>
      <right style="thin">
        <color indexed="55"/>
      </right>
      <top style="thin">
        <color indexed="55"/>
      </top>
      <bottom/>
      <diagonal/>
    </border>
    <border>
      <left style="medium">
        <color indexed="23"/>
      </left>
      <right style="medium">
        <color indexed="23"/>
      </right>
      <top style="thin">
        <color indexed="55"/>
      </top>
      <bottom/>
      <diagonal/>
    </border>
    <border>
      <left/>
      <right style="thick">
        <color indexed="23"/>
      </right>
      <top style="thin">
        <color indexed="55"/>
      </top>
      <bottom style="medium">
        <color indexed="23"/>
      </bottom>
      <diagonal/>
    </border>
    <border>
      <left style="thin">
        <color indexed="55"/>
      </left>
      <right style="medium">
        <color indexed="55"/>
      </right>
      <top style="thin">
        <color indexed="55"/>
      </top>
      <bottom style="thin">
        <color indexed="55"/>
      </bottom>
      <diagonal/>
    </border>
    <border>
      <left style="thin">
        <color indexed="23"/>
      </left>
      <right style="thick">
        <color indexed="55"/>
      </right>
      <top style="thin">
        <color indexed="55"/>
      </top>
      <bottom style="thick">
        <color indexed="23"/>
      </bottom>
      <diagonal/>
    </border>
    <border>
      <left style="thick">
        <color indexed="55"/>
      </left>
      <right style="thin">
        <color indexed="55"/>
      </right>
      <top style="thin">
        <color indexed="55"/>
      </top>
      <bottom style="thick">
        <color indexed="23"/>
      </bottom>
      <diagonal/>
    </border>
    <border>
      <left style="thin">
        <color indexed="23"/>
      </left>
      <right/>
      <top style="thin">
        <color indexed="55"/>
      </top>
      <bottom style="thick">
        <color indexed="23"/>
      </bottom>
      <diagonal/>
    </border>
    <border>
      <left style="medium">
        <color indexed="23"/>
      </left>
      <right style="medium">
        <color indexed="23"/>
      </right>
      <top style="thin">
        <color indexed="55"/>
      </top>
      <bottom style="thick">
        <color indexed="23"/>
      </bottom>
      <diagonal/>
    </border>
    <border>
      <left/>
      <right style="thick">
        <color indexed="23"/>
      </right>
      <top style="thin">
        <color indexed="55"/>
      </top>
      <bottom style="thick">
        <color indexed="23"/>
      </bottom>
      <diagonal/>
    </border>
    <border>
      <left/>
      <right style="medium">
        <color indexed="23"/>
      </right>
      <top style="thin">
        <color indexed="55"/>
      </top>
      <bottom style="thin">
        <color indexed="55"/>
      </bottom>
      <diagonal/>
    </border>
    <border>
      <left/>
      <right style="medium">
        <color indexed="23"/>
      </right>
      <top style="thin">
        <color indexed="55"/>
      </top>
      <bottom style="thick">
        <color indexed="23"/>
      </bottom>
      <diagonal/>
    </border>
    <border>
      <left style="thin">
        <color indexed="55"/>
      </left>
      <right/>
      <top style="thin">
        <color indexed="55"/>
      </top>
      <bottom style="thick">
        <color indexed="23"/>
      </bottom>
      <diagonal/>
    </border>
    <border>
      <left style="thin">
        <color indexed="55"/>
      </left>
      <right style="thick">
        <color indexed="23"/>
      </right>
      <top style="thin">
        <color indexed="55"/>
      </top>
      <bottom style="thick">
        <color indexed="23"/>
      </bottom>
      <diagonal/>
    </border>
    <border>
      <left style="thick">
        <color indexed="23"/>
      </left>
      <right style="medium">
        <color indexed="23"/>
      </right>
      <top/>
      <bottom style="thick">
        <color indexed="23"/>
      </bottom>
      <diagonal/>
    </border>
    <border>
      <left style="thick">
        <color indexed="55"/>
      </left>
      <right/>
      <top/>
      <bottom style="thin">
        <color indexed="55"/>
      </bottom>
      <diagonal/>
    </border>
    <border>
      <left style="thin">
        <color theme="0"/>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ck">
        <color indexed="23"/>
      </top>
      <bottom style="thin">
        <color indexed="23"/>
      </bottom>
      <diagonal/>
    </border>
    <border>
      <left/>
      <right style="thick">
        <color indexed="23"/>
      </right>
      <top style="thick">
        <color indexed="23"/>
      </top>
      <bottom style="thin">
        <color indexed="23"/>
      </bottom>
      <diagonal/>
    </border>
    <border>
      <left/>
      <right style="thin">
        <color indexed="64"/>
      </right>
      <top style="thin">
        <color indexed="64"/>
      </top>
      <bottom/>
      <diagonal/>
    </border>
    <border>
      <left style="medium">
        <color indexed="23"/>
      </left>
      <right style="medium">
        <color indexed="23"/>
      </right>
      <top style="thin">
        <color indexed="23"/>
      </top>
      <bottom/>
      <diagonal/>
    </border>
    <border>
      <left style="medium">
        <color indexed="23"/>
      </left>
      <right style="medium">
        <color indexed="23"/>
      </right>
      <top style="thin">
        <color indexed="23"/>
      </top>
      <bottom style="thin">
        <color indexed="23"/>
      </bottom>
      <diagonal/>
    </border>
    <border>
      <left style="thin">
        <color indexed="23"/>
      </left>
      <right style="thin">
        <color indexed="23"/>
      </right>
      <top style="thin">
        <color indexed="55"/>
      </top>
      <bottom style="thin">
        <color indexed="55"/>
      </bottom>
      <diagonal/>
    </border>
    <border>
      <left style="thin">
        <color indexed="23"/>
      </left>
      <right style="thin">
        <color indexed="23"/>
      </right>
      <top style="thin">
        <color indexed="55"/>
      </top>
      <bottom style="thin">
        <color indexed="23"/>
      </bottom>
      <diagonal/>
    </border>
    <border>
      <left style="thin">
        <color indexed="64"/>
      </left>
      <right/>
      <top style="thin">
        <color indexed="64"/>
      </top>
      <bottom/>
      <diagonal/>
    </border>
    <border>
      <left style="thin">
        <color indexed="64"/>
      </left>
      <right/>
      <top/>
      <bottom style="thin">
        <color indexed="64"/>
      </bottom>
      <diagonal/>
    </border>
    <border>
      <left style="thin">
        <color indexed="23"/>
      </left>
      <right style="thin">
        <color indexed="55"/>
      </right>
      <top style="thin">
        <color indexed="23"/>
      </top>
      <bottom style="thin">
        <color indexed="23"/>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55"/>
      </right>
      <top style="thin">
        <color indexed="23"/>
      </top>
      <bottom style="thin">
        <color indexed="23"/>
      </bottom>
      <diagonal/>
    </border>
    <border>
      <left/>
      <right style="thin">
        <color indexed="55"/>
      </right>
      <top style="thin">
        <color indexed="23"/>
      </top>
      <bottom style="thin">
        <color indexed="55"/>
      </bottom>
      <diagonal/>
    </border>
    <border>
      <left/>
      <right style="thin">
        <color indexed="23"/>
      </right>
      <top style="thin">
        <color indexed="55"/>
      </top>
      <bottom style="thin">
        <color indexed="23"/>
      </bottom>
      <diagonal/>
    </border>
    <border>
      <left style="thin">
        <color indexed="23"/>
      </left>
      <right style="medium">
        <color indexed="23"/>
      </right>
      <top style="thin">
        <color indexed="55"/>
      </top>
      <bottom style="thin">
        <color indexed="23"/>
      </bottom>
      <diagonal/>
    </border>
    <border>
      <left/>
      <right style="thin">
        <color indexed="23"/>
      </right>
      <top style="thin">
        <color indexed="55"/>
      </top>
      <bottom style="thin">
        <color indexed="55"/>
      </bottom>
      <diagonal/>
    </border>
    <border>
      <left/>
      <right style="thin">
        <color indexed="23"/>
      </right>
      <top style="thin">
        <color indexed="55"/>
      </top>
      <bottom style="thick">
        <color indexed="23"/>
      </bottom>
      <diagonal/>
    </border>
    <border>
      <left style="thin">
        <color indexed="23"/>
      </left>
      <right style="medium">
        <color indexed="23"/>
      </right>
      <top style="thin">
        <color indexed="55"/>
      </top>
      <bottom style="thick">
        <color indexed="23"/>
      </bottom>
      <diagonal/>
    </border>
    <border>
      <left style="thin">
        <color indexed="23"/>
      </left>
      <right style="medium">
        <color indexed="55"/>
      </right>
      <top style="thin">
        <color indexed="55"/>
      </top>
      <bottom style="thin">
        <color indexed="23"/>
      </bottom>
      <diagonal/>
    </border>
    <border>
      <left style="thin">
        <color indexed="23"/>
      </left>
      <right style="thin">
        <color indexed="55"/>
      </right>
      <top style="thin">
        <color indexed="55"/>
      </top>
      <bottom style="thin">
        <color indexed="23"/>
      </bottom>
      <diagonal/>
    </border>
    <border>
      <left style="thin">
        <color indexed="55"/>
      </left>
      <right style="thin">
        <color indexed="55"/>
      </right>
      <top style="thin">
        <color indexed="55"/>
      </top>
      <bottom style="thin">
        <color indexed="23"/>
      </bottom>
      <diagonal/>
    </border>
    <border>
      <left style="thin">
        <color indexed="55"/>
      </left>
      <right style="medium">
        <color indexed="55"/>
      </right>
      <top style="thin">
        <color indexed="55"/>
      </top>
      <bottom style="thin">
        <color indexed="23"/>
      </bottom>
      <diagonal/>
    </border>
    <border>
      <left style="thin">
        <color indexed="55"/>
      </left>
      <right style="thin">
        <color indexed="55"/>
      </right>
      <top style="thin">
        <color indexed="55"/>
      </top>
      <bottom style="thick">
        <color indexed="23"/>
      </bottom>
      <diagonal/>
    </border>
    <border>
      <left style="thin">
        <color indexed="55"/>
      </left>
      <right style="medium">
        <color indexed="55"/>
      </right>
      <top style="thin">
        <color indexed="55"/>
      </top>
      <bottom style="thick">
        <color indexed="23"/>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bottom style="thin">
        <color indexed="64"/>
      </bottom>
      <diagonal/>
    </border>
    <border>
      <left style="thin">
        <color indexed="23"/>
      </left>
      <right style="thick">
        <color indexed="23"/>
      </right>
      <top style="thin">
        <color indexed="55"/>
      </top>
      <bottom style="thin">
        <color indexed="23"/>
      </bottom>
      <diagonal/>
    </border>
    <border>
      <left style="thin">
        <color indexed="23"/>
      </left>
      <right style="thick">
        <color indexed="23"/>
      </right>
      <top style="thin">
        <color indexed="55"/>
      </top>
      <bottom style="thick">
        <color indexed="23"/>
      </bottom>
      <diagonal/>
    </border>
    <border>
      <left style="thick">
        <color indexed="23"/>
      </left>
      <right style="thin">
        <color indexed="23"/>
      </right>
      <top style="thin">
        <color indexed="55"/>
      </top>
      <bottom style="thin">
        <color indexed="23"/>
      </bottom>
      <diagonal/>
    </border>
    <border>
      <left style="thick">
        <color indexed="23"/>
      </left>
      <right style="thin">
        <color indexed="23"/>
      </right>
      <top style="thin">
        <color indexed="55"/>
      </top>
      <bottom style="thick">
        <color indexed="23"/>
      </bottom>
      <diagonal/>
    </border>
    <border>
      <left/>
      <right style="thin">
        <color indexed="55"/>
      </right>
      <top style="thin">
        <color indexed="55"/>
      </top>
      <bottom style="thick">
        <color indexed="23"/>
      </bottom>
      <diagonal/>
    </border>
    <border>
      <left style="thin">
        <color indexed="64"/>
      </left>
      <right style="thin">
        <color indexed="64"/>
      </right>
      <top style="thin">
        <color indexed="64"/>
      </top>
      <bottom style="thin">
        <color indexed="64"/>
      </bottom>
      <diagonal/>
    </border>
    <border>
      <left style="medium">
        <color indexed="23"/>
      </left>
      <right style="thin">
        <color indexed="23"/>
      </right>
      <top style="thin">
        <color indexed="23"/>
      </top>
      <bottom style="thin">
        <color indexed="23"/>
      </bottom>
      <diagonal/>
    </border>
    <border>
      <left style="medium">
        <color indexed="23"/>
      </left>
      <right style="thin">
        <color indexed="23"/>
      </right>
      <top style="thin">
        <color indexed="23"/>
      </top>
      <bottom style="thin">
        <color indexed="55"/>
      </bottom>
      <diagonal/>
    </border>
    <border>
      <left style="thin">
        <color indexed="23"/>
      </left>
      <right style="thick">
        <color indexed="23"/>
      </right>
      <top style="thin">
        <color indexed="23"/>
      </top>
      <bottom style="thin">
        <color indexed="55"/>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s>
  <cellStyleXfs count="675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26" fillId="22" borderId="0">
      <alignment horizontal="left"/>
    </xf>
    <xf numFmtId="0" fontId="27" fillId="22" borderId="0">
      <alignment horizontal="right"/>
    </xf>
    <xf numFmtId="0" fontId="7" fillId="23" borderId="0">
      <alignment horizontal="center"/>
    </xf>
    <xf numFmtId="0" fontId="27" fillId="22" borderId="0">
      <alignment horizontal="right"/>
    </xf>
    <xf numFmtId="0" fontId="28" fillId="23" borderId="0">
      <alignment horizontal="left"/>
    </xf>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6" fillId="22" borderId="0">
      <alignment horizontal="left"/>
    </xf>
    <xf numFmtId="0" fontId="29" fillId="23" borderId="0">
      <alignment horizontal="left"/>
    </xf>
    <xf numFmtId="0" fontId="20" fillId="0" borderId="6" applyNumberFormat="0" applyFill="0" applyAlignment="0" applyProtection="0"/>
    <xf numFmtId="0" fontId="21" fillId="24" borderId="0" applyNumberFormat="0" applyBorder="0" applyAlignment="0" applyProtection="0"/>
    <xf numFmtId="0" fontId="30" fillId="0" borderId="0"/>
    <xf numFmtId="0" fontId="39" fillId="0" borderId="0"/>
    <xf numFmtId="0" fontId="9" fillId="25" borderId="7" applyNumberFormat="0" applyFont="0" applyAlignment="0" applyProtection="0"/>
    <xf numFmtId="0" fontId="22" fillId="20" borderId="8" applyNumberFormat="0" applyAlignment="0" applyProtection="0"/>
    <xf numFmtId="164" fontId="31" fillId="23" borderId="0">
      <alignment horizontal="right"/>
    </xf>
    <xf numFmtId="0" fontId="32" fillId="26" borderId="0">
      <alignment horizontal="center"/>
    </xf>
    <xf numFmtId="0" fontId="26" fillId="27" borderId="0"/>
    <xf numFmtId="0" fontId="33" fillId="23" borderId="0" applyBorder="0">
      <alignment horizontal="centerContinuous"/>
    </xf>
    <xf numFmtId="0" fontId="34" fillId="27" borderId="0" applyBorder="0">
      <alignment horizontal="centerContinuous"/>
    </xf>
    <xf numFmtId="0" fontId="29" fillId="24" borderId="0">
      <alignment horizontal="center"/>
    </xf>
    <xf numFmtId="49" fontId="6" fillId="23" borderId="0">
      <alignment horizontal="center"/>
    </xf>
    <xf numFmtId="0" fontId="27" fillId="22" borderId="0">
      <alignment horizontal="center"/>
    </xf>
    <xf numFmtId="0" fontId="27" fillId="22" borderId="0">
      <alignment horizontal="centerContinuous"/>
    </xf>
    <xf numFmtId="0" fontId="8" fillId="23" borderId="0">
      <alignment horizontal="left"/>
    </xf>
    <xf numFmtId="49" fontId="8" fillId="23" borderId="0">
      <alignment horizontal="center"/>
    </xf>
    <xf numFmtId="0" fontId="26" fillId="22" borderId="0">
      <alignment horizontal="left"/>
    </xf>
    <xf numFmtId="49" fontId="8" fillId="23" borderId="0">
      <alignment horizontal="left"/>
    </xf>
    <xf numFmtId="0" fontId="26" fillId="22" borderId="0">
      <alignment horizontal="centerContinuous"/>
    </xf>
    <xf numFmtId="0" fontId="26" fillId="22" borderId="0">
      <alignment horizontal="right"/>
    </xf>
    <xf numFmtId="49" fontId="29" fillId="23" borderId="0">
      <alignment horizontal="left"/>
    </xf>
    <xf numFmtId="0" fontId="27" fillId="22" borderId="0">
      <alignment horizontal="right"/>
    </xf>
    <xf numFmtId="0" fontId="8" fillId="7" borderId="0">
      <alignment horizontal="center"/>
    </xf>
    <xf numFmtId="0" fontId="35" fillId="7" borderId="0">
      <alignment horizontal="center"/>
    </xf>
    <xf numFmtId="0" fontId="40" fillId="0" borderId="0" applyNumberFormat="0" applyBorder="0" applyAlignment="0"/>
    <xf numFmtId="0" fontId="23" fillId="0" borderId="0" applyNumberFormat="0" applyFill="0" applyBorder="0" applyAlignment="0" applyProtection="0"/>
    <xf numFmtId="0" fontId="24" fillId="0" borderId="9" applyNumberFormat="0" applyFill="0" applyAlignment="0" applyProtection="0"/>
    <xf numFmtId="0" fontId="36" fillId="23" borderId="0">
      <alignment horizontal="center"/>
    </xf>
    <xf numFmtId="0" fontId="25" fillId="0" borderId="0" applyNumberFormat="0" applyFill="0" applyBorder="0" applyAlignment="0" applyProtection="0"/>
    <xf numFmtId="0" fontId="44" fillId="0" borderId="0"/>
    <xf numFmtId="43" fontId="44" fillId="0" borderId="0" applyFont="0" applyFill="0" applyBorder="0" applyAlignment="0" applyProtection="0"/>
    <xf numFmtId="44" fontId="44" fillId="0" borderId="0" applyFont="0" applyFill="0" applyBorder="0" applyAlignment="0" applyProtection="0"/>
    <xf numFmtId="0" fontId="30" fillId="0" borderId="0"/>
    <xf numFmtId="166" fontId="26" fillId="30" borderId="0">
      <alignment vertical="center"/>
    </xf>
    <xf numFmtId="0" fontId="43" fillId="0" borderId="0">
      <alignment vertical="center"/>
    </xf>
    <xf numFmtId="43"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0" fontId="45" fillId="30" borderId="0">
      <alignment horizontal="center" vertical="center"/>
    </xf>
    <xf numFmtId="0" fontId="30" fillId="0" borderId="0"/>
    <xf numFmtId="0" fontId="30" fillId="0" borderId="0"/>
    <xf numFmtId="0" fontId="46" fillId="0" borderId="0"/>
    <xf numFmtId="0" fontId="30" fillId="0" borderId="0"/>
    <xf numFmtId="0" fontId="30" fillId="0" borderId="0"/>
    <xf numFmtId="0" fontId="30" fillId="0" borderId="0"/>
    <xf numFmtId="9" fontId="30" fillId="0" borderId="0" applyFont="0" applyFill="0" applyBorder="0" applyAlignment="0" applyProtection="0"/>
    <xf numFmtId="9" fontId="30" fillId="0" borderId="0" applyFont="0" applyFill="0" applyBorder="0" applyAlignment="0" applyProtection="0"/>
    <xf numFmtId="0" fontId="45" fillId="30" borderId="0"/>
    <xf numFmtId="41" fontId="46" fillId="0" borderId="0">
      <alignment horizontal="right" vertical="center"/>
    </xf>
    <xf numFmtId="166" fontId="46" fillId="0" borderId="0">
      <alignment horizontal="left" vertical="center" indent="1"/>
    </xf>
    <xf numFmtId="43" fontId="47" fillId="0" borderId="0" applyFont="0" applyFill="0" applyBorder="0" applyAlignment="0" applyProtection="0"/>
    <xf numFmtId="0" fontId="48" fillId="0" borderId="0"/>
    <xf numFmtId="0" fontId="39" fillId="0" borderId="0"/>
    <xf numFmtId="9" fontId="48" fillId="0" borderId="0" applyFont="0" applyFill="0" applyBorder="0" applyAlignment="0" applyProtection="0"/>
    <xf numFmtId="9" fontId="3" fillId="0" borderId="0" applyFont="0" applyFill="0" applyBorder="0" applyAlignment="0" applyProtection="0"/>
    <xf numFmtId="0" fontId="9" fillId="2" borderId="0" applyNumberFormat="0" applyBorder="0" applyAlignment="0" applyProtection="0"/>
    <xf numFmtId="0" fontId="9" fillId="32" borderId="0" applyNumberFormat="0" applyBorder="0" applyAlignment="0" applyProtection="0"/>
    <xf numFmtId="0" fontId="9" fillId="3" borderId="0" applyNumberFormat="0" applyBorder="0" applyAlignment="0" applyProtection="0"/>
    <xf numFmtId="0" fontId="9" fillId="33" borderId="0" applyNumberFormat="0" applyBorder="0" applyAlignment="0" applyProtection="0"/>
    <xf numFmtId="0" fontId="9" fillId="4" borderId="0" applyNumberFormat="0" applyBorder="0" applyAlignment="0" applyProtection="0"/>
    <xf numFmtId="0" fontId="9" fillId="34" borderId="0" applyNumberFormat="0" applyBorder="0" applyAlignment="0" applyProtection="0"/>
    <xf numFmtId="0" fontId="9" fillId="5" borderId="0" applyNumberFormat="0" applyBorder="0" applyAlignment="0" applyProtection="0"/>
    <xf numFmtId="0" fontId="9" fillId="35" borderId="0" applyNumberFormat="0" applyBorder="0" applyAlignment="0" applyProtection="0"/>
    <xf numFmtId="0" fontId="9" fillId="6" borderId="0" applyNumberFormat="0" applyBorder="0" applyAlignment="0" applyProtection="0"/>
    <xf numFmtId="0" fontId="9" fillId="36" borderId="0" applyNumberFormat="0" applyBorder="0" applyAlignment="0" applyProtection="0"/>
    <xf numFmtId="0" fontId="9" fillId="7" borderId="0" applyNumberFormat="0" applyBorder="0" applyAlignment="0" applyProtection="0"/>
    <xf numFmtId="0" fontId="9" fillId="37" borderId="0" applyNumberFormat="0" applyBorder="0" applyAlignment="0" applyProtection="0"/>
    <xf numFmtId="0" fontId="49" fillId="2"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9" fillId="8" borderId="0" applyNumberFormat="0" applyBorder="0" applyAlignment="0" applyProtection="0"/>
    <xf numFmtId="0" fontId="9" fillId="38" borderId="0" applyNumberFormat="0" applyBorder="0" applyAlignment="0" applyProtection="0"/>
    <xf numFmtId="0" fontId="9" fillId="9" borderId="0" applyNumberFormat="0" applyBorder="0" applyAlignment="0" applyProtection="0"/>
    <xf numFmtId="0" fontId="9" fillId="39" borderId="0" applyNumberFormat="0" applyBorder="0" applyAlignment="0" applyProtection="0"/>
    <xf numFmtId="0" fontId="9" fillId="10" borderId="0" applyNumberFormat="0" applyBorder="0" applyAlignment="0" applyProtection="0"/>
    <xf numFmtId="0" fontId="9" fillId="40" borderId="0" applyNumberFormat="0" applyBorder="0" applyAlignment="0" applyProtection="0"/>
    <xf numFmtId="0" fontId="9" fillId="5" borderId="0" applyNumberFormat="0" applyBorder="0" applyAlignment="0" applyProtection="0"/>
    <xf numFmtId="0" fontId="9" fillId="35" borderId="0" applyNumberFormat="0" applyBorder="0" applyAlignment="0" applyProtection="0"/>
    <xf numFmtId="0" fontId="9" fillId="8" borderId="0" applyNumberFormat="0" applyBorder="0" applyAlignment="0" applyProtection="0"/>
    <xf numFmtId="0" fontId="9" fillId="38" borderId="0" applyNumberFormat="0" applyBorder="0" applyAlignment="0" applyProtection="0"/>
    <xf numFmtId="0" fontId="9" fillId="11" borderId="0" applyNumberFormat="0" applyBorder="0" applyAlignment="0" applyProtection="0"/>
    <xf numFmtId="0" fontId="9" fillId="41"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5" borderId="0" applyNumberFormat="0" applyBorder="0" applyAlignment="0" applyProtection="0"/>
    <xf numFmtId="0" fontId="49" fillId="8" borderId="0" applyNumberFormat="0" applyBorder="0" applyAlignment="0" applyProtection="0"/>
    <xf numFmtId="0" fontId="49" fillId="11" borderId="0" applyNumberFormat="0" applyBorder="0" applyAlignment="0" applyProtection="0"/>
    <xf numFmtId="0" fontId="10" fillId="12" borderId="0" applyNumberFormat="0" applyBorder="0" applyAlignment="0" applyProtection="0"/>
    <xf numFmtId="0" fontId="10" fillId="42" borderId="0" applyNumberFormat="0" applyBorder="0" applyAlignment="0" applyProtection="0"/>
    <xf numFmtId="0" fontId="10" fillId="9" borderId="0" applyNumberFormat="0" applyBorder="0" applyAlignment="0" applyProtection="0"/>
    <xf numFmtId="0" fontId="10" fillId="39" borderId="0" applyNumberFormat="0" applyBorder="0" applyAlignment="0" applyProtection="0"/>
    <xf numFmtId="0" fontId="10" fillId="10" borderId="0" applyNumberFormat="0" applyBorder="0" applyAlignment="0" applyProtection="0"/>
    <xf numFmtId="0" fontId="10" fillId="40" borderId="0" applyNumberFormat="0" applyBorder="0" applyAlignment="0" applyProtection="0"/>
    <xf numFmtId="0" fontId="10" fillId="13" borderId="0" applyNumberFormat="0" applyBorder="0" applyAlignment="0" applyProtection="0"/>
    <xf numFmtId="0" fontId="10" fillId="43" borderId="0" applyNumberFormat="0" applyBorder="0" applyAlignment="0" applyProtection="0"/>
    <xf numFmtId="0" fontId="10" fillId="14" borderId="0" applyNumberFormat="0" applyBorder="0" applyAlignment="0" applyProtection="0"/>
    <xf numFmtId="0" fontId="10" fillId="44" borderId="0" applyNumberFormat="0" applyBorder="0" applyAlignment="0" applyProtection="0"/>
    <xf numFmtId="0" fontId="10" fillId="15" borderId="0" applyNumberFormat="0" applyBorder="0" applyAlignment="0" applyProtection="0"/>
    <xf numFmtId="0" fontId="10" fillId="45"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10" fillId="16" borderId="0" applyNumberFormat="0" applyBorder="0" applyAlignment="0" applyProtection="0"/>
    <xf numFmtId="0" fontId="10" fillId="46" borderId="0" applyNumberFormat="0" applyBorder="0" applyAlignment="0" applyProtection="0"/>
    <xf numFmtId="0" fontId="10" fillId="17" borderId="0" applyNumberFormat="0" applyBorder="0" applyAlignment="0" applyProtection="0"/>
    <xf numFmtId="0" fontId="10" fillId="47" borderId="0" applyNumberFormat="0" applyBorder="0" applyAlignment="0" applyProtection="0"/>
    <xf numFmtId="0" fontId="10" fillId="18" borderId="0" applyNumberFormat="0" applyBorder="0" applyAlignment="0" applyProtection="0"/>
    <xf numFmtId="0" fontId="10" fillId="48" borderId="0" applyNumberFormat="0" applyBorder="0" applyAlignment="0" applyProtection="0"/>
    <xf numFmtId="0" fontId="10" fillId="13" borderId="0" applyNumberFormat="0" applyBorder="0" applyAlignment="0" applyProtection="0"/>
    <xf numFmtId="0" fontId="10" fillId="43" borderId="0" applyNumberFormat="0" applyBorder="0" applyAlignment="0" applyProtection="0"/>
    <xf numFmtId="0" fontId="10" fillId="14" borderId="0" applyNumberFormat="0" applyBorder="0" applyAlignment="0" applyProtection="0"/>
    <xf numFmtId="0" fontId="10" fillId="44" borderId="0" applyNumberFormat="0" applyBorder="0" applyAlignment="0" applyProtection="0"/>
    <xf numFmtId="0" fontId="10" fillId="19" borderId="0" applyNumberFormat="0" applyBorder="0" applyAlignment="0" applyProtection="0"/>
    <xf numFmtId="0" fontId="10" fillId="49"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11" fillId="3" borderId="0" applyNumberFormat="0" applyBorder="0" applyAlignment="0" applyProtection="0"/>
    <xf numFmtId="0" fontId="11" fillId="3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51"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168" fontId="4" fillId="0" borderId="0" applyFont="0" applyFill="0" applyBorder="0" applyAlignment="0" applyProtection="0"/>
    <xf numFmtId="0" fontId="53" fillId="4" borderId="0" applyNumberFormat="0" applyBorder="0" applyAlignment="0" applyProtection="0"/>
    <xf numFmtId="0" fontId="14" fillId="0" borderId="0" applyNumberFormat="0" applyFill="0" applyBorder="0" applyAlignment="0" applyProtection="0"/>
    <xf numFmtId="169" fontId="4" fillId="0" borderId="0" applyFont="0" applyFill="0" applyBorder="0" applyAlignment="0" applyProtection="0"/>
    <xf numFmtId="0" fontId="15" fillId="4" borderId="0" applyNumberFormat="0" applyBorder="0" applyAlignment="0" applyProtection="0"/>
    <xf numFmtId="0" fontId="15" fillId="3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57" fillId="0" borderId="6" applyNumberFormat="0" applyFill="0" applyAlignment="0" applyProtection="0"/>
    <xf numFmtId="0" fontId="58" fillId="21" borderId="2" applyNumberFormat="0" applyAlignment="0" applyProtection="0"/>
    <xf numFmtId="0" fontId="20" fillId="0" borderId="6" applyNumberFormat="0" applyFill="0" applyAlignment="0" applyProtection="0"/>
    <xf numFmtId="0" fontId="59" fillId="0" borderId="3" applyNumberFormat="0" applyFill="0" applyAlignment="0" applyProtection="0"/>
    <xf numFmtId="0" fontId="60" fillId="0" borderId="4"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21" fillId="24" borderId="0" applyNumberFormat="0" applyBorder="0" applyAlignment="0" applyProtection="0"/>
    <xf numFmtId="0" fontId="21" fillId="52" borderId="0" applyNumberFormat="0" applyBorder="0" applyAlignment="0" applyProtection="0"/>
    <xf numFmtId="0" fontId="62" fillId="24" borderId="0" applyNumberFormat="0" applyBorder="0" applyAlignment="0" applyProtection="0"/>
    <xf numFmtId="0" fontId="4" fillId="0" borderId="0"/>
    <xf numFmtId="0" fontId="48" fillId="0" borderId="0"/>
    <xf numFmtId="0" fontId="4" fillId="0" borderId="0"/>
    <xf numFmtId="0" fontId="4" fillId="0" borderId="0"/>
    <xf numFmtId="0" fontId="4" fillId="0" borderId="0"/>
    <xf numFmtId="0" fontId="3" fillId="0" borderId="0"/>
    <xf numFmtId="0" fontId="39" fillId="0" borderId="0"/>
    <xf numFmtId="0" fontId="3" fillId="0" borderId="0"/>
    <xf numFmtId="0" fontId="4" fillId="0" borderId="0"/>
    <xf numFmtId="0" fontId="46" fillId="0" borderId="0"/>
    <xf numFmtId="0" fontId="3" fillId="0" borderId="0"/>
    <xf numFmtId="0" fontId="3" fillId="0" borderId="0"/>
    <xf numFmtId="0" fontId="4" fillId="0" borderId="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9" fontId="9" fillId="0" borderId="0" applyFont="0" applyFill="0" applyBorder="0" applyAlignment="0" applyProtection="0"/>
    <xf numFmtId="0" fontId="32" fillId="0" borderId="0" applyNumberFormat="0" applyBorder="0" applyAlignment="0"/>
    <xf numFmtId="0" fontId="32" fillId="0" borderId="0" applyNumberFormat="0" applyBorder="0" applyAlignment="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5" fillId="0" borderId="0" applyNumberFormat="0" applyFill="0" applyBorder="0" applyAlignment="0" applyProtection="0"/>
    <xf numFmtId="0" fontId="66" fillId="0" borderId="0" applyNumberFormat="0" applyFill="0" applyBorder="0" applyAlignment="0" applyProtection="0"/>
    <xf numFmtId="49" fontId="4" fillId="0" borderId="0" applyFon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67" fillId="0" borderId="0" applyNumberFormat="0" applyFill="0" applyBorder="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25" fillId="0" borderId="0" applyNumberFormat="0" applyFill="0" applyBorder="0" applyAlignment="0" applyProtection="0"/>
    <xf numFmtId="0" fontId="68" fillId="3" borderId="0" applyNumberFormat="0" applyBorder="0" applyAlignment="0" applyProtection="0"/>
    <xf numFmtId="0" fontId="69" fillId="0" borderId="0"/>
    <xf numFmtId="43" fontId="69" fillId="0" borderId="0" applyFont="0" applyFill="0" applyBorder="0" applyAlignment="0" applyProtection="0"/>
    <xf numFmtId="9" fontId="69" fillId="0" borderId="0" applyFont="0" applyFill="0" applyBorder="0" applyAlignment="0" applyProtection="0"/>
    <xf numFmtId="0" fontId="48" fillId="0" borderId="0"/>
    <xf numFmtId="0" fontId="4" fillId="0" borderId="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170" fontId="4" fillId="0" borderId="0" applyFill="0" applyBorder="0" applyAlignment="0" applyProtection="0"/>
    <xf numFmtId="0" fontId="71" fillId="0" borderId="0" applyNumberFormat="0" applyFill="0" applyBorder="0" applyAlignment="0" applyProtection="0"/>
    <xf numFmtId="0" fontId="79" fillId="0" borderId="0" applyNumberFormat="0" applyFill="0" applyBorder="0" applyAlignment="0" applyProtection="0">
      <alignment vertical="top"/>
      <protection locked="0"/>
    </xf>
    <xf numFmtId="43" fontId="78" fillId="0" borderId="0" applyFont="0" applyFill="0" applyBorder="0" applyAlignment="0" applyProtection="0"/>
    <xf numFmtId="0" fontId="48" fillId="0" borderId="0"/>
    <xf numFmtId="9" fontId="48" fillId="0" borderId="0" applyFont="0" applyFill="0" applyBorder="0" applyAlignment="0" applyProtection="0"/>
    <xf numFmtId="0" fontId="31" fillId="0" borderId="0" applyNumberFormat="0" applyBorder="0" applyAlignment="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20" borderId="215" applyNumberFormat="0" applyAlignment="0" applyProtection="0"/>
    <xf numFmtId="0" fontId="12" fillId="20" borderId="199"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9" fillId="7" borderId="199" applyNumberFormat="0" applyAlignment="0" applyProtection="0"/>
    <xf numFmtId="0" fontId="9" fillId="25" borderId="200" applyNumberFormat="0" applyFont="0" applyAlignment="0" applyProtection="0"/>
    <xf numFmtId="0" fontId="22" fillId="20" borderId="201" applyNumberFormat="0" applyAlignment="0" applyProtection="0"/>
    <xf numFmtId="0" fontId="24" fillId="0" borderId="202" applyNumberFormat="0" applyFill="0" applyAlignment="0" applyProtection="0"/>
    <xf numFmtId="43" fontId="39" fillId="0" borderId="0" applyFont="0" applyFill="0" applyBorder="0" applyAlignment="0" applyProtection="0"/>
    <xf numFmtId="44" fontId="39" fillId="0" borderId="0" applyFont="0" applyFill="0" applyBorder="0" applyAlignment="0" applyProtection="0"/>
    <xf numFmtId="0" fontId="4" fillId="0" borderId="0"/>
    <xf numFmtId="0" fontId="12" fillId="20" borderId="215" applyNumberFormat="0" applyAlignment="0" applyProtection="0"/>
    <xf numFmtId="0" fontId="12" fillId="20" borderId="215"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2" fillId="20" borderId="215" applyNumberFormat="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4" fillId="0" borderId="218"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2" fillId="20" borderId="217" applyNumberFormat="0" applyAlignment="0" applyProtection="0"/>
    <xf numFmtId="0" fontId="9" fillId="25" borderId="216" applyNumberFormat="0" applyFont="0" applyAlignment="0" applyProtection="0"/>
    <xf numFmtId="0" fontId="19" fillId="7"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54" fillId="0" borderId="0" applyNumberFormat="0" applyFill="0" applyBorder="0" applyAlignment="0" applyProtection="0">
      <alignment vertical="top"/>
      <protection locked="0"/>
    </xf>
    <xf numFmtId="43" fontId="4" fillId="0" borderId="0" applyFont="0" applyFill="0" applyBorder="0" applyAlignment="0" applyProtection="0"/>
    <xf numFmtId="0" fontId="109" fillId="0" borderId="0"/>
    <xf numFmtId="0" fontId="12" fillId="20" borderId="215" applyNumberFormat="0" applyAlignment="0" applyProtection="0"/>
    <xf numFmtId="0" fontId="110" fillId="0" borderId="0"/>
    <xf numFmtId="43" fontId="110" fillId="0" borderId="0" applyFont="0" applyFill="0" applyBorder="0" applyAlignment="0" applyProtection="0"/>
    <xf numFmtId="41" fontId="110" fillId="0" borderId="0" applyFont="0" applyFill="0" applyBorder="0" applyAlignment="0" applyProtection="0"/>
    <xf numFmtId="44" fontId="110" fillId="0" borderId="0" applyFont="0" applyFill="0" applyBorder="0" applyAlignment="0" applyProtection="0"/>
    <xf numFmtId="42" fontId="110" fillId="0" borderId="0" applyFont="0" applyFill="0" applyBorder="0" applyAlignment="0" applyProtection="0"/>
    <xf numFmtId="9" fontId="110" fillId="0" borderId="0" applyFont="0" applyFill="0" applyBorder="0" applyAlignment="0" applyProtection="0"/>
    <xf numFmtId="0" fontId="123" fillId="0" borderId="0" applyNumberFormat="0" applyFill="0" applyBorder="0" applyAlignment="0" applyProtection="0"/>
    <xf numFmtId="0" fontId="117" fillId="0" borderId="206" applyNumberFormat="0" applyFill="0" applyAlignment="0" applyProtection="0"/>
    <xf numFmtId="0" fontId="117" fillId="0" borderId="207" applyNumberFormat="0" applyFill="0" applyAlignment="0" applyProtection="0"/>
    <xf numFmtId="0" fontId="117" fillId="0" borderId="208" applyNumberFormat="0" applyFill="0" applyAlignment="0" applyProtection="0"/>
    <xf numFmtId="0" fontId="117" fillId="0" borderId="0" applyNumberFormat="0" applyFill="0" applyBorder="0" applyAlignment="0" applyProtection="0"/>
    <xf numFmtId="0" fontId="116" fillId="63" borderId="0" applyNumberFormat="0" applyBorder="0" applyAlignment="0" applyProtection="0"/>
    <xf numFmtId="0" fontId="112" fillId="64" borderId="0" applyNumberFormat="0" applyBorder="0" applyAlignment="0" applyProtection="0"/>
    <xf numFmtId="0" fontId="120" fillId="65" borderId="0" applyNumberFormat="0" applyBorder="0" applyAlignment="0" applyProtection="0"/>
    <xf numFmtId="0" fontId="118" fillId="66" borderId="209" applyNumberFormat="0" applyAlignment="0" applyProtection="0"/>
    <xf numFmtId="0" fontId="122" fillId="67" borderId="210" applyNumberFormat="0" applyAlignment="0" applyProtection="0"/>
    <xf numFmtId="0" fontId="113" fillId="67" borderId="209" applyNumberFormat="0" applyAlignment="0" applyProtection="0"/>
    <xf numFmtId="0" fontId="119" fillId="0" borderId="211" applyNumberFormat="0" applyFill="0" applyAlignment="0" applyProtection="0"/>
    <xf numFmtId="0" fontId="114" fillId="68" borderId="212" applyNumberFormat="0" applyAlignment="0" applyProtection="0"/>
    <xf numFmtId="0" fontId="124" fillId="0" borderId="0" applyNumberFormat="0" applyFill="0" applyBorder="0" applyAlignment="0" applyProtection="0"/>
    <xf numFmtId="0" fontId="110" fillId="69" borderId="213" applyNumberFormat="0" applyFont="0" applyAlignment="0" applyProtection="0"/>
    <xf numFmtId="0" fontId="115" fillId="0" borderId="0" applyNumberFormat="0" applyFill="0" applyBorder="0" applyAlignment="0" applyProtection="0"/>
    <xf numFmtId="0" fontId="121" fillId="0" borderId="214" applyNumberFormat="0" applyFill="0" applyAlignment="0" applyProtection="0"/>
    <xf numFmtId="0" fontId="111" fillId="70" borderId="0" applyNumberFormat="0" applyBorder="0" applyAlignment="0" applyProtection="0"/>
    <xf numFmtId="0" fontId="110" fillId="71" borderId="0" applyNumberFormat="0" applyBorder="0" applyAlignment="0" applyProtection="0"/>
    <xf numFmtId="0" fontId="110" fillId="72" borderId="0" applyNumberFormat="0" applyBorder="0" applyAlignment="0" applyProtection="0"/>
    <xf numFmtId="0" fontId="111" fillId="73" borderId="0" applyNumberFormat="0" applyBorder="0" applyAlignment="0" applyProtection="0"/>
    <xf numFmtId="0" fontId="111" fillId="74" borderId="0" applyNumberFormat="0" applyBorder="0" applyAlignment="0" applyProtection="0"/>
    <xf numFmtId="0" fontId="110" fillId="75" borderId="0" applyNumberFormat="0" applyBorder="0" applyAlignment="0" applyProtection="0"/>
    <xf numFmtId="0" fontId="110" fillId="76" borderId="0" applyNumberFormat="0" applyBorder="0" applyAlignment="0" applyProtection="0"/>
    <xf numFmtId="0" fontId="111" fillId="77" borderId="0" applyNumberFormat="0" applyBorder="0" applyAlignment="0" applyProtection="0"/>
    <xf numFmtId="0" fontId="111" fillId="78" borderId="0" applyNumberFormat="0" applyBorder="0" applyAlignment="0" applyProtection="0"/>
    <xf numFmtId="0" fontId="110" fillId="79" borderId="0" applyNumberFormat="0" applyBorder="0" applyAlignment="0" applyProtection="0"/>
    <xf numFmtId="0" fontId="110" fillId="80" borderId="0" applyNumberFormat="0" applyBorder="0" applyAlignment="0" applyProtection="0"/>
    <xf numFmtId="0" fontId="111" fillId="81" borderId="0" applyNumberFormat="0" applyBorder="0" applyAlignment="0" applyProtection="0"/>
    <xf numFmtId="0" fontId="111" fillId="82" borderId="0" applyNumberFormat="0" applyBorder="0" applyAlignment="0" applyProtection="0"/>
    <xf numFmtId="0" fontId="110" fillId="83" borderId="0" applyNumberFormat="0" applyBorder="0" applyAlignment="0" applyProtection="0"/>
    <xf numFmtId="0" fontId="110" fillId="84" borderId="0" applyNumberFormat="0" applyBorder="0" applyAlignment="0" applyProtection="0"/>
    <xf numFmtId="0" fontId="111" fillId="85" borderId="0" applyNumberFormat="0" applyBorder="0" applyAlignment="0" applyProtection="0"/>
    <xf numFmtId="0" fontId="111" fillId="86" borderId="0" applyNumberFormat="0" applyBorder="0" applyAlignment="0" applyProtection="0"/>
    <xf numFmtId="0" fontId="110" fillId="87" borderId="0" applyNumberFormat="0" applyBorder="0" applyAlignment="0" applyProtection="0"/>
    <xf numFmtId="0" fontId="110" fillId="88" borderId="0" applyNumberFormat="0" applyBorder="0" applyAlignment="0" applyProtection="0"/>
    <xf numFmtId="0" fontId="111" fillId="89" borderId="0" applyNumberFormat="0" applyBorder="0" applyAlignment="0" applyProtection="0"/>
    <xf numFmtId="0" fontId="111" fillId="90" borderId="0" applyNumberFormat="0" applyBorder="0" applyAlignment="0" applyProtection="0"/>
    <xf numFmtId="0" fontId="110" fillId="91" borderId="0" applyNumberFormat="0" applyBorder="0" applyAlignment="0" applyProtection="0"/>
    <xf numFmtId="0" fontId="110" fillId="92" borderId="0" applyNumberFormat="0" applyBorder="0" applyAlignment="0" applyProtection="0"/>
    <xf numFmtId="0" fontId="111" fillId="93" borderId="0" applyNumberFormat="0" applyBorder="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3" fontId="4" fillId="0" borderId="0" applyFont="0" applyFill="0" applyBorder="0" applyAlignment="0" applyProtection="0"/>
    <xf numFmtId="44" fontId="4" fillId="0" borderId="0" applyFont="0" applyFill="0" applyBorder="0" applyAlignment="0" applyProtection="0"/>
  </cellStyleXfs>
  <cellXfs count="1128">
    <xf numFmtId="0" fontId="0" fillId="0" borderId="0" xfId="0"/>
    <xf numFmtId="0" fontId="73" fillId="0" borderId="0" xfId="0" applyFont="1" applyFill="1" applyProtection="1"/>
    <xf numFmtId="0" fontId="73" fillId="0" borderId="0" xfId="0" applyFont="1" applyFill="1" applyAlignment="1" applyProtection="1">
      <alignment horizontal="left" indent="1"/>
    </xf>
    <xf numFmtId="0" fontId="73" fillId="0" borderId="0" xfId="0" applyFont="1" applyFill="1" applyAlignment="1">
      <alignment horizontal="left" indent="1"/>
    </xf>
    <xf numFmtId="0" fontId="73" fillId="0" borderId="0" xfId="0" applyFont="1"/>
    <xf numFmtId="0" fontId="73" fillId="0" borderId="0" xfId="0" applyFont="1" applyAlignment="1">
      <alignment horizontal="center"/>
    </xf>
    <xf numFmtId="0" fontId="73" fillId="0" borderId="0" xfId="0" applyFont="1" applyAlignment="1">
      <alignment wrapText="1"/>
    </xf>
    <xf numFmtId="0" fontId="73" fillId="0" borderId="0" xfId="0" applyNumberFormat="1" applyFont="1"/>
    <xf numFmtId="0" fontId="73" fillId="0" borderId="58" xfId="0" applyFont="1" applyBorder="1" applyAlignment="1">
      <alignment horizontal="center"/>
    </xf>
    <xf numFmtId="0" fontId="73" fillId="0" borderId="53" xfId="0" applyFont="1" applyBorder="1" applyAlignment="1">
      <alignment horizontal="centerContinuous" wrapText="1"/>
    </xf>
    <xf numFmtId="0" fontId="73" fillId="0" borderId="54" xfId="0" applyFont="1" applyBorder="1" applyAlignment="1">
      <alignment horizontal="centerContinuous" wrapText="1"/>
    </xf>
    <xf numFmtId="0" fontId="75" fillId="0" borderId="60" xfId="0" applyFont="1" applyBorder="1" applyAlignment="1">
      <alignment horizontal="centerContinuous" wrapText="1"/>
    </xf>
    <xf numFmtId="0" fontId="77" fillId="56" borderId="60" xfId="0" applyFont="1" applyFill="1" applyBorder="1"/>
    <xf numFmtId="0" fontId="77" fillId="56" borderId="53" xfId="0" applyFont="1" applyFill="1" applyBorder="1"/>
    <xf numFmtId="0" fontId="75" fillId="56" borderId="53" xfId="0" applyFont="1" applyFill="1" applyBorder="1"/>
    <xf numFmtId="0" fontId="75" fillId="56" borderId="54" xfId="0" applyFont="1" applyFill="1" applyBorder="1" applyAlignment="1">
      <alignment horizontal="right"/>
    </xf>
    <xf numFmtId="0" fontId="73" fillId="0" borderId="0" xfId="0" applyFont="1" applyAlignment="1">
      <alignment horizontal="left"/>
    </xf>
    <xf numFmtId="0" fontId="75" fillId="56" borderId="62" xfId="0" applyFont="1" applyFill="1" applyBorder="1"/>
    <xf numFmtId="0" fontId="73" fillId="0" borderId="62" xfId="0" applyFont="1" applyBorder="1"/>
    <xf numFmtId="0" fontId="73" fillId="0" borderId="64" xfId="0" applyFont="1" applyBorder="1"/>
    <xf numFmtId="0" fontId="73" fillId="0" borderId="63" xfId="0" applyFont="1" applyBorder="1"/>
    <xf numFmtId="0" fontId="73" fillId="0" borderId="65" xfId="0" applyFont="1" applyBorder="1"/>
    <xf numFmtId="0" fontId="73" fillId="0" borderId="0" xfId="0" applyFont="1" applyBorder="1"/>
    <xf numFmtId="0" fontId="75" fillId="56" borderId="63" xfId="0" applyFont="1" applyFill="1" applyBorder="1" applyAlignment="1">
      <alignment horizontal="right"/>
    </xf>
    <xf numFmtId="0" fontId="74" fillId="0" borderId="0" xfId="0" applyNumberFormat="1" applyFont="1"/>
    <xf numFmtId="0" fontId="74" fillId="0" borderId="0" xfId="0" applyNumberFormat="1" applyFont="1" applyBorder="1"/>
    <xf numFmtId="0" fontId="73" fillId="28" borderId="0" xfId="2447" applyFont="1" applyFill="1" applyAlignment="1" applyProtection="1">
      <alignment vertical="top"/>
      <protection hidden="1"/>
    </xf>
    <xf numFmtId="0" fontId="73" fillId="28" borderId="0" xfId="2447" applyFont="1" applyFill="1" applyAlignment="1" applyProtection="1">
      <alignment vertical="top" wrapText="1"/>
      <protection hidden="1"/>
    </xf>
    <xf numFmtId="0" fontId="75" fillId="28" borderId="0" xfId="2447" applyFont="1" applyFill="1" applyBorder="1" applyAlignment="1" applyProtection="1">
      <alignment horizontal="left" vertical="top" wrapText="1"/>
      <protection hidden="1"/>
    </xf>
    <xf numFmtId="0" fontId="75" fillId="28" borderId="0" xfId="2447" applyFont="1" applyFill="1" applyBorder="1" applyAlignment="1" applyProtection="1">
      <alignment vertical="top"/>
      <protection hidden="1"/>
    </xf>
    <xf numFmtId="0" fontId="0" fillId="0" borderId="0" xfId="0" applyBorder="1"/>
    <xf numFmtId="0" fontId="0" fillId="55" borderId="0" xfId="0" applyFill="1"/>
    <xf numFmtId="0" fontId="75" fillId="0" borderId="0" xfId="0" applyFont="1"/>
    <xf numFmtId="0" fontId="85" fillId="0" borderId="0" xfId="0" applyNumberFormat="1" applyFont="1"/>
    <xf numFmtId="0" fontId="86" fillId="0" borderId="0" xfId="0" applyFont="1"/>
    <xf numFmtId="0" fontId="87" fillId="0" borderId="0" xfId="0" applyNumberFormat="1" applyFont="1"/>
    <xf numFmtId="0" fontId="73" fillId="0" borderId="0" xfId="0" applyFont="1" applyBorder="1" applyAlignment="1">
      <alignment horizontal="center"/>
    </xf>
    <xf numFmtId="0" fontId="75" fillId="0" borderId="0" xfId="0" applyFont="1" applyBorder="1" applyAlignment="1">
      <alignment horizontal="center" wrapText="1"/>
    </xf>
    <xf numFmtId="0" fontId="73" fillId="0" borderId="0" xfId="0" applyFont="1" applyBorder="1" applyAlignment="1">
      <alignment horizontal="center" wrapText="1"/>
    </xf>
    <xf numFmtId="0" fontId="73" fillId="0" borderId="0" xfId="0" applyFont="1" applyBorder="1" applyAlignment="1">
      <alignment wrapText="1"/>
    </xf>
    <xf numFmtId="0" fontId="0" fillId="0" borderId="0" xfId="0" applyBorder="1" applyAlignment="1">
      <alignment horizontal="center"/>
    </xf>
    <xf numFmtId="0" fontId="73" fillId="0" borderId="0" xfId="0" applyNumberFormat="1" applyFont="1" applyAlignment="1">
      <alignment horizontal="left" vertical="center"/>
    </xf>
    <xf numFmtId="0" fontId="73" fillId="0" borderId="0" xfId="0" applyFont="1" applyAlignment="1">
      <alignment horizontal="left" vertical="center"/>
    </xf>
    <xf numFmtId="43" fontId="73" fillId="56" borderId="65" xfId="2446" applyFont="1" applyFill="1" applyBorder="1" applyAlignment="1">
      <alignment horizontal="left" vertical="center"/>
    </xf>
    <xf numFmtId="0" fontId="75" fillId="56" borderId="62" xfId="0" applyFont="1" applyFill="1" applyBorder="1" applyAlignment="1">
      <alignment horizontal="left" vertical="center"/>
    </xf>
    <xf numFmtId="0" fontId="75" fillId="56" borderId="70" xfId="0" applyFont="1" applyFill="1" applyBorder="1"/>
    <xf numFmtId="0" fontId="73" fillId="56" borderId="62" xfId="0" applyFont="1" applyFill="1" applyBorder="1"/>
    <xf numFmtId="0" fontId="73" fillId="56" borderId="64" xfId="0" applyFont="1" applyFill="1" applyBorder="1"/>
    <xf numFmtId="41" fontId="73" fillId="0" borderId="0" xfId="0" applyNumberFormat="1" applyFont="1"/>
    <xf numFmtId="0" fontId="75" fillId="55" borderId="0" xfId="0" applyFont="1" applyFill="1" applyBorder="1" applyAlignment="1" applyProtection="1">
      <alignment horizontal="centerContinuous" vertical="center"/>
      <protection hidden="1"/>
    </xf>
    <xf numFmtId="3" fontId="73" fillId="0" borderId="0" xfId="0" applyNumberFormat="1" applyFont="1" applyFill="1" applyBorder="1" applyAlignment="1" applyProtection="1"/>
    <xf numFmtId="41" fontId="73" fillId="0" borderId="0" xfId="0" applyNumberFormat="1" applyFont="1" applyFill="1" applyBorder="1" applyAlignment="1" applyProtection="1">
      <alignment horizontal="right" vertical="center" wrapText="1"/>
    </xf>
    <xf numFmtId="41" fontId="73" fillId="0" borderId="27" xfId="0" applyNumberFormat="1" applyFont="1" applyFill="1" applyBorder="1" applyAlignment="1" applyProtection="1">
      <alignment horizontal="right" vertical="center"/>
    </xf>
    <xf numFmtId="0" fontId="73" fillId="0" borderId="0" xfId="0" applyFont="1" applyFill="1" applyBorder="1" applyAlignment="1" applyProtection="1">
      <alignment vertical="center" wrapText="1"/>
    </xf>
    <xf numFmtId="0" fontId="93" fillId="0" borderId="0" xfId="0" applyFont="1" applyFill="1" applyBorder="1" applyAlignment="1" applyProtection="1">
      <alignment vertical="top"/>
    </xf>
    <xf numFmtId="0" fontId="93" fillId="0" borderId="0" xfId="0" applyFont="1" applyBorder="1" applyAlignment="1" applyProtection="1">
      <alignment horizontal="left" vertical="top"/>
    </xf>
    <xf numFmtId="41" fontId="73" fillId="0" borderId="0" xfId="0" applyNumberFormat="1" applyFont="1" applyFill="1" applyBorder="1" applyAlignment="1" applyProtection="1">
      <alignment horizontal="right" vertical="center"/>
    </xf>
    <xf numFmtId="41" fontId="73" fillId="0" borderId="0" xfId="0" applyNumberFormat="1" applyFont="1" applyFill="1" applyBorder="1" applyAlignment="1" applyProtection="1">
      <alignment horizontal="right" wrapText="1"/>
    </xf>
    <xf numFmtId="0" fontId="93" fillId="0" borderId="0" xfId="0" applyFont="1" applyFill="1" applyBorder="1" applyAlignment="1" applyProtection="1">
      <alignment horizontal="left" vertical="top"/>
    </xf>
    <xf numFmtId="41" fontId="73" fillId="0" borderId="0" xfId="0" applyNumberFormat="1" applyFont="1" applyFill="1" applyBorder="1" applyAlignment="1" applyProtection="1">
      <alignment horizontal="right"/>
    </xf>
    <xf numFmtId="0" fontId="94" fillId="0" borderId="0" xfId="0" applyFont="1" applyBorder="1" applyAlignment="1" applyProtection="1">
      <alignment horizontal="left" vertical="top"/>
    </xf>
    <xf numFmtId="3" fontId="73" fillId="0" borderId="0" xfId="0" applyNumberFormat="1" applyFont="1" applyFill="1" applyAlignment="1" applyProtection="1"/>
    <xf numFmtId="0" fontId="73" fillId="0" borderId="0" xfId="0" applyFont="1" applyFill="1" applyAlignment="1" applyProtection="1"/>
    <xf numFmtId="41" fontId="73" fillId="0" borderId="0" xfId="0" applyNumberFormat="1" applyFont="1" applyFill="1" applyAlignment="1" applyProtection="1">
      <alignment horizontal="right"/>
    </xf>
    <xf numFmtId="41" fontId="73" fillId="0" borderId="0" xfId="0" applyNumberFormat="1" applyFont="1" applyFill="1" applyAlignment="1" applyProtection="1"/>
    <xf numFmtId="0" fontId="75" fillId="0" borderId="11" xfId="0" applyFont="1" applyFill="1" applyBorder="1" applyAlignment="1" applyProtection="1"/>
    <xf numFmtId="0" fontId="75" fillId="0" borderId="0" xfId="0" applyFont="1" applyFill="1" applyBorder="1" applyAlignment="1" applyProtection="1"/>
    <xf numFmtId="41" fontId="75" fillId="0" borderId="17" xfId="0" applyNumberFormat="1" applyFont="1" applyFill="1" applyBorder="1" applyAlignment="1" applyProtection="1">
      <alignment horizontal="right"/>
    </xf>
    <xf numFmtId="3" fontId="73" fillId="0" borderId="0" xfId="0" applyNumberFormat="1" applyFont="1" applyFill="1" applyAlignment="1" applyProtection="1">
      <alignment wrapText="1"/>
    </xf>
    <xf numFmtId="0" fontId="73" fillId="0" borderId="0" xfId="0" applyFont="1" applyFill="1" applyBorder="1" applyProtection="1"/>
    <xf numFmtId="41" fontId="75" fillId="0" borderId="42" xfId="0" applyNumberFormat="1" applyFont="1" applyFill="1" applyBorder="1" applyAlignment="1" applyProtection="1">
      <alignment horizontal="center"/>
    </xf>
    <xf numFmtId="41" fontId="75" fillId="0" borderId="0" xfId="0" applyNumberFormat="1" applyFont="1" applyFill="1" applyBorder="1" applyAlignment="1" applyProtection="1">
      <alignment horizontal="center"/>
    </xf>
    <xf numFmtId="41" fontId="75" fillId="0" borderId="12" xfId="0" applyNumberFormat="1" applyFont="1" applyFill="1" applyBorder="1" applyAlignment="1" applyProtection="1">
      <alignment horizontal="center"/>
    </xf>
    <xf numFmtId="0" fontId="75" fillId="0" borderId="16" xfId="0" applyFont="1" applyFill="1" applyBorder="1" applyAlignment="1" applyProtection="1"/>
    <xf numFmtId="0" fontId="75" fillId="0" borderId="17" xfId="0" applyFont="1" applyFill="1" applyBorder="1" applyAlignment="1" applyProtection="1"/>
    <xf numFmtId="0" fontId="73" fillId="0" borderId="17" xfId="0" applyFont="1" applyFill="1" applyBorder="1" applyProtection="1"/>
    <xf numFmtId="41" fontId="73" fillId="0" borderId="17" xfId="0" applyNumberFormat="1" applyFont="1" applyFill="1" applyBorder="1" applyAlignment="1" applyProtection="1">
      <alignment horizontal="right"/>
    </xf>
    <xf numFmtId="41" fontId="75" fillId="0" borderId="18" xfId="0" applyNumberFormat="1" applyFont="1" applyFill="1" applyBorder="1" applyAlignment="1" applyProtection="1">
      <alignment horizontal="center"/>
    </xf>
    <xf numFmtId="41" fontId="75" fillId="0" borderId="17" xfId="0" applyNumberFormat="1" applyFont="1" applyFill="1" applyBorder="1" applyAlignment="1" applyProtection="1">
      <alignment horizontal="center"/>
    </xf>
    <xf numFmtId="41" fontId="75" fillId="0" borderId="43" xfId="0" applyNumberFormat="1" applyFont="1" applyFill="1" applyBorder="1" applyAlignment="1" applyProtection="1">
      <alignment horizontal="center"/>
    </xf>
    <xf numFmtId="41" fontId="75" fillId="0" borderId="38" xfId="0" applyNumberFormat="1" applyFont="1" applyFill="1" applyBorder="1" applyAlignment="1" applyProtection="1">
      <alignment horizontal="center"/>
    </xf>
    <xf numFmtId="0" fontId="73" fillId="0" borderId="11" xfId="0" applyFont="1" applyFill="1" applyBorder="1" applyAlignment="1" applyProtection="1"/>
    <xf numFmtId="0" fontId="73" fillId="0" borderId="0" xfId="0" applyFont="1" applyFill="1" applyBorder="1" applyAlignment="1" applyProtection="1"/>
    <xf numFmtId="41" fontId="73" fillId="0" borderId="0" xfId="0" applyNumberFormat="1" applyFont="1" applyFill="1" applyBorder="1" applyProtection="1"/>
    <xf numFmtId="41" fontId="73" fillId="0" borderId="12" xfId="0" applyNumberFormat="1" applyFont="1" applyFill="1" applyBorder="1" applyProtection="1"/>
    <xf numFmtId="0" fontId="75" fillId="0" borderId="0" xfId="0" applyFont="1" applyFill="1" applyAlignment="1" applyProtection="1">
      <alignment horizontal="center" textRotation="60" wrapText="1"/>
    </xf>
    <xf numFmtId="0" fontId="73" fillId="0" borderId="13" xfId="0" applyFont="1" applyFill="1" applyBorder="1" applyAlignment="1" applyProtection="1"/>
    <xf numFmtId="0" fontId="73" fillId="0" borderId="14" xfId="0" applyFont="1" applyFill="1" applyBorder="1" applyAlignment="1" applyProtection="1"/>
    <xf numFmtId="0" fontId="75" fillId="0" borderId="14" xfId="0" applyFont="1" applyFill="1" applyBorder="1" applyAlignment="1" applyProtection="1">
      <alignment horizontal="left" wrapText="1"/>
    </xf>
    <xf numFmtId="41" fontId="75" fillId="0" borderId="14" xfId="0" applyNumberFormat="1" applyFont="1" applyFill="1" applyBorder="1" applyAlignment="1" applyProtection="1">
      <alignment horizontal="right" wrapText="1"/>
    </xf>
    <xf numFmtId="41" fontId="73" fillId="0" borderId="14" xfId="0" applyNumberFormat="1" applyFont="1" applyFill="1" applyBorder="1" applyAlignment="1" applyProtection="1">
      <alignment horizontal="center" wrapText="1"/>
    </xf>
    <xf numFmtId="41" fontId="73" fillId="0" borderId="30" xfId="0" applyNumberFormat="1" applyFont="1" applyFill="1" applyBorder="1" applyAlignment="1" applyProtection="1">
      <alignment horizontal="center" wrapText="1"/>
    </xf>
    <xf numFmtId="0" fontId="75" fillId="0" borderId="11" xfId="0" applyFont="1" applyFill="1" applyBorder="1" applyAlignment="1" applyProtection="1">
      <alignment vertical="center"/>
    </xf>
    <xf numFmtId="0" fontId="75" fillId="0" borderId="0" xfId="0" applyFont="1" applyFill="1" applyBorder="1" applyAlignment="1" applyProtection="1">
      <alignment vertical="center"/>
    </xf>
    <xf numFmtId="3" fontId="73" fillId="0" borderId="0" xfId="0" applyNumberFormat="1" applyFont="1" applyFill="1" applyBorder="1" applyAlignment="1" applyProtection="1">
      <alignment wrapText="1"/>
    </xf>
    <xf numFmtId="41" fontId="73" fillId="0" borderId="0" xfId="0" applyNumberFormat="1" applyFont="1" applyFill="1" applyBorder="1" applyAlignment="1" applyProtection="1">
      <alignment vertical="center" wrapText="1"/>
    </xf>
    <xf numFmtId="3" fontId="73" fillId="0" borderId="11" xfId="0" applyNumberFormat="1" applyFont="1" applyFill="1" applyBorder="1" applyAlignment="1" applyProtection="1"/>
    <xf numFmtId="0" fontId="73" fillId="0" borderId="0" xfId="0" applyFont="1" applyFill="1" applyBorder="1" applyAlignment="1" applyProtection="1">
      <alignment vertical="center"/>
    </xf>
    <xf numFmtId="41" fontId="73" fillId="0" borderId="20" xfId="0" applyNumberFormat="1" applyFont="1" applyFill="1" applyBorder="1" applyAlignment="1" applyProtection="1">
      <alignment vertical="center" wrapText="1"/>
    </xf>
    <xf numFmtId="41" fontId="73" fillId="0" borderId="31" xfId="0" applyNumberFormat="1" applyFont="1" applyFill="1" applyBorder="1" applyAlignment="1" applyProtection="1">
      <alignment vertical="center" wrapText="1"/>
    </xf>
    <xf numFmtId="41" fontId="73" fillId="29" borderId="29" xfId="0" applyNumberFormat="1" applyFont="1" applyFill="1" applyBorder="1" applyAlignment="1" applyProtection="1">
      <alignment vertical="center" wrapText="1"/>
      <protection locked="0"/>
    </xf>
    <xf numFmtId="41" fontId="73" fillId="0" borderId="21" xfId="0" applyNumberFormat="1" applyFont="1" applyFill="1" applyBorder="1" applyAlignment="1" applyProtection="1">
      <alignment vertical="center" wrapText="1"/>
    </xf>
    <xf numFmtId="41" fontId="73" fillId="0" borderId="29" xfId="0" applyNumberFormat="1" applyFont="1" applyFill="1" applyBorder="1" applyAlignment="1" applyProtection="1">
      <alignment vertical="center" wrapText="1"/>
    </xf>
    <xf numFmtId="41" fontId="73" fillId="0" borderId="32" xfId="0" applyNumberFormat="1" applyFont="1" applyFill="1" applyBorder="1" applyAlignment="1" applyProtection="1">
      <alignment vertical="center" wrapText="1"/>
    </xf>
    <xf numFmtId="41" fontId="73" fillId="0" borderId="23" xfId="0" applyNumberFormat="1" applyFont="1" applyFill="1" applyBorder="1" applyAlignment="1" applyProtection="1">
      <alignment vertical="center" wrapText="1"/>
    </xf>
    <xf numFmtId="41" fontId="73" fillId="0" borderId="34" xfId="0" applyNumberFormat="1" applyFont="1" applyFill="1" applyBorder="1" applyAlignment="1" applyProtection="1">
      <alignment vertical="center" wrapText="1"/>
    </xf>
    <xf numFmtId="41" fontId="91" fillId="29" borderId="29" xfId="0" applyNumberFormat="1" applyFont="1" applyFill="1" applyBorder="1" applyAlignment="1" applyProtection="1">
      <alignment vertical="center" wrapText="1"/>
      <protection locked="0"/>
    </xf>
    <xf numFmtId="41" fontId="73" fillId="0" borderId="22" xfId="0" applyNumberFormat="1" applyFont="1" applyFill="1" applyBorder="1" applyAlignment="1" applyProtection="1">
      <alignment vertical="center" wrapText="1"/>
    </xf>
    <xf numFmtId="41" fontId="73" fillId="0" borderId="33" xfId="0" applyNumberFormat="1" applyFont="1" applyFill="1" applyBorder="1" applyAlignment="1" applyProtection="1">
      <alignment vertical="center" wrapText="1"/>
    </xf>
    <xf numFmtId="0" fontId="75" fillId="0" borderId="24" xfId="0" applyFont="1" applyFill="1" applyBorder="1" applyAlignment="1" applyProtection="1">
      <alignment horizontal="left" vertical="center"/>
    </xf>
    <xf numFmtId="0" fontId="75" fillId="0" borderId="25" xfId="0" applyFont="1" applyFill="1" applyBorder="1" applyAlignment="1" applyProtection="1">
      <alignment horizontal="left" vertical="center"/>
    </xf>
    <xf numFmtId="3" fontId="73" fillId="0" borderId="26" xfId="0" applyNumberFormat="1" applyFont="1" applyFill="1" applyBorder="1" applyAlignment="1" applyProtection="1">
      <alignment wrapText="1"/>
    </xf>
    <xf numFmtId="41" fontId="73" fillId="0" borderId="25" xfId="0" applyNumberFormat="1" applyFont="1" applyFill="1" applyBorder="1" applyAlignment="1" applyProtection="1">
      <alignment horizontal="right" wrapText="1"/>
    </xf>
    <xf numFmtId="41" fontId="92" fillId="0" borderId="41" xfId="0" applyNumberFormat="1" applyFont="1" applyFill="1" applyBorder="1" applyAlignment="1" applyProtection="1">
      <alignment vertical="center" wrapText="1"/>
    </xf>
    <xf numFmtId="41" fontId="92" fillId="0" borderId="35" xfId="0" applyNumberFormat="1" applyFont="1" applyFill="1" applyBorder="1" applyAlignment="1" applyProtection="1">
      <alignment vertical="center" wrapText="1"/>
    </xf>
    <xf numFmtId="41" fontId="92" fillId="0" borderId="36" xfId="0" applyNumberFormat="1" applyFont="1" applyFill="1" applyBorder="1" applyAlignment="1" applyProtection="1">
      <alignment vertical="center" wrapText="1"/>
    </xf>
    <xf numFmtId="3" fontId="73" fillId="0" borderId="10" xfId="0" applyNumberFormat="1" applyFont="1" applyFill="1" applyBorder="1" applyAlignment="1" applyProtection="1">
      <alignment wrapText="1"/>
    </xf>
    <xf numFmtId="41" fontId="73" fillId="0" borderId="10" xfId="0" applyNumberFormat="1" applyFont="1" applyFill="1" applyBorder="1" applyAlignment="1" applyProtection="1">
      <alignment horizontal="right" wrapText="1"/>
    </xf>
    <xf numFmtId="41" fontId="73" fillId="0" borderId="12" xfId="0" applyNumberFormat="1" applyFont="1" applyFill="1" applyBorder="1" applyAlignment="1" applyProtection="1">
      <alignment vertical="center" wrapText="1"/>
    </xf>
    <xf numFmtId="0" fontId="75" fillId="0" borderId="0" xfId="0" applyFont="1" applyFill="1" applyBorder="1" applyAlignment="1" applyProtection="1">
      <alignment horizontal="left" vertical="center"/>
    </xf>
    <xf numFmtId="0" fontId="73" fillId="0" borderId="0" xfId="0" applyFont="1" applyFill="1" applyBorder="1" applyAlignment="1" applyProtection="1">
      <alignment horizontal="left" vertical="center"/>
    </xf>
    <xf numFmtId="41" fontId="73" fillId="0" borderId="29" xfId="0" applyNumberFormat="1" applyFont="1" applyFill="1" applyBorder="1" applyAlignment="1" applyProtection="1">
      <alignment horizontal="right" vertical="center"/>
    </xf>
    <xf numFmtId="41" fontId="73" fillId="0" borderId="21" xfId="0" applyNumberFormat="1" applyFont="1" applyFill="1" applyBorder="1" applyAlignment="1" applyProtection="1">
      <alignment horizontal="right" vertical="center"/>
    </xf>
    <xf numFmtId="0" fontId="80" fillId="0" borderId="0" xfId="0" applyFont="1" applyFill="1" applyBorder="1" applyAlignment="1" applyProtection="1">
      <alignment vertical="center" wrapText="1"/>
    </xf>
    <xf numFmtId="41" fontId="80" fillId="0" borderId="0" xfId="0" applyNumberFormat="1" applyFont="1" applyFill="1" applyBorder="1" applyAlignment="1" applyProtection="1">
      <alignment horizontal="right" vertical="center" wrapText="1"/>
    </xf>
    <xf numFmtId="0" fontId="75" fillId="0" borderId="46" xfId="0" applyFont="1" applyFill="1" applyBorder="1" applyAlignment="1" applyProtection="1">
      <alignment vertical="center"/>
    </xf>
    <xf numFmtId="0" fontId="75" fillId="0" borderId="25" xfId="0" applyFont="1" applyFill="1" applyBorder="1" applyAlignment="1" applyProtection="1">
      <alignment vertical="center"/>
    </xf>
    <xf numFmtId="3" fontId="73" fillId="0" borderId="25" xfId="0" applyNumberFormat="1" applyFont="1" applyFill="1" applyBorder="1" applyAlignment="1" applyProtection="1">
      <alignment wrapText="1"/>
    </xf>
    <xf numFmtId="41" fontId="73" fillId="0" borderId="0" xfId="0" applyNumberFormat="1" applyFont="1" applyFill="1" applyBorder="1" applyAlignment="1" applyProtection="1">
      <alignment wrapText="1"/>
    </xf>
    <xf numFmtId="41" fontId="73" fillId="0" borderId="12" xfId="0" applyNumberFormat="1" applyFont="1" applyFill="1" applyBorder="1" applyAlignment="1" applyProtection="1">
      <alignment wrapText="1"/>
    </xf>
    <xf numFmtId="41" fontId="73" fillId="0" borderId="0" xfId="0" applyNumberFormat="1" applyFont="1" applyFill="1" applyBorder="1" applyAlignment="1" applyProtection="1"/>
    <xf numFmtId="41" fontId="73" fillId="0" borderId="12" xfId="0" applyNumberFormat="1" applyFont="1" applyFill="1" applyBorder="1" applyAlignment="1" applyProtection="1"/>
    <xf numFmtId="41" fontId="73" fillId="0" borderId="20" xfId="0" applyNumberFormat="1" applyFont="1" applyFill="1" applyBorder="1" applyAlignment="1" applyProtection="1"/>
    <xf numFmtId="41" fontId="73" fillId="0" borderId="31" xfId="0" applyNumberFormat="1" applyFont="1" applyFill="1" applyBorder="1" applyAlignment="1" applyProtection="1"/>
    <xf numFmtId="41" fontId="75" fillId="0" borderId="19" xfId="0" applyNumberFormat="1" applyFont="1" applyFill="1" applyBorder="1" applyAlignment="1" applyProtection="1">
      <alignment horizontal="center"/>
    </xf>
    <xf numFmtId="41" fontId="73" fillId="0" borderId="44" xfId="0" applyNumberFormat="1" applyFont="1" applyFill="1" applyBorder="1" applyAlignment="1" applyProtection="1">
      <alignment vertical="center" wrapText="1"/>
    </xf>
    <xf numFmtId="41" fontId="73" fillId="0" borderId="25" xfId="0" applyNumberFormat="1" applyFont="1" applyFill="1" applyBorder="1" applyAlignment="1" applyProtection="1">
      <alignment vertical="center" wrapText="1"/>
    </xf>
    <xf numFmtId="41" fontId="92" fillId="0" borderId="0" xfId="0" applyNumberFormat="1" applyFont="1" applyFill="1" applyBorder="1" applyAlignment="1" applyProtection="1">
      <alignment vertical="center" wrapText="1"/>
    </xf>
    <xf numFmtId="41" fontId="92" fillId="0" borderId="23" xfId="0" applyNumberFormat="1" applyFont="1" applyFill="1" applyBorder="1" applyAlignment="1" applyProtection="1">
      <alignment vertical="center" wrapText="1"/>
    </xf>
    <xf numFmtId="41" fontId="92" fillId="0" borderId="25" xfId="0" applyNumberFormat="1" applyFont="1" applyFill="1" applyBorder="1" applyAlignment="1" applyProtection="1">
      <alignment vertical="center" wrapText="1"/>
    </xf>
    <xf numFmtId="3" fontId="73" fillId="0" borderId="0" xfId="0" applyNumberFormat="1" applyFont="1" applyFill="1" applyBorder="1" applyAlignment="1" applyProtection="1">
      <alignment vertical="center"/>
    </xf>
    <xf numFmtId="41" fontId="73" fillId="0" borderId="0" xfId="0" applyNumberFormat="1" applyFont="1" applyFill="1" applyBorder="1" applyAlignment="1" applyProtection="1">
      <alignment vertical="center"/>
    </xf>
    <xf numFmtId="41" fontId="73" fillId="0" borderId="23" xfId="0" applyNumberFormat="1" applyFont="1" applyFill="1" applyBorder="1" applyAlignment="1" applyProtection="1"/>
    <xf numFmtId="41" fontId="92" fillId="0" borderId="0" xfId="0" applyNumberFormat="1" applyFont="1" applyFill="1" applyBorder="1" applyAlignment="1" applyProtection="1">
      <alignment horizontal="center"/>
    </xf>
    <xf numFmtId="41" fontId="92" fillId="0" borderId="0" xfId="0" applyNumberFormat="1" applyFont="1" applyFill="1" applyBorder="1" applyAlignment="1" applyProtection="1"/>
    <xf numFmtId="0" fontId="73" fillId="55" borderId="0" xfId="2447" applyFont="1" applyFill="1" applyAlignment="1" applyProtection="1">
      <alignment vertical="top"/>
      <protection hidden="1"/>
    </xf>
    <xf numFmtId="0" fontId="73" fillId="55" borderId="0" xfId="2447" applyFont="1" applyFill="1" applyBorder="1" applyAlignment="1" applyProtection="1">
      <alignment vertical="top"/>
      <protection hidden="1"/>
    </xf>
    <xf numFmtId="0" fontId="75" fillId="55" borderId="0" xfId="2447" applyFont="1" applyFill="1" applyAlignment="1" applyProtection="1">
      <alignment vertical="center"/>
      <protection hidden="1"/>
    </xf>
    <xf numFmtId="0" fontId="75" fillId="28" borderId="0" xfId="2447" applyFont="1" applyFill="1" applyBorder="1" applyAlignment="1" applyProtection="1">
      <alignment vertical="top" wrapText="1"/>
      <protection hidden="1"/>
    </xf>
    <xf numFmtId="0" fontId="73" fillId="55" borderId="51" xfId="2447" applyFont="1" applyFill="1" applyBorder="1" applyAlignment="1" applyProtection="1">
      <alignment horizontal="center" vertical="center"/>
      <protection hidden="1"/>
    </xf>
    <xf numFmtId="0" fontId="0" fillId="55" borderId="0" xfId="0" applyFill="1" applyBorder="1"/>
    <xf numFmtId="0" fontId="75" fillId="0" borderId="0" xfId="0" applyFont="1" applyFill="1" applyBorder="1" applyProtection="1"/>
    <xf numFmtId="41" fontId="92" fillId="0" borderId="27" xfId="0" applyNumberFormat="1" applyFont="1" applyFill="1" applyBorder="1" applyAlignment="1" applyProtection="1">
      <alignment vertical="center" wrapText="1"/>
    </xf>
    <xf numFmtId="41" fontId="91" fillId="0" borderId="0" xfId="0" applyNumberFormat="1" applyFont="1" applyFill="1" applyBorder="1" applyAlignment="1" applyProtection="1"/>
    <xf numFmtId="41" fontId="92" fillId="0" borderId="27" xfId="0" applyNumberFormat="1" applyFont="1" applyFill="1" applyBorder="1" applyAlignment="1" applyProtection="1">
      <alignment horizontal="center"/>
    </xf>
    <xf numFmtId="41" fontId="73" fillId="0" borderId="0" xfId="0" applyNumberFormat="1" applyFont="1" applyFill="1" applyBorder="1" applyAlignment="1" applyProtection="1">
      <alignment horizontal="center" wrapText="1"/>
    </xf>
    <xf numFmtId="41" fontId="73" fillId="0" borderId="39" xfId="0" applyNumberFormat="1" applyFont="1" applyFill="1" applyBorder="1" applyAlignment="1" applyProtection="1">
      <alignment vertical="center" wrapText="1"/>
    </xf>
    <xf numFmtId="41" fontId="92" fillId="0" borderId="29" xfId="0" applyNumberFormat="1" applyFont="1" applyFill="1" applyBorder="1" applyAlignment="1" applyProtection="1">
      <alignment vertical="center" wrapText="1"/>
    </xf>
    <xf numFmtId="41" fontId="73" fillId="0" borderId="56" xfId="0" applyNumberFormat="1" applyFont="1" applyFill="1" applyBorder="1" applyAlignment="1" applyProtection="1">
      <alignment vertical="center" wrapText="1"/>
    </xf>
    <xf numFmtId="41" fontId="92" fillId="0" borderId="12" xfId="0" applyNumberFormat="1" applyFont="1" applyFill="1" applyBorder="1" applyAlignment="1" applyProtection="1">
      <alignment vertical="center" wrapText="1"/>
    </xf>
    <xf numFmtId="41" fontId="89" fillId="31" borderId="0" xfId="95" applyNumberFormat="1" applyFont="1" applyFill="1" applyBorder="1" applyAlignment="1" applyProtection="1">
      <alignment horizontal="centerContinuous" vertical="center"/>
    </xf>
    <xf numFmtId="0" fontId="73" fillId="54" borderId="58" xfId="0" applyFont="1" applyFill="1" applyBorder="1" applyProtection="1"/>
    <xf numFmtId="0" fontId="0" fillId="0" borderId="0" xfId="0" applyProtection="1"/>
    <xf numFmtId="0" fontId="73" fillId="57" borderId="58" xfId="0" applyFont="1" applyFill="1" applyBorder="1" applyProtection="1"/>
    <xf numFmtId="0" fontId="73" fillId="28" borderId="58" xfId="0" applyFont="1" applyFill="1" applyBorder="1" applyAlignment="1" applyProtection="1">
      <alignment wrapText="1"/>
    </xf>
    <xf numFmtId="0" fontId="73" fillId="55" borderId="0" xfId="45" applyFont="1" applyFill="1" applyProtection="1"/>
    <xf numFmtId="0" fontId="73" fillId="55" borderId="0" xfId="0" applyFont="1" applyFill="1" applyProtection="1"/>
    <xf numFmtId="0" fontId="74" fillId="55" borderId="0" xfId="45" applyFont="1" applyFill="1" applyAlignment="1" applyProtection="1">
      <alignment horizontal="centerContinuous"/>
    </xf>
    <xf numFmtId="0" fontId="74" fillId="55" borderId="0" xfId="45" applyFont="1" applyFill="1" applyBorder="1" applyAlignment="1" applyProtection="1">
      <alignment horizontal="centerContinuous"/>
    </xf>
    <xf numFmtId="0" fontId="75" fillId="55" borderId="0" xfId="0" applyFont="1" applyFill="1" applyBorder="1" applyAlignment="1" applyProtection="1">
      <alignment horizontal="center"/>
    </xf>
    <xf numFmtId="0" fontId="73" fillId="54" borderId="65" xfId="2447" applyFont="1" applyFill="1" applyBorder="1" applyAlignment="1" applyProtection="1">
      <alignment horizontal="left" vertical="top" wrapText="1"/>
      <protection locked="0"/>
    </xf>
    <xf numFmtId="0" fontId="75" fillId="0" borderId="0" xfId="0" applyFont="1" applyFill="1" applyBorder="1" applyAlignment="1" applyProtection="1">
      <alignment horizontal="centerContinuous" vertical="center"/>
      <protection hidden="1"/>
    </xf>
    <xf numFmtId="0" fontId="75" fillId="28" borderId="0" xfId="2447" applyFont="1" applyFill="1" applyBorder="1" applyAlignment="1" applyProtection="1">
      <alignment vertical="center"/>
      <protection hidden="1"/>
    </xf>
    <xf numFmtId="167" fontId="73" fillId="55" borderId="0" xfId="2447" applyNumberFormat="1" applyFont="1" applyFill="1" applyBorder="1" applyAlignment="1" applyProtection="1">
      <alignment horizontal="center" vertical="center" wrapText="1"/>
    </xf>
    <xf numFmtId="0" fontId="73" fillId="55" borderId="0" xfId="2447" applyFont="1" applyFill="1" applyBorder="1" applyAlignment="1" applyProtection="1">
      <alignment vertical="center"/>
      <protection hidden="1"/>
    </xf>
    <xf numFmtId="2" fontId="73" fillId="28" borderId="0" xfId="2447" applyNumberFormat="1" applyFont="1" applyFill="1" applyBorder="1" applyAlignment="1" applyProtection="1">
      <alignment horizontal="center" vertical="center" wrapText="1"/>
      <protection hidden="1"/>
    </xf>
    <xf numFmtId="0" fontId="83" fillId="55" borderId="0" xfId="0" applyFont="1" applyFill="1" applyBorder="1" applyAlignment="1" applyProtection="1">
      <alignment horizontal="centerContinuous" vertical="center"/>
      <protection hidden="1"/>
    </xf>
    <xf numFmtId="0" fontId="74" fillId="55" borderId="0" xfId="2447" applyFont="1" applyFill="1" applyBorder="1" applyAlignment="1" applyProtection="1">
      <alignment horizontal="center" vertical="center"/>
      <protection hidden="1"/>
    </xf>
    <xf numFmtId="0" fontId="75" fillId="56" borderId="60" xfId="0" applyFont="1" applyFill="1" applyBorder="1"/>
    <xf numFmtId="0" fontId="73" fillId="0" borderId="0" xfId="0" applyFont="1" applyFill="1" applyBorder="1" applyAlignment="1" applyProtection="1">
      <alignment horizontal="center"/>
    </xf>
    <xf numFmtId="0" fontId="73" fillId="0" borderId="0" xfId="0" applyFont="1" applyFill="1" applyAlignment="1" applyProtection="1">
      <alignment wrapText="1"/>
    </xf>
    <xf numFmtId="0" fontId="73" fillId="0" borderId="66" xfId="0" applyFont="1" applyFill="1" applyBorder="1" applyProtection="1"/>
    <xf numFmtId="0" fontId="73" fillId="0" borderId="57" xfId="0" applyFont="1" applyFill="1" applyBorder="1" applyProtection="1"/>
    <xf numFmtId="0" fontId="73" fillId="0" borderId="61" xfId="0" applyFont="1" applyFill="1" applyBorder="1" applyProtection="1"/>
    <xf numFmtId="0" fontId="73" fillId="0" borderId="49" xfId="0" applyFont="1" applyFill="1" applyBorder="1" applyProtection="1"/>
    <xf numFmtId="0" fontId="73" fillId="0" borderId="50" xfId="0" applyFont="1" applyFill="1" applyBorder="1" applyProtection="1"/>
    <xf numFmtId="0" fontId="95" fillId="0" borderId="49" xfId="0" applyFont="1" applyFill="1" applyBorder="1" applyProtection="1"/>
    <xf numFmtId="0" fontId="74" fillId="0" borderId="0" xfId="0" applyFont="1" applyFill="1" applyBorder="1" applyAlignment="1" applyProtection="1">
      <alignment horizontal="centerContinuous" vertical="center" wrapText="1"/>
    </xf>
    <xf numFmtId="0" fontId="74" fillId="0" borderId="0" xfId="0" applyFont="1" applyFill="1" applyBorder="1" applyAlignment="1" applyProtection="1">
      <alignment horizontal="centerContinuous" vertical="center"/>
    </xf>
    <xf numFmtId="0" fontId="95" fillId="0" borderId="0" xfId="0" applyFont="1" applyFill="1" applyBorder="1" applyAlignment="1" applyProtection="1">
      <alignment horizontal="centerContinuous" vertical="center"/>
    </xf>
    <xf numFmtId="0" fontId="95" fillId="0" borderId="50" xfId="0" applyFont="1" applyFill="1" applyBorder="1" applyProtection="1"/>
    <xf numFmtId="0" fontId="73" fillId="0" borderId="49" xfId="0" applyFont="1" applyFill="1" applyBorder="1" applyAlignment="1" applyProtection="1">
      <alignment wrapText="1"/>
    </xf>
    <xf numFmtId="0" fontId="73" fillId="0" borderId="71" xfId="0" applyFont="1" applyFill="1" applyBorder="1" applyProtection="1"/>
    <xf numFmtId="0" fontId="73" fillId="0" borderId="50" xfId="0" applyFont="1" applyFill="1" applyBorder="1" applyAlignment="1" applyProtection="1">
      <alignment wrapText="1"/>
    </xf>
    <xf numFmtId="0" fontId="75" fillId="0" borderId="0" xfId="0" quotePrefix="1" applyFont="1" applyFill="1" applyBorder="1" applyAlignment="1" applyProtection="1">
      <alignment horizontal="left"/>
    </xf>
    <xf numFmtId="0" fontId="73" fillId="0" borderId="59" xfId="0" applyFont="1" applyFill="1" applyBorder="1" applyProtection="1"/>
    <xf numFmtId="0" fontId="73" fillId="0" borderId="0" xfId="0" quotePrefix="1" applyFont="1" applyFill="1" applyBorder="1" applyAlignment="1" applyProtection="1">
      <alignment horizontal="left"/>
    </xf>
    <xf numFmtId="0" fontId="73" fillId="0" borderId="0" xfId="0" applyFont="1" applyFill="1" applyBorder="1" applyAlignment="1" applyProtection="1">
      <alignment horizontal="left"/>
    </xf>
    <xf numFmtId="0" fontId="90" fillId="0" borderId="0" xfId="2445" quotePrefix="1" applyFont="1" applyFill="1" applyBorder="1" applyAlignment="1" applyProtection="1">
      <alignment horizontal="left"/>
    </xf>
    <xf numFmtId="0" fontId="73" fillId="0" borderId="0" xfId="0" quotePrefix="1" applyFont="1" applyFill="1" applyBorder="1" applyAlignment="1" applyProtection="1"/>
    <xf numFmtId="0" fontId="73" fillId="0" borderId="0" xfId="0" applyFont="1" applyFill="1" applyBorder="1" applyAlignment="1" applyProtection="1">
      <alignment wrapText="1"/>
    </xf>
    <xf numFmtId="0" fontId="73" fillId="0" borderId="72" xfId="0" applyFont="1" applyFill="1" applyBorder="1" applyAlignment="1" applyProtection="1">
      <alignment wrapText="1"/>
    </xf>
    <xf numFmtId="0" fontId="73" fillId="0" borderId="72" xfId="0" applyFont="1" applyFill="1" applyBorder="1" applyProtection="1"/>
    <xf numFmtId="0" fontId="75" fillId="0" borderId="58" xfId="0" applyFont="1" applyBorder="1"/>
    <xf numFmtId="0" fontId="73" fillId="60" borderId="58" xfId="0" applyFont="1" applyFill="1" applyBorder="1" applyProtection="1"/>
    <xf numFmtId="0" fontId="75" fillId="0" borderId="58" xfId="0" applyFont="1" applyBorder="1" applyAlignment="1">
      <alignment horizontal="center"/>
    </xf>
    <xf numFmtId="0" fontId="73" fillId="58" borderId="58" xfId="0" applyFont="1" applyFill="1" applyBorder="1" applyAlignment="1">
      <alignment horizontal="center"/>
    </xf>
    <xf numFmtId="0" fontId="73" fillId="0" borderId="78" xfId="0" applyFont="1" applyBorder="1"/>
    <xf numFmtId="0" fontId="80" fillId="0" borderId="49" xfId="0" applyFont="1" applyBorder="1"/>
    <xf numFmtId="41" fontId="73" fillId="0" borderId="0" xfId="0" applyNumberFormat="1" applyFont="1" applyBorder="1"/>
    <xf numFmtId="0" fontId="73" fillId="0" borderId="50" xfId="0" applyFont="1" applyBorder="1"/>
    <xf numFmtId="0" fontId="97" fillId="0" borderId="71" xfId="0" applyFont="1" applyBorder="1"/>
    <xf numFmtId="41" fontId="73" fillId="0" borderId="72" xfId="0" applyNumberFormat="1" applyFont="1" applyBorder="1"/>
    <xf numFmtId="0" fontId="73" fillId="0" borderId="72" xfId="0" applyFont="1" applyBorder="1"/>
    <xf numFmtId="0" fontId="73" fillId="0" borderId="73" xfId="0" applyFont="1" applyBorder="1"/>
    <xf numFmtId="0" fontId="80" fillId="59" borderId="58" xfId="0" applyFont="1" applyFill="1" applyBorder="1"/>
    <xf numFmtId="0" fontId="73" fillId="59" borderId="58" xfId="0" applyFont="1" applyFill="1" applyBorder="1" applyAlignment="1">
      <alignment horizontal="center" vertical="center"/>
    </xf>
    <xf numFmtId="41" fontId="75" fillId="0" borderId="66" xfId="0" applyNumberFormat="1" applyFont="1" applyBorder="1"/>
    <xf numFmtId="41" fontId="73" fillId="0" borderId="78" xfId="0" applyNumberFormat="1" applyFont="1" applyBorder="1"/>
    <xf numFmtId="0" fontId="73" fillId="0" borderId="79" xfId="0" applyFont="1" applyBorder="1" applyAlignment="1">
      <alignment horizontal="center"/>
    </xf>
    <xf numFmtId="41" fontId="73" fillId="0" borderId="49" xfId="0" applyNumberFormat="1" applyFont="1" applyBorder="1"/>
    <xf numFmtId="0" fontId="73" fillId="0" borderId="50" xfId="0" applyFont="1" applyBorder="1" applyAlignment="1">
      <alignment horizontal="center"/>
    </xf>
    <xf numFmtId="41" fontId="73" fillId="0" borderId="71" xfId="0" applyNumberFormat="1" applyFont="1" applyBorder="1"/>
    <xf numFmtId="0" fontId="73" fillId="0" borderId="73" xfId="0" applyFont="1" applyBorder="1" applyAlignment="1">
      <alignment horizontal="center"/>
    </xf>
    <xf numFmtId="0" fontId="0" fillId="0" borderId="49" xfId="0" applyBorder="1"/>
    <xf numFmtId="0" fontId="73" fillId="0" borderId="49" xfId="0" applyFont="1" applyBorder="1"/>
    <xf numFmtId="0" fontId="82" fillId="61" borderId="67" xfId="0" applyFont="1" applyFill="1" applyBorder="1"/>
    <xf numFmtId="0" fontId="81" fillId="61" borderId="68" xfId="0" applyFont="1" applyFill="1" applyBorder="1"/>
    <xf numFmtId="0" fontId="81" fillId="61" borderId="69" xfId="0" applyFont="1" applyFill="1" applyBorder="1"/>
    <xf numFmtId="0" fontId="73" fillId="0" borderId="60" xfId="0" applyFont="1" applyBorder="1"/>
    <xf numFmtId="0" fontId="73" fillId="0" borderId="53" xfId="0" applyFont="1" applyBorder="1"/>
    <xf numFmtId="0" fontId="73" fillId="0" borderId="54" xfId="0" applyFont="1" applyBorder="1"/>
    <xf numFmtId="41" fontId="54" fillId="0" borderId="72" xfId="2445" applyNumberFormat="1" applyFont="1" applyBorder="1" applyAlignment="1" applyProtection="1"/>
    <xf numFmtId="172" fontId="73" fillId="0" borderId="0" xfId="2446" applyNumberFormat="1" applyFont="1"/>
    <xf numFmtId="0" fontId="75" fillId="56" borderId="71" xfId="0" applyFont="1" applyFill="1" applyBorder="1"/>
    <xf numFmtId="0" fontId="73" fillId="56" borderId="53" xfId="0" applyFont="1" applyFill="1" applyBorder="1" applyAlignment="1" applyProtection="1">
      <alignment horizontal="center"/>
      <protection locked="0"/>
    </xf>
    <xf numFmtId="41" fontId="75" fillId="0" borderId="89" xfId="0" applyNumberFormat="1" applyFont="1" applyFill="1" applyBorder="1" applyAlignment="1" applyProtection="1">
      <alignment horizontal="center"/>
    </xf>
    <xf numFmtId="41" fontId="75" fillId="29" borderId="17" xfId="0" applyNumberFormat="1" applyFont="1" applyFill="1" applyBorder="1" applyAlignment="1" applyProtection="1">
      <alignment horizontal="center"/>
      <protection locked="0"/>
    </xf>
    <xf numFmtId="41" fontId="75" fillId="29" borderId="76" xfId="0" applyNumberFormat="1" applyFont="1" applyFill="1" applyBorder="1" applyAlignment="1" applyProtection="1">
      <alignment horizontal="center"/>
      <protection locked="0"/>
    </xf>
    <xf numFmtId="41" fontId="75" fillId="0" borderId="82" xfId="0" applyNumberFormat="1" applyFont="1" applyFill="1" applyBorder="1" applyAlignment="1" applyProtection="1">
      <alignment horizontal="center"/>
    </xf>
    <xf numFmtId="41" fontId="73" fillId="0" borderId="88" xfId="0" applyNumberFormat="1" applyFont="1" applyFill="1" applyBorder="1" applyAlignment="1" applyProtection="1">
      <alignment vertical="center" wrapText="1"/>
    </xf>
    <xf numFmtId="41" fontId="75" fillId="0" borderId="88" xfId="0" applyNumberFormat="1" applyFont="1" applyFill="1" applyBorder="1" applyAlignment="1" applyProtection="1">
      <alignment horizontal="center"/>
    </xf>
    <xf numFmtId="41" fontId="75" fillId="0" borderId="12" xfId="0" applyNumberFormat="1" applyFont="1" applyFill="1" applyBorder="1" applyAlignment="1" applyProtection="1">
      <alignment vertical="center" wrapText="1"/>
    </xf>
    <xf numFmtId="41" fontId="75" fillId="0" borderId="88" xfId="0" applyNumberFormat="1" applyFont="1" applyFill="1" applyBorder="1" applyAlignment="1" applyProtection="1">
      <alignment vertical="center" wrapText="1"/>
    </xf>
    <xf numFmtId="41" fontId="75" fillId="0" borderId="75" xfId="0" applyNumberFormat="1" applyFont="1" applyFill="1" applyBorder="1" applyAlignment="1" applyProtection="1">
      <alignment horizontal="center"/>
    </xf>
    <xf numFmtId="0" fontId="73" fillId="0" borderId="85" xfId="0" applyFont="1" applyFill="1" applyBorder="1" applyProtection="1">
      <protection locked="0"/>
    </xf>
    <xf numFmtId="0" fontId="73" fillId="0" borderId="85" xfId="0" applyFont="1" applyFill="1" applyBorder="1" applyProtection="1"/>
    <xf numFmtId="41" fontId="73" fillId="0" borderId="38" xfId="0" applyNumberFormat="1" applyFont="1" applyFill="1" applyBorder="1" applyProtection="1"/>
    <xf numFmtId="41" fontId="73" fillId="0" borderId="17" xfId="0" applyNumberFormat="1" applyFont="1" applyFill="1" applyBorder="1" applyAlignment="1" applyProtection="1">
      <alignment horizontal="left"/>
    </xf>
    <xf numFmtId="41" fontId="73" fillId="0" borderId="17" xfId="0" applyNumberFormat="1" applyFont="1" applyFill="1" applyBorder="1" applyProtection="1"/>
    <xf numFmtId="0" fontId="75" fillId="0" borderId="17" xfId="0" applyFont="1" applyFill="1" applyBorder="1" applyProtection="1"/>
    <xf numFmtId="0" fontId="73" fillId="0" borderId="17" xfId="0" applyFont="1" applyFill="1" applyBorder="1" applyAlignment="1" applyProtection="1"/>
    <xf numFmtId="0" fontId="75" fillId="0" borderId="85" xfId="0" applyFont="1" applyFill="1" applyBorder="1" applyAlignment="1" applyProtection="1"/>
    <xf numFmtId="0" fontId="74" fillId="0" borderId="85" xfId="0" applyFont="1" applyFill="1" applyBorder="1" applyAlignment="1" applyProtection="1">
      <alignment horizontal="center" vertical="center"/>
    </xf>
    <xf numFmtId="0" fontId="74" fillId="0" borderId="12" xfId="0" applyFont="1" applyFill="1" applyBorder="1" applyAlignment="1" applyProtection="1">
      <alignment horizontal="centerContinuous"/>
    </xf>
    <xf numFmtId="0" fontId="74" fillId="0" borderId="0" xfId="0" applyFont="1" applyFill="1" applyBorder="1" applyAlignment="1" applyProtection="1">
      <alignment horizontal="centerContinuous"/>
    </xf>
    <xf numFmtId="0" fontId="75" fillId="0" borderId="84" xfId="0" applyFont="1" applyFill="1" applyBorder="1" applyAlignment="1" applyProtection="1"/>
    <xf numFmtId="0" fontId="74" fillId="0" borderId="37" xfId="0" applyFont="1" applyFill="1" applyBorder="1" applyAlignment="1" applyProtection="1">
      <alignment horizontal="centerContinuous"/>
    </xf>
    <xf numFmtId="3" fontId="72" fillId="0" borderId="0" xfId="0" applyNumberFormat="1" applyFont="1" applyFill="1" applyProtection="1"/>
    <xf numFmtId="41" fontId="72" fillId="0" borderId="0" xfId="0" applyNumberFormat="1" applyFont="1" applyFill="1" applyAlignment="1" applyProtection="1"/>
    <xf numFmtId="41" fontId="72" fillId="0" borderId="0" xfId="0" applyNumberFormat="1" applyFont="1" applyFill="1" applyAlignment="1" applyProtection="1">
      <alignment horizontal="right"/>
    </xf>
    <xf numFmtId="0" fontId="72" fillId="0" borderId="0" xfId="0" applyFont="1" applyFill="1" applyAlignment="1" applyProtection="1"/>
    <xf numFmtId="3" fontId="72" fillId="0" borderId="0" xfId="0" applyNumberFormat="1" applyFont="1" applyFill="1" applyAlignment="1" applyProtection="1"/>
    <xf numFmtId="0" fontId="74" fillId="0" borderId="37" xfId="0" applyFont="1" applyFill="1" applyBorder="1" applyAlignment="1" applyProtection="1">
      <alignment horizontal="centerContinuous" wrapText="1"/>
    </xf>
    <xf numFmtId="0" fontId="74" fillId="0" borderId="10" xfId="0" applyFont="1" applyFill="1" applyBorder="1" applyAlignment="1" applyProtection="1">
      <alignment horizontal="centerContinuous" wrapText="1"/>
    </xf>
    <xf numFmtId="0" fontId="74" fillId="0" borderId="47" xfId="0" applyFont="1" applyFill="1" applyBorder="1" applyAlignment="1" applyProtection="1">
      <alignment horizontal="centerContinuous" wrapText="1"/>
    </xf>
    <xf numFmtId="41" fontId="75" fillId="0" borderId="90" xfId="0" applyNumberFormat="1" applyFont="1" applyFill="1" applyBorder="1" applyAlignment="1" applyProtection="1">
      <alignment horizontal="center"/>
    </xf>
    <xf numFmtId="41" fontId="75" fillId="0" borderId="76" xfId="0" applyNumberFormat="1" applyFont="1" applyFill="1" applyBorder="1" applyAlignment="1" applyProtection="1">
      <alignment horizontal="center" wrapText="1"/>
    </xf>
    <xf numFmtId="41" fontId="75" fillId="0" borderId="17" xfId="0" applyNumberFormat="1" applyFont="1" applyFill="1" applyBorder="1" applyAlignment="1" applyProtection="1">
      <alignment horizontal="center" wrapText="1"/>
    </xf>
    <xf numFmtId="41" fontId="75" fillId="0" borderId="89" xfId="0" applyNumberFormat="1" applyFont="1" applyFill="1" applyBorder="1" applyAlignment="1" applyProtection="1">
      <alignment horizontal="center" wrapText="1"/>
    </xf>
    <xf numFmtId="41" fontId="75" fillId="0" borderId="38" xfId="0" applyNumberFormat="1" applyFont="1" applyFill="1" applyBorder="1" applyAlignment="1" applyProtection="1">
      <alignment horizontal="center" wrapText="1"/>
    </xf>
    <xf numFmtId="0" fontId="75" fillId="0" borderId="85" xfId="0" applyFont="1" applyFill="1" applyBorder="1" applyAlignment="1" applyProtection="1">
      <alignment horizontal="center" vertical="center"/>
    </xf>
    <xf numFmtId="0" fontId="75" fillId="0" borderId="85" xfId="0" applyFont="1" applyFill="1" applyBorder="1" applyAlignment="1" applyProtection="1">
      <alignment horizontal="center" textRotation="60" wrapText="1"/>
    </xf>
    <xf numFmtId="0" fontId="75" fillId="0" borderId="0" xfId="0" applyFont="1" applyFill="1" applyBorder="1" applyAlignment="1" applyProtection="1">
      <alignment vertical="top" wrapText="1"/>
    </xf>
    <xf numFmtId="0" fontId="75" fillId="0" borderId="12" xfId="0" applyFont="1" applyFill="1" applyBorder="1" applyAlignment="1" applyProtection="1">
      <alignment vertical="top" wrapText="1"/>
    </xf>
    <xf numFmtId="3" fontId="73" fillId="0" borderId="85" xfId="0" applyNumberFormat="1" applyFont="1" applyFill="1" applyBorder="1" applyAlignment="1" applyProtection="1">
      <alignment wrapText="1"/>
    </xf>
    <xf numFmtId="41" fontId="73" fillId="29" borderId="92" xfId="0" applyNumberFormat="1" applyFont="1" applyFill="1" applyBorder="1" applyAlignment="1" applyProtection="1">
      <alignment vertical="center" wrapText="1"/>
      <protection locked="0"/>
    </xf>
    <xf numFmtId="41" fontId="73" fillId="0" borderId="93" xfId="0" applyNumberFormat="1" applyFont="1" applyFill="1" applyBorder="1" applyAlignment="1" applyProtection="1">
      <alignment vertical="center" wrapText="1"/>
    </xf>
    <xf numFmtId="3" fontId="73" fillId="0" borderId="85" xfId="0" applyNumberFormat="1" applyFont="1" applyFill="1" applyBorder="1" applyAlignment="1" applyProtection="1">
      <alignment horizontal="center" wrapText="1"/>
      <protection locked="0"/>
    </xf>
    <xf numFmtId="3" fontId="72" fillId="0" borderId="0" xfId="0" applyNumberFormat="1" applyFont="1" applyFill="1" applyAlignment="1" applyProtection="1">
      <alignment vertical="center"/>
    </xf>
    <xf numFmtId="3" fontId="73" fillId="0" borderId="11" xfId="0" applyNumberFormat="1" applyFont="1" applyFill="1" applyBorder="1" applyAlignment="1" applyProtection="1">
      <alignment vertical="center"/>
    </xf>
    <xf numFmtId="41" fontId="73" fillId="0" borderId="92" xfId="0" applyNumberFormat="1" applyFont="1" applyFill="1" applyBorder="1" applyAlignment="1" applyProtection="1">
      <alignment vertical="center" wrapText="1"/>
    </xf>
    <xf numFmtId="3" fontId="73" fillId="0" borderId="85" xfId="0" applyNumberFormat="1" applyFont="1" applyFill="1" applyBorder="1" applyAlignment="1" applyProtection="1">
      <alignment horizontal="center" vertical="center" wrapText="1"/>
      <protection locked="0"/>
    </xf>
    <xf numFmtId="41" fontId="73" fillId="0" borderId="95" xfId="0" applyNumberFormat="1" applyFont="1" applyFill="1" applyBorder="1" applyAlignment="1" applyProtection="1">
      <alignment vertical="center" wrapText="1"/>
    </xf>
    <xf numFmtId="41" fontId="91" fillId="29" borderId="92" xfId="0" applyNumberFormat="1" applyFont="1" applyFill="1" applyBorder="1" applyAlignment="1" applyProtection="1">
      <alignment vertical="center" wrapText="1"/>
      <protection locked="0"/>
    </xf>
    <xf numFmtId="41" fontId="91" fillId="0" borderId="93" xfId="0" applyNumberFormat="1" applyFont="1" applyFill="1" applyBorder="1" applyAlignment="1" applyProtection="1">
      <alignment vertical="center" wrapText="1"/>
    </xf>
    <xf numFmtId="41" fontId="92" fillId="0" borderId="96" xfId="0" applyNumberFormat="1" applyFont="1" applyFill="1" applyBorder="1" applyAlignment="1" applyProtection="1">
      <alignment vertical="center" wrapText="1"/>
    </xf>
    <xf numFmtId="41" fontId="92" fillId="0" borderId="97" xfId="0" applyNumberFormat="1" applyFont="1" applyFill="1" applyBorder="1" applyAlignment="1" applyProtection="1">
      <alignment vertical="center" wrapText="1"/>
    </xf>
    <xf numFmtId="3" fontId="73" fillId="0" borderId="98" xfId="0" applyNumberFormat="1" applyFont="1" applyFill="1" applyBorder="1" applyAlignment="1" applyProtection="1">
      <alignment horizontal="center" wrapText="1"/>
      <protection locked="0"/>
    </xf>
    <xf numFmtId="41" fontId="73" fillId="0" borderId="99" xfId="0" applyNumberFormat="1" applyFont="1" applyFill="1" applyBorder="1" applyAlignment="1" applyProtection="1">
      <alignment horizontal="center" vertical="center" wrapText="1"/>
    </xf>
    <xf numFmtId="41" fontId="73" fillId="0" borderId="99" xfId="0" applyNumberFormat="1" applyFont="1" applyFill="1" applyBorder="1" applyAlignment="1" applyProtection="1">
      <alignment vertical="center" wrapText="1"/>
    </xf>
    <xf numFmtId="3" fontId="73" fillId="0" borderId="88" xfId="0" applyNumberFormat="1" applyFont="1" applyFill="1" applyBorder="1" applyAlignment="1" applyProtection="1">
      <alignment horizontal="center" wrapText="1"/>
      <protection locked="0"/>
    </xf>
    <xf numFmtId="41" fontId="73" fillId="0" borderId="0" xfId="0" applyNumberFormat="1" applyFont="1" applyFill="1" applyBorder="1" applyAlignment="1" applyProtection="1">
      <alignment horizontal="center" vertical="center" wrapText="1"/>
    </xf>
    <xf numFmtId="41" fontId="75" fillId="0" borderId="0" xfId="0" applyNumberFormat="1" applyFont="1" applyFill="1" applyBorder="1" applyAlignment="1" applyProtection="1">
      <alignment horizontal="center" vertical="center" wrapText="1"/>
    </xf>
    <xf numFmtId="41" fontId="73" fillId="0" borderId="93" xfId="0" applyNumberFormat="1" applyFont="1" applyFill="1" applyBorder="1" applyAlignment="1" applyProtection="1">
      <alignment horizontal="right" vertical="center"/>
    </xf>
    <xf numFmtId="165" fontId="73" fillId="0" borderId="0" xfId="0" applyNumberFormat="1" applyFont="1" applyFill="1" applyBorder="1" applyAlignment="1" applyProtection="1">
      <alignment horizontal="right" vertical="center"/>
    </xf>
    <xf numFmtId="165" fontId="73" fillId="0" borderId="0" xfId="0" applyNumberFormat="1" applyFont="1" applyFill="1" applyBorder="1" applyAlignment="1" applyProtection="1">
      <alignment horizontal="right" wrapText="1"/>
    </xf>
    <xf numFmtId="41" fontId="73" fillId="0" borderId="100" xfId="0" applyNumberFormat="1" applyFont="1" applyFill="1" applyBorder="1" applyAlignment="1" applyProtection="1">
      <alignment vertical="center" wrapText="1"/>
    </xf>
    <xf numFmtId="165" fontId="73" fillId="0" borderId="0" xfId="0" applyNumberFormat="1" applyFont="1" applyFill="1" applyBorder="1" applyAlignment="1" applyProtection="1">
      <alignment horizontal="right"/>
    </xf>
    <xf numFmtId="41" fontId="92" fillId="0" borderId="91" xfId="0" applyNumberFormat="1" applyFont="1" applyFill="1" applyBorder="1" applyAlignment="1" applyProtection="1">
      <alignment vertical="center" wrapText="1"/>
    </xf>
    <xf numFmtId="41" fontId="92" fillId="0" borderId="101" xfId="0" applyNumberFormat="1" applyFont="1" applyFill="1" applyBorder="1" applyAlignment="1" applyProtection="1">
      <alignment vertical="center" wrapText="1"/>
    </xf>
    <xf numFmtId="0" fontId="73" fillId="0" borderId="10" xfId="0" applyFont="1" applyFill="1" applyBorder="1" applyAlignment="1" applyProtection="1"/>
    <xf numFmtId="41" fontId="73" fillId="0" borderId="10" xfId="0" applyNumberFormat="1" applyFont="1" applyFill="1" applyBorder="1" applyAlignment="1" applyProtection="1">
      <alignment wrapText="1"/>
    </xf>
    <xf numFmtId="41" fontId="73" fillId="0" borderId="10" xfId="0" applyNumberFormat="1" applyFont="1" applyFill="1" applyBorder="1" applyAlignment="1" applyProtection="1">
      <alignment horizontal="center" wrapText="1"/>
    </xf>
    <xf numFmtId="173" fontId="81" fillId="0" borderId="0" xfId="0" applyNumberFormat="1" applyFont="1" applyFill="1" applyBorder="1" applyAlignment="1" applyProtection="1">
      <alignment horizontal="right"/>
      <protection hidden="1"/>
    </xf>
    <xf numFmtId="41" fontId="92" fillId="0" borderId="92" xfId="0" applyNumberFormat="1" applyFont="1" applyFill="1" applyBorder="1" applyAlignment="1" applyProtection="1"/>
    <xf numFmtId="41" fontId="92" fillId="0" borderId="21" xfId="0" applyNumberFormat="1" applyFont="1" applyFill="1" applyBorder="1" applyAlignment="1" applyProtection="1"/>
    <xf numFmtId="41" fontId="73" fillId="0" borderId="34" xfId="0" applyNumberFormat="1" applyFont="1" applyFill="1" applyBorder="1" applyAlignment="1" applyProtection="1"/>
    <xf numFmtId="41" fontId="92" fillId="0" borderId="92" xfId="0" applyNumberFormat="1" applyFont="1" applyFill="1" applyBorder="1" applyAlignment="1" applyProtection="1">
      <alignment horizontal="center"/>
    </xf>
    <xf numFmtId="41" fontId="92" fillId="0" borderId="56" xfId="0" applyNumberFormat="1" applyFont="1" applyFill="1" applyBorder="1" applyAlignment="1" applyProtection="1">
      <alignment horizontal="center"/>
    </xf>
    <xf numFmtId="0" fontId="73" fillId="0" borderId="25" xfId="0" applyFont="1" applyFill="1" applyBorder="1" applyAlignment="1" applyProtection="1"/>
    <xf numFmtId="41" fontId="73" fillId="0" borderId="25" xfId="0" applyNumberFormat="1" applyFont="1" applyFill="1" applyBorder="1" applyAlignment="1" applyProtection="1">
      <alignment horizontal="right"/>
    </xf>
    <xf numFmtId="41" fontId="92" fillId="0" borderId="25" xfId="0" applyNumberFormat="1" applyFont="1" applyFill="1" applyBorder="1" applyAlignment="1" applyProtection="1"/>
    <xf numFmtId="41" fontId="92" fillId="0" borderId="96" xfId="0" applyNumberFormat="1" applyFont="1" applyFill="1" applyBorder="1" applyAlignment="1" applyProtection="1">
      <alignment horizontal="center"/>
    </xf>
    <xf numFmtId="41" fontId="92" fillId="0" borderId="35" xfId="0" applyNumberFormat="1" applyFont="1" applyFill="1" applyBorder="1" applyAlignment="1" applyProtection="1">
      <alignment horizontal="center"/>
    </xf>
    <xf numFmtId="41" fontId="92" fillId="0" borderId="25" xfId="0" applyNumberFormat="1" applyFont="1" applyFill="1" applyBorder="1" applyAlignment="1" applyProtection="1">
      <alignment horizontal="center"/>
    </xf>
    <xf numFmtId="41" fontId="73" fillId="0" borderId="0" xfId="0" applyNumberFormat="1" applyFont="1" applyFill="1" applyBorder="1" applyAlignment="1" applyProtection="1">
      <alignment horizontal="center"/>
    </xf>
    <xf numFmtId="41" fontId="73" fillId="0" borderId="17" xfId="0" applyNumberFormat="1" applyFont="1" applyFill="1" applyBorder="1" applyAlignment="1" applyProtection="1">
      <alignment horizontal="center"/>
    </xf>
    <xf numFmtId="0" fontId="75" fillId="0" borderId="0" xfId="0" applyFont="1" applyFill="1" applyBorder="1" applyAlignment="1" applyProtection="1">
      <alignment horizontal="center"/>
    </xf>
    <xf numFmtId="0" fontId="73" fillId="0" borderId="0" xfId="0" applyFont="1" applyFill="1" applyBorder="1" applyAlignment="1" applyProtection="1">
      <alignment vertical="center" wrapText="1"/>
      <protection hidden="1"/>
    </xf>
    <xf numFmtId="41" fontId="73" fillId="0" borderId="27" xfId="0" applyNumberFormat="1" applyFont="1" applyFill="1" applyBorder="1" applyAlignment="1" applyProtection="1">
      <alignment horizontal="right" vertical="center"/>
      <protection hidden="1"/>
    </xf>
    <xf numFmtId="43" fontId="0" fillId="0" borderId="0" xfId="2446" applyFont="1"/>
    <xf numFmtId="0" fontId="4" fillId="0" borderId="0" xfId="0" applyFont="1" applyAlignment="1">
      <alignment horizontal="right"/>
    </xf>
    <xf numFmtId="43" fontId="75" fillId="56" borderId="65" xfId="2446" applyFont="1" applyFill="1" applyBorder="1" applyAlignment="1">
      <alignment horizontal="left" vertical="center"/>
    </xf>
    <xf numFmtId="0" fontId="73" fillId="56" borderId="65" xfId="0" applyFont="1" applyFill="1" applyBorder="1" applyAlignment="1">
      <alignment horizontal="center"/>
    </xf>
    <xf numFmtId="0" fontId="77" fillId="56" borderId="63" xfId="0" applyFont="1" applyFill="1" applyBorder="1"/>
    <xf numFmtId="43" fontId="75" fillId="56" borderId="65" xfId="2446" applyFont="1" applyFill="1" applyBorder="1" applyAlignment="1"/>
    <xf numFmtId="0" fontId="73" fillId="0" borderId="0" xfId="0" applyFont="1" applyAlignment="1">
      <alignment horizontal="right"/>
    </xf>
    <xf numFmtId="0" fontId="77" fillId="0" borderId="104" xfId="0" applyFont="1" applyBorder="1" applyAlignment="1">
      <alignment horizontal="right"/>
    </xf>
    <xf numFmtId="0" fontId="77" fillId="0" borderId="105" xfId="0" applyFont="1" applyBorder="1" applyAlignment="1">
      <alignment horizontal="right"/>
    </xf>
    <xf numFmtId="0" fontId="75" fillId="0" borderId="105" xfId="0" applyFont="1" applyBorder="1" applyAlignment="1">
      <alignment horizontal="right"/>
    </xf>
    <xf numFmtId="0" fontId="77" fillId="0" borderId="107" xfId="0" applyFont="1" applyBorder="1"/>
    <xf numFmtId="0" fontId="77" fillId="0" borderId="65" xfId="0" applyFont="1" applyBorder="1"/>
    <xf numFmtId="0" fontId="77" fillId="0" borderId="111" xfId="0" applyFont="1" applyBorder="1"/>
    <xf numFmtId="0" fontId="75" fillId="0" borderId="103" xfId="0" applyFont="1" applyBorder="1"/>
    <xf numFmtId="43" fontId="75" fillId="0" borderId="109" xfId="2446" applyFont="1" applyBorder="1"/>
    <xf numFmtId="0" fontId="75" fillId="0" borderId="102" xfId="0" applyFont="1" applyBorder="1"/>
    <xf numFmtId="0" fontId="75" fillId="56" borderId="102" xfId="0" applyFont="1" applyFill="1" applyBorder="1" applyAlignment="1">
      <alignment horizontal="center"/>
    </xf>
    <xf numFmtId="43" fontId="0" fillId="0" borderId="0" xfId="0" applyNumberFormat="1"/>
    <xf numFmtId="0" fontId="75" fillId="0" borderId="65" xfId="0" applyFont="1" applyBorder="1" applyAlignment="1">
      <alignment horizontal="center" vertical="center"/>
    </xf>
    <xf numFmtId="0" fontId="73" fillId="0" borderId="0" xfId="0" applyFont="1" applyProtection="1"/>
    <xf numFmtId="0" fontId="73" fillId="28" borderId="66" xfId="0" applyFont="1" applyFill="1" applyBorder="1" applyProtection="1"/>
    <xf numFmtId="0" fontId="73" fillId="28" borderId="78" xfId="0" applyFont="1" applyFill="1" applyBorder="1" applyProtection="1"/>
    <xf numFmtId="0" fontId="73" fillId="28" borderId="79" xfId="0" applyFont="1" applyFill="1" applyBorder="1" applyProtection="1"/>
    <xf numFmtId="0" fontId="73" fillId="28" borderId="49" xfId="0" applyFont="1" applyFill="1" applyBorder="1" applyProtection="1"/>
    <xf numFmtId="0" fontId="73" fillId="28" borderId="0" xfId="0" applyFont="1" applyFill="1" applyBorder="1" applyProtection="1"/>
    <xf numFmtId="0" fontId="73" fillId="28" borderId="50" xfId="0" applyFont="1" applyFill="1" applyBorder="1" applyProtection="1"/>
    <xf numFmtId="0" fontId="101" fillId="0" borderId="0" xfId="0" applyFont="1" applyProtection="1"/>
    <xf numFmtId="41" fontId="72" fillId="0" borderId="0" xfId="0" applyNumberFormat="1" applyFont="1" applyFill="1" applyBorder="1" applyAlignment="1" applyProtection="1"/>
    <xf numFmtId="41" fontId="72" fillId="0" borderId="0" xfId="0" applyNumberFormat="1" applyFont="1" applyFill="1" applyAlignment="1" applyProtection="1">
      <alignment horizontal="center"/>
    </xf>
    <xf numFmtId="0" fontId="95" fillId="0" borderId="11" xfId="0" applyFont="1" applyFill="1" applyBorder="1" applyAlignment="1" applyProtection="1"/>
    <xf numFmtId="0" fontId="95" fillId="0" borderId="0" xfId="0" applyFont="1" applyFill="1" applyBorder="1" applyAlignment="1" applyProtection="1"/>
    <xf numFmtId="0" fontId="74" fillId="0" borderId="0" xfId="0" applyFont="1" applyFill="1" applyBorder="1" applyProtection="1"/>
    <xf numFmtId="41" fontId="74" fillId="0" borderId="0" xfId="0" applyNumberFormat="1" applyFont="1" applyFill="1" applyBorder="1" applyAlignment="1" applyProtection="1">
      <alignment horizontal="right"/>
    </xf>
    <xf numFmtId="41" fontId="95" fillId="0" borderId="0" xfId="0" applyNumberFormat="1" applyFont="1" applyFill="1" applyBorder="1" applyProtection="1"/>
    <xf numFmtId="41" fontId="95" fillId="0" borderId="17" xfId="0" applyNumberFormat="1" applyFont="1" applyFill="1" applyBorder="1" applyProtection="1"/>
    <xf numFmtId="41" fontId="95" fillId="0" borderId="17" xfId="0" applyNumberFormat="1" applyFont="1" applyFill="1" applyBorder="1" applyAlignment="1" applyProtection="1">
      <alignment horizontal="left"/>
    </xf>
    <xf numFmtId="41" fontId="95" fillId="0" borderId="38" xfId="0" applyNumberFormat="1" applyFont="1" applyFill="1" applyBorder="1" applyAlignment="1" applyProtection="1">
      <alignment horizontal="left"/>
    </xf>
    <xf numFmtId="0" fontId="73" fillId="0" borderId="12" xfId="0" applyFont="1" applyFill="1" applyBorder="1" applyProtection="1"/>
    <xf numFmtId="41" fontId="75" fillId="0" borderId="112" xfId="0" applyNumberFormat="1" applyFont="1" applyFill="1" applyBorder="1" applyAlignment="1" applyProtection="1">
      <alignment vertical="center" wrapText="1"/>
    </xf>
    <xf numFmtId="41" fontId="75" fillId="0" borderId="113" xfId="0" applyNumberFormat="1" applyFont="1" applyFill="1" applyBorder="1" applyAlignment="1" applyProtection="1">
      <alignment horizontal="center"/>
    </xf>
    <xf numFmtId="41" fontId="75" fillId="0" borderId="114" xfId="0" applyNumberFormat="1" applyFont="1" applyFill="1" applyBorder="1" applyAlignment="1" applyProtection="1">
      <alignment horizontal="center"/>
    </xf>
    <xf numFmtId="41" fontId="75" fillId="0" borderId="115" xfId="0" applyNumberFormat="1" applyFont="1" applyFill="1" applyBorder="1" applyAlignment="1" applyProtection="1">
      <alignment horizontal="center"/>
    </xf>
    <xf numFmtId="41" fontId="75" fillId="0" borderId="116" xfId="0" applyNumberFormat="1" applyFont="1" applyFill="1" applyBorder="1" applyAlignment="1" applyProtection="1">
      <alignment horizontal="center"/>
    </xf>
    <xf numFmtId="0" fontId="75" fillId="0" borderId="85" xfId="0" applyFont="1" applyFill="1" applyBorder="1" applyProtection="1">
      <protection locked="0"/>
    </xf>
    <xf numFmtId="0" fontId="75" fillId="0" borderId="0" xfId="0" applyFont="1" applyFill="1" applyProtection="1"/>
    <xf numFmtId="41" fontId="75" fillId="0" borderId="117" xfId="0" applyNumberFormat="1" applyFont="1" applyFill="1" applyBorder="1" applyAlignment="1" applyProtection="1">
      <alignment vertical="center" wrapText="1"/>
    </xf>
    <xf numFmtId="41" fontId="75" fillId="0" borderId="43" xfId="0" applyNumberFormat="1" applyFont="1" applyFill="1" applyBorder="1" applyAlignment="1" applyProtection="1">
      <alignment vertical="center" wrapText="1"/>
    </xf>
    <xf numFmtId="41" fontId="75" fillId="0" borderId="118" xfId="0" applyNumberFormat="1" applyFont="1" applyFill="1" applyBorder="1" applyAlignment="1" applyProtection="1">
      <alignment vertical="center" wrapText="1"/>
    </xf>
    <xf numFmtId="41" fontId="75" fillId="0" borderId="119" xfId="0" applyNumberFormat="1" applyFont="1" applyFill="1" applyBorder="1" applyAlignment="1" applyProtection="1">
      <alignment horizontal="center"/>
    </xf>
    <xf numFmtId="41" fontId="75" fillId="0" borderId="120" xfId="0" applyNumberFormat="1" applyFont="1" applyFill="1" applyBorder="1" applyAlignment="1" applyProtection="1">
      <alignment horizontal="center"/>
    </xf>
    <xf numFmtId="41" fontId="73" fillId="0" borderId="38" xfId="0" applyNumberFormat="1" applyFont="1" applyFill="1" applyBorder="1" applyAlignment="1" applyProtection="1">
      <alignment horizontal="center"/>
    </xf>
    <xf numFmtId="0" fontId="75" fillId="0" borderId="11" xfId="0" applyFont="1" applyFill="1" applyBorder="1" applyAlignment="1" applyProtection="1">
      <alignment vertical="top" wrapText="1"/>
    </xf>
    <xf numFmtId="41" fontId="75" fillId="0" borderId="16" xfId="0" applyNumberFormat="1" applyFont="1" applyFill="1" applyBorder="1" applyAlignment="1" applyProtection="1">
      <alignment horizontal="center" wrapText="1"/>
    </xf>
    <xf numFmtId="41" fontId="73" fillId="0" borderId="12" xfId="0" applyNumberFormat="1" applyFont="1" applyFill="1" applyBorder="1" applyAlignment="1" applyProtection="1">
      <alignment horizontal="center" vertical="center" wrapText="1"/>
    </xf>
    <xf numFmtId="41" fontId="73" fillId="0" borderId="17" xfId="0" applyNumberFormat="1" applyFont="1" applyFill="1" applyBorder="1" applyAlignment="1" applyProtection="1">
      <alignment vertical="center" wrapText="1"/>
    </xf>
    <xf numFmtId="3" fontId="73" fillId="0" borderId="85" xfId="0" applyNumberFormat="1" applyFont="1" applyFill="1" applyBorder="1" applyAlignment="1" applyProtection="1">
      <alignment horizontal="center" wrapText="1"/>
    </xf>
    <xf numFmtId="41" fontId="73" fillId="0" borderId="121" xfId="0" applyNumberFormat="1" applyFont="1" applyFill="1" applyBorder="1" applyAlignment="1" applyProtection="1">
      <alignment vertical="center" wrapText="1"/>
    </xf>
    <xf numFmtId="41" fontId="73" fillId="0" borderId="122" xfId="0" applyNumberFormat="1" applyFont="1" applyFill="1" applyBorder="1" applyAlignment="1" applyProtection="1">
      <alignment vertical="center" wrapText="1"/>
    </xf>
    <xf numFmtId="41" fontId="73" fillId="0" borderId="1" xfId="0" applyNumberFormat="1" applyFont="1" applyFill="1" applyBorder="1" applyAlignment="1" applyProtection="1">
      <alignment vertical="center" wrapText="1"/>
    </xf>
    <xf numFmtId="41" fontId="73" fillId="0" borderId="123" xfId="0" applyNumberFormat="1" applyFont="1" applyFill="1" applyBorder="1" applyAlignment="1" applyProtection="1">
      <alignment vertical="center" wrapText="1"/>
    </xf>
    <xf numFmtId="41" fontId="73" fillId="0" borderId="40" xfId="0" applyNumberFormat="1" applyFont="1" applyFill="1" applyBorder="1" applyAlignment="1" applyProtection="1">
      <alignment vertical="center" wrapText="1"/>
    </xf>
    <xf numFmtId="41" fontId="73" fillId="0" borderId="124" xfId="0" applyNumberFormat="1" applyFont="1" applyFill="1" applyBorder="1" applyAlignment="1" applyProtection="1">
      <alignment vertical="center" wrapText="1"/>
    </xf>
    <xf numFmtId="41" fontId="73" fillId="0" borderId="126" xfId="0" applyNumberFormat="1" applyFont="1" applyFill="1" applyBorder="1" applyAlignment="1" applyProtection="1">
      <alignment vertical="center" wrapText="1"/>
    </xf>
    <xf numFmtId="41" fontId="73" fillId="0" borderId="127" xfId="0" applyNumberFormat="1" applyFont="1" applyFill="1" applyBorder="1" applyAlignment="1" applyProtection="1">
      <alignment vertical="center" wrapText="1"/>
    </xf>
    <xf numFmtId="3" fontId="73" fillId="0" borderId="0" xfId="0" applyNumberFormat="1" applyFont="1" applyFill="1" applyAlignment="1" applyProtection="1">
      <alignment vertical="center" wrapText="1"/>
    </xf>
    <xf numFmtId="41" fontId="73" fillId="0" borderId="28" xfId="0" applyNumberFormat="1" applyFont="1" applyFill="1" applyBorder="1" applyAlignment="1" applyProtection="1">
      <alignment vertical="center" wrapText="1"/>
    </xf>
    <xf numFmtId="41" fontId="91" fillId="0" borderId="121" xfId="0" applyNumberFormat="1" applyFont="1" applyFill="1" applyBorder="1" applyAlignment="1" applyProtection="1">
      <alignment vertical="center" wrapText="1"/>
    </xf>
    <xf numFmtId="41" fontId="91" fillId="0" borderId="34" xfId="0" applyNumberFormat="1" applyFont="1" applyFill="1" applyBorder="1" applyAlignment="1" applyProtection="1">
      <alignment vertical="center" wrapText="1"/>
    </xf>
    <xf numFmtId="41" fontId="91" fillId="0" borderId="1" xfId="0" applyNumberFormat="1" applyFont="1" applyFill="1" applyBorder="1" applyAlignment="1" applyProtection="1">
      <alignment vertical="center" wrapText="1"/>
    </xf>
    <xf numFmtId="41" fontId="91" fillId="0" borderId="123" xfId="0" applyNumberFormat="1" applyFont="1" applyFill="1" applyBorder="1" applyAlignment="1" applyProtection="1">
      <alignment vertical="center" wrapText="1"/>
    </xf>
    <xf numFmtId="41" fontId="91" fillId="0" borderId="40" xfId="0" applyNumberFormat="1" applyFont="1" applyFill="1" applyBorder="1" applyAlignment="1" applyProtection="1">
      <alignment vertical="center" wrapText="1"/>
    </xf>
    <xf numFmtId="41" fontId="91" fillId="0" borderId="124" xfId="0" applyNumberFormat="1" applyFont="1" applyFill="1" applyBorder="1" applyAlignment="1" applyProtection="1">
      <alignment vertical="center" wrapText="1"/>
    </xf>
    <xf numFmtId="41" fontId="73" fillId="0" borderId="128" xfId="0" applyNumberFormat="1" applyFont="1" applyFill="1" applyBorder="1" applyAlignment="1" applyProtection="1">
      <alignment vertical="center" wrapText="1"/>
    </xf>
    <xf numFmtId="41" fontId="73" fillId="0" borderId="80" xfId="0" applyNumberFormat="1" applyFont="1" applyFill="1" applyBorder="1" applyAlignment="1" applyProtection="1">
      <alignment vertical="center" wrapText="1"/>
    </xf>
    <xf numFmtId="41" fontId="73" fillId="0" borderId="129" xfId="0" applyNumberFormat="1" applyFont="1" applyFill="1" applyBorder="1" applyAlignment="1" applyProtection="1">
      <alignment vertical="center" wrapText="1"/>
    </xf>
    <xf numFmtId="41" fontId="73" fillId="0" borderId="130" xfId="0" applyNumberFormat="1" applyFont="1" applyFill="1" applyBorder="1" applyAlignment="1" applyProtection="1">
      <alignment vertical="center" wrapText="1"/>
    </xf>
    <xf numFmtId="41" fontId="73" fillId="0" borderId="81" xfId="0" applyNumberFormat="1" applyFont="1" applyFill="1" applyBorder="1" applyAlignment="1" applyProtection="1">
      <alignment vertical="center" wrapText="1"/>
    </xf>
    <xf numFmtId="41" fontId="92" fillId="0" borderId="131" xfId="0" applyNumberFormat="1" applyFont="1" applyFill="1" applyBorder="1" applyAlignment="1" applyProtection="1">
      <alignment vertical="center" wrapText="1"/>
    </xf>
    <xf numFmtId="41" fontId="92" fillId="0" borderId="132" xfId="0" applyNumberFormat="1" applyFont="1" applyFill="1" applyBorder="1" applyAlignment="1" applyProtection="1">
      <alignment vertical="center" wrapText="1"/>
    </xf>
    <xf numFmtId="41" fontId="92" fillId="0" borderId="133" xfId="0" applyNumberFormat="1" applyFont="1" applyFill="1" applyBorder="1" applyAlignment="1" applyProtection="1">
      <alignment vertical="center" wrapText="1"/>
    </xf>
    <xf numFmtId="41" fontId="92" fillId="0" borderId="134" xfId="0" applyNumberFormat="1" applyFont="1" applyFill="1" applyBorder="1" applyAlignment="1" applyProtection="1">
      <alignment vertical="center" wrapText="1"/>
    </xf>
    <xf numFmtId="41" fontId="92" fillId="0" borderId="135" xfId="0" applyNumberFormat="1" applyFont="1" applyFill="1" applyBorder="1" applyAlignment="1" applyProtection="1">
      <alignment vertical="center" wrapText="1"/>
    </xf>
    <xf numFmtId="41" fontId="92" fillId="0" borderId="136" xfId="0" applyNumberFormat="1" applyFont="1" applyFill="1" applyBorder="1" applyAlignment="1" applyProtection="1">
      <alignment vertical="center" wrapText="1"/>
    </xf>
    <xf numFmtId="41" fontId="92" fillId="0" borderId="137" xfId="0" applyNumberFormat="1" applyFont="1" applyFill="1" applyBorder="1" applyAlignment="1" applyProtection="1">
      <alignment vertical="center" wrapText="1"/>
    </xf>
    <xf numFmtId="3" fontId="73" fillId="0" borderId="0" xfId="0" applyNumberFormat="1" applyFont="1" applyFill="1" applyBorder="1" applyAlignment="1" applyProtection="1">
      <alignment horizontal="center" wrapText="1"/>
      <protection locked="0"/>
    </xf>
    <xf numFmtId="41" fontId="73" fillId="0" borderId="138" xfId="0" applyNumberFormat="1" applyFont="1" applyFill="1" applyBorder="1" applyAlignment="1" applyProtection="1">
      <alignment horizontal="right" vertical="center"/>
    </xf>
    <xf numFmtId="41" fontId="73" fillId="0" borderId="139" xfId="0" applyNumberFormat="1" applyFont="1" applyFill="1" applyBorder="1" applyAlignment="1" applyProtection="1">
      <alignment horizontal="right" vertical="center"/>
    </xf>
    <xf numFmtId="41" fontId="73" fillId="0" borderId="34" xfId="0" applyNumberFormat="1" applyFont="1" applyFill="1" applyBorder="1" applyAlignment="1" applyProtection="1">
      <alignment horizontal="right" vertical="center"/>
    </xf>
    <xf numFmtId="41" fontId="73" fillId="0" borderId="45" xfId="0" applyNumberFormat="1" applyFont="1" applyFill="1" applyBorder="1" applyAlignment="1" applyProtection="1">
      <alignment horizontal="right" vertical="center"/>
    </xf>
    <xf numFmtId="41" fontId="92" fillId="0" borderId="44" xfId="0" applyNumberFormat="1" applyFont="1" applyFill="1" applyBorder="1" applyAlignment="1" applyProtection="1">
      <alignment vertical="center" wrapText="1"/>
    </xf>
    <xf numFmtId="41" fontId="92" fillId="0" borderId="34" xfId="0" applyNumberFormat="1" applyFont="1" applyFill="1" applyBorder="1" applyAlignment="1" applyProtection="1">
      <alignment vertical="center" wrapText="1"/>
    </xf>
    <xf numFmtId="41" fontId="92" fillId="0" borderId="95" xfId="0" applyNumberFormat="1" applyFont="1" applyFill="1" applyBorder="1" applyAlignment="1" applyProtection="1">
      <alignment vertical="center" wrapText="1"/>
    </xf>
    <xf numFmtId="41" fontId="92" fillId="0" borderId="124" xfId="0" applyNumberFormat="1" applyFont="1" applyFill="1" applyBorder="1" applyAlignment="1" applyProtection="1">
      <alignment vertical="center" wrapText="1"/>
    </xf>
    <xf numFmtId="3" fontId="73" fillId="0" borderId="140" xfId="0" applyNumberFormat="1" applyFont="1" applyFill="1" applyBorder="1" applyAlignment="1" applyProtection="1">
      <alignment horizontal="center" wrapText="1"/>
      <protection locked="0"/>
    </xf>
    <xf numFmtId="3" fontId="73" fillId="0" borderId="74" xfId="0" applyNumberFormat="1" applyFont="1" applyFill="1" applyBorder="1" applyAlignment="1" applyProtection="1">
      <alignment horizontal="center" wrapText="1"/>
      <protection locked="0"/>
    </xf>
    <xf numFmtId="41" fontId="73" fillId="0" borderId="11" xfId="0" applyNumberFormat="1" applyFont="1" applyFill="1" applyBorder="1" applyAlignment="1" applyProtection="1">
      <alignment wrapText="1"/>
    </xf>
    <xf numFmtId="41" fontId="75" fillId="0" borderId="141" xfId="0" applyNumberFormat="1" applyFont="1" applyFill="1" applyBorder="1" applyAlignment="1" applyProtection="1"/>
    <xf numFmtId="41" fontId="73" fillId="0" borderId="48" xfId="0" applyNumberFormat="1" applyFont="1" applyFill="1" applyBorder="1" applyAlignment="1" applyProtection="1">
      <alignment vertical="center" wrapText="1"/>
    </xf>
    <xf numFmtId="41" fontId="73" fillId="0" borderId="15" xfId="0" applyNumberFormat="1" applyFont="1" applyFill="1" applyBorder="1" applyAlignment="1" applyProtection="1">
      <alignment vertical="center" wrapText="1"/>
    </xf>
    <xf numFmtId="41" fontId="73" fillId="0" borderId="14" xfId="0" applyNumberFormat="1" applyFont="1" applyFill="1" applyBorder="1" applyAlignment="1" applyProtection="1">
      <alignment vertical="center" wrapText="1"/>
    </xf>
    <xf numFmtId="41" fontId="73" fillId="0" borderId="142" xfId="0" applyNumberFormat="1" applyFont="1" applyFill="1" applyBorder="1" applyAlignment="1" applyProtection="1">
      <alignment vertical="center" wrapText="1"/>
    </xf>
    <xf numFmtId="41" fontId="73" fillId="0" borderId="116" xfId="0" applyNumberFormat="1" applyFont="1" applyFill="1" applyBorder="1" applyAlignment="1" applyProtection="1">
      <alignment vertical="center" wrapText="1"/>
    </xf>
    <xf numFmtId="41" fontId="92" fillId="0" borderId="56" xfId="0" applyNumberFormat="1" applyFont="1" applyFill="1" applyBorder="1" applyAlignment="1" applyProtection="1"/>
    <xf numFmtId="41" fontId="92" fillId="0" borderId="128" xfId="0" applyNumberFormat="1" applyFont="1" applyFill="1" applyBorder="1" applyAlignment="1" applyProtection="1"/>
    <xf numFmtId="41" fontId="92" fillId="0" borderId="29" xfId="0" applyNumberFormat="1" applyFont="1" applyFill="1" applyBorder="1" applyAlignment="1" applyProtection="1"/>
    <xf numFmtId="41" fontId="92" fillId="0" borderId="32" xfId="0" applyNumberFormat="1" applyFont="1" applyFill="1" applyBorder="1" applyAlignment="1" applyProtection="1"/>
    <xf numFmtId="41" fontId="92" fillId="0" borderId="93" xfId="0" applyNumberFormat="1" applyFont="1" applyFill="1" applyBorder="1" applyAlignment="1" applyProtection="1"/>
    <xf numFmtId="41" fontId="92" fillId="0" borderId="39" xfId="0" applyNumberFormat="1" applyFont="1" applyFill="1" applyBorder="1" applyAlignment="1" applyProtection="1"/>
    <xf numFmtId="41" fontId="92" fillId="0" borderId="116" xfId="0" applyNumberFormat="1" applyFont="1" applyFill="1" applyBorder="1" applyAlignment="1" applyProtection="1"/>
    <xf numFmtId="41" fontId="92" fillId="0" borderId="143" xfId="0" applyNumberFormat="1" applyFont="1" applyFill="1" applyBorder="1" applyAlignment="1" applyProtection="1"/>
    <xf numFmtId="41" fontId="92" fillId="0" borderId="80" xfId="0" applyNumberFormat="1" applyFont="1" applyFill="1" applyBorder="1" applyAlignment="1" applyProtection="1"/>
    <xf numFmtId="41" fontId="73" fillId="0" borderId="21" xfId="0" applyNumberFormat="1" applyFont="1" applyFill="1" applyBorder="1" applyAlignment="1" applyProtection="1"/>
    <xf numFmtId="41" fontId="92" fillId="0" borderId="128" xfId="0" applyNumberFormat="1" applyFont="1" applyFill="1" applyBorder="1" applyAlignment="1" applyProtection="1">
      <alignment horizontal="center"/>
    </xf>
    <xf numFmtId="41" fontId="92" fillId="0" borderId="29" xfId="0" applyNumberFormat="1" applyFont="1" applyFill="1" applyBorder="1" applyAlignment="1" applyProtection="1">
      <alignment horizontal="center"/>
    </xf>
    <xf numFmtId="41" fontId="92" fillId="0" borderId="32" xfId="0" applyNumberFormat="1" applyFont="1" applyFill="1" applyBorder="1" applyAlignment="1" applyProtection="1">
      <alignment horizontal="center"/>
    </xf>
    <xf numFmtId="41" fontId="92" fillId="0" borderId="95" xfId="0" applyNumberFormat="1" applyFont="1" applyFill="1" applyBorder="1" applyAlignment="1" applyProtection="1">
      <alignment horizontal="center"/>
    </xf>
    <xf numFmtId="41" fontId="92" fillId="0" borderId="100" xfId="0" applyNumberFormat="1" applyFont="1" applyFill="1" applyBorder="1" applyAlignment="1" applyProtection="1">
      <alignment horizontal="center"/>
    </xf>
    <xf numFmtId="41" fontId="92" fillId="0" borderId="144" xfId="0" applyNumberFormat="1" applyFont="1" applyFill="1" applyBorder="1" applyAlignment="1" applyProtection="1">
      <alignment horizontal="center"/>
    </xf>
    <xf numFmtId="41" fontId="92" fillId="0" borderId="21" xfId="0" applyNumberFormat="1" applyFont="1" applyFill="1" applyBorder="1" applyAlignment="1" applyProtection="1">
      <alignment horizontal="center"/>
    </xf>
    <xf numFmtId="41" fontId="92" fillId="0" borderId="131" xfId="0" applyNumberFormat="1" applyFont="1" applyFill="1" applyBorder="1" applyAlignment="1" applyProtection="1">
      <alignment horizontal="center"/>
    </xf>
    <xf numFmtId="41" fontId="92" fillId="0" borderId="41" xfId="0" applyNumberFormat="1" applyFont="1" applyFill="1" applyBorder="1" applyAlignment="1" applyProtection="1">
      <alignment horizontal="center"/>
    </xf>
    <xf numFmtId="41" fontId="92" fillId="0" borderId="36" xfId="0" applyNumberFormat="1" applyFont="1" applyFill="1" applyBorder="1" applyAlignment="1" applyProtection="1">
      <alignment horizontal="center"/>
    </xf>
    <xf numFmtId="41" fontId="92" fillId="0" borderId="132" xfId="0" applyNumberFormat="1" applyFont="1" applyFill="1" applyBorder="1" applyAlignment="1" applyProtection="1">
      <alignment horizontal="center"/>
    </xf>
    <xf numFmtId="41" fontId="92" fillId="0" borderId="145" xfId="0" applyNumberFormat="1" applyFont="1" applyFill="1" applyBorder="1" applyAlignment="1" applyProtection="1">
      <alignment horizontal="center"/>
    </xf>
    <xf numFmtId="41" fontId="92" fillId="0" borderId="146" xfId="0" applyNumberFormat="1" applyFont="1" applyFill="1" applyBorder="1" applyAlignment="1" applyProtection="1">
      <alignment horizontal="center"/>
    </xf>
    <xf numFmtId="41" fontId="92" fillId="0" borderId="147" xfId="0" applyNumberFormat="1" applyFont="1" applyFill="1" applyBorder="1" applyAlignment="1" applyProtection="1">
      <alignment horizontal="center"/>
    </xf>
    <xf numFmtId="41" fontId="92" fillId="0" borderId="148" xfId="0" applyNumberFormat="1" applyFont="1" applyFill="1" applyBorder="1" applyAlignment="1" applyProtection="1">
      <alignment horizontal="center"/>
    </xf>
    <xf numFmtId="41" fontId="92" fillId="0" borderId="149" xfId="0" applyNumberFormat="1" applyFont="1" applyFill="1" applyBorder="1" applyAlignment="1" applyProtection="1">
      <alignment horizontal="center"/>
    </xf>
    <xf numFmtId="3" fontId="73" fillId="0" borderId="98" xfId="0" applyNumberFormat="1" applyFont="1" applyFill="1" applyBorder="1" applyAlignment="1" applyProtection="1">
      <protection locked="0"/>
    </xf>
    <xf numFmtId="41" fontId="73" fillId="0" borderId="10" xfId="0" applyNumberFormat="1" applyFont="1" applyFill="1" applyBorder="1" applyAlignment="1" applyProtection="1"/>
    <xf numFmtId="41" fontId="73" fillId="0" borderId="0" xfId="0" applyNumberFormat="1" applyFont="1" applyFill="1" applyAlignment="1" applyProtection="1">
      <alignment horizontal="center"/>
    </xf>
    <xf numFmtId="0" fontId="73" fillId="55" borderId="0" xfId="2447" applyFont="1" applyFill="1" applyAlignment="1" applyProtection="1">
      <alignment vertical="top" wrapText="1"/>
      <protection hidden="1"/>
    </xf>
    <xf numFmtId="3" fontId="73" fillId="0" borderId="150" xfId="0" applyNumberFormat="1" applyFont="1" applyFill="1" applyBorder="1" applyAlignment="1" applyProtection="1"/>
    <xf numFmtId="0" fontId="93" fillId="0" borderId="72" xfId="0" applyFont="1" applyBorder="1" applyAlignment="1" applyProtection="1">
      <alignment horizontal="left" vertical="top"/>
    </xf>
    <xf numFmtId="3" fontId="73" fillId="0" borderId="72" xfId="0" applyNumberFormat="1" applyFont="1" applyFill="1" applyBorder="1" applyAlignment="1" applyProtection="1">
      <alignment wrapText="1"/>
    </xf>
    <xf numFmtId="0" fontId="73" fillId="0" borderId="72" xfId="0" applyFont="1" applyFill="1" applyBorder="1" applyAlignment="1" applyProtection="1">
      <alignment horizontal="left" vertical="center"/>
    </xf>
    <xf numFmtId="41" fontId="73" fillId="0" borderId="72" xfId="0" applyNumberFormat="1" applyFont="1" applyFill="1" applyBorder="1" applyAlignment="1" applyProtection="1">
      <alignment horizontal="right" vertical="center"/>
    </xf>
    <xf numFmtId="41" fontId="73" fillId="0" borderId="72" xfId="0" applyNumberFormat="1" applyFont="1" applyFill="1" applyBorder="1" applyAlignment="1" applyProtection="1">
      <alignment vertical="center" wrapText="1"/>
    </xf>
    <xf numFmtId="41" fontId="73" fillId="0" borderId="151" xfId="0" applyNumberFormat="1" applyFont="1" applyFill="1" applyBorder="1" applyAlignment="1" applyProtection="1">
      <alignment vertical="center" wrapText="1"/>
    </xf>
    <xf numFmtId="41" fontId="73" fillId="0" borderId="152" xfId="0" applyNumberFormat="1" applyFont="1" applyFill="1" applyBorder="1" applyAlignment="1" applyProtection="1">
      <alignment vertical="center" wrapText="1"/>
    </xf>
    <xf numFmtId="41" fontId="73" fillId="0" borderId="153" xfId="0" applyNumberFormat="1" applyFont="1" applyFill="1" applyBorder="1" applyAlignment="1" applyProtection="1">
      <alignment vertical="center" wrapText="1"/>
    </xf>
    <xf numFmtId="41" fontId="73" fillId="0" borderId="154" xfId="0" applyNumberFormat="1" applyFont="1" applyFill="1" applyBorder="1" applyAlignment="1" applyProtection="1">
      <alignment vertical="center" wrapText="1"/>
    </xf>
    <xf numFmtId="41" fontId="73" fillId="0" borderId="155" xfId="0" applyNumberFormat="1" applyFont="1" applyFill="1" applyBorder="1" applyAlignment="1" applyProtection="1">
      <alignment vertical="center" wrapText="1"/>
    </xf>
    <xf numFmtId="41" fontId="73" fillId="0" borderId="156" xfId="0" applyNumberFormat="1" applyFont="1" applyFill="1" applyBorder="1" applyAlignment="1" applyProtection="1">
      <alignment vertical="center" wrapText="1"/>
    </xf>
    <xf numFmtId="41" fontId="73" fillId="0" borderId="157" xfId="0" applyNumberFormat="1" applyFont="1" applyFill="1" applyBorder="1" applyAlignment="1" applyProtection="1">
      <alignment vertical="center" wrapText="1"/>
    </xf>
    <xf numFmtId="41" fontId="73" fillId="0" borderId="158" xfId="0" applyNumberFormat="1" applyFont="1" applyFill="1" applyBorder="1" applyAlignment="1" applyProtection="1">
      <alignment vertical="center" wrapText="1"/>
    </xf>
    <xf numFmtId="3" fontId="73" fillId="0" borderId="159" xfId="0" applyNumberFormat="1" applyFont="1" applyFill="1" applyBorder="1" applyAlignment="1" applyProtection="1">
      <alignment horizontal="center" wrapText="1"/>
      <protection locked="0"/>
    </xf>
    <xf numFmtId="0" fontId="4" fillId="0" borderId="0" xfId="0" applyFont="1"/>
    <xf numFmtId="0" fontId="73" fillId="0" borderId="0" xfId="0" applyFont="1" applyFill="1" applyAlignment="1" applyProtection="1">
      <alignment vertical="top"/>
      <protection hidden="1"/>
    </xf>
    <xf numFmtId="0" fontId="73" fillId="0" borderId="0" xfId="0" applyFont="1" applyFill="1" applyAlignment="1" applyProtection="1">
      <alignment horizontal="centerContinuous" vertical="center"/>
      <protection hidden="1"/>
    </xf>
    <xf numFmtId="0" fontId="84" fillId="0" borderId="0" xfId="0" applyFont="1" applyFill="1" applyAlignment="1" applyProtection="1">
      <alignment horizontal="center" vertical="top"/>
      <protection hidden="1"/>
    </xf>
    <xf numFmtId="43" fontId="75" fillId="0" borderId="0" xfId="0" applyNumberFormat="1" applyFont="1" applyFill="1" applyBorder="1" applyAlignment="1" applyProtection="1">
      <alignment horizontal="center" vertical="center"/>
    </xf>
    <xf numFmtId="0" fontId="75" fillId="0" borderId="0" xfId="0" applyFont="1" applyFill="1" applyBorder="1" applyAlignment="1" applyProtection="1">
      <alignment horizontal="center" vertical="center"/>
    </xf>
    <xf numFmtId="0" fontId="75" fillId="0" borderId="0" xfId="0" applyFont="1" applyFill="1" applyBorder="1" applyProtection="1">
      <protection hidden="1"/>
    </xf>
    <xf numFmtId="0" fontId="73" fillId="0" borderId="0" xfId="0" applyFont="1" applyFill="1" applyProtection="1">
      <protection hidden="1"/>
    </xf>
    <xf numFmtId="0" fontId="74" fillId="0" borderId="0" xfId="0" applyFont="1" applyFill="1" applyBorder="1" applyAlignment="1" applyProtection="1">
      <alignment horizontal="centerContinuous" vertical="center"/>
      <protection hidden="1"/>
    </xf>
    <xf numFmtId="0" fontId="73" fillId="0" borderId="65" xfId="0" applyFont="1" applyBorder="1" applyAlignment="1">
      <alignment horizontal="center"/>
    </xf>
    <xf numFmtId="3" fontId="103" fillId="0" borderId="0" xfId="0" applyNumberFormat="1" applyFont="1" applyFill="1" applyAlignment="1" applyProtection="1"/>
    <xf numFmtId="3" fontId="103" fillId="0" borderId="0" xfId="0" applyNumberFormat="1" applyFont="1" applyFill="1" applyProtection="1"/>
    <xf numFmtId="3" fontId="103" fillId="0" borderId="0" xfId="0" applyNumberFormat="1" applyFont="1" applyFill="1" applyAlignment="1" applyProtection="1">
      <alignment vertical="center"/>
    </xf>
    <xf numFmtId="0" fontId="103" fillId="0" borderId="0" xfId="0" applyFont="1"/>
    <xf numFmtId="0" fontId="73" fillId="0" borderId="77" xfId="0" applyFont="1" applyBorder="1" applyAlignment="1">
      <alignment horizontal="center"/>
    </xf>
    <xf numFmtId="0" fontId="73" fillId="0" borderId="102" xfId="0" applyFont="1" applyBorder="1" applyAlignment="1">
      <alignment horizontal="center"/>
    </xf>
    <xf numFmtId="41" fontId="73" fillId="0" borderId="92" xfId="0" applyNumberFormat="1" applyFont="1" applyFill="1" applyBorder="1" applyAlignment="1" applyProtection="1"/>
    <xf numFmtId="0" fontId="77" fillId="0" borderId="0" xfId="0" applyFont="1"/>
    <xf numFmtId="0" fontId="77" fillId="0" borderId="65" xfId="0" applyFont="1" applyBorder="1" applyAlignment="1">
      <alignment horizontal="right"/>
    </xf>
    <xf numFmtId="0" fontId="77" fillId="0" borderId="65" xfId="0" applyFont="1" applyFill="1" applyBorder="1" applyAlignment="1">
      <alignment horizontal="right"/>
    </xf>
    <xf numFmtId="0" fontId="75" fillId="0" borderId="0" xfId="0" applyFont="1" applyFill="1" applyBorder="1" applyAlignment="1" applyProtection="1">
      <alignment horizontal="left"/>
      <protection hidden="1"/>
    </xf>
    <xf numFmtId="0" fontId="0" fillId="0" borderId="72" xfId="0" applyBorder="1"/>
    <xf numFmtId="0" fontId="75" fillId="0" borderId="160" xfId="0" applyFont="1" applyFill="1" applyBorder="1" applyAlignment="1" applyProtection="1">
      <alignment horizontal="left"/>
      <protection hidden="1"/>
    </xf>
    <xf numFmtId="0" fontId="73" fillId="0" borderId="0" xfId="0" applyNumberFormat="1" applyFont="1" applyFill="1" applyBorder="1" applyAlignment="1" applyProtection="1">
      <alignment horizontal="left" vertical="center" wrapText="1"/>
    </xf>
    <xf numFmtId="41" fontId="73" fillId="0" borderId="47" xfId="0" applyNumberFormat="1" applyFont="1" applyFill="1" applyBorder="1" applyAlignment="1" applyProtection="1">
      <alignment horizontal="center" wrapText="1"/>
    </xf>
    <xf numFmtId="3" fontId="73" fillId="0" borderId="84" xfId="0" applyNumberFormat="1" applyFont="1" applyFill="1" applyBorder="1" applyAlignment="1" applyProtection="1">
      <alignment horizontal="center" wrapText="1"/>
      <protection locked="0"/>
    </xf>
    <xf numFmtId="41" fontId="73" fillId="0" borderId="162" xfId="0" applyNumberFormat="1" applyFont="1" applyFill="1" applyBorder="1" applyAlignment="1" applyProtection="1">
      <alignment wrapText="1"/>
    </xf>
    <xf numFmtId="41" fontId="73" fillId="0" borderId="163" xfId="0" applyNumberFormat="1" applyFont="1" applyFill="1" applyBorder="1" applyAlignment="1" applyProtection="1">
      <alignment horizontal="center" wrapText="1"/>
    </xf>
    <xf numFmtId="41" fontId="73" fillId="0" borderId="164" xfId="0" applyNumberFormat="1" applyFont="1" applyFill="1" applyBorder="1" applyAlignment="1" applyProtection="1">
      <alignment vertical="center" wrapText="1"/>
    </xf>
    <xf numFmtId="41" fontId="73" fillId="0" borderId="165" xfId="0" applyNumberFormat="1" applyFont="1" applyFill="1" applyBorder="1" applyAlignment="1" applyProtection="1">
      <alignment horizontal="center" vertical="center" wrapText="1"/>
    </xf>
    <xf numFmtId="41" fontId="73" fillId="0" borderId="166" xfId="0" applyNumberFormat="1" applyFont="1" applyFill="1" applyBorder="1" applyAlignment="1" applyProtection="1">
      <alignment horizontal="center" vertical="center" wrapText="1"/>
    </xf>
    <xf numFmtId="41" fontId="73" fillId="0" borderId="167" xfId="0" applyNumberFormat="1" applyFont="1" applyFill="1" applyBorder="1" applyAlignment="1" applyProtection="1">
      <alignment horizontal="center" vertical="center" wrapText="1"/>
    </xf>
    <xf numFmtId="0" fontId="74" fillId="0" borderId="88" xfId="0" applyFont="1" applyFill="1" applyBorder="1" applyAlignment="1" applyProtection="1">
      <alignment horizontal="centerContinuous"/>
    </xf>
    <xf numFmtId="41" fontId="73" fillId="0" borderId="89" xfId="0" applyNumberFormat="1" applyFont="1" applyFill="1" applyBorder="1" applyProtection="1"/>
    <xf numFmtId="41" fontId="73" fillId="0" borderId="88" xfId="0" applyNumberFormat="1" applyFont="1" applyFill="1" applyBorder="1" applyProtection="1"/>
    <xf numFmtId="41" fontId="73" fillId="0" borderId="168" xfId="0" applyNumberFormat="1" applyFont="1" applyFill="1" applyBorder="1" applyAlignment="1" applyProtection="1">
      <alignment vertical="center" wrapText="1"/>
    </xf>
    <xf numFmtId="41" fontId="73" fillId="0" borderId="169" xfId="0" applyNumberFormat="1" applyFont="1" applyFill="1" applyBorder="1" applyAlignment="1" applyProtection="1">
      <alignment vertical="center" wrapText="1"/>
    </xf>
    <xf numFmtId="41" fontId="92" fillId="0" borderId="88" xfId="0" applyNumberFormat="1" applyFont="1" applyFill="1" applyBorder="1" applyAlignment="1" applyProtection="1">
      <alignment vertical="center" wrapText="1"/>
    </xf>
    <xf numFmtId="41" fontId="92" fillId="0" borderId="168" xfId="0" applyNumberFormat="1" applyFont="1" applyFill="1" applyBorder="1" applyAlignment="1" applyProtection="1">
      <alignment vertical="center" wrapText="1"/>
    </xf>
    <xf numFmtId="41" fontId="73" fillId="0" borderId="161" xfId="0" applyNumberFormat="1" applyFont="1" applyFill="1" applyBorder="1" applyAlignment="1" applyProtection="1">
      <alignment wrapText="1"/>
    </xf>
    <xf numFmtId="41" fontId="73" fillId="0" borderId="88" xfId="0" applyNumberFormat="1" applyFont="1" applyFill="1" applyBorder="1" applyAlignment="1" applyProtection="1">
      <alignment wrapText="1"/>
    </xf>
    <xf numFmtId="41" fontId="73" fillId="0" borderId="88" xfId="0" applyNumberFormat="1" applyFont="1" applyFill="1" applyBorder="1" applyAlignment="1" applyProtection="1"/>
    <xf numFmtId="41" fontId="91" fillId="0" borderId="88" xfId="0" applyNumberFormat="1" applyFont="1" applyFill="1" applyBorder="1" applyAlignment="1" applyProtection="1"/>
    <xf numFmtId="41" fontId="92" fillId="0" borderId="88" xfId="0" applyNumberFormat="1" applyFont="1" applyFill="1" applyBorder="1" applyAlignment="1" applyProtection="1"/>
    <xf numFmtId="41" fontId="92" fillId="0" borderId="168" xfId="0" applyNumberFormat="1" applyFont="1" applyFill="1" applyBorder="1" applyAlignment="1" applyProtection="1"/>
    <xf numFmtId="0" fontId="73" fillId="0" borderId="0" xfId="0" applyFont="1" applyFill="1" applyAlignment="1" applyProtection="1">
      <alignment horizontal="centerContinuous"/>
    </xf>
    <xf numFmtId="43" fontId="73" fillId="0" borderId="0" xfId="2446" applyFont="1" applyFill="1" applyProtection="1"/>
    <xf numFmtId="0" fontId="73" fillId="0" borderId="0" xfId="0" applyFont="1" applyFill="1" applyAlignment="1" applyProtection="1">
      <alignment vertical="center"/>
    </xf>
    <xf numFmtId="0" fontId="73" fillId="0" borderId="0" xfId="0" applyFont="1" applyFill="1" applyBorder="1" applyAlignment="1" applyProtection="1">
      <alignment horizontal="left" indent="1"/>
    </xf>
    <xf numFmtId="0" fontId="74" fillId="0" borderId="11" xfId="0" applyFont="1" applyFill="1" applyBorder="1" applyAlignment="1" applyProtection="1">
      <alignment horizontal="centerContinuous" vertical="center"/>
    </xf>
    <xf numFmtId="0" fontId="74" fillId="0" borderId="12" xfId="0" applyFont="1" applyFill="1" applyBorder="1" applyAlignment="1" applyProtection="1">
      <alignment horizontal="centerContinuous" vertical="center"/>
    </xf>
    <xf numFmtId="0" fontId="75" fillId="0" borderId="85" xfId="0" applyFont="1" applyFill="1" applyBorder="1" applyAlignment="1" applyProtection="1">
      <alignment horizontal="centerContinuous" vertical="center"/>
    </xf>
    <xf numFmtId="0" fontId="73" fillId="55" borderId="0" xfId="2447" applyFont="1" applyFill="1" applyBorder="1" applyAlignment="1" applyProtection="1">
      <alignment horizontal="center" vertical="center"/>
      <protection hidden="1"/>
    </xf>
    <xf numFmtId="0" fontId="73" fillId="55" borderId="0" xfId="2447" applyFont="1" applyFill="1" applyAlignment="1" applyProtection="1">
      <alignment horizontal="center" vertical="center"/>
      <protection hidden="1"/>
    </xf>
    <xf numFmtId="0" fontId="84" fillId="0" borderId="0" xfId="0" applyFont="1" applyFill="1" applyBorder="1" applyAlignment="1" applyProtection="1">
      <alignment horizontal="center" vertical="top"/>
      <protection hidden="1"/>
    </xf>
    <xf numFmtId="0" fontId="73" fillId="0" borderId="0" xfId="0" applyFont="1" applyFill="1" applyBorder="1" applyAlignment="1" applyProtection="1">
      <alignment horizontal="center"/>
      <protection locked="0"/>
    </xf>
    <xf numFmtId="0" fontId="73" fillId="0" borderId="170" xfId="0" applyFont="1" applyFill="1" applyBorder="1" applyAlignment="1" applyProtection="1">
      <alignment horizontal="center"/>
    </xf>
    <xf numFmtId="0" fontId="73" fillId="0" borderId="170" xfId="0" applyFont="1" applyFill="1" applyBorder="1" applyAlignment="1" applyProtection="1">
      <alignment horizontal="center" vertical="center"/>
    </xf>
    <xf numFmtId="0" fontId="75" fillId="0" borderId="170" xfId="0" applyFont="1" applyFill="1" applyBorder="1" applyAlignment="1" applyProtection="1">
      <alignment horizontal="center"/>
    </xf>
    <xf numFmtId="0" fontId="75" fillId="0" borderId="170" xfId="0" applyFont="1" applyFill="1" applyBorder="1" applyAlignment="1" applyProtection="1">
      <alignment horizontal="center" vertical="center"/>
    </xf>
    <xf numFmtId="0" fontId="73" fillId="0" borderId="170" xfId="0" applyFont="1" applyFill="1" applyBorder="1" applyAlignment="1" applyProtection="1">
      <alignment horizontal="center" wrapText="1"/>
    </xf>
    <xf numFmtId="0" fontId="104" fillId="62" borderId="68" xfId="0" applyFont="1" applyFill="1" applyBorder="1" applyAlignment="1" applyProtection="1">
      <alignment horizontal="centerContinuous" vertical="top"/>
      <protection hidden="1"/>
    </xf>
    <xf numFmtId="0" fontId="75" fillId="0" borderId="51" xfId="0" applyFont="1" applyFill="1" applyBorder="1" applyAlignment="1" applyProtection="1">
      <alignment horizontal="left"/>
      <protection hidden="1"/>
    </xf>
    <xf numFmtId="0" fontId="73" fillId="0" borderId="170" xfId="0" applyFont="1" applyFill="1" applyBorder="1" applyAlignment="1" applyProtection="1">
      <alignment vertical="center"/>
    </xf>
    <xf numFmtId="0" fontId="82" fillId="55" borderId="0" xfId="0" applyFont="1" applyFill="1" applyBorder="1" applyAlignment="1" applyProtection="1">
      <alignment horizontal="centerContinuous" vertical="top"/>
      <protection hidden="1"/>
    </xf>
    <xf numFmtId="0" fontId="104" fillId="55" borderId="0" xfId="0" applyFont="1" applyFill="1" applyBorder="1" applyAlignment="1" applyProtection="1">
      <alignment horizontal="centerContinuous" vertical="top"/>
      <protection hidden="1"/>
    </xf>
    <xf numFmtId="0" fontId="81" fillId="55" borderId="0" xfId="0" applyFont="1" applyFill="1" applyBorder="1" applyAlignment="1" applyProtection="1">
      <alignment horizontal="centerContinuous"/>
    </xf>
    <xf numFmtId="43" fontId="81" fillId="55" borderId="0" xfId="2446" applyFont="1" applyFill="1" applyBorder="1" applyAlignment="1" applyProtection="1">
      <alignment horizontal="centerContinuous"/>
    </xf>
    <xf numFmtId="0" fontId="82" fillId="62" borderId="53" xfId="0" applyFont="1" applyFill="1" applyBorder="1" applyAlignment="1" applyProtection="1">
      <alignment horizontal="centerContinuous" vertical="center"/>
      <protection hidden="1"/>
    </xf>
    <xf numFmtId="41" fontId="89" fillId="62" borderId="65" xfId="95" applyNumberFormat="1" applyFont="1" applyFill="1" applyBorder="1" applyAlignment="1">
      <alignment horizontal="centerContinuous" vertical="center"/>
    </xf>
    <xf numFmtId="0" fontId="105" fillId="62" borderId="62" xfId="0" applyFont="1" applyFill="1" applyBorder="1" applyAlignment="1" applyProtection="1">
      <alignment horizontal="centerContinuous" vertical="center"/>
      <protection hidden="1"/>
    </xf>
    <xf numFmtId="0" fontId="105" fillId="62" borderId="53" xfId="0" applyFont="1" applyFill="1" applyBorder="1" applyAlignment="1" applyProtection="1">
      <alignment horizontal="centerContinuous" vertical="center"/>
      <protection hidden="1"/>
    </xf>
    <xf numFmtId="0" fontId="82" fillId="62" borderId="63" xfId="0" applyFont="1" applyFill="1" applyBorder="1" applyAlignment="1" applyProtection="1">
      <alignment horizontal="centerContinuous" vertical="center"/>
      <protection hidden="1"/>
    </xf>
    <xf numFmtId="0" fontId="73" fillId="28" borderId="0" xfId="2447" applyFont="1" applyFill="1" applyBorder="1" applyAlignment="1" applyProtection="1">
      <alignment horizontal="left" vertical="top" indent="1"/>
      <protection hidden="1"/>
    </xf>
    <xf numFmtId="0" fontId="73" fillId="28" borderId="0" xfId="2447" applyFont="1" applyFill="1" applyBorder="1" applyAlignment="1" applyProtection="1">
      <alignment horizontal="left" vertical="center" indent="1"/>
      <protection hidden="1"/>
    </xf>
    <xf numFmtId="41" fontId="73" fillId="0" borderId="88" xfId="0" applyNumberFormat="1" applyFont="1" applyFill="1" applyBorder="1" applyAlignment="1" applyProtection="1">
      <alignment vertical="center"/>
    </xf>
    <xf numFmtId="41" fontId="73" fillId="0" borderId="0" xfId="0" applyNumberFormat="1" applyFont="1" applyFill="1" applyBorder="1" applyAlignment="1" applyProtection="1">
      <alignment horizontal="center" vertical="center"/>
    </xf>
    <xf numFmtId="41" fontId="73" fillId="0" borderId="12" xfId="0" applyNumberFormat="1" applyFont="1" applyFill="1" applyBorder="1" applyAlignment="1" applyProtection="1">
      <alignment horizontal="center" vertical="center"/>
    </xf>
    <xf numFmtId="0" fontId="0" fillId="0" borderId="0" xfId="0" applyAlignment="1">
      <alignment vertical="center"/>
    </xf>
    <xf numFmtId="41" fontId="75" fillId="0" borderId="90" xfId="0" applyNumberFormat="1" applyFont="1" applyFill="1" applyBorder="1" applyAlignment="1" applyProtection="1">
      <alignment horizontal="center" wrapText="1"/>
    </xf>
    <xf numFmtId="41" fontId="75" fillId="0" borderId="120" xfId="0" applyNumberFormat="1" applyFont="1" applyFill="1" applyBorder="1" applyAlignment="1" applyProtection="1">
      <alignment horizontal="center" wrapText="1"/>
    </xf>
    <xf numFmtId="41" fontId="91" fillId="0" borderId="27" xfId="0" applyNumberFormat="1" applyFont="1" applyFill="1" applyBorder="1" applyAlignment="1" applyProtection="1">
      <alignment vertical="center" wrapText="1"/>
    </xf>
    <xf numFmtId="41" fontId="75" fillId="54" borderId="17" xfId="0" applyNumberFormat="1" applyFont="1" applyFill="1" applyBorder="1" applyAlignment="1" applyProtection="1">
      <alignment horizontal="center"/>
      <protection locked="0"/>
    </xf>
    <xf numFmtId="41" fontId="73" fillId="0" borderId="29" xfId="0" applyNumberFormat="1" applyFont="1" applyFill="1" applyBorder="1" applyAlignment="1" applyProtection="1"/>
    <xf numFmtId="3" fontId="103" fillId="0" borderId="0" xfId="0" applyNumberFormat="1" applyFont="1" applyFill="1" applyBorder="1" applyProtection="1"/>
    <xf numFmtId="41" fontId="73" fillId="0" borderId="173" xfId="0" applyNumberFormat="1" applyFont="1" applyFill="1" applyBorder="1" applyAlignment="1" applyProtection="1">
      <alignment vertical="center" wrapText="1"/>
    </xf>
    <xf numFmtId="41" fontId="73" fillId="0" borderId="12" xfId="0" applyNumberFormat="1" applyFont="1" applyFill="1" applyBorder="1" applyAlignment="1" applyProtection="1">
      <alignment horizontal="center" wrapText="1"/>
    </xf>
    <xf numFmtId="41" fontId="92" fillId="0" borderId="12" xfId="0" applyNumberFormat="1" applyFont="1" applyFill="1" applyBorder="1" applyAlignment="1" applyProtection="1">
      <alignment horizontal="center"/>
    </xf>
    <xf numFmtId="41" fontId="92" fillId="0" borderId="174" xfId="0" applyNumberFormat="1" applyFont="1" applyFill="1" applyBorder="1" applyAlignment="1" applyProtection="1">
      <alignment horizontal="center"/>
    </xf>
    <xf numFmtId="0" fontId="73" fillId="0" borderId="160" xfId="0" applyFont="1" applyFill="1" applyBorder="1" applyProtection="1"/>
    <xf numFmtId="3" fontId="73" fillId="0" borderId="0" xfId="0" applyNumberFormat="1" applyFont="1" applyFill="1" applyBorder="1" applyAlignment="1" applyProtection="1">
      <alignment horizontal="right"/>
    </xf>
    <xf numFmtId="41" fontId="73" fillId="55" borderId="0" xfId="0" applyNumberFormat="1" applyFont="1" applyFill="1" applyBorder="1" applyAlignment="1" applyProtection="1">
      <alignment horizontal="right" vertical="center"/>
      <protection locked="0"/>
    </xf>
    <xf numFmtId="41" fontId="73" fillId="55" borderId="175" xfId="0" applyNumberFormat="1" applyFont="1" applyFill="1" applyBorder="1" applyAlignment="1" applyProtection="1">
      <alignment horizontal="right" vertical="center" wrapText="1"/>
    </xf>
    <xf numFmtId="0" fontId="54" fillId="0" borderId="0" xfId="2445" applyFont="1" applyFill="1" applyAlignment="1" applyProtection="1"/>
    <xf numFmtId="0" fontId="73" fillId="0" borderId="0" xfId="0" quotePrefix="1" applyFont="1" applyFill="1" applyBorder="1" applyAlignment="1" applyProtection="1">
      <alignment horizontal="left" vertical="top" wrapText="1"/>
    </xf>
    <xf numFmtId="0" fontId="73" fillId="0" borderId="171" xfId="0" applyFont="1" applyFill="1" applyBorder="1" applyProtection="1"/>
    <xf numFmtId="0" fontId="54" fillId="0" borderId="176" xfId="2445" applyFont="1" applyFill="1" applyBorder="1" applyAlignment="1" applyProtection="1">
      <alignment horizontal="left" vertical="top"/>
    </xf>
    <xf numFmtId="0" fontId="73" fillId="0" borderId="176" xfId="0" applyFont="1" applyFill="1" applyBorder="1" applyAlignment="1" applyProtection="1">
      <alignment horizontal="left" vertical="top" wrapText="1"/>
    </xf>
    <xf numFmtId="0" fontId="73" fillId="0" borderId="58" xfId="0" applyFont="1" applyFill="1" applyBorder="1" applyAlignment="1" applyProtection="1">
      <alignment wrapText="1"/>
    </xf>
    <xf numFmtId="0" fontId="74" fillId="55" borderId="0" xfId="2447" applyFont="1" applyFill="1" applyBorder="1" applyAlignment="1" applyProtection="1">
      <alignment horizontal="center" vertical="center" wrapText="1"/>
      <protection hidden="1"/>
    </xf>
    <xf numFmtId="0" fontId="74" fillId="28" borderId="0" xfId="0" applyFont="1" applyFill="1" applyBorder="1" applyAlignment="1" applyProtection="1">
      <alignment wrapText="1"/>
    </xf>
    <xf numFmtId="0" fontId="74" fillId="0" borderId="0" xfId="0" applyFont="1" applyFill="1" applyBorder="1" applyAlignment="1" applyProtection="1">
      <alignment wrapText="1"/>
    </xf>
    <xf numFmtId="0" fontId="100" fillId="55" borderId="50" xfId="0" applyFont="1" applyFill="1" applyBorder="1" applyAlignment="1" applyProtection="1"/>
    <xf numFmtId="0" fontId="73" fillId="55" borderId="73" xfId="0" applyFont="1" applyFill="1" applyBorder="1" applyAlignment="1" applyProtection="1">
      <alignment horizontal="left" vertical="top" wrapText="1"/>
    </xf>
    <xf numFmtId="0" fontId="73" fillId="55" borderId="0" xfId="2447" applyFont="1" applyFill="1" applyAlignment="1" applyProtection="1">
      <alignment horizontal="centerContinuous" vertical="top"/>
      <protection hidden="1"/>
    </xf>
    <xf numFmtId="0" fontId="73" fillId="55" borderId="0" xfId="2447" applyFont="1" applyFill="1" applyBorder="1" applyAlignment="1" applyProtection="1">
      <alignment horizontal="centerContinuous" vertical="top"/>
      <protection hidden="1"/>
    </xf>
    <xf numFmtId="0" fontId="0" fillId="55" borderId="0" xfId="0" applyFill="1" applyAlignment="1">
      <alignment horizontal="centerContinuous"/>
    </xf>
    <xf numFmtId="41" fontId="73" fillId="0" borderId="19" xfId="0" applyNumberFormat="1" applyFont="1" applyFill="1" applyBorder="1" applyAlignment="1" applyProtection="1">
      <alignment horizontal="center"/>
    </xf>
    <xf numFmtId="0" fontId="75" fillId="0" borderId="183" xfId="0" applyFont="1" applyFill="1" applyBorder="1" applyAlignment="1" applyProtection="1"/>
    <xf numFmtId="0" fontId="73" fillId="0" borderId="183" xfId="0" applyFont="1" applyFill="1" applyBorder="1" applyProtection="1"/>
    <xf numFmtId="41" fontId="73" fillId="0" borderId="183" xfId="0" applyNumberFormat="1" applyFont="1" applyFill="1" applyBorder="1" applyAlignment="1" applyProtection="1">
      <alignment horizontal="right"/>
    </xf>
    <xf numFmtId="41" fontId="75" fillId="0" borderId="183" xfId="0" applyNumberFormat="1" applyFont="1" applyFill="1" applyBorder="1" applyAlignment="1" applyProtection="1">
      <alignment horizontal="center"/>
    </xf>
    <xf numFmtId="41" fontId="75" fillId="0" borderId="184" xfId="0" applyNumberFormat="1" applyFont="1" applyFill="1" applyBorder="1" applyAlignment="1" applyProtection="1">
      <alignment horizontal="center"/>
    </xf>
    <xf numFmtId="41" fontId="75" fillId="0" borderId="185" xfId="0" applyNumberFormat="1" applyFont="1" applyFill="1" applyBorder="1" applyAlignment="1" applyProtection="1">
      <alignment vertical="center" wrapText="1"/>
    </xf>
    <xf numFmtId="41" fontId="75" fillId="0" borderId="186" xfId="0" applyNumberFormat="1" applyFont="1" applyFill="1" applyBorder="1" applyAlignment="1" applyProtection="1">
      <alignment vertical="center" wrapText="1"/>
    </xf>
    <xf numFmtId="41" fontId="75" fillId="0" borderId="187" xfId="0" applyNumberFormat="1" applyFont="1" applyFill="1" applyBorder="1" applyAlignment="1" applyProtection="1">
      <alignment horizontal="center"/>
    </xf>
    <xf numFmtId="41" fontId="75" fillId="0" borderId="188" xfId="0" applyNumberFormat="1" applyFont="1" applyFill="1" applyBorder="1" applyAlignment="1" applyProtection="1">
      <alignment horizontal="center"/>
    </xf>
    <xf numFmtId="41" fontId="75" fillId="0" borderId="189" xfId="0" applyNumberFormat="1" applyFont="1" applyFill="1" applyBorder="1" applyAlignment="1" applyProtection="1">
      <alignment horizontal="center"/>
    </xf>
    <xf numFmtId="41" fontId="75" fillId="0" borderId="190" xfId="0" applyNumberFormat="1" applyFont="1" applyFill="1" applyBorder="1" applyAlignment="1" applyProtection="1">
      <alignment horizontal="center"/>
    </xf>
    <xf numFmtId="41" fontId="75" fillId="0" borderId="76" xfId="0" applyNumberFormat="1" applyFont="1" applyFill="1" applyBorder="1" applyAlignment="1" applyProtection="1">
      <alignment horizontal="center"/>
    </xf>
    <xf numFmtId="41" fontId="75" fillId="0" borderId="117" xfId="0" applyNumberFormat="1" applyFont="1" applyFill="1" applyBorder="1" applyAlignment="1" applyProtection="1">
      <alignment horizontal="center"/>
    </xf>
    <xf numFmtId="41" fontId="75" fillId="0" borderId="191" xfId="0" applyNumberFormat="1" applyFont="1" applyFill="1" applyBorder="1" applyAlignment="1" applyProtection="1">
      <alignment horizontal="center"/>
    </xf>
    <xf numFmtId="0" fontId="75" fillId="0" borderId="192" xfId="0" applyFont="1" applyFill="1" applyBorder="1" applyAlignment="1" applyProtection="1"/>
    <xf numFmtId="0" fontId="73" fillId="0" borderId="50" xfId="0" applyFont="1" applyBorder="1" applyProtection="1"/>
    <xf numFmtId="0" fontId="75" fillId="55" borderId="49" xfId="0" applyFont="1" applyFill="1" applyBorder="1" applyAlignment="1" applyProtection="1">
      <alignment horizontal="center"/>
    </xf>
    <xf numFmtId="0" fontId="75" fillId="55" borderId="50" xfId="0" applyFont="1" applyFill="1" applyBorder="1" applyAlignment="1" applyProtection="1">
      <alignment horizontal="center"/>
    </xf>
    <xf numFmtId="165" fontId="73" fillId="0" borderId="27" xfId="0" applyNumberFormat="1" applyFont="1" applyFill="1" applyBorder="1" applyAlignment="1" applyProtection="1">
      <alignment horizontal="right" vertical="center"/>
      <protection hidden="1"/>
    </xf>
    <xf numFmtId="41" fontId="73" fillId="0" borderId="94" xfId="0" applyNumberFormat="1" applyFont="1" applyFill="1" applyBorder="1" applyAlignment="1" applyProtection="1">
      <alignment horizontal="right" vertical="center" wrapText="1"/>
      <protection hidden="1"/>
    </xf>
    <xf numFmtId="41" fontId="73" fillId="55" borderId="175" xfId="0" applyNumberFormat="1" applyFont="1" applyFill="1" applyBorder="1" applyAlignment="1" applyProtection="1">
      <alignment horizontal="right" vertical="center" wrapText="1"/>
      <protection hidden="1"/>
    </xf>
    <xf numFmtId="165" fontId="91" fillId="0" borderId="27" xfId="0" applyNumberFormat="1" applyFont="1" applyFill="1" applyBorder="1" applyAlignment="1" applyProtection="1">
      <alignment horizontal="right" vertical="center"/>
      <protection hidden="1"/>
    </xf>
    <xf numFmtId="165" fontId="73" fillId="0" borderId="0" xfId="0" applyNumberFormat="1" applyFont="1" applyFill="1" applyBorder="1" applyAlignment="1" applyProtection="1">
      <alignment horizontal="right" vertical="center"/>
      <protection hidden="1"/>
    </xf>
    <xf numFmtId="165" fontId="73" fillId="0" borderId="0" xfId="0" applyNumberFormat="1" applyFont="1" applyFill="1" applyBorder="1" applyAlignment="1" applyProtection="1">
      <alignment horizontal="right" wrapText="1"/>
      <protection hidden="1"/>
    </xf>
    <xf numFmtId="165" fontId="73" fillId="0" borderId="0" xfId="0" applyNumberFormat="1" applyFont="1" applyFill="1" applyBorder="1" applyAlignment="1" applyProtection="1">
      <alignment horizontal="right"/>
      <protection hidden="1"/>
    </xf>
    <xf numFmtId="165" fontId="73" fillId="0" borderId="56" xfId="0" applyNumberFormat="1" applyFont="1" applyFill="1" applyBorder="1" applyAlignment="1" applyProtection="1">
      <alignment vertical="center" wrapText="1"/>
      <protection hidden="1"/>
    </xf>
    <xf numFmtId="167" fontId="73" fillId="55" borderId="176" xfId="2447" applyNumberFormat="1" applyFont="1" applyFill="1" applyBorder="1" applyAlignment="1" applyProtection="1">
      <alignment horizontal="center" vertical="top" wrapText="1"/>
    </xf>
    <xf numFmtId="0" fontId="0" fillId="55" borderId="176" xfId="0" applyFill="1" applyBorder="1" applyAlignment="1">
      <alignment horizontal="centerContinuous"/>
    </xf>
    <xf numFmtId="41" fontId="75" fillId="55" borderId="176" xfId="95" applyNumberFormat="1" applyFont="1" applyFill="1" applyBorder="1" applyAlignment="1">
      <alignment horizontal="centerContinuous" vertical="center"/>
    </xf>
    <xf numFmtId="0" fontId="82" fillId="62" borderId="178" xfId="2447" applyFont="1" applyFill="1" applyBorder="1" applyAlignment="1" applyProtection="1">
      <alignment horizontal="centerContinuous" vertical="top" wrapText="1"/>
      <protection hidden="1"/>
    </xf>
    <xf numFmtId="41" fontId="75" fillId="55" borderId="176" xfId="95" applyNumberFormat="1" applyFont="1" applyFill="1" applyBorder="1" applyAlignment="1">
      <alignment horizontal="center" vertical="center"/>
    </xf>
    <xf numFmtId="167" fontId="73" fillId="55" borderId="176" xfId="2447" applyNumberFormat="1" applyFont="1" applyFill="1" applyBorder="1" applyAlignment="1" applyProtection="1">
      <alignment horizontal="center" vertical="center" wrapText="1"/>
    </xf>
    <xf numFmtId="0" fontId="75" fillId="55" borderId="0" xfId="0" applyFont="1" applyFill="1" applyBorder="1" applyAlignment="1" applyProtection="1">
      <alignment horizontal="centerContinuous" vertical="center" wrapText="1"/>
    </xf>
    <xf numFmtId="0" fontId="74" fillId="55" borderId="50" xfId="0" applyFont="1" applyFill="1" applyBorder="1" applyAlignment="1" applyProtection="1">
      <alignment horizontal="centerContinuous" vertical="center" wrapText="1"/>
    </xf>
    <xf numFmtId="0" fontId="75" fillId="55" borderId="49" xfId="0" applyFont="1" applyFill="1" applyBorder="1" applyAlignment="1">
      <alignment horizontal="centerContinuous" vertical="center"/>
    </xf>
    <xf numFmtId="0" fontId="75" fillId="55" borderId="0" xfId="0" applyFont="1" applyFill="1" applyBorder="1" applyAlignment="1">
      <alignment horizontal="centerContinuous" vertical="center"/>
    </xf>
    <xf numFmtId="0" fontId="75" fillId="55" borderId="50" xfId="0" applyFont="1" applyFill="1" applyBorder="1" applyAlignment="1">
      <alignment horizontal="centerContinuous" vertical="center"/>
    </xf>
    <xf numFmtId="0" fontId="54" fillId="0" borderId="58" xfId="2445" applyFont="1" applyFill="1" applyBorder="1" applyAlignment="1" applyProtection="1">
      <alignment horizontal="left"/>
    </xf>
    <xf numFmtId="0" fontId="75" fillId="55" borderId="0" xfId="45" applyFont="1" applyFill="1" applyBorder="1" applyAlignment="1" applyProtection="1"/>
    <xf numFmtId="0" fontId="75" fillId="55" borderId="176" xfId="45" applyFont="1" applyFill="1" applyBorder="1" applyAlignment="1" applyProtection="1">
      <alignment horizontal="center" wrapText="1"/>
    </xf>
    <xf numFmtId="43" fontId="0" fillId="0" borderId="198" xfId="2446" applyFont="1" applyBorder="1"/>
    <xf numFmtId="0" fontId="0" fillId="0" borderId="198" xfId="0" applyBorder="1"/>
    <xf numFmtId="0" fontId="77" fillId="0" borderId="65" xfId="0" applyFont="1" applyBorder="1" applyAlignment="1">
      <alignment horizontal="center"/>
    </xf>
    <xf numFmtId="0" fontId="77" fillId="0" borderId="65" xfId="0" applyFont="1" applyFill="1" applyBorder="1" applyAlignment="1">
      <alignment horizontal="center"/>
    </xf>
    <xf numFmtId="41" fontId="91" fillId="29" borderId="219" xfId="1134" applyNumberFormat="1" applyFont="1" applyFill="1" applyBorder="1" applyAlignment="1" applyProtection="1">
      <alignment vertical="center" wrapText="1"/>
      <protection locked="0"/>
    </xf>
    <xf numFmtId="43" fontId="73" fillId="29" borderId="205" xfId="1134" applyNumberFormat="1" applyFont="1" applyFill="1" applyBorder="1" applyAlignment="1" applyProtection="1">
      <alignment vertical="center" wrapText="1"/>
      <protection locked="0"/>
    </xf>
    <xf numFmtId="41" fontId="73" fillId="29" borderId="204" xfId="1134" applyNumberFormat="1" applyFont="1" applyFill="1" applyBorder="1" applyAlignment="1" applyProtection="1">
      <alignment vertical="center" wrapText="1"/>
      <protection locked="0"/>
    </xf>
    <xf numFmtId="41" fontId="91" fillId="29" borderId="205" xfId="1134" applyNumberFormat="1" applyFont="1" applyFill="1" applyBorder="1" applyAlignment="1" applyProtection="1">
      <alignment vertical="center" wrapText="1"/>
      <protection locked="0"/>
    </xf>
    <xf numFmtId="41" fontId="73" fillId="29" borderId="205" xfId="1134" applyNumberFormat="1" applyFont="1" applyFill="1" applyBorder="1" applyAlignment="1" applyProtection="1">
      <alignment vertical="center" wrapText="1"/>
      <protection locked="0"/>
    </xf>
    <xf numFmtId="41" fontId="73" fillId="29" borderId="219" xfId="1134" applyNumberFormat="1" applyFont="1" applyFill="1" applyBorder="1" applyAlignment="1" applyProtection="1">
      <alignment vertical="center" wrapText="1"/>
      <protection locked="0"/>
    </xf>
    <xf numFmtId="167" fontId="73" fillId="54" borderId="176" xfId="2447" applyNumberFormat="1" applyFont="1" applyFill="1" applyBorder="1" applyAlignment="1" applyProtection="1">
      <alignment horizontal="center" vertical="top" wrapText="1"/>
      <protection locked="0"/>
    </xf>
    <xf numFmtId="41" fontId="73" fillId="0" borderId="221" xfId="0" applyNumberFormat="1" applyFont="1" applyFill="1" applyBorder="1" applyAlignment="1" applyProtection="1">
      <alignment horizontal="right" vertical="center"/>
    </xf>
    <xf numFmtId="172" fontId="73" fillId="0" borderId="0" xfId="0" applyNumberFormat="1" applyFont="1"/>
    <xf numFmtId="0" fontId="73" fillId="0" borderId="0" xfId="0" applyFont="1" applyFill="1" applyBorder="1" applyAlignment="1" applyProtection="1">
      <alignment vertical="top" wrapText="1"/>
    </xf>
    <xf numFmtId="0" fontId="73" fillId="0" borderId="17" xfId="0" applyFont="1" applyFill="1" applyBorder="1" applyAlignment="1" applyProtection="1">
      <alignment vertical="top" wrapText="1"/>
    </xf>
    <xf numFmtId="0" fontId="73" fillId="0" borderId="203" xfId="0" applyFont="1" applyFill="1" applyBorder="1" applyProtection="1"/>
    <xf numFmtId="0" fontId="4" fillId="0" borderId="58" xfId="2445" applyFont="1" applyFill="1" applyBorder="1" applyAlignment="1" applyProtection="1">
      <alignment wrapText="1"/>
    </xf>
    <xf numFmtId="0" fontId="79" fillId="0" borderId="176" xfId="2445" applyFill="1" applyBorder="1" applyAlignment="1" applyProtection="1">
      <alignment horizontal="left" vertical="top"/>
    </xf>
    <xf numFmtId="0" fontId="79" fillId="0" borderId="220" xfId="2445" applyBorder="1" applyAlignment="1" applyProtection="1"/>
    <xf numFmtId="41" fontId="73" fillId="0" borderId="16" xfId="0" applyNumberFormat="1" applyFont="1" applyFill="1" applyBorder="1" applyAlignment="1" applyProtection="1">
      <alignment horizontal="center"/>
    </xf>
    <xf numFmtId="0" fontId="73" fillId="0" borderId="38" xfId="0" applyFont="1" applyFill="1" applyBorder="1" applyProtection="1"/>
    <xf numFmtId="41" fontId="73" fillId="0" borderId="183" xfId="0" applyNumberFormat="1" applyFont="1" applyFill="1" applyBorder="1" applyAlignment="1" applyProtection="1">
      <alignment horizontal="center" wrapText="1"/>
    </xf>
    <xf numFmtId="41" fontId="73" fillId="0" borderId="192" xfId="0" applyNumberFormat="1" applyFont="1" applyFill="1" applyBorder="1" applyAlignment="1" applyProtection="1">
      <alignment horizontal="center" wrapText="1"/>
    </xf>
    <xf numFmtId="41" fontId="73" fillId="0" borderId="141" xfId="0" applyNumberFormat="1" applyFont="1" applyFill="1" applyBorder="1" applyAlignment="1" applyProtection="1">
      <alignment vertical="center" wrapText="1"/>
    </xf>
    <xf numFmtId="0" fontId="0" fillId="0" borderId="11" xfId="0" applyBorder="1"/>
    <xf numFmtId="0" fontId="0" fillId="0" borderId="75" xfId="0" applyBorder="1"/>
    <xf numFmtId="0" fontId="0" fillId="0" borderId="85" xfId="0" applyBorder="1" applyAlignment="1">
      <alignment horizontal="centerContinuous"/>
    </xf>
    <xf numFmtId="0" fontId="0" fillId="0" borderId="37" xfId="0" applyBorder="1"/>
    <xf numFmtId="0" fontId="74" fillId="0" borderId="10" xfId="0" applyFont="1" applyFill="1" applyBorder="1" applyAlignment="1" applyProtection="1">
      <alignment horizontal="centerContinuous"/>
    </xf>
    <xf numFmtId="0" fontId="74" fillId="0" borderId="161" xfId="0" applyFont="1" applyFill="1" applyBorder="1" applyAlignment="1" applyProtection="1">
      <alignment horizontal="centerContinuous"/>
    </xf>
    <xf numFmtId="0" fontId="74" fillId="0" borderId="47" xfId="0" applyFont="1" applyFill="1" applyBorder="1" applyAlignment="1" applyProtection="1">
      <alignment horizontal="centerContinuous"/>
    </xf>
    <xf numFmtId="0" fontId="75" fillId="0" borderId="222" xfId="0" applyFont="1" applyFill="1" applyBorder="1" applyAlignment="1" applyProtection="1">
      <alignment horizontal="centerContinuous"/>
    </xf>
    <xf numFmtId="0" fontId="73" fillId="0" borderId="16" xfId="0" applyFont="1" applyFill="1" applyBorder="1" applyAlignment="1" applyProtection="1"/>
    <xf numFmtId="41" fontId="75" fillId="0" borderId="223" xfId="0" applyNumberFormat="1" applyFont="1" applyFill="1" applyBorder="1" applyAlignment="1" applyProtection="1">
      <alignment horizontal="center"/>
    </xf>
    <xf numFmtId="41" fontId="75" fillId="0" borderId="223" xfId="0" applyNumberFormat="1" applyFont="1" applyFill="1" applyBorder="1" applyAlignment="1" applyProtection="1">
      <alignment vertical="center" wrapText="1"/>
    </xf>
    <xf numFmtId="41" fontId="75" fillId="0" borderId="224" xfId="0" applyNumberFormat="1" applyFont="1" applyFill="1" applyBorder="1" applyAlignment="1" applyProtection="1">
      <alignment vertical="center" wrapText="1"/>
    </xf>
    <xf numFmtId="0" fontId="73" fillId="0" borderId="192" xfId="0" applyFont="1" applyFill="1" applyBorder="1" applyAlignment="1" applyProtection="1"/>
    <xf numFmtId="0" fontId="73" fillId="0" borderId="183" xfId="0" applyFont="1" applyFill="1" applyBorder="1" applyAlignment="1" applyProtection="1"/>
    <xf numFmtId="0" fontId="75" fillId="0" borderId="183" xfId="0" applyFont="1" applyFill="1" applyBorder="1" applyAlignment="1" applyProtection="1">
      <alignment horizontal="left" wrapText="1"/>
    </xf>
    <xf numFmtId="41" fontId="75" fillId="0" borderId="183" xfId="0" applyNumberFormat="1" applyFont="1" applyFill="1" applyBorder="1" applyAlignment="1" applyProtection="1">
      <alignment horizontal="right" wrapText="1"/>
    </xf>
    <xf numFmtId="41" fontId="73" fillId="0" borderId="223" xfId="0" applyNumberFormat="1" applyFont="1" applyFill="1" applyBorder="1" applyAlignment="1" applyProtection="1">
      <alignment horizontal="center" wrapText="1"/>
    </xf>
    <xf numFmtId="41" fontId="73" fillId="0" borderId="224" xfId="0" applyNumberFormat="1" applyFont="1" applyFill="1" applyBorder="1" applyAlignment="1" applyProtection="1">
      <alignment horizontal="center" wrapText="1"/>
    </xf>
    <xf numFmtId="41" fontId="73" fillId="0" borderId="225" xfId="0" applyNumberFormat="1" applyFont="1" applyFill="1" applyBorder="1" applyAlignment="1" applyProtection="1">
      <alignment horizontal="right" vertical="center"/>
      <protection hidden="1"/>
    </xf>
    <xf numFmtId="41" fontId="73" fillId="0" borderId="205" xfId="0" applyNumberFormat="1" applyFont="1" applyFill="1" applyBorder="1" applyAlignment="1" applyProtection="1">
      <alignment vertical="center" wrapText="1"/>
    </xf>
    <xf numFmtId="41" fontId="73" fillId="0" borderId="225" xfId="0" applyNumberFormat="1" applyFont="1" applyFill="1" applyBorder="1" applyAlignment="1" applyProtection="1">
      <alignment vertical="center" wrapText="1"/>
    </xf>
    <xf numFmtId="41" fontId="73" fillId="0" borderId="226" xfId="0" applyNumberFormat="1" applyFont="1" applyFill="1" applyBorder="1" applyAlignment="1" applyProtection="1">
      <alignment vertical="center" wrapText="1"/>
    </xf>
    <xf numFmtId="41" fontId="73" fillId="0" borderId="227" xfId="0" applyNumberFormat="1" applyFont="1" applyFill="1" applyBorder="1" applyAlignment="1" applyProtection="1">
      <alignment vertical="center" wrapText="1"/>
    </xf>
    <xf numFmtId="41" fontId="73" fillId="0" borderId="228" xfId="0" applyNumberFormat="1" applyFont="1" applyFill="1" applyBorder="1" applyAlignment="1" applyProtection="1">
      <alignment vertical="center" wrapText="1"/>
    </xf>
    <xf numFmtId="41" fontId="73" fillId="0" borderId="229" xfId="0" applyNumberFormat="1" applyFont="1" applyFill="1" applyBorder="1" applyAlignment="1" applyProtection="1">
      <alignment vertical="center" wrapText="1"/>
    </xf>
    <xf numFmtId="41" fontId="73" fillId="0" borderId="230" xfId="0" applyNumberFormat="1" applyFont="1" applyFill="1" applyBorder="1" applyAlignment="1" applyProtection="1">
      <alignment vertical="center" wrapText="1"/>
    </xf>
    <xf numFmtId="41" fontId="73" fillId="0" borderId="231" xfId="0" applyNumberFormat="1" applyFont="1" applyFill="1" applyBorder="1" applyAlignment="1" applyProtection="1">
      <alignment vertical="center" wrapText="1"/>
    </xf>
    <xf numFmtId="41" fontId="73" fillId="29" borderId="219" xfId="0" applyNumberFormat="1" applyFont="1" applyFill="1" applyBorder="1" applyAlignment="1" applyProtection="1">
      <alignment vertical="center" wrapText="1"/>
      <protection locked="0"/>
    </xf>
    <xf numFmtId="41" fontId="73" fillId="0" borderId="232" xfId="0" applyNumberFormat="1" applyFont="1" applyFill="1" applyBorder="1" applyAlignment="1" applyProtection="1">
      <alignment horizontal="right" vertical="center" wrapText="1"/>
    </xf>
    <xf numFmtId="41" fontId="73" fillId="0" borderId="233" xfId="0" applyNumberFormat="1" applyFont="1" applyFill="1" applyBorder="1" applyAlignment="1" applyProtection="1">
      <alignment vertical="center" wrapText="1"/>
    </xf>
    <xf numFmtId="41" fontId="73" fillId="0" borderId="234" xfId="0" applyNumberFormat="1" applyFont="1" applyFill="1" applyBorder="1" applyAlignment="1" applyProtection="1">
      <alignment vertical="center" wrapText="1"/>
    </xf>
    <xf numFmtId="41" fontId="73" fillId="0" borderId="235" xfId="0" applyNumberFormat="1" applyFont="1" applyFill="1" applyBorder="1" applyAlignment="1" applyProtection="1">
      <alignment vertical="center" wrapText="1"/>
    </xf>
    <xf numFmtId="41" fontId="73" fillId="29" borderId="205" xfId="0" applyNumberFormat="1" applyFont="1" applyFill="1" applyBorder="1" applyAlignment="1" applyProtection="1">
      <alignment vertical="center" wrapText="1"/>
      <protection locked="0"/>
    </xf>
    <xf numFmtId="41" fontId="73" fillId="29" borderId="225" xfId="0" applyNumberFormat="1" applyFont="1" applyFill="1" applyBorder="1" applyAlignment="1" applyProtection="1">
      <alignment vertical="center" wrapText="1"/>
      <protection locked="0"/>
    </xf>
    <xf numFmtId="41" fontId="73" fillId="29" borderId="204" xfId="0" applyNumberFormat="1" applyFont="1" applyFill="1" applyBorder="1" applyAlignment="1" applyProtection="1">
      <alignment vertical="center" wrapText="1"/>
      <protection locked="0"/>
    </xf>
    <xf numFmtId="41" fontId="73" fillId="29" borderId="233" xfId="0" applyNumberFormat="1" applyFont="1" applyFill="1" applyBorder="1" applyAlignment="1" applyProtection="1">
      <alignment vertical="center" wrapText="1"/>
      <protection locked="0"/>
    </xf>
    <xf numFmtId="41" fontId="73" fillId="0" borderId="219" xfId="0" applyNumberFormat="1" applyFont="1" applyFill="1" applyBorder="1" applyAlignment="1" applyProtection="1">
      <alignment vertical="center" wrapText="1"/>
    </xf>
    <xf numFmtId="41" fontId="73" fillId="0" borderId="236" xfId="0" applyNumberFormat="1" applyFont="1" applyFill="1" applyBorder="1" applyAlignment="1" applyProtection="1">
      <alignment vertical="center" wrapText="1"/>
    </xf>
    <xf numFmtId="41" fontId="91" fillId="29" borderId="219" xfId="0" applyNumberFormat="1" applyFont="1" applyFill="1" applyBorder="1" applyAlignment="1" applyProtection="1">
      <alignment vertical="center" wrapText="1"/>
      <protection locked="0"/>
    </xf>
    <xf numFmtId="41" fontId="91" fillId="29" borderId="205" xfId="0" applyNumberFormat="1" applyFont="1" applyFill="1" applyBorder="1" applyAlignment="1" applyProtection="1">
      <alignment vertical="center" wrapText="1"/>
      <protection locked="0"/>
    </xf>
    <xf numFmtId="41" fontId="91" fillId="29" borderId="225" xfId="0" applyNumberFormat="1" applyFont="1" applyFill="1" applyBorder="1" applyAlignment="1" applyProtection="1">
      <alignment vertical="center" wrapText="1"/>
      <protection locked="0"/>
    </xf>
    <xf numFmtId="41" fontId="91" fillId="0" borderId="226" xfId="0" applyNumberFormat="1" applyFont="1" applyFill="1" applyBorder="1" applyAlignment="1" applyProtection="1">
      <alignment vertical="center" wrapText="1"/>
    </xf>
    <xf numFmtId="41" fontId="91" fillId="29" borderId="204" xfId="0" applyNumberFormat="1" applyFont="1" applyFill="1" applyBorder="1" applyAlignment="1" applyProtection="1">
      <alignment vertical="center" wrapText="1"/>
      <protection locked="0"/>
    </xf>
    <xf numFmtId="41" fontId="91" fillId="29" borderId="233" xfId="0" applyNumberFormat="1" applyFont="1" applyFill="1" applyBorder="1" applyAlignment="1" applyProtection="1">
      <alignment vertical="center" wrapText="1"/>
      <protection locked="0"/>
    </xf>
    <xf numFmtId="41" fontId="91" fillId="0" borderId="227" xfId="0" applyNumberFormat="1" applyFont="1" applyFill="1" applyBorder="1" applyAlignment="1" applyProtection="1">
      <alignment vertical="center" wrapText="1"/>
    </xf>
    <xf numFmtId="41" fontId="91" fillId="0" borderId="228" xfId="0" applyNumberFormat="1" applyFont="1" applyFill="1" applyBorder="1" applyAlignment="1" applyProtection="1">
      <alignment vertical="center" wrapText="1"/>
    </xf>
    <xf numFmtId="41" fontId="91" fillId="0" borderId="229" xfId="0" applyNumberFormat="1" applyFont="1" applyFill="1" applyBorder="1" applyAlignment="1" applyProtection="1">
      <alignment vertical="center" wrapText="1"/>
    </xf>
    <xf numFmtId="41" fontId="91" fillId="0" borderId="230" xfId="0" applyNumberFormat="1" applyFont="1" applyFill="1" applyBorder="1" applyAlignment="1" applyProtection="1">
      <alignment vertical="center" wrapText="1"/>
    </xf>
    <xf numFmtId="41" fontId="91" fillId="0" borderId="231" xfId="0" applyNumberFormat="1" applyFont="1" applyFill="1" applyBorder="1" applyAlignment="1" applyProtection="1">
      <alignment vertical="center" wrapText="1"/>
    </xf>
    <xf numFmtId="41" fontId="73" fillId="0" borderId="237" xfId="0" applyNumberFormat="1" applyFont="1" applyFill="1" applyBorder="1" applyAlignment="1" applyProtection="1">
      <alignment vertical="center" wrapText="1"/>
    </xf>
    <xf numFmtId="41" fontId="73" fillId="0" borderId="186" xfId="0" applyNumberFormat="1" applyFont="1" applyFill="1" applyBorder="1" applyAlignment="1" applyProtection="1">
      <alignment vertical="center" wrapText="1"/>
    </xf>
    <xf numFmtId="41" fontId="73" fillId="0" borderId="238" xfId="0" applyNumberFormat="1" applyFont="1" applyFill="1" applyBorder="1" applyAlignment="1" applyProtection="1">
      <alignment vertical="center" wrapText="1"/>
    </xf>
    <xf numFmtId="41" fontId="73" fillId="0" borderId="239" xfId="0" applyNumberFormat="1" applyFont="1" applyFill="1" applyBorder="1" applyAlignment="1" applyProtection="1">
      <alignment vertical="center" wrapText="1"/>
    </xf>
    <xf numFmtId="41" fontId="92" fillId="0" borderId="240" xfId="0" applyNumberFormat="1" applyFont="1" applyFill="1" applyBorder="1" applyAlignment="1" applyProtection="1">
      <alignment vertical="center" wrapText="1"/>
    </xf>
    <xf numFmtId="41" fontId="92" fillId="0" borderId="241" xfId="0" applyNumberFormat="1" applyFont="1" applyFill="1" applyBorder="1" applyAlignment="1" applyProtection="1">
      <alignment vertical="center" wrapText="1"/>
    </xf>
    <xf numFmtId="41" fontId="92" fillId="0" borderId="242" xfId="0" applyNumberFormat="1" applyFont="1" applyFill="1" applyBorder="1" applyAlignment="1" applyProtection="1">
      <alignment vertical="center" wrapText="1"/>
    </xf>
    <xf numFmtId="41" fontId="92" fillId="0" borderId="243" xfId="0" applyNumberFormat="1" applyFont="1" applyFill="1" applyBorder="1" applyAlignment="1" applyProtection="1">
      <alignment vertical="center" wrapText="1"/>
    </xf>
    <xf numFmtId="41" fontId="92" fillId="0" borderId="244" xfId="0" applyNumberFormat="1" applyFont="1" applyFill="1" applyBorder="1" applyAlignment="1" applyProtection="1">
      <alignment vertical="center" wrapText="1"/>
    </xf>
    <xf numFmtId="41" fontId="92" fillId="0" borderId="245" xfId="0" applyNumberFormat="1" applyFont="1" applyFill="1" applyBorder="1" applyAlignment="1" applyProtection="1">
      <alignment vertical="center" wrapText="1"/>
    </xf>
    <xf numFmtId="41" fontId="92" fillId="0" borderId="246" xfId="0" applyNumberFormat="1" applyFont="1" applyFill="1" applyBorder="1" applyAlignment="1" applyProtection="1">
      <alignment vertical="center" wrapText="1"/>
    </xf>
    <xf numFmtId="41" fontId="92" fillId="0" borderId="247" xfId="0" applyNumberFormat="1" applyFont="1" applyFill="1" applyBorder="1" applyAlignment="1" applyProtection="1">
      <alignment vertical="center" wrapText="1"/>
    </xf>
    <xf numFmtId="41" fontId="92" fillId="0" borderId="237" xfId="0" applyNumberFormat="1" applyFont="1" applyFill="1" applyBorder="1" applyAlignment="1" applyProtection="1">
      <alignment vertical="center" wrapText="1"/>
    </xf>
    <xf numFmtId="41" fontId="92" fillId="0" borderId="248" xfId="0" applyNumberFormat="1" applyFont="1" applyFill="1" applyBorder="1" applyAlignment="1" applyProtection="1">
      <alignment vertical="center" wrapText="1"/>
    </xf>
    <xf numFmtId="41" fontId="92" fillId="0" borderId="249" xfId="0" applyNumberFormat="1" applyFont="1" applyFill="1" applyBorder="1" applyAlignment="1" applyProtection="1">
      <alignment vertical="center" wrapText="1"/>
    </xf>
    <xf numFmtId="165" fontId="73" fillId="0" borderId="225" xfId="0" applyNumberFormat="1" applyFont="1" applyFill="1" applyBorder="1" applyAlignment="1" applyProtection="1">
      <alignment horizontal="right" vertical="center"/>
      <protection hidden="1"/>
    </xf>
    <xf numFmtId="41" fontId="73" fillId="29" borderId="230" xfId="0" applyNumberFormat="1" applyFont="1" applyFill="1" applyBorder="1" applyAlignment="1" applyProtection="1">
      <alignment vertical="center" wrapText="1"/>
      <protection locked="0"/>
    </xf>
    <xf numFmtId="41" fontId="73" fillId="0" borderId="221" xfId="0" applyNumberFormat="1" applyFont="1" applyFill="1" applyBorder="1" applyAlignment="1" applyProtection="1">
      <alignment vertical="center" wrapText="1"/>
    </xf>
    <xf numFmtId="41" fontId="73" fillId="0" borderId="250" xfId="0" applyNumberFormat="1" applyFont="1" applyFill="1" applyBorder="1" applyAlignment="1" applyProtection="1">
      <alignment vertical="center" wrapText="1"/>
    </xf>
    <xf numFmtId="165" fontId="91" fillId="0" borderId="225" xfId="0" applyNumberFormat="1" applyFont="1" applyFill="1" applyBorder="1" applyAlignment="1" applyProtection="1">
      <alignment horizontal="right" vertical="center"/>
      <protection hidden="1"/>
    </xf>
    <xf numFmtId="41" fontId="91" fillId="0" borderId="250" xfId="0" applyNumberFormat="1" applyFont="1" applyFill="1" applyBorder="1" applyAlignment="1" applyProtection="1">
      <alignment vertical="center" wrapText="1"/>
    </xf>
    <xf numFmtId="41" fontId="73" fillId="0" borderId="230" xfId="0" applyNumberFormat="1" applyFont="1" applyFill="1" applyBorder="1" applyAlignment="1" applyProtection="1">
      <alignment horizontal="right" vertical="center"/>
    </xf>
    <xf numFmtId="41" fontId="73" fillId="0" borderId="225" xfId="0" applyNumberFormat="1" applyFont="1" applyFill="1" applyBorder="1" applyAlignment="1" applyProtection="1">
      <alignment horizontal="right" vertical="center"/>
    </xf>
    <xf numFmtId="41" fontId="73" fillId="0" borderId="250" xfId="0" applyNumberFormat="1" applyFont="1" applyFill="1" applyBorder="1" applyAlignment="1" applyProtection="1">
      <alignment horizontal="right" vertical="center"/>
    </xf>
    <xf numFmtId="41" fontId="73" fillId="0" borderId="227" xfId="0" applyNumberFormat="1" applyFont="1" applyFill="1" applyBorder="1" applyAlignment="1" applyProtection="1">
      <alignment horizontal="right" vertical="center"/>
    </xf>
    <xf numFmtId="41" fontId="73" fillId="0" borderId="228" xfId="0" applyNumberFormat="1" applyFont="1" applyFill="1" applyBorder="1" applyAlignment="1" applyProtection="1">
      <alignment horizontal="right" vertical="center"/>
    </xf>
    <xf numFmtId="41" fontId="73" fillId="0" borderId="226" xfId="0" applyNumberFormat="1" applyFont="1" applyFill="1" applyBorder="1" applyAlignment="1" applyProtection="1">
      <alignment horizontal="right" vertical="center"/>
    </xf>
    <xf numFmtId="41" fontId="73" fillId="0" borderId="231" xfId="0" applyNumberFormat="1" applyFont="1" applyFill="1" applyBorder="1" applyAlignment="1" applyProtection="1">
      <alignment horizontal="right" vertical="center"/>
    </xf>
    <xf numFmtId="41" fontId="73" fillId="0" borderId="219" xfId="0" applyNumberFormat="1" applyFont="1" applyFill="1" applyBorder="1" applyAlignment="1" applyProtection="1">
      <alignment horizontal="right" vertical="center"/>
    </xf>
    <xf numFmtId="41" fontId="73" fillId="0" borderId="205" xfId="0" applyNumberFormat="1" applyFont="1" applyFill="1" applyBorder="1" applyAlignment="1" applyProtection="1">
      <alignment horizontal="right" vertical="center"/>
    </xf>
    <xf numFmtId="41" fontId="92" fillId="0" borderId="219" xfId="0" applyNumberFormat="1" applyFont="1" applyFill="1" applyBorder="1" applyAlignment="1" applyProtection="1">
      <alignment vertical="center" wrapText="1"/>
    </xf>
    <xf numFmtId="41" fontId="92" fillId="0" borderId="251" xfId="0" applyNumberFormat="1" applyFont="1" applyFill="1" applyBorder="1" applyAlignment="1" applyProtection="1">
      <alignment vertical="center" wrapText="1"/>
    </xf>
    <xf numFmtId="41" fontId="92" fillId="0" borderId="252" xfId="0" applyNumberFormat="1" applyFont="1" applyFill="1" applyBorder="1" applyAlignment="1" applyProtection="1">
      <alignment vertical="center" wrapText="1"/>
    </xf>
    <xf numFmtId="41" fontId="92" fillId="0" borderId="253" xfId="0" applyNumberFormat="1" applyFont="1" applyFill="1" applyBorder="1" applyAlignment="1" applyProtection="1">
      <alignment vertical="center" wrapText="1"/>
    </xf>
    <xf numFmtId="41" fontId="92" fillId="0" borderId="254" xfId="0" applyNumberFormat="1" applyFont="1" applyFill="1" applyBorder="1" applyAlignment="1" applyProtection="1">
      <alignment vertical="center" wrapText="1"/>
    </xf>
    <xf numFmtId="41" fontId="92" fillId="0" borderId="255" xfId="0" applyNumberFormat="1" applyFont="1" applyFill="1" applyBorder="1" applyAlignment="1" applyProtection="1">
      <alignment vertical="center" wrapText="1"/>
    </xf>
    <xf numFmtId="41" fontId="73" fillId="0" borderId="256" xfId="0" applyNumberFormat="1" applyFont="1" applyFill="1" applyBorder="1" applyAlignment="1" applyProtection="1">
      <alignment vertical="center"/>
    </xf>
    <xf numFmtId="41" fontId="73" fillId="0" borderId="230" xfId="0" applyNumberFormat="1" applyFont="1" applyFill="1" applyBorder="1" applyAlignment="1" applyProtection="1">
      <alignment vertical="center"/>
    </xf>
    <xf numFmtId="41" fontId="73" fillId="0" borderId="205" xfId="0" applyNumberFormat="1" applyFont="1" applyFill="1" applyBorder="1" applyAlignment="1" applyProtection="1">
      <alignment vertical="center"/>
    </xf>
    <xf numFmtId="41" fontId="73" fillId="0" borderId="256" xfId="0" applyNumberFormat="1" applyFont="1" applyFill="1" applyBorder="1" applyAlignment="1" applyProtection="1"/>
    <xf numFmtId="41" fontId="73" fillId="0" borderId="230" xfId="0" applyNumberFormat="1" applyFont="1" applyFill="1" applyBorder="1" applyAlignment="1" applyProtection="1"/>
    <xf numFmtId="41" fontId="73" fillId="0" borderId="205" xfId="0" applyNumberFormat="1" applyFont="1" applyFill="1" applyBorder="1" applyAlignment="1" applyProtection="1"/>
    <xf numFmtId="41" fontId="92" fillId="0" borderId="256" xfId="0" applyNumberFormat="1" applyFont="1" applyFill="1" applyBorder="1" applyAlignment="1" applyProtection="1"/>
    <xf numFmtId="41" fontId="92" fillId="0" borderId="205" xfId="0" applyNumberFormat="1" applyFont="1" applyFill="1" applyBorder="1" applyAlignment="1" applyProtection="1"/>
    <xf numFmtId="41" fontId="92" fillId="0" borderId="225" xfId="0" applyNumberFormat="1" applyFont="1" applyFill="1" applyBorder="1" applyAlignment="1" applyProtection="1"/>
    <xf numFmtId="41" fontId="92" fillId="0" borderId="227" xfId="0" applyNumberFormat="1" applyFont="1" applyFill="1" applyBorder="1" applyAlignment="1" applyProtection="1"/>
    <xf numFmtId="41" fontId="73" fillId="0" borderId="219" xfId="0" applyNumberFormat="1" applyFont="1" applyFill="1" applyBorder="1" applyAlignment="1" applyProtection="1"/>
    <xf numFmtId="41" fontId="73" fillId="0" borderId="231" xfId="0" applyNumberFormat="1" applyFont="1" applyFill="1" applyBorder="1" applyAlignment="1" applyProtection="1"/>
    <xf numFmtId="41" fontId="92" fillId="0" borderId="256" xfId="0" applyNumberFormat="1" applyFont="1" applyFill="1" applyBorder="1" applyAlignment="1" applyProtection="1">
      <alignment horizontal="center"/>
    </xf>
    <xf numFmtId="41" fontId="92" fillId="0" borderId="205" xfId="0" applyNumberFormat="1" applyFont="1" applyFill="1" applyBorder="1" applyAlignment="1" applyProtection="1">
      <alignment horizontal="center"/>
    </xf>
    <xf numFmtId="41" fontId="92" fillId="0" borderId="233" xfId="0" applyNumberFormat="1" applyFont="1" applyFill="1" applyBorder="1" applyAlignment="1" applyProtection="1">
      <alignment horizontal="center"/>
    </xf>
    <xf numFmtId="41" fontId="92" fillId="0" borderId="226" xfId="0" applyNumberFormat="1" applyFont="1" applyFill="1" applyBorder="1" applyAlignment="1" applyProtection="1">
      <alignment vertical="center" wrapText="1"/>
    </xf>
    <xf numFmtId="41" fontId="92" fillId="0" borderId="227" xfId="0" applyNumberFormat="1" applyFont="1" applyFill="1" applyBorder="1" applyAlignment="1" applyProtection="1">
      <alignment vertical="center" wrapText="1"/>
    </xf>
    <xf numFmtId="41" fontId="92" fillId="0" borderId="257" xfId="0" applyNumberFormat="1" applyFont="1" applyFill="1" applyBorder="1" applyAlignment="1" applyProtection="1">
      <alignment horizontal="center"/>
    </xf>
    <xf numFmtId="41" fontId="92" fillId="0" borderId="243" xfId="0" applyNumberFormat="1" applyFont="1" applyFill="1" applyBorder="1" applyAlignment="1" applyProtection="1">
      <alignment horizontal="center"/>
    </xf>
    <xf numFmtId="41" fontId="92" fillId="0" borderId="244" xfId="0" applyNumberFormat="1" applyFont="1" applyFill="1" applyBorder="1" applyAlignment="1" applyProtection="1">
      <alignment horizontal="center"/>
    </xf>
    <xf numFmtId="41" fontId="92" fillId="0" borderId="258" xfId="0" applyNumberFormat="1" applyFont="1" applyFill="1" applyBorder="1" applyAlignment="1" applyProtection="1">
      <alignment vertical="center" wrapText="1"/>
    </xf>
    <xf numFmtId="41" fontId="92" fillId="0" borderId="259" xfId="0" applyNumberFormat="1" applyFont="1" applyFill="1" applyBorder="1" applyAlignment="1" applyProtection="1">
      <alignment vertical="center" wrapText="1"/>
    </xf>
    <xf numFmtId="3" fontId="73" fillId="0" borderId="260" xfId="0" applyNumberFormat="1" applyFont="1" applyFill="1" applyBorder="1" applyAlignment="1" applyProtection="1">
      <alignment horizontal="center" wrapText="1"/>
      <protection locked="0"/>
    </xf>
    <xf numFmtId="0" fontId="0" fillId="0" borderId="12" xfId="0" applyBorder="1"/>
    <xf numFmtId="41" fontId="73" fillId="0" borderId="165" xfId="0" applyNumberFormat="1" applyFont="1" applyFill="1" applyBorder="1" applyAlignment="1" applyProtection="1">
      <alignment vertical="center" wrapText="1"/>
    </xf>
    <xf numFmtId="41" fontId="73" fillId="0" borderId="166" xfId="0" applyNumberFormat="1" applyFont="1" applyFill="1" applyBorder="1" applyAlignment="1" applyProtection="1">
      <alignment vertical="center" wrapText="1"/>
    </xf>
    <xf numFmtId="41" fontId="73" fillId="0" borderId="261" xfId="0" applyNumberFormat="1" applyFont="1" applyFill="1" applyBorder="1" applyAlignment="1" applyProtection="1">
      <alignment vertical="center" wrapText="1"/>
    </xf>
    <xf numFmtId="41" fontId="73" fillId="0" borderId="37" xfId="0" applyNumberFormat="1" applyFont="1" applyFill="1" applyBorder="1" applyAlignment="1" applyProtection="1">
      <alignment wrapText="1"/>
    </xf>
    <xf numFmtId="41" fontId="73" fillId="29" borderId="221" xfId="0" applyNumberFormat="1" applyFont="1" applyFill="1" applyBorder="1" applyAlignment="1" applyProtection="1">
      <alignment vertical="center" wrapText="1"/>
      <protection locked="0"/>
    </xf>
    <xf numFmtId="0" fontId="0" fillId="0" borderId="0" xfId="0" applyFill="1"/>
    <xf numFmtId="0" fontId="0" fillId="0" borderId="0" xfId="0" applyFill="1" applyBorder="1"/>
    <xf numFmtId="0" fontId="75" fillId="0" borderId="0" xfId="0" applyFont="1" applyFill="1" applyBorder="1" applyAlignment="1" applyProtection="1">
      <alignment horizontal="left"/>
    </xf>
    <xf numFmtId="0" fontId="75" fillId="0" borderId="0" xfId="0" applyFont="1" applyFill="1"/>
    <xf numFmtId="0" fontId="77" fillId="0" borderId="176" xfId="0" applyFont="1" applyFill="1" applyBorder="1" applyAlignment="1">
      <alignment horizontal="left" indent="1"/>
    </xf>
    <xf numFmtId="0" fontId="75" fillId="0" borderId="176" xfId="0" applyFont="1" applyFill="1" applyBorder="1" applyAlignment="1" applyProtection="1">
      <alignment horizontal="left" vertical="center" indent="1"/>
    </xf>
    <xf numFmtId="0" fontId="75" fillId="0" borderId="176" xfId="0" applyFont="1" applyFill="1" applyBorder="1" applyAlignment="1" applyProtection="1">
      <alignment horizontal="left" indent="1"/>
    </xf>
    <xf numFmtId="0" fontId="73" fillId="0" borderId="176" xfId="0" applyFont="1" applyFill="1" applyBorder="1" applyAlignment="1" applyProtection="1">
      <alignment horizontal="left" indent="1"/>
    </xf>
    <xf numFmtId="0" fontId="103" fillId="0" borderId="0" xfId="0" applyFont="1" applyFill="1"/>
    <xf numFmtId="0" fontId="126" fillId="94" borderId="0" xfId="0" applyFont="1" applyFill="1" applyBorder="1" applyAlignment="1">
      <alignment vertical="top"/>
    </xf>
    <xf numFmtId="0" fontId="127" fillId="94" borderId="262" xfId="0" applyFont="1" applyFill="1" applyBorder="1" applyAlignment="1">
      <alignment vertical="top"/>
    </xf>
    <xf numFmtId="0" fontId="127" fillId="94" borderId="262" xfId="0" applyFont="1" applyFill="1" applyBorder="1" applyAlignment="1">
      <alignment horizontal="center" vertical="top"/>
    </xf>
    <xf numFmtId="0" fontId="73" fillId="0" borderId="176" xfId="0" applyFont="1" applyFill="1" applyBorder="1" applyAlignment="1" applyProtection="1">
      <alignment horizontal="left" indent="1"/>
      <protection hidden="1"/>
    </xf>
    <xf numFmtId="0" fontId="125" fillId="0" borderId="0" xfId="1134" applyFont="1" applyFill="1" applyBorder="1" applyAlignment="1" applyProtection="1">
      <alignment horizontal="center" vertical="center" wrapText="1"/>
    </xf>
    <xf numFmtId="0" fontId="106" fillId="62" borderId="176" xfId="0" applyFont="1" applyFill="1" applyBorder="1" applyAlignment="1">
      <alignment horizontal="center"/>
    </xf>
    <xf numFmtId="0" fontId="107" fillId="55" borderId="176" xfId="0" quotePrefix="1" applyFont="1" applyFill="1" applyBorder="1" applyAlignment="1">
      <alignment horizontal="center"/>
    </xf>
    <xf numFmtId="0" fontId="107" fillId="55" borderId="176" xfId="0" applyFont="1" applyFill="1" applyBorder="1" applyAlignment="1">
      <alignment horizontal="center"/>
    </xf>
    <xf numFmtId="0" fontId="73" fillId="28" borderId="263" xfId="2447" applyFont="1" applyFill="1" applyBorder="1" applyAlignment="1" applyProtection="1">
      <alignment vertical="top"/>
      <protection hidden="1"/>
    </xf>
    <xf numFmtId="0" fontId="82" fillId="62" borderId="176" xfId="2447" applyFont="1" applyFill="1" applyBorder="1" applyAlignment="1" applyProtection="1">
      <alignment horizontal="centerContinuous" vertical="top" wrapText="1"/>
      <protection hidden="1"/>
    </xf>
    <xf numFmtId="0" fontId="73" fillId="55" borderId="263" xfId="2447" applyFont="1" applyFill="1" applyBorder="1" applyAlignment="1" applyProtection="1">
      <alignment horizontal="center" vertical="center"/>
      <protection hidden="1"/>
    </xf>
    <xf numFmtId="0" fontId="81" fillId="62" borderId="263" xfId="2447" applyFont="1" applyFill="1" applyBorder="1" applyAlignment="1" applyProtection="1">
      <alignment horizontal="centerContinuous" vertical="top"/>
      <protection hidden="1"/>
    </xf>
    <xf numFmtId="0" fontId="81" fillId="62" borderId="179" xfId="2447" applyFont="1" applyFill="1" applyBorder="1" applyAlignment="1" applyProtection="1">
      <alignment horizontal="centerContinuous" vertical="top"/>
      <protection hidden="1"/>
    </xf>
    <xf numFmtId="0" fontId="0" fillId="55" borderId="263" xfId="0" applyFill="1" applyBorder="1"/>
    <xf numFmtId="0" fontId="73" fillId="28" borderId="176" xfId="2447" applyFont="1" applyFill="1" applyBorder="1" applyAlignment="1" applyProtection="1">
      <alignment horizontal="left" vertical="top" indent="1"/>
      <protection hidden="1"/>
    </xf>
    <xf numFmtId="0" fontId="73" fillId="28" borderId="176" xfId="2447" applyFont="1" applyFill="1" applyBorder="1" applyAlignment="1" applyProtection="1">
      <alignment horizontal="left" vertical="center" indent="1"/>
      <protection hidden="1"/>
    </xf>
    <xf numFmtId="0" fontId="75" fillId="28" borderId="176" xfId="2447" applyFont="1" applyFill="1" applyBorder="1" applyAlignment="1" applyProtection="1">
      <alignment vertical="center"/>
      <protection hidden="1"/>
    </xf>
    <xf numFmtId="41" fontId="73" fillId="0" borderId="176" xfId="0" applyNumberFormat="1" applyFont="1" applyFill="1" applyBorder="1" applyAlignment="1" applyProtection="1">
      <alignment horizontal="center"/>
    </xf>
    <xf numFmtId="0" fontId="73" fillId="0" borderId="176" xfId="0" applyFont="1" applyBorder="1" applyAlignment="1">
      <alignment horizontal="center"/>
    </xf>
    <xf numFmtId="41" fontId="73" fillId="0" borderId="196" xfId="0" applyNumberFormat="1" applyFont="1" applyFill="1" applyBorder="1" applyAlignment="1" applyProtection="1">
      <alignment horizontal="center"/>
    </xf>
    <xf numFmtId="0" fontId="77" fillId="0" borderId="105" xfId="0" applyFont="1" applyBorder="1" applyAlignment="1">
      <alignment horizontal="center"/>
    </xf>
    <xf numFmtId="0" fontId="4" fillId="0" borderId="193" xfId="0" applyFont="1" applyBorder="1" applyAlignment="1">
      <alignment horizontal="center"/>
    </xf>
    <xf numFmtId="0" fontId="0" fillId="0" borderId="194" xfId="0" applyBorder="1" applyAlignment="1">
      <alignment horizontal="center"/>
    </xf>
    <xf numFmtId="0" fontId="4" fillId="0" borderId="195" xfId="0" applyFont="1" applyBorder="1" applyAlignment="1">
      <alignment horizontal="center"/>
    </xf>
    <xf numFmtId="0" fontId="0" fillId="0" borderId="197" xfId="0" applyBorder="1" applyAlignment="1">
      <alignment horizontal="center"/>
    </xf>
    <xf numFmtId="0" fontId="75" fillId="0" borderId="104" xfId="0" applyFont="1" applyBorder="1" applyAlignment="1">
      <alignment horizontal="center"/>
    </xf>
    <xf numFmtId="0" fontId="77" fillId="0" borderId="172" xfId="0" applyFont="1" applyBorder="1" applyAlignment="1">
      <alignment horizontal="center"/>
    </xf>
    <xf numFmtId="0" fontId="77" fillId="0" borderId="266" xfId="0" applyFont="1" applyFill="1" applyBorder="1" applyAlignment="1">
      <alignment horizontal="left"/>
    </xf>
    <xf numFmtId="0" fontId="0" fillId="0" borderId="265" xfId="0" applyFill="1" applyBorder="1" applyAlignment="1">
      <alignment horizontal="center"/>
    </xf>
    <xf numFmtId="0" fontId="43" fillId="0" borderId="267" xfId="0" applyFont="1" applyFill="1" applyBorder="1" applyAlignment="1">
      <alignment horizontal="center"/>
    </xf>
    <xf numFmtId="0" fontId="74" fillId="0" borderId="17" xfId="0" applyFont="1" applyFill="1" applyBorder="1" applyAlignment="1" applyProtection="1"/>
    <xf numFmtId="0" fontId="83" fillId="0" borderId="10" xfId="0" applyFont="1" applyFill="1" applyBorder="1" applyAlignment="1" applyProtection="1">
      <alignment vertical="center"/>
    </xf>
    <xf numFmtId="0" fontId="83" fillId="0" borderId="46" xfId="0" applyFont="1" applyFill="1" applyBorder="1" applyAlignment="1" applyProtection="1">
      <alignment vertical="center"/>
    </xf>
    <xf numFmtId="0" fontId="83" fillId="0" borderId="25" xfId="0" applyFont="1" applyFill="1" applyBorder="1" applyAlignment="1" applyProtection="1">
      <alignment vertical="center"/>
    </xf>
    <xf numFmtId="0" fontId="73" fillId="0" borderId="37" xfId="0" applyFont="1" applyFill="1" applyBorder="1" applyProtection="1"/>
    <xf numFmtId="0" fontId="83" fillId="55" borderId="10" xfId="0" applyFont="1" applyFill="1" applyBorder="1" applyAlignment="1" applyProtection="1">
      <alignment horizontal="center" vertical="center"/>
    </xf>
    <xf numFmtId="0" fontId="88" fillId="57" borderId="176" xfId="2447" applyFont="1" applyFill="1" applyBorder="1" applyAlignment="1" applyProtection="1">
      <alignment horizontal="left" vertical="top" wrapText="1" indent="1"/>
    </xf>
    <xf numFmtId="0" fontId="88" fillId="55" borderId="263" xfId="2447" applyFont="1" applyFill="1" applyBorder="1" applyAlignment="1" applyProtection="1">
      <alignment vertical="top" wrapText="1"/>
    </xf>
    <xf numFmtId="0" fontId="72" fillId="0" borderId="0" xfId="0" applyNumberFormat="1" applyFont="1" applyFill="1" applyAlignment="1" applyProtection="1"/>
    <xf numFmtId="1" fontId="72" fillId="0" borderId="0" xfId="0" applyNumberFormat="1" applyFont="1" applyFill="1" applyAlignment="1"/>
    <xf numFmtId="0" fontId="74" fillId="0" borderId="0" xfId="0" applyNumberFormat="1" applyFont="1" applyFill="1" applyAlignment="1" applyProtection="1">
      <alignment horizontal="centerContinuous"/>
    </xf>
    <xf numFmtId="0" fontId="73" fillId="0" borderId="0" xfId="0" applyNumberFormat="1" applyFont="1" applyFill="1" applyAlignment="1" applyProtection="1"/>
    <xf numFmtId="41" fontId="75" fillId="0" borderId="0" xfId="0" applyNumberFormat="1" applyFont="1" applyFill="1" applyBorder="1" applyAlignment="1" applyProtection="1"/>
    <xf numFmtId="0" fontId="74" fillId="0" borderId="0" xfId="0" applyNumberFormat="1" applyFont="1" applyFill="1" applyAlignment="1" applyProtection="1">
      <alignment wrapText="1"/>
    </xf>
    <xf numFmtId="0" fontId="75" fillId="0" borderId="72" xfId="0" applyNumberFormat="1" applyFont="1" applyFill="1" applyBorder="1" applyAlignment="1" applyProtection="1">
      <alignment horizontal="center" wrapText="1"/>
    </xf>
    <xf numFmtId="0" fontId="75" fillId="0" borderId="0" xfId="0" applyNumberFormat="1" applyFont="1" applyFill="1" applyAlignment="1" applyProtection="1">
      <alignment horizontal="center" wrapText="1"/>
    </xf>
    <xf numFmtId="0" fontId="75" fillId="0" borderId="0" xfId="0" applyNumberFormat="1" applyFont="1" applyFill="1" applyBorder="1" applyAlignment="1" applyProtection="1">
      <alignment horizontal="center" wrapText="1"/>
    </xf>
    <xf numFmtId="0" fontId="87" fillId="0" borderId="0" xfId="0" applyNumberFormat="1" applyFont="1" applyFill="1" applyAlignment="1" applyProtection="1">
      <alignment horizontal="left"/>
    </xf>
    <xf numFmtId="0" fontId="87" fillId="0" borderId="0" xfId="0" applyNumberFormat="1" applyFont="1" applyFill="1" applyAlignment="1" applyProtection="1">
      <alignment wrapText="1"/>
    </xf>
    <xf numFmtId="0" fontId="87" fillId="0" borderId="0" xfId="0" applyNumberFormat="1" applyFont="1" applyFill="1" applyAlignment="1" applyProtection="1">
      <alignment horizontal="center" wrapText="1"/>
    </xf>
    <xf numFmtId="41" fontId="75" fillId="0" borderId="0" xfId="0" applyNumberFormat="1" applyFont="1" applyFill="1" applyAlignment="1" applyProtection="1">
      <alignment wrapText="1"/>
    </xf>
    <xf numFmtId="41" fontId="73" fillId="0" borderId="0" xfId="0" applyNumberFormat="1" applyFont="1" applyFill="1" applyAlignment="1" applyProtection="1">
      <alignment wrapText="1"/>
    </xf>
    <xf numFmtId="0" fontId="73" fillId="0" borderId="0" xfId="0" applyNumberFormat="1" applyFont="1" applyFill="1" applyAlignment="1" applyProtection="1">
      <alignment wrapText="1"/>
    </xf>
    <xf numFmtId="42" fontId="73" fillId="0" borderId="0" xfId="0" applyNumberFormat="1" applyFont="1" applyFill="1" applyAlignment="1" applyProtection="1">
      <alignment wrapText="1"/>
    </xf>
    <xf numFmtId="0" fontId="75" fillId="0" borderId="0" xfId="0" applyNumberFormat="1" applyFont="1" applyFill="1" applyAlignment="1" applyProtection="1">
      <alignment horizontal="left" wrapText="1"/>
    </xf>
    <xf numFmtId="0" fontId="87" fillId="0" borderId="0" xfId="0" applyNumberFormat="1" applyFont="1" applyFill="1" applyAlignment="1" applyProtection="1"/>
    <xf numFmtId="0" fontId="75" fillId="0" borderId="0" xfId="0" applyNumberFormat="1" applyFont="1" applyFill="1" applyAlignment="1" applyProtection="1">
      <alignment horizontal="left"/>
    </xf>
    <xf numFmtId="41" fontId="75" fillId="0" borderId="83" xfId="0" applyNumberFormat="1" applyFont="1" applyFill="1" applyBorder="1" applyAlignment="1" applyProtection="1"/>
    <xf numFmtId="0" fontId="75" fillId="0" borderId="0" xfId="0" applyNumberFormat="1" applyFont="1" applyFill="1" applyAlignment="1" applyProtection="1">
      <alignment wrapText="1"/>
    </xf>
    <xf numFmtId="41" fontId="91" fillId="0" borderId="0" xfId="0" applyNumberFormat="1" applyFont="1" applyFill="1" applyBorder="1" applyAlignment="1" applyProtection="1">
      <alignment wrapText="1"/>
    </xf>
    <xf numFmtId="0" fontId="75" fillId="0" borderId="0" xfId="0" applyNumberFormat="1" applyFont="1" applyFill="1" applyAlignment="1" applyProtection="1"/>
    <xf numFmtId="41" fontId="91" fillId="0" borderId="0" xfId="0" applyNumberFormat="1" applyFont="1" applyFill="1" applyAlignment="1" applyProtection="1">
      <alignment wrapText="1"/>
    </xf>
    <xf numFmtId="41" fontId="75" fillId="0" borderId="83" xfId="0" applyNumberFormat="1" applyFont="1" applyFill="1" applyBorder="1" applyAlignment="1" applyProtection="1">
      <alignment wrapText="1"/>
    </xf>
    <xf numFmtId="0" fontId="75" fillId="0" borderId="176" xfId="0" applyFont="1" applyBorder="1" applyAlignment="1">
      <alignment horizontal="center"/>
    </xf>
    <xf numFmtId="43" fontId="73" fillId="0" borderId="0" xfId="0" applyNumberFormat="1" applyFont="1" applyBorder="1" applyAlignment="1">
      <alignment horizontal="center"/>
    </xf>
    <xf numFmtId="43" fontId="73" fillId="0" borderId="198" xfId="0" applyNumberFormat="1" applyFont="1" applyBorder="1" applyAlignment="1">
      <alignment horizontal="center"/>
    </xf>
    <xf numFmtId="43" fontId="0" fillId="0" borderId="78" xfId="2446" applyFont="1" applyBorder="1"/>
    <xf numFmtId="43" fontId="73" fillId="0" borderId="78" xfId="0" applyNumberFormat="1" applyFont="1" applyBorder="1" applyAlignment="1">
      <alignment horizontal="center"/>
    </xf>
    <xf numFmtId="0" fontId="0" fillId="0" borderId="78" xfId="0" applyBorder="1"/>
    <xf numFmtId="0" fontId="75" fillId="56" borderId="176" xfId="0" applyFont="1" applyFill="1" applyBorder="1" applyAlignment="1">
      <alignment horizontal="center"/>
    </xf>
    <xf numFmtId="0" fontId="73" fillId="0" borderId="177" xfId="0" applyFont="1" applyBorder="1"/>
    <xf numFmtId="0" fontId="0" fillId="0" borderId="270" xfId="0" applyBorder="1"/>
    <xf numFmtId="0" fontId="73" fillId="0" borderId="59" xfId="0" applyFont="1" applyBorder="1"/>
    <xf numFmtId="0" fontId="103" fillId="0" borderId="59" xfId="0" applyFont="1" applyFill="1" applyBorder="1"/>
    <xf numFmtId="0" fontId="0" fillId="0" borderId="160" xfId="0" applyBorder="1"/>
    <xf numFmtId="0" fontId="73" fillId="0" borderId="263" xfId="0" applyFont="1" applyBorder="1"/>
    <xf numFmtId="0" fontId="103" fillId="0" borderId="263" xfId="0" applyFont="1" applyFill="1" applyBorder="1"/>
    <xf numFmtId="0" fontId="0" fillId="0" borderId="179" xfId="0" applyBorder="1"/>
    <xf numFmtId="0" fontId="103" fillId="0" borderId="77" xfId="0" applyFont="1" applyFill="1" applyBorder="1" applyAlignment="1">
      <alignment horizontal="center"/>
    </xf>
    <xf numFmtId="0" fontId="103" fillId="0" borderId="178" xfId="0" applyFont="1" applyFill="1" applyBorder="1"/>
    <xf numFmtId="0" fontId="75" fillId="55" borderId="49" xfId="0" applyFont="1" applyFill="1" applyBorder="1" applyAlignment="1" applyProtection="1">
      <alignment horizontal="centerContinuous" vertical="center" wrapText="1"/>
    </xf>
    <xf numFmtId="0" fontId="107" fillId="0" borderId="176" xfId="0" applyFont="1" applyBorder="1" applyAlignment="1">
      <alignment horizontal="center" vertical="center" wrapText="1"/>
    </xf>
    <xf numFmtId="0" fontId="73" fillId="97" borderId="272" xfId="0" applyFont="1" applyFill="1" applyBorder="1" applyAlignment="1" applyProtection="1">
      <alignment vertical="top"/>
    </xf>
    <xf numFmtId="41" fontId="73" fillId="29" borderId="230" xfId="1134" applyNumberFormat="1" applyFont="1" applyFill="1" applyBorder="1" applyAlignment="1" applyProtection="1">
      <alignment vertical="center" wrapText="1"/>
      <protection locked="0"/>
    </xf>
    <xf numFmtId="41" fontId="73" fillId="0" borderId="139" xfId="0" applyNumberFormat="1" applyFont="1" applyFill="1" applyBorder="1" applyAlignment="1" applyProtection="1">
      <alignment vertical="center" wrapText="1"/>
    </xf>
    <xf numFmtId="0" fontId="72" fillId="0" borderId="0" xfId="0" applyNumberFormat="1" applyFont="1" applyFill="1" applyAlignment="1" applyProtection="1">
      <alignment horizontal="left"/>
    </xf>
    <xf numFmtId="0" fontId="73" fillId="0" borderId="176" xfId="0" applyFont="1" applyFill="1" applyBorder="1" applyAlignment="1">
      <alignment horizontal="center"/>
    </xf>
    <xf numFmtId="0" fontId="75" fillId="56" borderId="264" xfId="0" applyFont="1" applyFill="1" applyBorder="1" applyAlignment="1">
      <alignment horizontal="center"/>
    </xf>
    <xf numFmtId="41" fontId="130" fillId="0" borderId="0" xfId="0" applyNumberFormat="1" applyFont="1" applyFill="1" applyAlignment="1" applyProtection="1">
      <alignment horizontal="center"/>
      <protection hidden="1"/>
    </xf>
    <xf numFmtId="0" fontId="103" fillId="54" borderId="104" xfId="0" applyFont="1" applyFill="1" applyBorder="1"/>
    <xf numFmtId="0" fontId="103" fillId="54" borderId="193" xfId="0" applyFont="1" applyFill="1" applyBorder="1"/>
    <xf numFmtId="0" fontId="103" fillId="54" borderId="195" xfId="0" applyFont="1" applyFill="1" applyBorder="1"/>
    <xf numFmtId="41" fontId="73" fillId="29" borderId="229" xfId="0" applyNumberFormat="1" applyFont="1" applyFill="1" applyBorder="1" applyAlignment="1" applyProtection="1">
      <alignment vertical="center" wrapText="1"/>
      <protection locked="0"/>
    </xf>
    <xf numFmtId="0" fontId="73" fillId="56" borderId="176" xfId="0" applyFont="1" applyFill="1" applyBorder="1"/>
    <xf numFmtId="0" fontId="79" fillId="0" borderId="0" xfId="2445" applyFill="1" applyAlignment="1" applyProtection="1"/>
    <xf numFmtId="0" fontId="79" fillId="0" borderId="0" xfId="2445" applyAlignment="1" applyProtection="1"/>
    <xf numFmtId="0" fontId="73" fillId="56" borderId="176" xfId="0" applyFont="1" applyFill="1" applyBorder="1" applyProtection="1">
      <protection locked="0"/>
    </xf>
    <xf numFmtId="41" fontId="73" fillId="55" borderId="289" xfId="1134" applyNumberFormat="1" applyFont="1" applyFill="1" applyBorder="1" applyAlignment="1" applyProtection="1">
      <alignment vertical="top"/>
    </xf>
    <xf numFmtId="0" fontId="0" fillId="0" borderId="174" xfId="0" applyBorder="1" applyAlignment="1">
      <alignment wrapText="1"/>
    </xf>
    <xf numFmtId="41" fontId="73" fillId="0" borderId="301" xfId="0" applyNumberFormat="1" applyFont="1" applyFill="1" applyBorder="1" applyAlignment="1" applyProtection="1">
      <alignment vertical="center" wrapText="1"/>
    </xf>
    <xf numFmtId="41" fontId="75" fillId="0" borderId="300" xfId="1134" applyNumberFormat="1" applyFont="1" applyFill="1" applyBorder="1" applyAlignment="1" applyProtection="1">
      <alignment vertical="top"/>
    </xf>
    <xf numFmtId="41" fontId="73" fillId="0" borderId="141" xfId="1134" applyNumberFormat="1" applyFont="1" applyFill="1" applyBorder="1" applyAlignment="1" applyProtection="1">
      <alignment vertical="top"/>
    </xf>
    <xf numFmtId="41" fontId="75" fillId="55" borderId="299" xfId="1134" applyNumberFormat="1" applyFont="1" applyFill="1" applyBorder="1" applyAlignment="1" applyProtection="1">
      <alignment vertical="top"/>
    </xf>
    <xf numFmtId="41" fontId="73" fillId="55" borderId="141" xfId="1134" applyNumberFormat="1" applyFont="1" applyFill="1" applyBorder="1" applyAlignment="1" applyProtection="1">
      <alignment vertical="top"/>
    </xf>
    <xf numFmtId="41" fontId="73" fillId="55" borderId="299" xfId="1134" applyNumberFormat="1" applyFont="1" applyFill="1" applyBorder="1" applyAlignment="1" applyProtection="1">
      <alignment vertical="top"/>
    </xf>
    <xf numFmtId="0" fontId="0" fillId="0" borderId="12" xfId="0" applyBorder="1" applyAlignment="1">
      <alignment wrapText="1"/>
    </xf>
    <xf numFmtId="41" fontId="73" fillId="0" borderId="11" xfId="1134" applyNumberFormat="1" applyFont="1" applyFill="1" applyBorder="1" applyAlignment="1" applyProtection="1">
      <alignment vertical="top"/>
    </xf>
    <xf numFmtId="3" fontId="75" fillId="0" borderId="47" xfId="0" applyNumberFormat="1" applyFont="1" applyFill="1" applyBorder="1" applyAlignment="1" applyProtection="1">
      <alignment horizontal="center" wrapText="1"/>
      <protection locked="0"/>
    </xf>
    <xf numFmtId="41" fontId="75" fillId="0" borderId="298" xfId="1134" applyNumberFormat="1" applyFont="1" applyFill="1" applyBorder="1" applyAlignment="1" applyProtection="1">
      <alignment vertical="top"/>
    </xf>
    <xf numFmtId="41" fontId="75" fillId="55" borderId="297" xfId="1134" applyNumberFormat="1" applyFont="1" applyFill="1" applyBorder="1" applyAlignment="1" applyProtection="1">
      <alignment vertical="top"/>
    </xf>
    <xf numFmtId="41" fontId="73" fillId="55" borderId="297" xfId="1134" applyNumberFormat="1" applyFont="1" applyFill="1" applyBorder="1" applyAlignment="1" applyProtection="1">
      <alignment vertical="top"/>
    </xf>
    <xf numFmtId="0" fontId="0" fillId="0" borderId="47" xfId="0" applyBorder="1"/>
    <xf numFmtId="0" fontId="0" fillId="0" borderId="10" xfId="0" applyBorder="1"/>
    <xf numFmtId="0" fontId="75" fillId="0" borderId="10" xfId="1134" applyFont="1" applyFill="1" applyBorder="1" applyAlignment="1" applyProtection="1">
      <alignment vertical="top"/>
    </xf>
    <xf numFmtId="0" fontId="75" fillId="0" borderId="37" xfId="1134" applyFont="1" applyFill="1" applyBorder="1" applyAlignment="1" applyProtection="1">
      <alignment vertical="top"/>
    </xf>
    <xf numFmtId="3" fontId="75" fillId="0" borderId="85" xfId="0" applyNumberFormat="1" applyFont="1" applyFill="1" applyBorder="1" applyAlignment="1" applyProtection="1">
      <alignment horizontal="center" wrapText="1"/>
      <protection locked="0"/>
    </xf>
    <xf numFmtId="0" fontId="73" fillId="0" borderId="296" xfId="0" applyFont="1" applyFill="1" applyBorder="1" applyProtection="1"/>
    <xf numFmtId="0" fontId="73" fillId="0" borderId="77" xfId="0" applyFont="1" applyFill="1" applyBorder="1" applyAlignment="1" applyProtection="1">
      <alignment horizontal="left" indent="1"/>
    </xf>
    <xf numFmtId="0" fontId="73" fillId="54" borderId="176" xfId="0" applyFont="1" applyFill="1" applyBorder="1" applyAlignment="1" applyProtection="1">
      <alignment horizontal="left" indent="1"/>
      <protection locked="0"/>
    </xf>
    <xf numFmtId="0" fontId="73" fillId="0" borderId="296" xfId="0" applyFont="1" applyFill="1" applyBorder="1" applyAlignment="1" applyProtection="1">
      <alignment horizontal="left" indent="1"/>
    </xf>
    <xf numFmtId="0" fontId="73" fillId="0" borderId="176" xfId="0" applyFont="1" applyFill="1" applyBorder="1" applyAlignment="1" applyProtection="1">
      <protection hidden="1"/>
    </xf>
    <xf numFmtId="0" fontId="73" fillId="54" borderId="176" xfId="1134" applyFont="1" applyFill="1" applyBorder="1" applyAlignment="1" applyProtection="1">
      <alignment horizontal="left" indent="1"/>
      <protection locked="0"/>
    </xf>
    <xf numFmtId="0" fontId="73" fillId="0" borderId="176" xfId="0" applyFont="1" applyFill="1" applyBorder="1" applyAlignment="1" applyProtection="1">
      <alignment wrapText="1"/>
      <protection hidden="1"/>
    </xf>
    <xf numFmtId="0" fontId="75" fillId="0" borderId="176" xfId="0" applyFont="1" applyFill="1" applyBorder="1" applyProtection="1"/>
    <xf numFmtId="0" fontId="73" fillId="0" borderId="276" xfId="0" applyFont="1" applyFill="1" applyBorder="1" applyProtection="1"/>
    <xf numFmtId="0" fontId="102" fillId="0" borderId="263" xfId="0" applyFont="1" applyFill="1" applyBorder="1" applyAlignment="1" applyProtection="1">
      <alignment horizontal="centerContinuous"/>
    </xf>
    <xf numFmtId="0" fontId="102" fillId="0" borderId="176" xfId="0" applyFont="1" applyFill="1" applyBorder="1" applyAlignment="1" applyProtection="1">
      <alignment horizontal="centerContinuous"/>
    </xf>
    <xf numFmtId="0" fontId="102" fillId="0" borderId="178" xfId="0" applyFont="1" applyFill="1" applyBorder="1" applyAlignment="1" applyProtection="1">
      <alignment horizontal="centerContinuous" wrapText="1"/>
    </xf>
    <xf numFmtId="0" fontId="73" fillId="0" borderId="270" xfId="0" applyFont="1" applyFill="1" applyBorder="1" applyProtection="1"/>
    <xf numFmtId="0" fontId="73" fillId="0" borderId="275" xfId="0" applyFont="1" applyFill="1" applyBorder="1" applyProtection="1"/>
    <xf numFmtId="0" fontId="73" fillId="0" borderId="179" xfId="0" applyFont="1" applyFill="1" applyBorder="1" applyAlignment="1" applyProtection="1">
      <alignment horizontal="center" vertical="center"/>
    </xf>
    <xf numFmtId="0" fontId="73" fillId="0" borderId="263" xfId="0" applyFont="1" applyFill="1" applyBorder="1" applyAlignment="1" applyProtection="1">
      <alignment horizontal="center" vertical="center"/>
    </xf>
    <xf numFmtId="0" fontId="75" fillId="0" borderId="52" xfId="0" applyFont="1" applyFill="1" applyBorder="1" applyProtection="1">
      <protection hidden="1"/>
    </xf>
    <xf numFmtId="0" fontId="73" fillId="0" borderId="176" xfId="0" applyFont="1" applyFill="1" applyBorder="1" applyAlignment="1" applyProtection="1">
      <alignment horizontal="center" vertical="center"/>
    </xf>
    <xf numFmtId="0" fontId="80" fillId="0" borderId="176" xfId="0" applyFont="1" applyFill="1" applyBorder="1" applyAlignment="1" applyProtection="1">
      <alignment horizontal="center" wrapText="1"/>
    </xf>
    <xf numFmtId="0" fontId="73" fillId="0" borderId="176" xfId="0" applyFont="1" applyFill="1" applyBorder="1" applyAlignment="1" applyProtection="1">
      <alignment horizontal="center" wrapText="1"/>
    </xf>
    <xf numFmtId="0" fontId="102" fillId="0" borderId="276" xfId="0" applyFont="1" applyFill="1" applyBorder="1" applyAlignment="1" applyProtection="1">
      <alignment horizontal="left"/>
      <protection hidden="1"/>
    </xf>
    <xf numFmtId="0" fontId="75" fillId="0" borderId="176" xfId="0" applyFont="1" applyFill="1" applyBorder="1" applyAlignment="1" applyProtection="1">
      <alignment horizontal="centerContinuous" vertical="center"/>
    </xf>
    <xf numFmtId="0" fontId="75" fillId="0" borderId="176" xfId="0" applyFont="1" applyFill="1" applyBorder="1" applyAlignment="1" applyProtection="1">
      <alignment horizontal="centerContinuous"/>
    </xf>
    <xf numFmtId="0" fontId="102" fillId="0" borderId="52" xfId="0" applyFont="1" applyFill="1" applyBorder="1" applyAlignment="1" applyProtection="1">
      <alignment horizontal="left"/>
      <protection hidden="1"/>
    </xf>
    <xf numFmtId="41" fontId="89" fillId="0" borderId="179" xfId="95" applyNumberFormat="1" applyFont="1" applyFill="1" applyBorder="1" applyAlignment="1" applyProtection="1">
      <alignment horizontal="centerContinuous" vertical="center"/>
    </xf>
    <xf numFmtId="41" fontId="89" fillId="0" borderId="263" xfId="95" applyNumberFormat="1" applyFont="1" applyFill="1" applyBorder="1" applyAlignment="1" applyProtection="1">
      <alignment horizontal="centerContinuous" vertical="center"/>
    </xf>
    <xf numFmtId="41" fontId="75" fillId="0" borderId="179" xfId="95" applyNumberFormat="1" applyFont="1" applyFill="1" applyBorder="1" applyAlignment="1" applyProtection="1">
      <alignment horizontal="centerContinuous" vertical="center"/>
    </xf>
    <xf numFmtId="41" fontId="75" fillId="0" borderId="263" xfId="95" applyNumberFormat="1" applyFont="1" applyFill="1" applyBorder="1" applyAlignment="1" applyProtection="1">
      <alignment horizontal="centerContinuous" vertical="center"/>
    </xf>
    <xf numFmtId="41" fontId="102" fillId="0" borderId="178" xfId="95" applyNumberFormat="1" applyFont="1" applyFill="1" applyBorder="1" applyAlignment="1" applyProtection="1">
      <alignment horizontal="centerContinuous" vertical="center" wrapText="1"/>
    </xf>
    <xf numFmtId="0" fontId="102" fillId="0" borderId="176" xfId="0" applyFont="1" applyFill="1" applyBorder="1" applyAlignment="1" applyProtection="1">
      <alignment horizontal="center"/>
    </xf>
    <xf numFmtId="0" fontId="75" fillId="0" borderId="270" xfId="0" applyFont="1" applyFill="1" applyBorder="1" applyAlignment="1" applyProtection="1">
      <alignment horizontal="left"/>
      <protection hidden="1"/>
    </xf>
    <xf numFmtId="0" fontId="102" fillId="0" borderId="275" xfId="0" applyFont="1" applyFill="1" applyBorder="1" applyAlignment="1" applyProtection="1">
      <alignment horizontal="left"/>
      <protection hidden="1"/>
    </xf>
    <xf numFmtId="0" fontId="81" fillId="55" borderId="295" xfId="0" applyFont="1" applyFill="1" applyBorder="1" applyAlignment="1" applyProtection="1">
      <alignment horizontal="centerContinuous"/>
    </xf>
    <xf numFmtId="0" fontId="82" fillId="55" borderId="52" xfId="0" applyFont="1" applyFill="1" applyBorder="1" applyAlignment="1" applyProtection="1">
      <alignment horizontal="centerContinuous" vertical="top"/>
      <protection hidden="1"/>
    </xf>
    <xf numFmtId="0" fontId="81" fillId="62" borderId="294" xfId="0" applyFont="1" applyFill="1" applyBorder="1" applyAlignment="1" applyProtection="1">
      <alignment horizontal="centerContinuous"/>
    </xf>
    <xf numFmtId="43" fontId="81" fillId="62" borderId="280" xfId="2446" applyFont="1" applyFill="1" applyBorder="1" applyAlignment="1" applyProtection="1">
      <alignment horizontal="centerContinuous"/>
    </xf>
    <xf numFmtId="0" fontId="81" fillId="62" borderId="280" xfId="0" applyFont="1" applyFill="1" applyBorder="1" applyAlignment="1" applyProtection="1">
      <alignment horizontal="centerContinuous"/>
    </xf>
    <xf numFmtId="0" fontId="104" fillId="62" borderId="280" xfId="0" applyFont="1" applyFill="1" applyBorder="1" applyAlignment="1" applyProtection="1">
      <alignment horizontal="centerContinuous" vertical="top"/>
      <protection hidden="1"/>
    </xf>
    <xf numFmtId="0" fontId="82" fillId="62" borderId="280" xfId="0" applyFont="1" applyFill="1" applyBorder="1" applyAlignment="1" applyProtection="1">
      <alignment horizontal="centerContinuous" vertical="top"/>
      <protection hidden="1"/>
    </xf>
    <xf numFmtId="0" fontId="82" fillId="62" borderId="279" xfId="0" applyFont="1" applyFill="1" applyBorder="1" applyAlignment="1" applyProtection="1">
      <alignment horizontal="centerContinuous" vertical="top"/>
      <protection hidden="1"/>
    </xf>
    <xf numFmtId="0" fontId="73" fillId="0" borderId="179" xfId="0" applyFont="1" applyFill="1" applyBorder="1" applyProtection="1"/>
    <xf numFmtId="0" fontId="75" fillId="0" borderId="178" xfId="0" applyFont="1" applyFill="1" applyBorder="1" applyProtection="1"/>
    <xf numFmtId="0" fontId="75" fillId="0" borderId="178" xfId="0" applyFont="1" applyFill="1" applyBorder="1" applyAlignment="1" applyProtection="1">
      <alignment horizontal="left"/>
      <protection hidden="1"/>
    </xf>
    <xf numFmtId="0" fontId="73" fillId="54" borderId="176" xfId="1134" applyFont="1" applyFill="1" applyBorder="1" applyAlignment="1" applyProtection="1">
      <alignment horizontal="center"/>
      <protection locked="0"/>
    </xf>
    <xf numFmtId="0" fontId="75" fillId="0" borderId="179" xfId="0" applyFont="1" applyFill="1" applyBorder="1" applyAlignment="1" applyProtection="1">
      <alignment horizontal="left"/>
      <protection hidden="1"/>
    </xf>
    <xf numFmtId="0" fontId="75" fillId="0" borderId="176" xfId="0" applyFont="1" applyFill="1" applyBorder="1" applyAlignment="1" applyProtection="1">
      <alignment horizontal="center" vertical="center"/>
    </xf>
    <xf numFmtId="0" fontId="74" fillId="0" borderId="179" xfId="0" applyFont="1" applyFill="1" applyBorder="1" applyAlignment="1" applyProtection="1">
      <alignment horizontal="left" wrapText="1"/>
      <protection hidden="1"/>
    </xf>
    <xf numFmtId="0" fontId="73" fillId="0" borderId="57" xfId="0" applyFont="1" applyFill="1" applyBorder="1" applyAlignment="1" applyProtection="1">
      <alignment vertical="center"/>
    </xf>
    <xf numFmtId="43" fontId="81" fillId="62" borderId="198" xfId="2446" applyFont="1" applyFill="1" applyBorder="1" applyAlignment="1" applyProtection="1">
      <alignment horizontal="centerContinuous"/>
    </xf>
    <xf numFmtId="0" fontId="81" fillId="62" borderId="198" xfId="0" applyFont="1" applyFill="1" applyBorder="1" applyAlignment="1" applyProtection="1">
      <alignment horizontal="centerContinuous"/>
    </xf>
    <xf numFmtId="0" fontId="104" fillId="62" borderId="198" xfId="0" applyFont="1" applyFill="1" applyBorder="1" applyAlignment="1" applyProtection="1">
      <alignment horizontal="centerContinuous" vertical="top"/>
      <protection hidden="1"/>
    </xf>
    <xf numFmtId="0" fontId="82" fillId="62" borderId="198" xfId="0" applyFont="1" applyFill="1" applyBorder="1" applyAlignment="1" applyProtection="1">
      <alignment horizontal="centerContinuous" vertical="top"/>
      <protection hidden="1"/>
    </xf>
    <xf numFmtId="41" fontId="0" fillId="0" borderId="0" xfId="0" applyNumberFormat="1"/>
    <xf numFmtId="41" fontId="75" fillId="0" borderId="293" xfId="1134" applyNumberFormat="1" applyFont="1" applyFill="1" applyBorder="1" applyAlignment="1" applyProtection="1">
      <alignment vertical="top"/>
    </xf>
    <xf numFmtId="41" fontId="75" fillId="0" borderId="292" xfId="1134" applyNumberFormat="1" applyFont="1" applyFill="1" applyBorder="1" applyAlignment="1" applyProtection="1">
      <alignment vertical="top"/>
    </xf>
    <xf numFmtId="41" fontId="75" fillId="0" borderId="244" xfId="1134" applyNumberFormat="1" applyFont="1" applyFill="1" applyBorder="1" applyAlignment="1" applyProtection="1">
      <alignment vertical="top"/>
    </xf>
    <xf numFmtId="41" fontId="75" fillId="55" borderId="291" xfId="1134" applyNumberFormat="1" applyFont="1" applyFill="1" applyBorder="1" applyAlignment="1" applyProtection="1">
      <alignment vertical="top"/>
    </xf>
    <xf numFmtId="41" fontId="75" fillId="55" borderId="290" xfId="1134" applyNumberFormat="1" applyFont="1" applyFill="1" applyBorder="1" applyAlignment="1" applyProtection="1">
      <alignment vertical="top"/>
    </xf>
    <xf numFmtId="41" fontId="75" fillId="55" borderId="289" xfId="1134" applyNumberFormat="1" applyFont="1" applyFill="1" applyBorder="1" applyAlignment="1" applyProtection="1">
      <alignment vertical="top"/>
    </xf>
    <xf numFmtId="41" fontId="73" fillId="55" borderId="291" xfId="1134" applyNumberFormat="1" applyFont="1" applyFill="1" applyBorder="1" applyAlignment="1" applyProtection="1">
      <alignment vertical="top"/>
    </xf>
    <xf numFmtId="41" fontId="73" fillId="55" borderId="290" xfId="1134" applyNumberFormat="1" applyFont="1" applyFill="1" applyBorder="1" applyAlignment="1" applyProtection="1">
      <alignment vertical="top"/>
    </xf>
    <xf numFmtId="41" fontId="73" fillId="55" borderId="288" xfId="1134" applyNumberFormat="1" applyFont="1" applyFill="1" applyBorder="1" applyAlignment="1" applyProtection="1">
      <alignment vertical="top"/>
    </xf>
    <xf numFmtId="41" fontId="75" fillId="0" borderId="287" xfId="1134" applyNumberFormat="1" applyFont="1" applyFill="1" applyBorder="1" applyAlignment="1" applyProtection="1">
      <alignment vertical="top"/>
    </xf>
    <xf numFmtId="41" fontId="75" fillId="0" borderId="286" xfId="1134" applyNumberFormat="1" applyFont="1" applyFill="1" applyBorder="1" applyAlignment="1" applyProtection="1">
      <alignment vertical="top"/>
    </xf>
    <xf numFmtId="41" fontId="75" fillId="55" borderId="284" xfId="1134" applyNumberFormat="1" applyFont="1" applyFill="1" applyBorder="1" applyAlignment="1" applyProtection="1">
      <alignment vertical="top"/>
    </xf>
    <xf numFmtId="41" fontId="75" fillId="55" borderId="283" xfId="1134" applyNumberFormat="1" applyFont="1" applyFill="1" applyBorder="1" applyAlignment="1" applyProtection="1">
      <alignment vertical="top"/>
    </xf>
    <xf numFmtId="41" fontId="73" fillId="29" borderId="126" xfId="1134" applyNumberFormat="1" applyFont="1" applyFill="1" applyBorder="1" applyAlignment="1" applyProtection="1">
      <alignment vertical="top" wrapText="1"/>
      <protection locked="0"/>
    </xf>
    <xf numFmtId="41" fontId="73" fillId="29" borderId="285" xfId="1134" applyNumberFormat="1" applyFont="1" applyFill="1" applyBorder="1" applyAlignment="1" applyProtection="1">
      <alignment vertical="top" wrapText="1"/>
      <protection locked="0"/>
    </xf>
    <xf numFmtId="41" fontId="73" fillId="55" borderId="284" xfId="1134" applyNumberFormat="1" applyFont="1" applyFill="1" applyBorder="1" applyAlignment="1" applyProtection="1">
      <alignment vertical="top"/>
    </xf>
    <xf numFmtId="41" fontId="73" fillId="29" borderId="130" xfId="1134" applyNumberFormat="1" applyFont="1" applyFill="1" applyBorder="1" applyAlignment="1" applyProtection="1">
      <alignment vertical="top"/>
      <protection locked="0"/>
    </xf>
    <xf numFmtId="41" fontId="73" fillId="29" borderId="123" xfId="1134" applyNumberFormat="1" applyFont="1" applyFill="1" applyBorder="1" applyAlignment="1" applyProtection="1">
      <alignment vertical="top"/>
      <protection locked="0"/>
    </xf>
    <xf numFmtId="41" fontId="73" fillId="55" borderId="283" xfId="1134" applyNumberFormat="1" applyFont="1" applyFill="1" applyBorder="1" applyAlignment="1" applyProtection="1">
      <alignment vertical="top"/>
    </xf>
    <xf numFmtId="41" fontId="73" fillId="29" borderId="282" xfId="1134" applyNumberFormat="1" applyFont="1" applyFill="1" applyBorder="1" applyAlignment="1" applyProtection="1">
      <alignment vertical="top"/>
      <protection locked="0"/>
    </xf>
    <xf numFmtId="41" fontId="73" fillId="29" borderId="281" xfId="1134" applyNumberFormat="1" applyFont="1" applyFill="1" applyBorder="1" applyAlignment="1" applyProtection="1">
      <alignment vertical="top"/>
      <protection locked="0"/>
    </xf>
    <xf numFmtId="0" fontId="98" fillId="0" borderId="0" xfId="0" applyFont="1" applyFill="1" applyBorder="1" applyAlignment="1" applyProtection="1">
      <alignment horizontal="center" vertical="center"/>
    </xf>
    <xf numFmtId="0" fontId="75" fillId="59" borderId="278" xfId="0" applyFont="1" applyFill="1" applyBorder="1" applyAlignment="1">
      <alignment horizontal="left" indent="1"/>
    </xf>
    <xf numFmtId="0" fontId="73" fillId="54" borderId="176" xfId="0" applyFont="1" applyFill="1" applyBorder="1" applyAlignment="1" applyProtection="1">
      <alignment horizontal="center"/>
      <protection locked="0"/>
    </xf>
    <xf numFmtId="0" fontId="75" fillId="0" borderId="176" xfId="0" applyFont="1" applyFill="1" applyBorder="1" applyAlignment="1" applyProtection="1">
      <alignment horizontal="center"/>
    </xf>
    <xf numFmtId="0" fontId="75" fillId="0" borderId="11" xfId="1134" applyFont="1" applyFill="1" applyBorder="1" applyAlignment="1" applyProtection="1">
      <alignment vertical="top"/>
    </xf>
    <xf numFmtId="0" fontId="75" fillId="0" borderId="0" xfId="1134" applyFont="1" applyFill="1" applyBorder="1" applyAlignment="1" applyProtection="1">
      <alignment vertical="top"/>
    </xf>
    <xf numFmtId="0" fontId="73" fillId="0" borderId="0" xfId="1134" applyFont="1" applyFill="1" applyBorder="1" applyAlignment="1" applyProtection="1">
      <alignment vertical="top"/>
    </xf>
    <xf numFmtId="41" fontId="73" fillId="0" borderId="0" xfId="1134" applyNumberFormat="1" applyFont="1" applyFill="1" applyBorder="1" applyAlignment="1" applyProtection="1">
      <alignment horizontal="right" vertical="top"/>
    </xf>
    <xf numFmtId="41" fontId="73" fillId="0" borderId="0" xfId="1134" applyNumberFormat="1" applyFont="1" applyFill="1" applyBorder="1" applyAlignment="1" applyProtection="1">
      <alignment vertical="top"/>
    </xf>
    <xf numFmtId="41" fontId="73" fillId="0" borderId="0" xfId="1134" applyNumberFormat="1" applyFont="1" applyFill="1" applyBorder="1" applyAlignment="1" applyProtection="1">
      <alignment horizontal="right" vertical="top" wrapText="1"/>
    </xf>
    <xf numFmtId="3" fontId="73" fillId="0" borderId="11" xfId="1134" applyNumberFormat="1" applyFont="1" applyFill="1" applyBorder="1" applyAlignment="1" applyProtection="1">
      <alignment vertical="top"/>
    </xf>
    <xf numFmtId="3" fontId="73" fillId="0" borderId="0" xfId="1134" applyNumberFormat="1" applyFont="1" applyFill="1" applyBorder="1" applyAlignment="1" applyProtection="1">
      <alignment vertical="top"/>
    </xf>
    <xf numFmtId="41" fontId="73" fillId="29" borderId="273" xfId="1134" applyNumberFormat="1" applyFont="1" applyFill="1" applyBorder="1" applyAlignment="1" applyProtection="1">
      <alignment vertical="top" wrapText="1"/>
      <protection locked="0"/>
    </xf>
    <xf numFmtId="0" fontId="93" fillId="0" borderId="0" xfId="1134" applyFont="1" applyBorder="1" applyAlignment="1" applyProtection="1">
      <alignment horizontal="left" vertical="top"/>
    </xf>
    <xf numFmtId="0" fontId="75" fillId="0" borderId="46" xfId="1134" applyFont="1" applyFill="1" applyBorder="1" applyAlignment="1" applyProtection="1">
      <alignment vertical="top"/>
    </xf>
    <xf numFmtId="0" fontId="75" fillId="0" borderId="25" xfId="1134" applyFont="1" applyFill="1" applyBorder="1" applyAlignment="1" applyProtection="1">
      <alignment vertical="top"/>
    </xf>
    <xf numFmtId="0" fontId="73" fillId="0" borderId="10" xfId="1134" applyFont="1" applyFill="1" applyBorder="1" applyAlignment="1" applyProtection="1">
      <alignment vertical="top"/>
    </xf>
    <xf numFmtId="41" fontId="73" fillId="0" borderId="20" xfId="1134" applyNumberFormat="1" applyFont="1" applyFill="1" applyBorder="1" applyAlignment="1" applyProtection="1">
      <alignment vertical="top"/>
    </xf>
    <xf numFmtId="41" fontId="73" fillId="0" borderId="25" xfId="1134" applyNumberFormat="1" applyFont="1" applyFill="1" applyBorder="1" applyAlignment="1" applyProtection="1">
      <alignment horizontal="right" vertical="top"/>
    </xf>
    <xf numFmtId="41" fontId="73" fillId="0" borderId="10" xfId="1134" applyNumberFormat="1" applyFont="1" applyFill="1" applyBorder="1" applyAlignment="1" applyProtection="1">
      <alignment horizontal="right" vertical="top"/>
    </xf>
    <xf numFmtId="41" fontId="73" fillId="0" borderId="10" xfId="1134" applyNumberFormat="1" applyFont="1" applyFill="1" applyBorder="1" applyAlignment="1" applyProtection="1">
      <alignment vertical="top"/>
    </xf>
    <xf numFmtId="3" fontId="73" fillId="55" borderId="0" xfId="1134" applyNumberFormat="1" applyFont="1" applyFill="1" applyBorder="1" applyAlignment="1" applyProtection="1">
      <alignment vertical="top"/>
    </xf>
    <xf numFmtId="0" fontId="73" fillId="55" borderId="0" xfId="1134" applyFont="1" applyFill="1" applyBorder="1" applyAlignment="1" applyProtection="1">
      <alignment vertical="top"/>
    </xf>
    <xf numFmtId="41" fontId="73" fillId="55" borderId="274" xfId="1134" applyNumberFormat="1" applyFont="1" applyFill="1" applyBorder="1" applyAlignment="1" applyProtection="1">
      <alignment vertical="top"/>
    </xf>
    <xf numFmtId="41" fontId="73" fillId="55" borderId="20" xfId="1134" applyNumberFormat="1" applyFont="1" applyFill="1" applyBorder="1" applyAlignment="1" applyProtection="1">
      <alignment vertical="top"/>
    </xf>
    <xf numFmtId="3" fontId="75" fillId="0" borderId="0" xfId="1134" applyNumberFormat="1" applyFont="1" applyFill="1" applyBorder="1" applyAlignment="1" applyProtection="1">
      <alignment vertical="top"/>
    </xf>
    <xf numFmtId="41" fontId="75" fillId="0" borderId="0" xfId="1134" applyNumberFormat="1" applyFont="1" applyFill="1" applyBorder="1" applyAlignment="1" applyProtection="1">
      <alignment horizontal="right" vertical="top"/>
    </xf>
    <xf numFmtId="41" fontId="75" fillId="55" borderId="274" xfId="1134" applyNumberFormat="1" applyFont="1" applyFill="1" applyBorder="1" applyAlignment="1" applyProtection="1">
      <alignment vertical="top"/>
    </xf>
    <xf numFmtId="41" fontId="75" fillId="0" borderId="25" xfId="1134" applyNumberFormat="1" applyFont="1" applyFill="1" applyBorder="1" applyAlignment="1" applyProtection="1">
      <alignment horizontal="right" vertical="top"/>
    </xf>
    <xf numFmtId="41" fontId="73" fillId="0" borderId="25" xfId="1134" applyNumberFormat="1" applyFont="1" applyFill="1" applyBorder="1" applyAlignment="1" applyProtection="1">
      <alignment vertical="top"/>
    </xf>
    <xf numFmtId="41" fontId="75" fillId="0" borderId="242" xfId="1134" applyNumberFormat="1" applyFont="1" applyFill="1" applyBorder="1" applyAlignment="1" applyProtection="1">
      <alignment vertical="top"/>
    </xf>
    <xf numFmtId="41" fontId="73" fillId="29" borderId="277" xfId="1134" applyNumberFormat="1" applyFont="1" applyFill="1" applyBorder="1" applyAlignment="1" applyProtection="1">
      <alignment vertical="top"/>
      <protection locked="0"/>
    </xf>
    <xf numFmtId="41" fontId="73" fillId="29" borderId="81" xfId="1134" applyNumberFormat="1" applyFont="1" applyFill="1" applyBorder="1" applyAlignment="1" applyProtection="1">
      <alignment vertical="top"/>
      <protection locked="0"/>
    </xf>
    <xf numFmtId="0" fontId="126" fillId="94" borderId="262" xfId="0" applyFont="1" applyFill="1" applyBorder="1" applyAlignment="1">
      <alignment horizontal="center" vertical="top" wrapText="1"/>
    </xf>
    <xf numFmtId="0" fontId="127" fillId="94" borderId="262" xfId="0" applyFont="1" applyFill="1" applyBorder="1" applyAlignment="1">
      <alignment horizontal="center" vertical="top" wrapText="1"/>
    </xf>
    <xf numFmtId="0" fontId="0" fillId="0" borderId="0" xfId="0" applyAlignment="1">
      <alignment vertical="center" wrapText="1"/>
    </xf>
    <xf numFmtId="3" fontId="0" fillId="0" borderId="0" xfId="0" applyNumberFormat="1" applyAlignment="1">
      <alignment horizontal="center" vertical="center" wrapText="1"/>
    </xf>
    <xf numFmtId="3" fontId="0" fillId="0" borderId="302" xfId="0" applyNumberFormat="1" applyBorder="1" applyAlignment="1">
      <alignment horizontal="center" vertical="center" wrapText="1"/>
    </xf>
    <xf numFmtId="174" fontId="73" fillId="97" borderId="303" xfId="2502" applyNumberFormat="1" applyFont="1" applyFill="1" applyBorder="1" applyAlignment="1" applyProtection="1">
      <alignment vertical="top" wrapText="1"/>
      <protection locked="0"/>
    </xf>
    <xf numFmtId="174" fontId="73" fillId="97" borderId="215" xfId="2502" applyNumberFormat="1" applyFont="1" applyFill="1" applyBorder="1" applyAlignment="1" applyProtection="1">
      <alignment vertical="top" wrapText="1"/>
      <protection locked="0"/>
    </xf>
    <xf numFmtId="0" fontId="73" fillId="97" borderId="123" xfId="0" applyFont="1" applyFill="1" applyBorder="1" applyAlignment="1" applyProtection="1">
      <alignment vertical="top" wrapText="1"/>
    </xf>
    <xf numFmtId="41" fontId="73" fillId="97" borderId="130" xfId="0" applyNumberFormat="1" applyFont="1" applyFill="1" applyBorder="1" applyAlignment="1" applyProtection="1">
      <alignment vertical="center" wrapText="1"/>
    </xf>
    <xf numFmtId="174" fontId="73" fillId="97" borderId="304" xfId="2502" applyNumberFormat="1" applyFont="1" applyFill="1" applyBorder="1" applyAlignment="1" applyProtection="1">
      <alignment vertical="center" wrapText="1"/>
    </xf>
    <xf numFmtId="174" fontId="73" fillId="97" borderId="80" xfId="2502" applyNumberFormat="1" applyFont="1" applyFill="1" applyBorder="1" applyAlignment="1" applyProtection="1">
      <alignment vertical="center" wrapText="1"/>
    </xf>
    <xf numFmtId="41" fontId="73" fillId="97" borderId="305" xfId="0" applyNumberFormat="1" applyFont="1" applyFill="1" applyBorder="1" applyAlignment="1" applyProtection="1">
      <alignment vertical="center" wrapText="1"/>
    </xf>
    <xf numFmtId="41" fontId="75" fillId="0" borderId="302" xfId="0" applyNumberFormat="1" applyFont="1" applyFill="1" applyBorder="1" applyAlignment="1" applyProtection="1">
      <alignment horizontal="center"/>
    </xf>
    <xf numFmtId="0" fontId="77" fillId="0" borderId="66" xfId="0" applyFont="1" applyBorder="1"/>
    <xf numFmtId="0" fontId="0" fillId="0" borderId="79" xfId="0" applyBorder="1"/>
    <xf numFmtId="0" fontId="129" fillId="95" borderId="220" xfId="0" applyFont="1" applyFill="1" applyBorder="1"/>
    <xf numFmtId="0" fontId="0" fillId="0" borderId="220" xfId="0" applyBorder="1"/>
    <xf numFmtId="0" fontId="129" fillId="98" borderId="220" xfId="0" applyFont="1" applyFill="1" applyBorder="1"/>
    <xf numFmtId="0" fontId="73" fillId="0" borderId="220" xfId="0" applyFont="1" applyBorder="1"/>
    <xf numFmtId="4" fontId="73" fillId="0" borderId="125" xfId="0" applyNumberFormat="1" applyFont="1" applyFill="1" applyBorder="1" applyAlignment="1" applyProtection="1">
      <alignment horizontal="center" wrapText="1"/>
    </xf>
    <xf numFmtId="172" fontId="73" fillId="0" borderId="302" xfId="0" applyNumberFormat="1" applyFont="1" applyFill="1" applyBorder="1" applyProtection="1"/>
    <xf numFmtId="43" fontId="73" fillId="0" borderId="302" xfId="2446" applyFont="1" applyFill="1" applyBorder="1" applyProtection="1"/>
    <xf numFmtId="172" fontId="73" fillId="0" borderId="302" xfId="2446" applyNumberFormat="1" applyFont="1" applyFill="1" applyBorder="1" applyProtection="1"/>
    <xf numFmtId="0" fontId="128" fillId="95" borderId="306" xfId="0" applyFont="1" applyFill="1" applyBorder="1"/>
    <xf numFmtId="0" fontId="128" fillId="95" borderId="306" xfId="0" applyFont="1" applyFill="1" applyBorder="1" applyAlignment="1">
      <alignment horizontal="center"/>
    </xf>
    <xf numFmtId="0" fontId="128" fillId="98" borderId="306" xfId="0" applyFont="1" applyFill="1" applyBorder="1"/>
    <xf numFmtId="0" fontId="128" fillId="98" borderId="307" xfId="0" applyFont="1" applyFill="1" applyBorder="1"/>
    <xf numFmtId="0" fontId="128" fillId="95" borderId="307" xfId="0" applyFont="1" applyFill="1" applyBorder="1"/>
    <xf numFmtId="0" fontId="128" fillId="98" borderId="306" xfId="0" applyFont="1" applyFill="1" applyBorder="1" applyAlignment="1">
      <alignment horizontal="center"/>
    </xf>
    <xf numFmtId="175" fontId="128" fillId="98" borderId="306" xfId="0" applyNumberFormat="1" applyFont="1" applyFill="1" applyBorder="1" applyAlignment="1">
      <alignment horizontal="center"/>
    </xf>
    <xf numFmtId="0" fontId="128" fillId="98" borderId="306" xfId="0" applyNumberFormat="1" applyFont="1" applyFill="1" applyBorder="1" applyAlignment="1">
      <alignment horizontal="center"/>
    </xf>
    <xf numFmtId="1" fontId="128" fillId="95" borderId="306" xfId="0" applyNumberFormat="1" applyFont="1" applyFill="1" applyBorder="1" applyAlignment="1">
      <alignment horizontal="center"/>
    </xf>
    <xf numFmtId="0" fontId="104" fillId="62" borderId="68" xfId="0" applyFont="1" applyFill="1" applyBorder="1" applyAlignment="1" applyProtection="1">
      <alignment horizontal="centerContinuous" vertical="top" wrapText="1"/>
      <protection hidden="1"/>
    </xf>
    <xf numFmtId="172" fontId="73" fillId="54" borderId="176" xfId="2446" applyNumberFormat="1" applyFont="1" applyFill="1" applyBorder="1" applyAlignment="1" applyProtection="1">
      <alignment horizontal="center"/>
    </xf>
    <xf numFmtId="0" fontId="136" fillId="0" borderId="73" xfId="0" applyFont="1" applyFill="1" applyBorder="1" applyAlignment="1" applyProtection="1">
      <alignment horizontal="right"/>
    </xf>
    <xf numFmtId="0" fontId="137" fillId="0" borderId="309" xfId="0" applyFont="1" applyBorder="1" applyAlignment="1">
      <alignment vertical="top"/>
    </xf>
    <xf numFmtId="0" fontId="137" fillId="0" borderId="308" xfId="0" applyNumberFormat="1" applyFont="1" applyBorder="1" applyAlignment="1">
      <alignment horizontal="center" vertical="top"/>
    </xf>
    <xf numFmtId="2" fontId="137" fillId="0" borderId="308" xfId="0" applyNumberFormat="1" applyFont="1" applyBorder="1" applyAlignment="1">
      <alignment horizontal="center" vertical="top"/>
    </xf>
    <xf numFmtId="2" fontId="137" fillId="0" borderId="308" xfId="0" quotePrefix="1" applyNumberFormat="1" applyFont="1" applyBorder="1" applyAlignment="1">
      <alignment horizontal="center" vertical="top"/>
    </xf>
    <xf numFmtId="2" fontId="137" fillId="0" borderId="310" xfId="0" applyNumberFormat="1" applyFont="1" applyBorder="1" applyAlignment="1">
      <alignment horizontal="center" vertical="top"/>
    </xf>
    <xf numFmtId="0" fontId="137" fillId="0" borderId="311" xfId="0" applyFont="1" applyBorder="1" applyAlignment="1">
      <alignment vertical="top"/>
    </xf>
    <xf numFmtId="3" fontId="73" fillId="55" borderId="302" xfId="45" applyNumberFormat="1" applyFont="1" applyFill="1" applyBorder="1" applyAlignment="1" applyProtection="1">
      <alignment horizontal="center" vertical="center"/>
    </xf>
    <xf numFmtId="0" fontId="73" fillId="0" borderId="52" xfId="0" quotePrefix="1" applyFont="1" applyFill="1" applyBorder="1" applyAlignment="1" applyProtection="1">
      <alignment horizontal="left" vertical="top" wrapText="1"/>
    </xf>
    <xf numFmtId="0" fontId="73" fillId="0" borderId="0" xfId="0" applyFont="1" applyFill="1" applyBorder="1" applyAlignment="1" applyProtection="1">
      <alignment horizontal="left" vertical="top" wrapText="1"/>
    </xf>
    <xf numFmtId="0" fontId="74" fillId="0" borderId="0" xfId="0" applyFont="1" applyFill="1" applyBorder="1" applyAlignment="1" applyProtection="1">
      <alignment horizontal="center" wrapText="1"/>
    </xf>
    <xf numFmtId="0" fontId="125" fillId="0" borderId="0" xfId="1134" applyFont="1" applyFill="1" applyBorder="1" applyAlignment="1" applyProtection="1">
      <alignment horizontal="center" vertical="center" wrapText="1"/>
      <protection hidden="1"/>
    </xf>
    <xf numFmtId="0" fontId="73" fillId="0" borderId="178" xfId="0" applyFont="1" applyFill="1" applyBorder="1" applyAlignment="1" applyProtection="1">
      <alignment horizontal="left" indent="1"/>
      <protection locked="0"/>
    </xf>
    <xf numFmtId="0" fontId="73" fillId="0" borderId="179" xfId="0" applyFont="1" applyFill="1" applyBorder="1" applyAlignment="1" applyProtection="1">
      <alignment horizontal="left" indent="1"/>
      <protection locked="0"/>
    </xf>
    <xf numFmtId="0" fontId="73" fillId="0" borderId="0" xfId="0" applyFont="1" applyFill="1" applyAlignment="1" applyProtection="1">
      <alignment horizontal="left" vertical="top" wrapText="1"/>
    </xf>
    <xf numFmtId="0" fontId="131" fillId="0" borderId="0" xfId="0" applyFont="1" applyAlignment="1" applyProtection="1">
      <alignment horizontal="center" vertical="center" wrapText="1"/>
      <protection hidden="1"/>
    </xf>
    <xf numFmtId="0" fontId="73" fillId="0" borderId="176" xfId="1134" applyFont="1" applyFill="1" applyBorder="1" applyAlignment="1" applyProtection="1">
      <alignment horizontal="left" vertical="center" indent="1"/>
      <protection locked="0"/>
    </xf>
    <xf numFmtId="171" fontId="73" fillId="0" borderId="176" xfId="1134" applyNumberFormat="1" applyFont="1" applyFill="1" applyBorder="1" applyAlignment="1" applyProtection="1">
      <alignment horizontal="left" vertical="center" indent="1"/>
      <protection locked="0"/>
    </xf>
    <xf numFmtId="0" fontId="73" fillId="57" borderId="178" xfId="0" applyFont="1" applyFill="1" applyBorder="1" applyAlignment="1" applyProtection="1">
      <alignment horizontal="left" wrapText="1" indent="1"/>
    </xf>
    <xf numFmtId="0" fontId="73" fillId="57" borderId="263" xfId="0" applyFont="1" applyFill="1" applyBorder="1" applyAlignment="1" applyProtection="1">
      <alignment horizontal="left" wrapText="1" indent="1"/>
    </xf>
    <xf numFmtId="0" fontId="73" fillId="57" borderId="179" xfId="0" applyFont="1" applyFill="1" applyBorder="1" applyAlignment="1" applyProtection="1">
      <alignment horizontal="left" wrapText="1" indent="1"/>
    </xf>
    <xf numFmtId="0" fontId="88" fillId="57" borderId="178" xfId="2447" applyFont="1" applyFill="1" applyBorder="1" applyAlignment="1" applyProtection="1">
      <alignment horizontal="left" vertical="top" wrapText="1" indent="1"/>
    </xf>
    <xf numFmtId="0" fontId="88" fillId="57" borderId="263" xfId="2447" applyFont="1" applyFill="1" applyBorder="1" applyAlignment="1" applyProtection="1">
      <alignment horizontal="left" vertical="top" wrapText="1" indent="1"/>
    </xf>
    <xf numFmtId="0" fontId="88" fillId="57" borderId="179" xfId="2447" applyFont="1" applyFill="1" applyBorder="1" applyAlignment="1" applyProtection="1">
      <alignment horizontal="left" vertical="top" wrapText="1" indent="1"/>
    </xf>
    <xf numFmtId="0" fontId="88" fillId="57" borderId="64" xfId="2447" applyFont="1" applyFill="1" applyBorder="1" applyAlignment="1" applyProtection="1">
      <alignment horizontal="left" vertical="top" wrapText="1" indent="1"/>
    </xf>
    <xf numFmtId="0" fontId="88" fillId="55" borderId="264" xfId="2447" applyFont="1" applyFill="1" applyBorder="1" applyAlignment="1" applyProtection="1">
      <alignment horizontal="left" vertical="top" wrapText="1"/>
    </xf>
    <xf numFmtId="0" fontId="88" fillId="55" borderId="77" xfId="2447" applyFont="1" applyFill="1" applyBorder="1" applyAlignment="1" applyProtection="1">
      <alignment horizontal="left" vertical="top" wrapText="1"/>
    </xf>
    <xf numFmtId="3" fontId="73" fillId="29" borderId="0" xfId="1134" applyNumberFormat="1" applyFont="1" applyFill="1" applyBorder="1" applyAlignment="1" applyProtection="1">
      <protection locked="0"/>
    </xf>
    <xf numFmtId="0" fontId="74" fillId="0" borderId="11" xfId="0" applyFont="1" applyFill="1" applyBorder="1" applyAlignment="1" applyProtection="1">
      <alignment horizontal="center"/>
    </xf>
    <xf numFmtId="0" fontId="74" fillId="0" borderId="0" xfId="0" applyFont="1" applyFill="1" applyBorder="1" applyAlignment="1" applyProtection="1">
      <alignment horizontal="center"/>
    </xf>
    <xf numFmtId="0" fontId="74" fillId="0" borderId="12" xfId="0" applyFont="1" applyFill="1" applyBorder="1" applyAlignment="1" applyProtection="1">
      <alignment horizontal="center"/>
    </xf>
    <xf numFmtId="3" fontId="73" fillId="0" borderId="0" xfId="0" applyNumberFormat="1" applyFont="1" applyFill="1" applyBorder="1" applyAlignment="1" applyProtection="1">
      <alignment vertical="center" wrapText="1"/>
    </xf>
    <xf numFmtId="41" fontId="75" fillId="0" borderId="184" xfId="0" applyNumberFormat="1" applyFont="1" applyFill="1" applyBorder="1" applyAlignment="1" applyProtection="1">
      <alignment horizontal="center" wrapText="1"/>
    </xf>
    <xf numFmtId="41" fontId="75" fillId="0" borderId="183" xfId="0" applyNumberFormat="1" applyFont="1" applyFill="1" applyBorder="1" applyAlignment="1" applyProtection="1">
      <alignment horizontal="center" wrapText="1"/>
    </xf>
    <xf numFmtId="41" fontId="75" fillId="0" borderId="224" xfId="0" applyNumberFormat="1" applyFont="1" applyFill="1" applyBorder="1" applyAlignment="1" applyProtection="1">
      <alignment horizontal="center" wrapText="1"/>
    </xf>
    <xf numFmtId="41" fontId="75" fillId="0" borderId="192" xfId="0" applyNumberFormat="1" applyFont="1" applyFill="1" applyBorder="1" applyAlignment="1" applyProtection="1">
      <alignment horizontal="center"/>
    </xf>
    <xf numFmtId="41" fontId="75" fillId="0" borderId="183" xfId="0" applyNumberFormat="1" applyFont="1" applyFill="1" applyBorder="1" applyAlignment="1" applyProtection="1">
      <alignment horizontal="center"/>
    </xf>
    <xf numFmtId="41" fontId="75" fillId="0" borderId="223" xfId="0" applyNumberFormat="1" applyFont="1" applyFill="1" applyBorder="1" applyAlignment="1" applyProtection="1">
      <alignment horizontal="center"/>
    </xf>
    <xf numFmtId="41" fontId="75" fillId="0" borderId="224" xfId="0" applyNumberFormat="1" applyFont="1" applyFill="1" applyBorder="1" applyAlignment="1" applyProtection="1">
      <alignment horizontal="center"/>
    </xf>
    <xf numFmtId="0" fontId="73" fillId="0" borderId="11" xfId="0" applyFont="1" applyFill="1" applyBorder="1" applyAlignment="1" applyProtection="1">
      <alignment vertical="top" wrapText="1"/>
    </xf>
    <xf numFmtId="0" fontId="73" fillId="0" borderId="0" xfId="0" applyFont="1" applyFill="1" applyBorder="1" applyAlignment="1" applyProtection="1">
      <alignment vertical="top" wrapText="1"/>
    </xf>
    <xf numFmtId="0" fontId="73" fillId="0" borderId="16" xfId="0" applyFont="1" applyFill="1" applyBorder="1" applyAlignment="1" applyProtection="1">
      <alignment vertical="top" wrapText="1"/>
    </xf>
    <xf numFmtId="0" fontId="73" fillId="0" borderId="17" xfId="0" applyFont="1" applyFill="1" applyBorder="1" applyAlignment="1" applyProtection="1">
      <alignment vertical="top" wrapText="1"/>
    </xf>
    <xf numFmtId="41" fontId="73" fillId="0" borderId="0" xfId="0" applyNumberFormat="1" applyFont="1" applyFill="1" applyBorder="1" applyAlignment="1" applyProtection="1">
      <alignment horizontal="center" vertical="top" wrapText="1"/>
    </xf>
    <xf numFmtId="41" fontId="73" fillId="0" borderId="17" xfId="0" applyNumberFormat="1" applyFont="1" applyFill="1" applyBorder="1" applyAlignment="1" applyProtection="1">
      <alignment horizontal="center" vertical="top" wrapText="1"/>
    </xf>
    <xf numFmtId="41" fontId="73" fillId="0" borderId="88" xfId="0" applyNumberFormat="1" applyFont="1" applyFill="1" applyBorder="1" applyAlignment="1" applyProtection="1">
      <alignment horizontal="center"/>
    </xf>
    <xf numFmtId="41" fontId="73" fillId="0" borderId="89" xfId="0" applyNumberFormat="1" applyFont="1" applyFill="1" applyBorder="1" applyAlignment="1" applyProtection="1">
      <alignment horizontal="center"/>
    </xf>
    <xf numFmtId="41" fontId="75" fillId="0" borderId="223" xfId="0" applyNumberFormat="1" applyFont="1" applyFill="1" applyBorder="1" applyAlignment="1" applyProtection="1">
      <alignment horizontal="center" wrapText="1"/>
    </xf>
    <xf numFmtId="0" fontId="73" fillId="97" borderId="271" xfId="0" applyFont="1" applyFill="1" applyBorder="1" applyAlignment="1" applyProtection="1">
      <alignment horizontal="center" vertical="top" wrapText="1"/>
    </xf>
    <xf numFmtId="0" fontId="73" fillId="97" borderId="82" xfId="0" applyFont="1" applyFill="1" applyBorder="1" applyAlignment="1" applyProtection="1">
      <alignment horizontal="center" vertical="top" wrapText="1"/>
    </xf>
    <xf numFmtId="0" fontId="73" fillId="97" borderId="90" xfId="0" applyFont="1" applyFill="1" applyBorder="1" applyAlignment="1" applyProtection="1">
      <alignment horizontal="center" vertical="top" wrapText="1"/>
    </xf>
    <xf numFmtId="0" fontId="73" fillId="57" borderId="183" xfId="0" applyFont="1" applyFill="1" applyBorder="1" applyAlignment="1" applyProtection="1">
      <alignment horizontal="center" vertical="center" wrapText="1"/>
    </xf>
    <xf numFmtId="0" fontId="73" fillId="57" borderId="224" xfId="0" applyFont="1" applyFill="1" applyBorder="1" applyAlignment="1" applyProtection="1">
      <alignment horizontal="center" vertical="center" wrapText="1"/>
    </xf>
    <xf numFmtId="0" fontId="73" fillId="57" borderId="0" xfId="0" applyFont="1" applyFill="1" applyBorder="1" applyAlignment="1" applyProtection="1">
      <alignment horizontal="center" vertical="center" wrapText="1"/>
    </xf>
    <xf numFmtId="0" fontId="73" fillId="57" borderId="12" xfId="0" applyFont="1" applyFill="1" applyBorder="1" applyAlignment="1" applyProtection="1">
      <alignment horizontal="center" vertical="center" wrapText="1"/>
    </xf>
    <xf numFmtId="0" fontId="73" fillId="57" borderId="17" xfId="0" applyFont="1" applyFill="1" applyBorder="1" applyAlignment="1" applyProtection="1">
      <alignment horizontal="center" vertical="center" wrapText="1"/>
    </xf>
    <xf numFmtId="0" fontId="73" fillId="57" borderId="38" xfId="0" applyFont="1" applyFill="1" applyBorder="1" applyAlignment="1" applyProtection="1">
      <alignment horizontal="center" vertical="center" wrapText="1"/>
    </xf>
    <xf numFmtId="0" fontId="74" fillId="0" borderId="0" xfId="0" applyNumberFormat="1" applyFont="1" applyFill="1" applyAlignment="1" applyProtection="1">
      <alignment horizontal="center" wrapText="1"/>
      <protection hidden="1"/>
    </xf>
    <xf numFmtId="0" fontId="74" fillId="0" borderId="0" xfId="0" applyNumberFormat="1" applyFont="1" applyFill="1" applyAlignment="1" applyProtection="1">
      <alignment horizontal="center"/>
      <protection hidden="1"/>
    </xf>
    <xf numFmtId="0" fontId="87" fillId="0" borderId="0" xfId="0" applyNumberFormat="1" applyFont="1" applyFill="1" applyAlignment="1" applyProtection="1">
      <alignment horizontal="center" wrapText="1"/>
    </xf>
    <xf numFmtId="41" fontId="75" fillId="0" borderId="13" xfId="0" applyNumberFormat="1" applyFont="1" applyFill="1" applyBorder="1" applyAlignment="1" applyProtection="1">
      <alignment horizontal="center"/>
    </xf>
    <xf numFmtId="41" fontId="75" fillId="0" borderId="14" xfId="0" applyNumberFormat="1" applyFont="1" applyFill="1" applyBorder="1" applyAlignment="1" applyProtection="1">
      <alignment horizontal="center"/>
    </xf>
    <xf numFmtId="41" fontId="75" fillId="0" borderId="30" xfId="0" applyNumberFormat="1" applyFont="1" applyFill="1" applyBorder="1" applyAlignment="1" applyProtection="1">
      <alignment horizontal="center"/>
    </xf>
    <xf numFmtId="0" fontId="75" fillId="0" borderId="180" xfId="0" applyFont="1" applyFill="1" applyBorder="1" applyAlignment="1" applyProtection="1">
      <alignment horizontal="center" vertical="top" wrapText="1"/>
    </xf>
    <xf numFmtId="0" fontId="75" fillId="0" borderId="181" xfId="0" applyFont="1" applyFill="1" applyBorder="1" applyAlignment="1" applyProtection="1">
      <alignment horizontal="center" vertical="top" wrapText="1"/>
    </xf>
    <xf numFmtId="0" fontId="75" fillId="0" borderId="182" xfId="0" applyFont="1" applyFill="1" applyBorder="1" applyAlignment="1" applyProtection="1">
      <alignment horizontal="center" vertical="top" wrapText="1"/>
    </xf>
    <xf numFmtId="0" fontId="74" fillId="0" borderId="37" xfId="0" applyFont="1" applyFill="1" applyBorder="1" applyAlignment="1" applyProtection="1">
      <alignment horizontal="center"/>
    </xf>
    <xf numFmtId="0" fontId="74" fillId="0" borderId="10" xfId="0" applyFont="1" applyFill="1" applyBorder="1" applyAlignment="1" applyProtection="1">
      <alignment horizontal="center"/>
    </xf>
    <xf numFmtId="41" fontId="75" fillId="0" borderId="86" xfId="0" applyNumberFormat="1" applyFont="1" applyFill="1" applyBorder="1" applyAlignment="1" applyProtection="1">
      <alignment horizontal="center"/>
    </xf>
    <xf numFmtId="41" fontId="75" fillId="0" borderId="87" xfId="0" applyNumberFormat="1" applyFont="1" applyFill="1" applyBorder="1" applyAlignment="1" applyProtection="1">
      <alignment horizontal="center"/>
    </xf>
    <xf numFmtId="0" fontId="74" fillId="0" borderId="47" xfId="0" applyFont="1" applyFill="1" applyBorder="1" applyAlignment="1" applyProtection="1">
      <alignment horizontal="center"/>
    </xf>
    <xf numFmtId="0" fontId="74" fillId="0" borderId="25" xfId="0" applyFont="1" applyFill="1" applyBorder="1" applyAlignment="1" applyProtection="1">
      <alignment horizontal="center"/>
    </xf>
    <xf numFmtId="0" fontId="74" fillId="0" borderId="174" xfId="0" applyFont="1" applyFill="1" applyBorder="1" applyAlignment="1" applyProtection="1">
      <alignment horizontal="center"/>
    </xf>
    <xf numFmtId="0" fontId="74" fillId="0" borderId="268" xfId="0" applyFont="1" applyFill="1" applyBorder="1" applyAlignment="1" applyProtection="1">
      <alignment horizontal="center"/>
    </xf>
    <xf numFmtId="0" fontId="74" fillId="0" borderId="269" xfId="0" applyFont="1" applyFill="1" applyBorder="1" applyAlignment="1" applyProtection="1">
      <alignment horizontal="center"/>
    </xf>
    <xf numFmtId="0" fontId="73" fillId="28" borderId="71" xfId="0" applyFont="1" applyFill="1" applyBorder="1" applyAlignment="1" applyProtection="1">
      <alignment horizontal="left" vertical="top"/>
    </xf>
    <xf numFmtId="0" fontId="73" fillId="28" borderId="72" xfId="0" applyFont="1" applyFill="1" applyBorder="1" applyAlignment="1" applyProtection="1">
      <alignment horizontal="left" vertical="top"/>
    </xf>
    <xf numFmtId="0" fontId="74" fillId="28" borderId="49" xfId="0" applyFont="1" applyFill="1" applyBorder="1" applyAlignment="1" applyProtection="1">
      <alignment horizontal="center"/>
    </xf>
    <xf numFmtId="0" fontId="74" fillId="28" borderId="0" xfId="0" applyFont="1" applyFill="1" applyBorder="1" applyAlignment="1" applyProtection="1">
      <alignment horizontal="center"/>
    </xf>
    <xf numFmtId="0" fontId="74" fillId="28" borderId="50" xfId="0" applyFont="1" applyFill="1" applyBorder="1" applyAlignment="1" applyProtection="1">
      <alignment horizontal="center"/>
    </xf>
    <xf numFmtId="0" fontId="76" fillId="55" borderId="49" xfId="0" applyFont="1" applyFill="1" applyBorder="1" applyAlignment="1" applyProtection="1">
      <alignment horizontal="center"/>
    </xf>
    <xf numFmtId="0" fontId="76" fillId="55" borderId="0" xfId="0" applyFont="1" applyFill="1" applyBorder="1" applyAlignment="1" applyProtection="1">
      <alignment horizontal="center"/>
    </xf>
    <xf numFmtId="0" fontId="76" fillId="55" borderId="50" xfId="0" applyFont="1" applyFill="1" applyBorder="1" applyAlignment="1" applyProtection="1">
      <alignment horizontal="center"/>
    </xf>
    <xf numFmtId="0" fontId="73" fillId="28" borderId="49" xfId="0" applyFont="1" applyFill="1" applyBorder="1" applyAlignment="1" applyProtection="1">
      <alignment horizontal="left" vertical="top" wrapText="1"/>
    </xf>
    <xf numFmtId="0" fontId="73" fillId="28" borderId="0" xfId="0" applyFont="1" applyFill="1" applyBorder="1" applyAlignment="1" applyProtection="1">
      <alignment horizontal="left" vertical="top" wrapText="1"/>
    </xf>
    <xf numFmtId="7" fontId="73" fillId="54" borderId="50" xfId="0" applyNumberFormat="1" applyFont="1" applyFill="1" applyBorder="1" applyAlignment="1" applyProtection="1">
      <alignment horizontal="left" vertical="center" indent="1"/>
      <protection locked="0"/>
    </xf>
    <xf numFmtId="0" fontId="73" fillId="28" borderId="49" xfId="0" applyFont="1" applyFill="1" applyBorder="1" applyAlignment="1" applyProtection="1">
      <alignment horizontal="left"/>
    </xf>
    <xf numFmtId="0" fontId="73" fillId="28" borderId="0" xfId="0" applyFont="1" applyFill="1" applyBorder="1" applyAlignment="1" applyProtection="1">
      <alignment horizontal="left"/>
    </xf>
    <xf numFmtId="0" fontId="103" fillId="0" borderId="196" xfId="0" applyFont="1" applyFill="1" applyBorder="1" applyAlignment="1">
      <alignment horizontal="left"/>
    </xf>
    <xf numFmtId="0" fontId="103" fillId="0" borderId="197" xfId="0" applyFont="1" applyFill="1" applyBorder="1" applyAlignment="1">
      <alignment horizontal="left"/>
    </xf>
    <xf numFmtId="0" fontId="73" fillId="0" borderId="55" xfId="0" applyFont="1" applyBorder="1" applyAlignment="1">
      <alignment horizontal="center" wrapText="1"/>
    </xf>
    <xf numFmtId="0" fontId="73" fillId="0" borderId="77" xfId="0" applyFont="1" applyBorder="1" applyAlignment="1">
      <alignment horizontal="center" wrapText="1"/>
    </xf>
    <xf numFmtId="0" fontId="77" fillId="0" borderId="106" xfId="0" applyFont="1" applyBorder="1" applyAlignment="1">
      <alignment vertical="center" wrapText="1"/>
    </xf>
    <xf numFmtId="0" fontId="77" fillId="0" borderId="108" xfId="0" applyFont="1" applyBorder="1" applyAlignment="1">
      <alignment vertical="center" wrapText="1"/>
    </xf>
    <xf numFmtId="0" fontId="77" fillId="0" borderId="110" xfId="0" applyFont="1" applyBorder="1" applyAlignment="1">
      <alignment vertical="center" wrapText="1"/>
    </xf>
    <xf numFmtId="0" fontId="4" fillId="0" borderId="67" xfId="0" applyFont="1" applyFill="1" applyBorder="1" applyAlignment="1">
      <alignment horizontal="center" wrapText="1"/>
    </xf>
    <xf numFmtId="0" fontId="4" fillId="0" borderId="68" xfId="0" applyFont="1" applyFill="1" applyBorder="1" applyAlignment="1">
      <alignment horizontal="center" wrapText="1"/>
    </xf>
    <xf numFmtId="0" fontId="4" fillId="0" borderId="69" xfId="0" applyFont="1" applyFill="1" applyBorder="1" applyAlignment="1">
      <alignment horizontal="center" wrapText="1"/>
    </xf>
    <xf numFmtId="0" fontId="126" fillId="96" borderId="67" xfId="0" applyFont="1" applyFill="1" applyBorder="1" applyAlignment="1">
      <alignment horizontal="center"/>
    </xf>
    <xf numFmtId="0" fontId="126" fillId="96" borderId="68" xfId="0" applyFont="1" applyFill="1" applyBorder="1" applyAlignment="1">
      <alignment horizontal="center"/>
    </xf>
    <xf numFmtId="0" fontId="126" fillId="96" borderId="69" xfId="0" applyFont="1" applyFill="1" applyBorder="1" applyAlignment="1">
      <alignment horizontal="center"/>
    </xf>
    <xf numFmtId="0" fontId="77" fillId="0" borderId="67" xfId="0" applyFont="1" applyBorder="1" applyAlignment="1">
      <alignment horizontal="center"/>
    </xf>
    <xf numFmtId="0" fontId="77" fillId="0" borderId="68" xfId="0" applyFont="1" applyBorder="1" applyAlignment="1">
      <alignment horizontal="center"/>
    </xf>
    <xf numFmtId="0" fontId="77" fillId="0" borderId="69" xfId="0" applyFont="1" applyBorder="1" applyAlignment="1">
      <alignment horizontal="center"/>
    </xf>
    <xf numFmtId="0" fontId="103" fillId="0" borderId="105" xfId="0" applyFont="1" applyFill="1" applyBorder="1" applyAlignment="1">
      <alignment horizontal="left"/>
    </xf>
    <xf numFmtId="0" fontId="103" fillId="0" borderId="172" xfId="0" applyFont="1" applyFill="1" applyBorder="1" applyAlignment="1">
      <alignment horizontal="left"/>
    </xf>
    <xf numFmtId="0" fontId="103" fillId="0" borderId="176" xfId="0" applyFont="1" applyFill="1" applyBorder="1" applyAlignment="1">
      <alignment horizontal="left"/>
    </xf>
    <xf numFmtId="0" fontId="103" fillId="0" borderId="194" xfId="0" applyFont="1" applyFill="1" applyBorder="1" applyAlignment="1">
      <alignment horizontal="left"/>
    </xf>
  </cellXfs>
  <cellStyles count="6755">
    <cellStyle name="20% - Accent1" xfId="1" builtinId="30" customBuiltin="1"/>
    <cellStyle name="20% - Accent1 2" xfId="98"/>
    <cellStyle name="20% - Accent1 2 2" xfId="99"/>
    <cellStyle name="20% - Accent1 3" xfId="4760"/>
    <cellStyle name="20% - Accent2" xfId="2" builtinId="34" customBuiltin="1"/>
    <cellStyle name="20% - Accent2 2" xfId="100"/>
    <cellStyle name="20% - Accent2 2 2" xfId="101"/>
    <cellStyle name="20% - Accent2 3" xfId="4764"/>
    <cellStyle name="20% - Accent3" xfId="3" builtinId="38" customBuiltin="1"/>
    <cellStyle name="20% - Accent3 2" xfId="102"/>
    <cellStyle name="20% - Accent3 2 2" xfId="103"/>
    <cellStyle name="20% - Accent3 3" xfId="4768"/>
    <cellStyle name="20% - Accent4" xfId="4" builtinId="42" customBuiltin="1"/>
    <cellStyle name="20% - Accent4 2" xfId="104"/>
    <cellStyle name="20% - Accent4 2 2" xfId="105"/>
    <cellStyle name="20% - Accent4 3" xfId="4772"/>
    <cellStyle name="20% - Accent5" xfId="5" builtinId="46" customBuiltin="1"/>
    <cellStyle name="20% - Accent5 2" xfId="106"/>
    <cellStyle name="20% - Accent5 2 2" xfId="107"/>
    <cellStyle name="20% - Accent5 3" xfId="4776"/>
    <cellStyle name="20% - Accent6" xfId="6" builtinId="50" customBuiltin="1"/>
    <cellStyle name="20% - Accent6 2" xfId="108"/>
    <cellStyle name="20% - Accent6 2 2" xfId="109"/>
    <cellStyle name="20% - Accent6 3" xfId="4780"/>
    <cellStyle name="20% - akcent 1" xfId="110"/>
    <cellStyle name="20% - akcent 2" xfId="111"/>
    <cellStyle name="20% - akcent 3" xfId="112"/>
    <cellStyle name="20% - akcent 4" xfId="113"/>
    <cellStyle name="20% - akcent 5" xfId="114"/>
    <cellStyle name="20% - akcent 6" xfId="115"/>
    <cellStyle name="40% - Accent1" xfId="7" builtinId="31" customBuiltin="1"/>
    <cellStyle name="40% - Accent1 2" xfId="116"/>
    <cellStyle name="40% - Accent1 2 2" xfId="117"/>
    <cellStyle name="40% - Accent1 3" xfId="4761"/>
    <cellStyle name="40% - Accent2" xfId="8" builtinId="35" customBuiltin="1"/>
    <cellStyle name="40% - Accent2 2" xfId="118"/>
    <cellStyle name="40% - Accent2 2 2" xfId="119"/>
    <cellStyle name="40% - Accent2 3" xfId="4765"/>
    <cellStyle name="40% - Accent3" xfId="9" builtinId="39" customBuiltin="1"/>
    <cellStyle name="40% - Accent3 2" xfId="120"/>
    <cellStyle name="40% - Accent3 2 2" xfId="121"/>
    <cellStyle name="40% - Accent3 3" xfId="4769"/>
    <cellStyle name="40% - Accent4" xfId="10" builtinId="43" customBuiltin="1"/>
    <cellStyle name="40% - Accent4 2" xfId="122"/>
    <cellStyle name="40% - Accent4 2 2" xfId="123"/>
    <cellStyle name="40% - Accent4 3" xfId="4773"/>
    <cellStyle name="40% - Accent5" xfId="11" builtinId="47" customBuiltin="1"/>
    <cellStyle name="40% - Accent5 2" xfId="124"/>
    <cellStyle name="40% - Accent5 2 2" xfId="125"/>
    <cellStyle name="40% - Accent5 3" xfId="4777"/>
    <cellStyle name="40% - Accent6" xfId="12" builtinId="51" customBuiltin="1"/>
    <cellStyle name="40% - Accent6 2" xfId="126"/>
    <cellStyle name="40% - Accent6 2 2" xfId="127"/>
    <cellStyle name="40% - Accent6 3" xfId="4781"/>
    <cellStyle name="40% - akcent 1" xfId="128"/>
    <cellStyle name="40% - akcent 2" xfId="129"/>
    <cellStyle name="40% - akcent 3" xfId="130"/>
    <cellStyle name="40% - akcent 4" xfId="131"/>
    <cellStyle name="40% - akcent 5" xfId="132"/>
    <cellStyle name="40% - akcent 6" xfId="133"/>
    <cellStyle name="60% - Accent1" xfId="13" builtinId="32" customBuiltin="1"/>
    <cellStyle name="60% - Accent1 2" xfId="134"/>
    <cellStyle name="60% - Accent1 2 2" xfId="135"/>
    <cellStyle name="60% - Accent1 3" xfId="4762"/>
    <cellStyle name="60% - Accent2" xfId="14" builtinId="36" customBuiltin="1"/>
    <cellStyle name="60% - Accent2 2" xfId="136"/>
    <cellStyle name="60% - Accent2 2 2" xfId="137"/>
    <cellStyle name="60% - Accent2 3" xfId="4766"/>
    <cellStyle name="60% - Accent3" xfId="15" builtinId="40" customBuiltin="1"/>
    <cellStyle name="60% - Accent3 2" xfId="138"/>
    <cellStyle name="60% - Accent3 2 2" xfId="139"/>
    <cellStyle name="60% - Accent3 3" xfId="4770"/>
    <cellStyle name="60% - Accent4" xfId="16" builtinId="44" customBuiltin="1"/>
    <cellStyle name="60% - Accent4 2" xfId="140"/>
    <cellStyle name="60% - Accent4 2 2" xfId="141"/>
    <cellStyle name="60% - Accent4 3" xfId="4774"/>
    <cellStyle name="60% - Accent5" xfId="17" builtinId="48" customBuiltin="1"/>
    <cellStyle name="60% - Accent5 2" xfId="142"/>
    <cellStyle name="60% - Accent5 2 2" xfId="143"/>
    <cellStyle name="60% - Accent5 3" xfId="4778"/>
    <cellStyle name="60% - Accent6" xfId="18" builtinId="52" customBuiltin="1"/>
    <cellStyle name="60% - Accent6 2" xfId="144"/>
    <cellStyle name="60% - Accent6 2 2" xfId="145"/>
    <cellStyle name="60% - Accent6 3" xfId="4782"/>
    <cellStyle name="60% - akcent 1" xfId="146"/>
    <cellStyle name="60% - akcent 2" xfId="147"/>
    <cellStyle name="60% - akcent 3" xfId="148"/>
    <cellStyle name="60% - akcent 4" xfId="149"/>
    <cellStyle name="60% - akcent 5" xfId="150"/>
    <cellStyle name="60% - akcent 6" xfId="151"/>
    <cellStyle name="Accent1" xfId="19" builtinId="29" customBuiltin="1"/>
    <cellStyle name="Accent1 2" xfId="152"/>
    <cellStyle name="Accent1 2 2" xfId="153"/>
    <cellStyle name="Accent1 3" xfId="4759"/>
    <cellStyle name="Accent2" xfId="20" builtinId="33" customBuiltin="1"/>
    <cellStyle name="Accent2 2" xfId="154"/>
    <cellStyle name="Accent2 2 2" xfId="155"/>
    <cellStyle name="Accent2 3" xfId="4763"/>
    <cellStyle name="Accent3" xfId="21" builtinId="37" customBuiltin="1"/>
    <cellStyle name="Accent3 2" xfId="156"/>
    <cellStyle name="Accent3 2 2" xfId="157"/>
    <cellStyle name="Accent3 3" xfId="4767"/>
    <cellStyle name="Accent4" xfId="22" builtinId="41" customBuiltin="1"/>
    <cellStyle name="Accent4 2" xfId="158"/>
    <cellStyle name="Accent4 2 2" xfId="159"/>
    <cellStyle name="Accent4 3" xfId="4771"/>
    <cellStyle name="Accent5" xfId="23" builtinId="45" customBuiltin="1"/>
    <cellStyle name="Accent5 2" xfId="160"/>
    <cellStyle name="Accent5 2 2" xfId="161"/>
    <cellStyle name="Accent5 3" xfId="4775"/>
    <cellStyle name="Accent6" xfId="24" builtinId="49" customBuiltin="1"/>
    <cellStyle name="Accent6 2" xfId="162"/>
    <cellStyle name="Accent6 2 2" xfId="163"/>
    <cellStyle name="Accent6 3" xfId="4779"/>
    <cellStyle name="Akcent 1" xfId="164"/>
    <cellStyle name="Akcent 2" xfId="165"/>
    <cellStyle name="Akcent 3" xfId="166"/>
    <cellStyle name="Akcent 4" xfId="167"/>
    <cellStyle name="Akcent 5" xfId="168"/>
    <cellStyle name="Akcent 6" xfId="169"/>
    <cellStyle name="Bad" xfId="25" builtinId="27" customBuiltin="1"/>
    <cellStyle name="Bad 2" xfId="170"/>
    <cellStyle name="Bad 2 2" xfId="171"/>
    <cellStyle name="Bad 3" xfId="4748"/>
    <cellStyle name="BottomTotalRow1" xfId="76"/>
    <cellStyle name="Calculation" xfId="26" builtinId="22" customBuiltin="1"/>
    <cellStyle name="Calculation 2" xfId="172"/>
    <cellStyle name="Calculation 2 10" xfId="173"/>
    <cellStyle name="Calculation 2 10 10" xfId="174"/>
    <cellStyle name="Calculation 2 10 10 2" xfId="2581"/>
    <cellStyle name="Calculation 2 10 10 3" xfId="3156"/>
    <cellStyle name="Calculation 2 10 11" xfId="175"/>
    <cellStyle name="Calculation 2 10 11 2" xfId="2582"/>
    <cellStyle name="Calculation 2 10 11 3" xfId="2483"/>
    <cellStyle name="Calculation 2 10 12" xfId="176"/>
    <cellStyle name="Calculation 2 10 12 2" xfId="2583"/>
    <cellStyle name="Calculation 2 10 12 3" xfId="3155"/>
    <cellStyle name="Calculation 2 10 13" xfId="177"/>
    <cellStyle name="Calculation 2 10 13 2" xfId="2584"/>
    <cellStyle name="Calculation 2 10 13 3" xfId="2497"/>
    <cellStyle name="Calculation 2 10 14" xfId="178"/>
    <cellStyle name="Calculation 2 10 14 2" xfId="2585"/>
    <cellStyle name="Calculation 2 10 14 3" xfId="3154"/>
    <cellStyle name="Calculation 2 10 15" xfId="179"/>
    <cellStyle name="Calculation 2 10 15 2" xfId="2586"/>
    <cellStyle name="Calculation 2 10 15 3" xfId="2482"/>
    <cellStyle name="Calculation 2 10 16" xfId="180"/>
    <cellStyle name="Calculation 2 10 16 2" xfId="2587"/>
    <cellStyle name="Calculation 2 10 16 3" xfId="3153"/>
    <cellStyle name="Calculation 2 10 17" xfId="181"/>
    <cellStyle name="Calculation 2 10 17 2" xfId="2588"/>
    <cellStyle name="Calculation 2 10 17 3" xfId="3152"/>
    <cellStyle name="Calculation 2 10 18" xfId="182"/>
    <cellStyle name="Calculation 2 10 18 2" xfId="2589"/>
    <cellStyle name="Calculation 2 10 18 3" xfId="3013"/>
    <cellStyle name="Calculation 2 10 19" xfId="183"/>
    <cellStyle name="Calculation 2 10 19 2" xfId="2590"/>
    <cellStyle name="Calculation 2 10 19 3" xfId="3012"/>
    <cellStyle name="Calculation 2 10 2" xfId="184"/>
    <cellStyle name="Calculation 2 10 2 2" xfId="2591"/>
    <cellStyle name="Calculation 2 10 2 3" xfId="3011"/>
    <cellStyle name="Calculation 2 10 20" xfId="185"/>
    <cellStyle name="Calculation 2 10 20 2" xfId="2592"/>
    <cellStyle name="Calculation 2 10 20 3" xfId="3010"/>
    <cellStyle name="Calculation 2 10 21" xfId="186"/>
    <cellStyle name="Calculation 2 10 21 2" xfId="2593"/>
    <cellStyle name="Calculation 2 10 21 3" xfId="3009"/>
    <cellStyle name="Calculation 2 10 22" xfId="187"/>
    <cellStyle name="Calculation 2 10 22 2" xfId="2594"/>
    <cellStyle name="Calculation 2 10 22 3" xfId="3008"/>
    <cellStyle name="Calculation 2 10 23" xfId="188"/>
    <cellStyle name="Calculation 2 10 23 2" xfId="2595"/>
    <cellStyle name="Calculation 2 10 23 3" xfId="4735"/>
    <cellStyle name="Calculation 2 10 24" xfId="2580"/>
    <cellStyle name="Calculation 2 10 25" xfId="3157"/>
    <cellStyle name="Calculation 2 10 3" xfId="189"/>
    <cellStyle name="Calculation 2 10 3 2" xfId="2596"/>
    <cellStyle name="Calculation 2 10 3 3" xfId="3007"/>
    <cellStyle name="Calculation 2 10 4" xfId="190"/>
    <cellStyle name="Calculation 2 10 4 2" xfId="2597"/>
    <cellStyle name="Calculation 2 10 4 3" xfId="3006"/>
    <cellStyle name="Calculation 2 10 5" xfId="191"/>
    <cellStyle name="Calculation 2 10 5 2" xfId="2598"/>
    <cellStyle name="Calculation 2 10 5 3" xfId="3005"/>
    <cellStyle name="Calculation 2 10 6" xfId="192"/>
    <cellStyle name="Calculation 2 10 6 2" xfId="2599"/>
    <cellStyle name="Calculation 2 10 6 3" xfId="3004"/>
    <cellStyle name="Calculation 2 10 7" xfId="193"/>
    <cellStyle name="Calculation 2 10 7 2" xfId="2600"/>
    <cellStyle name="Calculation 2 10 7 3" xfId="3003"/>
    <cellStyle name="Calculation 2 10 8" xfId="194"/>
    <cellStyle name="Calculation 2 10 8 2" xfId="2601"/>
    <cellStyle name="Calculation 2 10 8 3" xfId="3002"/>
    <cellStyle name="Calculation 2 10 9" xfId="195"/>
    <cellStyle name="Calculation 2 10 9 2" xfId="2602"/>
    <cellStyle name="Calculation 2 10 9 3" xfId="3001"/>
    <cellStyle name="Calculation 2 11" xfId="196"/>
    <cellStyle name="Calculation 2 11 10" xfId="197"/>
    <cellStyle name="Calculation 2 11 10 2" xfId="2604"/>
    <cellStyle name="Calculation 2 11 10 3" xfId="2999"/>
    <cellStyle name="Calculation 2 11 11" xfId="198"/>
    <cellStyle name="Calculation 2 11 11 2" xfId="2605"/>
    <cellStyle name="Calculation 2 11 11 3" xfId="2998"/>
    <cellStyle name="Calculation 2 11 12" xfId="199"/>
    <cellStyle name="Calculation 2 11 12 2" xfId="2606"/>
    <cellStyle name="Calculation 2 11 12 3" xfId="2997"/>
    <cellStyle name="Calculation 2 11 13" xfId="200"/>
    <cellStyle name="Calculation 2 11 13 2" xfId="2607"/>
    <cellStyle name="Calculation 2 11 13 3" xfId="2996"/>
    <cellStyle name="Calculation 2 11 14" xfId="201"/>
    <cellStyle name="Calculation 2 11 14 2" xfId="2608"/>
    <cellStyle name="Calculation 2 11 14 3" xfId="2995"/>
    <cellStyle name="Calculation 2 11 15" xfId="202"/>
    <cellStyle name="Calculation 2 11 15 2" xfId="2609"/>
    <cellStyle name="Calculation 2 11 15 3" xfId="2994"/>
    <cellStyle name="Calculation 2 11 16" xfId="203"/>
    <cellStyle name="Calculation 2 11 16 2" xfId="2610"/>
    <cellStyle name="Calculation 2 11 16 3" xfId="2993"/>
    <cellStyle name="Calculation 2 11 17" xfId="204"/>
    <cellStyle name="Calculation 2 11 17 2" xfId="2611"/>
    <cellStyle name="Calculation 2 11 17 3" xfId="2992"/>
    <cellStyle name="Calculation 2 11 18" xfId="205"/>
    <cellStyle name="Calculation 2 11 18 2" xfId="2612"/>
    <cellStyle name="Calculation 2 11 18 3" xfId="2991"/>
    <cellStyle name="Calculation 2 11 19" xfId="206"/>
    <cellStyle name="Calculation 2 11 19 2" xfId="2613"/>
    <cellStyle name="Calculation 2 11 19 3" xfId="2990"/>
    <cellStyle name="Calculation 2 11 2" xfId="207"/>
    <cellStyle name="Calculation 2 11 2 2" xfId="2614"/>
    <cellStyle name="Calculation 2 11 2 3" xfId="2989"/>
    <cellStyle name="Calculation 2 11 20" xfId="208"/>
    <cellStyle name="Calculation 2 11 20 2" xfId="2615"/>
    <cellStyle name="Calculation 2 11 20 3" xfId="2988"/>
    <cellStyle name="Calculation 2 11 21" xfId="209"/>
    <cellStyle name="Calculation 2 11 21 2" xfId="2616"/>
    <cellStyle name="Calculation 2 11 21 3" xfId="2987"/>
    <cellStyle name="Calculation 2 11 22" xfId="210"/>
    <cellStyle name="Calculation 2 11 22 2" xfId="2617"/>
    <cellStyle name="Calculation 2 11 22 3" xfId="2986"/>
    <cellStyle name="Calculation 2 11 23" xfId="211"/>
    <cellStyle name="Calculation 2 11 23 2" xfId="2618"/>
    <cellStyle name="Calculation 2 11 23 3" xfId="2985"/>
    <cellStyle name="Calculation 2 11 24" xfId="2603"/>
    <cellStyle name="Calculation 2 11 25" xfId="3000"/>
    <cellStyle name="Calculation 2 11 3" xfId="212"/>
    <cellStyle name="Calculation 2 11 3 2" xfId="2619"/>
    <cellStyle name="Calculation 2 11 3 3" xfId="2984"/>
    <cellStyle name="Calculation 2 11 4" xfId="213"/>
    <cellStyle name="Calculation 2 11 4 2" xfId="2620"/>
    <cellStyle name="Calculation 2 11 4 3" xfId="4731"/>
    <cellStyle name="Calculation 2 11 5" xfId="214"/>
    <cellStyle name="Calculation 2 11 5 2" xfId="2621"/>
    <cellStyle name="Calculation 2 11 5 3" xfId="2983"/>
    <cellStyle name="Calculation 2 11 6" xfId="215"/>
    <cellStyle name="Calculation 2 11 6 2" xfId="2622"/>
    <cellStyle name="Calculation 2 11 6 3" xfId="2982"/>
    <cellStyle name="Calculation 2 11 7" xfId="216"/>
    <cellStyle name="Calculation 2 11 7 2" xfId="2623"/>
    <cellStyle name="Calculation 2 11 7 3" xfId="2981"/>
    <cellStyle name="Calculation 2 11 8" xfId="217"/>
    <cellStyle name="Calculation 2 11 8 2" xfId="2624"/>
    <cellStyle name="Calculation 2 11 8 3" xfId="2980"/>
    <cellStyle name="Calculation 2 11 9" xfId="218"/>
    <cellStyle name="Calculation 2 11 9 2" xfId="2625"/>
    <cellStyle name="Calculation 2 11 9 3" xfId="2979"/>
    <cellStyle name="Calculation 2 12" xfId="219"/>
    <cellStyle name="Calculation 2 12 10" xfId="220"/>
    <cellStyle name="Calculation 2 12 10 2" xfId="2627"/>
    <cellStyle name="Calculation 2 12 10 3" xfId="2977"/>
    <cellStyle name="Calculation 2 12 11" xfId="221"/>
    <cellStyle name="Calculation 2 12 11 2" xfId="2628"/>
    <cellStyle name="Calculation 2 12 11 3" xfId="2976"/>
    <cellStyle name="Calculation 2 12 12" xfId="222"/>
    <cellStyle name="Calculation 2 12 12 2" xfId="2629"/>
    <cellStyle name="Calculation 2 12 12 3" xfId="4730"/>
    <cellStyle name="Calculation 2 12 13" xfId="223"/>
    <cellStyle name="Calculation 2 12 13 2" xfId="2630"/>
    <cellStyle name="Calculation 2 12 13 3" xfId="2975"/>
    <cellStyle name="Calculation 2 12 14" xfId="224"/>
    <cellStyle name="Calculation 2 12 14 2" xfId="2631"/>
    <cellStyle name="Calculation 2 12 14 3" xfId="2974"/>
    <cellStyle name="Calculation 2 12 15" xfId="225"/>
    <cellStyle name="Calculation 2 12 15 2" xfId="2632"/>
    <cellStyle name="Calculation 2 12 15 3" xfId="2973"/>
    <cellStyle name="Calculation 2 12 16" xfId="226"/>
    <cellStyle name="Calculation 2 12 16 2" xfId="2633"/>
    <cellStyle name="Calculation 2 12 16 3" xfId="2972"/>
    <cellStyle name="Calculation 2 12 17" xfId="227"/>
    <cellStyle name="Calculation 2 12 17 2" xfId="2634"/>
    <cellStyle name="Calculation 2 12 17 3" xfId="2971"/>
    <cellStyle name="Calculation 2 12 18" xfId="228"/>
    <cellStyle name="Calculation 2 12 18 2" xfId="2635"/>
    <cellStyle name="Calculation 2 12 18 3" xfId="2970"/>
    <cellStyle name="Calculation 2 12 19" xfId="229"/>
    <cellStyle name="Calculation 2 12 19 2" xfId="2636"/>
    <cellStyle name="Calculation 2 12 19 3" xfId="2969"/>
    <cellStyle name="Calculation 2 12 2" xfId="230"/>
    <cellStyle name="Calculation 2 12 2 2" xfId="2637"/>
    <cellStyle name="Calculation 2 12 2 3" xfId="2968"/>
    <cellStyle name="Calculation 2 12 20" xfId="231"/>
    <cellStyle name="Calculation 2 12 20 2" xfId="2638"/>
    <cellStyle name="Calculation 2 12 20 3" xfId="2967"/>
    <cellStyle name="Calculation 2 12 21" xfId="232"/>
    <cellStyle name="Calculation 2 12 21 2" xfId="2639"/>
    <cellStyle name="Calculation 2 12 21 3" xfId="2966"/>
    <cellStyle name="Calculation 2 12 22" xfId="233"/>
    <cellStyle name="Calculation 2 12 22 2" xfId="2640"/>
    <cellStyle name="Calculation 2 12 22 3" xfId="2965"/>
    <cellStyle name="Calculation 2 12 23" xfId="234"/>
    <cellStyle name="Calculation 2 12 23 2" xfId="2641"/>
    <cellStyle name="Calculation 2 12 23 3" xfId="2964"/>
    <cellStyle name="Calculation 2 12 24" xfId="2626"/>
    <cellStyle name="Calculation 2 12 25" xfId="2978"/>
    <cellStyle name="Calculation 2 12 3" xfId="235"/>
    <cellStyle name="Calculation 2 12 3 2" xfId="2642"/>
    <cellStyle name="Calculation 2 12 3 3" xfId="2963"/>
    <cellStyle name="Calculation 2 12 4" xfId="236"/>
    <cellStyle name="Calculation 2 12 4 2" xfId="2643"/>
    <cellStyle name="Calculation 2 12 4 3" xfId="2962"/>
    <cellStyle name="Calculation 2 12 5" xfId="237"/>
    <cellStyle name="Calculation 2 12 5 2" xfId="2644"/>
    <cellStyle name="Calculation 2 12 5 3" xfId="2961"/>
    <cellStyle name="Calculation 2 12 6" xfId="238"/>
    <cellStyle name="Calculation 2 12 6 2" xfId="2645"/>
    <cellStyle name="Calculation 2 12 6 3" xfId="2960"/>
    <cellStyle name="Calculation 2 12 7" xfId="239"/>
    <cellStyle name="Calculation 2 12 7 2" xfId="2646"/>
    <cellStyle name="Calculation 2 12 7 3" xfId="2959"/>
    <cellStyle name="Calculation 2 12 8" xfId="240"/>
    <cellStyle name="Calculation 2 12 8 2" xfId="2647"/>
    <cellStyle name="Calculation 2 12 8 3" xfId="2958"/>
    <cellStyle name="Calculation 2 12 9" xfId="241"/>
    <cellStyle name="Calculation 2 12 9 2" xfId="2648"/>
    <cellStyle name="Calculation 2 12 9 3" xfId="2957"/>
    <cellStyle name="Calculation 2 13" xfId="242"/>
    <cellStyle name="Calculation 2 13 10" xfId="243"/>
    <cellStyle name="Calculation 2 13 10 2" xfId="2650"/>
    <cellStyle name="Calculation 2 13 10 3" xfId="2955"/>
    <cellStyle name="Calculation 2 13 11" xfId="244"/>
    <cellStyle name="Calculation 2 13 11 2" xfId="2651"/>
    <cellStyle name="Calculation 2 13 11 3" xfId="2954"/>
    <cellStyle name="Calculation 2 13 12" xfId="245"/>
    <cellStyle name="Calculation 2 13 12 2" xfId="2652"/>
    <cellStyle name="Calculation 2 13 12 3" xfId="2953"/>
    <cellStyle name="Calculation 2 13 13" xfId="246"/>
    <cellStyle name="Calculation 2 13 13 2" xfId="2653"/>
    <cellStyle name="Calculation 2 13 13 3" xfId="2952"/>
    <cellStyle name="Calculation 2 13 14" xfId="247"/>
    <cellStyle name="Calculation 2 13 14 2" xfId="2654"/>
    <cellStyle name="Calculation 2 13 14 3" xfId="2951"/>
    <cellStyle name="Calculation 2 13 15" xfId="248"/>
    <cellStyle name="Calculation 2 13 15 2" xfId="2655"/>
    <cellStyle name="Calculation 2 13 15 3" xfId="2950"/>
    <cellStyle name="Calculation 2 13 16" xfId="249"/>
    <cellStyle name="Calculation 2 13 16 2" xfId="2656"/>
    <cellStyle name="Calculation 2 13 16 3" xfId="2949"/>
    <cellStyle name="Calculation 2 13 17" xfId="250"/>
    <cellStyle name="Calculation 2 13 17 2" xfId="2657"/>
    <cellStyle name="Calculation 2 13 17 3" xfId="2948"/>
    <cellStyle name="Calculation 2 13 18" xfId="251"/>
    <cellStyle name="Calculation 2 13 18 2" xfId="2658"/>
    <cellStyle name="Calculation 2 13 18 3" xfId="2947"/>
    <cellStyle name="Calculation 2 13 19" xfId="252"/>
    <cellStyle name="Calculation 2 13 19 2" xfId="2659"/>
    <cellStyle name="Calculation 2 13 19 3" xfId="2946"/>
    <cellStyle name="Calculation 2 13 2" xfId="253"/>
    <cellStyle name="Calculation 2 13 2 2" xfId="2660"/>
    <cellStyle name="Calculation 2 13 2 3" xfId="2945"/>
    <cellStyle name="Calculation 2 13 20" xfId="254"/>
    <cellStyle name="Calculation 2 13 20 2" xfId="2661"/>
    <cellStyle name="Calculation 2 13 20 3" xfId="2944"/>
    <cellStyle name="Calculation 2 13 21" xfId="255"/>
    <cellStyle name="Calculation 2 13 21 2" xfId="2662"/>
    <cellStyle name="Calculation 2 13 21 3" xfId="2943"/>
    <cellStyle name="Calculation 2 13 22" xfId="256"/>
    <cellStyle name="Calculation 2 13 22 2" xfId="2663"/>
    <cellStyle name="Calculation 2 13 22 3" xfId="2942"/>
    <cellStyle name="Calculation 2 13 23" xfId="257"/>
    <cellStyle name="Calculation 2 13 23 2" xfId="2664"/>
    <cellStyle name="Calculation 2 13 23 3" xfId="2941"/>
    <cellStyle name="Calculation 2 13 24" xfId="2649"/>
    <cellStyle name="Calculation 2 13 25" xfId="2956"/>
    <cellStyle name="Calculation 2 13 3" xfId="258"/>
    <cellStyle name="Calculation 2 13 3 2" xfId="2665"/>
    <cellStyle name="Calculation 2 13 3 3" xfId="2940"/>
    <cellStyle name="Calculation 2 13 4" xfId="259"/>
    <cellStyle name="Calculation 2 13 4 2" xfId="2666"/>
    <cellStyle name="Calculation 2 13 4 3" xfId="2939"/>
    <cellStyle name="Calculation 2 13 5" xfId="260"/>
    <cellStyle name="Calculation 2 13 5 2" xfId="2667"/>
    <cellStyle name="Calculation 2 13 5 3" xfId="2938"/>
    <cellStyle name="Calculation 2 13 6" xfId="261"/>
    <cellStyle name="Calculation 2 13 6 2" xfId="2668"/>
    <cellStyle name="Calculation 2 13 6 3" xfId="2937"/>
    <cellStyle name="Calculation 2 13 7" xfId="262"/>
    <cellStyle name="Calculation 2 13 7 2" xfId="2669"/>
    <cellStyle name="Calculation 2 13 7 3" xfId="2936"/>
    <cellStyle name="Calculation 2 13 8" xfId="263"/>
    <cellStyle name="Calculation 2 13 8 2" xfId="2670"/>
    <cellStyle name="Calculation 2 13 8 3" xfId="2935"/>
    <cellStyle name="Calculation 2 13 9" xfId="264"/>
    <cellStyle name="Calculation 2 13 9 2" xfId="2671"/>
    <cellStyle name="Calculation 2 13 9 3" xfId="2934"/>
    <cellStyle name="Calculation 2 14" xfId="265"/>
    <cellStyle name="Calculation 2 14 10" xfId="266"/>
    <cellStyle name="Calculation 2 14 10 2" xfId="2673"/>
    <cellStyle name="Calculation 2 14 10 3" xfId="2932"/>
    <cellStyle name="Calculation 2 14 11" xfId="267"/>
    <cellStyle name="Calculation 2 14 11 2" xfId="2674"/>
    <cellStyle name="Calculation 2 14 11 3" xfId="2931"/>
    <cellStyle name="Calculation 2 14 12" xfId="268"/>
    <cellStyle name="Calculation 2 14 12 2" xfId="2675"/>
    <cellStyle name="Calculation 2 14 12 3" xfId="2930"/>
    <cellStyle name="Calculation 2 14 13" xfId="269"/>
    <cellStyle name="Calculation 2 14 13 2" xfId="2676"/>
    <cellStyle name="Calculation 2 14 13 3" xfId="2929"/>
    <cellStyle name="Calculation 2 14 14" xfId="270"/>
    <cellStyle name="Calculation 2 14 14 2" xfId="2677"/>
    <cellStyle name="Calculation 2 14 14 3" xfId="2928"/>
    <cellStyle name="Calculation 2 14 15" xfId="271"/>
    <cellStyle name="Calculation 2 14 15 2" xfId="2678"/>
    <cellStyle name="Calculation 2 14 15 3" xfId="2927"/>
    <cellStyle name="Calculation 2 14 16" xfId="272"/>
    <cellStyle name="Calculation 2 14 16 2" xfId="2679"/>
    <cellStyle name="Calculation 2 14 16 3" xfId="2926"/>
    <cellStyle name="Calculation 2 14 17" xfId="273"/>
    <cellStyle name="Calculation 2 14 17 2" xfId="2680"/>
    <cellStyle name="Calculation 2 14 17 3" xfId="2481"/>
    <cellStyle name="Calculation 2 14 18" xfId="274"/>
    <cellStyle name="Calculation 2 14 18 2" xfId="2681"/>
    <cellStyle name="Calculation 2 14 18 3" xfId="2480"/>
    <cellStyle name="Calculation 2 14 19" xfId="275"/>
    <cellStyle name="Calculation 2 14 19 2" xfId="2682"/>
    <cellStyle name="Calculation 2 14 19 3" xfId="2479"/>
    <cellStyle name="Calculation 2 14 2" xfId="276"/>
    <cellStyle name="Calculation 2 14 2 2" xfId="2683"/>
    <cellStyle name="Calculation 2 14 2 3" xfId="2478"/>
    <cellStyle name="Calculation 2 14 20" xfId="277"/>
    <cellStyle name="Calculation 2 14 20 2" xfId="2684"/>
    <cellStyle name="Calculation 2 14 20 3" xfId="2477"/>
    <cellStyle name="Calculation 2 14 21" xfId="278"/>
    <cellStyle name="Calculation 2 14 21 2" xfId="2685"/>
    <cellStyle name="Calculation 2 14 21 3" xfId="2493"/>
    <cellStyle name="Calculation 2 14 22" xfId="279"/>
    <cellStyle name="Calculation 2 14 22 2" xfId="2686"/>
    <cellStyle name="Calculation 2 14 22 3" xfId="2925"/>
    <cellStyle name="Calculation 2 14 23" xfId="280"/>
    <cellStyle name="Calculation 2 14 23 2" xfId="2687"/>
    <cellStyle name="Calculation 2 14 23 3" xfId="2924"/>
    <cellStyle name="Calculation 2 14 24" xfId="2672"/>
    <cellStyle name="Calculation 2 14 25" xfId="2933"/>
    <cellStyle name="Calculation 2 14 3" xfId="281"/>
    <cellStyle name="Calculation 2 14 3 2" xfId="2688"/>
    <cellStyle name="Calculation 2 14 3 3" xfId="2476"/>
    <cellStyle name="Calculation 2 14 4" xfId="282"/>
    <cellStyle name="Calculation 2 14 4 2" xfId="2689"/>
    <cellStyle name="Calculation 2 14 4 3" xfId="2492"/>
    <cellStyle name="Calculation 2 14 5" xfId="283"/>
    <cellStyle name="Calculation 2 14 5 2" xfId="2690"/>
    <cellStyle name="Calculation 2 14 5 3" xfId="2578"/>
    <cellStyle name="Calculation 2 14 6" xfId="284"/>
    <cellStyle name="Calculation 2 14 6 2" xfId="2691"/>
    <cellStyle name="Calculation 2 14 6 3" xfId="2577"/>
    <cellStyle name="Calculation 2 14 7" xfId="285"/>
    <cellStyle name="Calculation 2 14 7 2" xfId="2692"/>
    <cellStyle name="Calculation 2 14 7 3" xfId="2474"/>
    <cellStyle name="Calculation 2 14 8" xfId="286"/>
    <cellStyle name="Calculation 2 14 8 2" xfId="2693"/>
    <cellStyle name="Calculation 2 14 8 3" xfId="2576"/>
    <cellStyle name="Calculation 2 14 9" xfId="287"/>
    <cellStyle name="Calculation 2 14 9 2" xfId="2694"/>
    <cellStyle name="Calculation 2 14 9 3" xfId="2575"/>
    <cellStyle name="Calculation 2 15" xfId="288"/>
    <cellStyle name="Calculation 2 15 10" xfId="289"/>
    <cellStyle name="Calculation 2 15 10 2" xfId="2696"/>
    <cellStyle name="Calculation 2 15 10 3" xfId="2573"/>
    <cellStyle name="Calculation 2 15 11" xfId="290"/>
    <cellStyle name="Calculation 2 15 11 2" xfId="2697"/>
    <cellStyle name="Calculation 2 15 11 3" xfId="2572"/>
    <cellStyle name="Calculation 2 15 12" xfId="291"/>
    <cellStyle name="Calculation 2 15 12 2" xfId="2698"/>
    <cellStyle name="Calculation 2 15 12 3" xfId="2571"/>
    <cellStyle name="Calculation 2 15 13" xfId="292"/>
    <cellStyle name="Calculation 2 15 13 2" xfId="2699"/>
    <cellStyle name="Calculation 2 15 13 3" xfId="2570"/>
    <cellStyle name="Calculation 2 15 14" xfId="293"/>
    <cellStyle name="Calculation 2 15 14 2" xfId="2700"/>
    <cellStyle name="Calculation 2 15 14 3" xfId="2569"/>
    <cellStyle name="Calculation 2 15 15" xfId="294"/>
    <cellStyle name="Calculation 2 15 15 2" xfId="2701"/>
    <cellStyle name="Calculation 2 15 15 3" xfId="2473"/>
    <cellStyle name="Calculation 2 15 16" xfId="295"/>
    <cellStyle name="Calculation 2 15 16 2" xfId="2702"/>
    <cellStyle name="Calculation 2 15 16 3" xfId="2568"/>
    <cellStyle name="Calculation 2 15 17" xfId="296"/>
    <cellStyle name="Calculation 2 15 17 2" xfId="2703"/>
    <cellStyle name="Calculation 2 15 17 3" xfId="2567"/>
    <cellStyle name="Calculation 2 15 18" xfId="297"/>
    <cellStyle name="Calculation 2 15 18 2" xfId="2704"/>
    <cellStyle name="Calculation 2 15 18 3" xfId="2472"/>
    <cellStyle name="Calculation 2 15 19" xfId="298"/>
    <cellStyle name="Calculation 2 15 19 2" xfId="2705"/>
    <cellStyle name="Calculation 2 15 19 3" xfId="2566"/>
    <cellStyle name="Calculation 2 15 2" xfId="299"/>
    <cellStyle name="Calculation 2 15 2 2" xfId="2706"/>
    <cellStyle name="Calculation 2 15 2 3" xfId="2565"/>
    <cellStyle name="Calculation 2 15 20" xfId="300"/>
    <cellStyle name="Calculation 2 15 20 2" xfId="2707"/>
    <cellStyle name="Calculation 2 15 20 3" xfId="2471"/>
    <cellStyle name="Calculation 2 15 21" xfId="301"/>
    <cellStyle name="Calculation 2 15 21 2" xfId="2708"/>
    <cellStyle name="Calculation 2 15 21 3" xfId="2564"/>
    <cellStyle name="Calculation 2 15 22" xfId="302"/>
    <cellStyle name="Calculation 2 15 22 2" xfId="2709"/>
    <cellStyle name="Calculation 2 15 22 3" xfId="2563"/>
    <cellStyle name="Calculation 2 15 23" xfId="303"/>
    <cellStyle name="Calculation 2 15 23 2" xfId="2710"/>
    <cellStyle name="Calculation 2 15 23 3" xfId="2470"/>
    <cellStyle name="Calculation 2 15 24" xfId="2695"/>
    <cellStyle name="Calculation 2 15 25" xfId="2574"/>
    <cellStyle name="Calculation 2 15 3" xfId="304"/>
    <cellStyle name="Calculation 2 15 3 2" xfId="2711"/>
    <cellStyle name="Calculation 2 15 3 3" xfId="2562"/>
    <cellStyle name="Calculation 2 15 4" xfId="305"/>
    <cellStyle name="Calculation 2 15 4 2" xfId="2712"/>
    <cellStyle name="Calculation 2 15 4 3" xfId="2561"/>
    <cellStyle name="Calculation 2 15 5" xfId="306"/>
    <cellStyle name="Calculation 2 15 5 2" xfId="2713"/>
    <cellStyle name="Calculation 2 15 5 3" xfId="2469"/>
    <cellStyle name="Calculation 2 15 6" xfId="307"/>
    <cellStyle name="Calculation 2 15 6 2" xfId="2714"/>
    <cellStyle name="Calculation 2 15 6 3" xfId="2560"/>
    <cellStyle name="Calculation 2 15 7" xfId="308"/>
    <cellStyle name="Calculation 2 15 7 2" xfId="2715"/>
    <cellStyle name="Calculation 2 15 7 3" xfId="2559"/>
    <cellStyle name="Calculation 2 15 8" xfId="309"/>
    <cellStyle name="Calculation 2 15 8 2" xfId="2716"/>
    <cellStyle name="Calculation 2 15 8 3" xfId="2468"/>
    <cellStyle name="Calculation 2 15 9" xfId="310"/>
    <cellStyle name="Calculation 2 15 9 2" xfId="2717"/>
    <cellStyle name="Calculation 2 15 9 3" xfId="2558"/>
    <cellStyle name="Calculation 2 16" xfId="311"/>
    <cellStyle name="Calculation 2 16 2" xfId="2718"/>
    <cellStyle name="Calculation 2 16 3" xfId="2557"/>
    <cellStyle name="Calculation 2 17" xfId="312"/>
    <cellStyle name="Calculation 2 17 2" xfId="2719"/>
    <cellStyle name="Calculation 2 17 3" xfId="2556"/>
    <cellStyle name="Calculation 2 18" xfId="313"/>
    <cellStyle name="Calculation 2 18 2" xfId="2720"/>
    <cellStyle name="Calculation 2 18 3" xfId="2555"/>
    <cellStyle name="Calculation 2 19" xfId="314"/>
    <cellStyle name="Calculation 2 19 2" xfId="2721"/>
    <cellStyle name="Calculation 2 19 3" xfId="2554"/>
    <cellStyle name="Calculation 2 2" xfId="315"/>
    <cellStyle name="Calculation 2 2 10" xfId="316"/>
    <cellStyle name="Calculation 2 2 10 2" xfId="2723"/>
    <cellStyle name="Calculation 2 2 10 3" xfId="2552"/>
    <cellStyle name="Calculation 2 2 11" xfId="317"/>
    <cellStyle name="Calculation 2 2 11 2" xfId="2724"/>
    <cellStyle name="Calculation 2 2 11 3" xfId="2551"/>
    <cellStyle name="Calculation 2 2 12" xfId="318"/>
    <cellStyle name="Calculation 2 2 12 2" xfId="2725"/>
    <cellStyle name="Calculation 2 2 12 3" xfId="2467"/>
    <cellStyle name="Calculation 2 2 13" xfId="319"/>
    <cellStyle name="Calculation 2 2 13 2" xfId="2726"/>
    <cellStyle name="Calculation 2 2 13 3" xfId="2550"/>
    <cellStyle name="Calculation 2 2 14" xfId="320"/>
    <cellStyle name="Calculation 2 2 14 2" xfId="2727"/>
    <cellStyle name="Calculation 2 2 14 3" xfId="2549"/>
    <cellStyle name="Calculation 2 2 15" xfId="321"/>
    <cellStyle name="Calculation 2 2 15 2" xfId="2728"/>
    <cellStyle name="Calculation 2 2 15 3" xfId="2466"/>
    <cellStyle name="Calculation 2 2 16" xfId="322"/>
    <cellStyle name="Calculation 2 2 16 2" xfId="2729"/>
    <cellStyle name="Calculation 2 2 16 3" xfId="2548"/>
    <cellStyle name="Calculation 2 2 17" xfId="323"/>
    <cellStyle name="Calculation 2 2 17 2" xfId="2730"/>
    <cellStyle name="Calculation 2 2 17 3" xfId="2547"/>
    <cellStyle name="Calculation 2 2 18" xfId="324"/>
    <cellStyle name="Calculation 2 2 18 2" xfId="2731"/>
    <cellStyle name="Calculation 2 2 18 3" xfId="2465"/>
    <cellStyle name="Calculation 2 2 19" xfId="325"/>
    <cellStyle name="Calculation 2 2 19 2" xfId="2732"/>
    <cellStyle name="Calculation 2 2 19 3" xfId="2546"/>
    <cellStyle name="Calculation 2 2 2" xfId="326"/>
    <cellStyle name="Calculation 2 2 2 2" xfId="2733"/>
    <cellStyle name="Calculation 2 2 2 3" xfId="2545"/>
    <cellStyle name="Calculation 2 2 20" xfId="327"/>
    <cellStyle name="Calculation 2 2 20 2" xfId="2734"/>
    <cellStyle name="Calculation 2 2 20 3" xfId="2464"/>
    <cellStyle name="Calculation 2 2 21" xfId="328"/>
    <cellStyle name="Calculation 2 2 21 2" xfId="2735"/>
    <cellStyle name="Calculation 2 2 21 3" xfId="2544"/>
    <cellStyle name="Calculation 2 2 22" xfId="329"/>
    <cellStyle name="Calculation 2 2 22 2" xfId="2736"/>
    <cellStyle name="Calculation 2 2 22 3" xfId="2543"/>
    <cellStyle name="Calculation 2 2 23" xfId="330"/>
    <cellStyle name="Calculation 2 2 23 2" xfId="2737"/>
    <cellStyle name="Calculation 2 2 23 3" xfId="2463"/>
    <cellStyle name="Calculation 2 2 24" xfId="2722"/>
    <cellStyle name="Calculation 2 2 25" xfId="2553"/>
    <cellStyle name="Calculation 2 2 3" xfId="331"/>
    <cellStyle name="Calculation 2 2 3 2" xfId="2738"/>
    <cellStyle name="Calculation 2 2 3 3" xfId="2542"/>
    <cellStyle name="Calculation 2 2 4" xfId="332"/>
    <cellStyle name="Calculation 2 2 4 2" xfId="2739"/>
    <cellStyle name="Calculation 2 2 4 3" xfId="2541"/>
    <cellStyle name="Calculation 2 2 5" xfId="333"/>
    <cellStyle name="Calculation 2 2 5 2" xfId="2740"/>
    <cellStyle name="Calculation 2 2 5 3" xfId="2462"/>
    <cellStyle name="Calculation 2 2 6" xfId="334"/>
    <cellStyle name="Calculation 2 2 6 2" xfId="2741"/>
    <cellStyle name="Calculation 2 2 6 3" xfId="2540"/>
    <cellStyle name="Calculation 2 2 7" xfId="335"/>
    <cellStyle name="Calculation 2 2 7 2" xfId="2742"/>
    <cellStyle name="Calculation 2 2 7 3" xfId="2539"/>
    <cellStyle name="Calculation 2 2 8" xfId="336"/>
    <cellStyle name="Calculation 2 2 8 2" xfId="2743"/>
    <cellStyle name="Calculation 2 2 8 3" xfId="2538"/>
    <cellStyle name="Calculation 2 2 9" xfId="337"/>
    <cellStyle name="Calculation 2 2 9 2" xfId="2744"/>
    <cellStyle name="Calculation 2 2 9 3" xfId="2537"/>
    <cellStyle name="Calculation 2 20" xfId="338"/>
    <cellStyle name="Calculation 2 20 2" xfId="2745"/>
    <cellStyle name="Calculation 2 20 3" xfId="2536"/>
    <cellStyle name="Calculation 2 21" xfId="339"/>
    <cellStyle name="Calculation 2 21 2" xfId="2746"/>
    <cellStyle name="Calculation 2 21 3" xfId="2535"/>
    <cellStyle name="Calculation 2 22" xfId="340"/>
    <cellStyle name="Calculation 2 22 2" xfId="2747"/>
    <cellStyle name="Calculation 2 22 3" xfId="2534"/>
    <cellStyle name="Calculation 2 23" xfId="341"/>
    <cellStyle name="Calculation 2 23 2" xfId="2748"/>
    <cellStyle name="Calculation 2 23 3" xfId="2533"/>
    <cellStyle name="Calculation 2 24" xfId="342"/>
    <cellStyle name="Calculation 2 24 2" xfId="2749"/>
    <cellStyle name="Calculation 2 24 3" xfId="2461"/>
    <cellStyle name="Calculation 2 25" xfId="343"/>
    <cellStyle name="Calculation 2 25 2" xfId="2750"/>
    <cellStyle name="Calculation 2 25 3" xfId="2532"/>
    <cellStyle name="Calculation 2 26" xfId="344"/>
    <cellStyle name="Calculation 2 26 2" xfId="2751"/>
    <cellStyle name="Calculation 2 26 3" xfId="2531"/>
    <cellStyle name="Calculation 2 27" xfId="345"/>
    <cellStyle name="Calculation 2 27 2" xfId="2752"/>
    <cellStyle name="Calculation 2 27 3" xfId="2460"/>
    <cellStyle name="Calculation 2 28" xfId="346"/>
    <cellStyle name="Calculation 2 28 2" xfId="2753"/>
    <cellStyle name="Calculation 2 28 3" xfId="2530"/>
    <cellStyle name="Calculation 2 29" xfId="347"/>
    <cellStyle name="Calculation 2 29 2" xfId="2754"/>
    <cellStyle name="Calculation 2 29 3" xfId="2529"/>
    <cellStyle name="Calculation 2 3" xfId="348"/>
    <cellStyle name="Calculation 2 3 10" xfId="349"/>
    <cellStyle name="Calculation 2 3 10 2" xfId="2756"/>
    <cellStyle name="Calculation 2 3 10 3" xfId="2528"/>
    <cellStyle name="Calculation 2 3 11" xfId="350"/>
    <cellStyle name="Calculation 2 3 11 2" xfId="2757"/>
    <cellStyle name="Calculation 2 3 11 3" xfId="2527"/>
    <cellStyle name="Calculation 2 3 12" xfId="351"/>
    <cellStyle name="Calculation 2 3 12 2" xfId="2758"/>
    <cellStyle name="Calculation 2 3 12 3" xfId="2458"/>
    <cellStyle name="Calculation 2 3 13" xfId="352"/>
    <cellStyle name="Calculation 2 3 13 2" xfId="2759"/>
    <cellStyle name="Calculation 2 3 13 3" xfId="2526"/>
    <cellStyle name="Calculation 2 3 14" xfId="353"/>
    <cellStyle name="Calculation 2 3 14 2" xfId="2760"/>
    <cellStyle name="Calculation 2 3 14 3" xfId="2525"/>
    <cellStyle name="Calculation 2 3 15" xfId="354"/>
    <cellStyle name="Calculation 2 3 15 2" xfId="2761"/>
    <cellStyle name="Calculation 2 3 15 3" xfId="2457"/>
    <cellStyle name="Calculation 2 3 16" xfId="355"/>
    <cellStyle name="Calculation 2 3 16 2" xfId="2762"/>
    <cellStyle name="Calculation 2 3 16 3" xfId="2524"/>
    <cellStyle name="Calculation 2 3 17" xfId="356"/>
    <cellStyle name="Calculation 2 3 17 2" xfId="2763"/>
    <cellStyle name="Calculation 2 3 17 3" xfId="2523"/>
    <cellStyle name="Calculation 2 3 18" xfId="357"/>
    <cellStyle name="Calculation 2 3 18 2" xfId="2764"/>
    <cellStyle name="Calculation 2 3 18 3" xfId="2456"/>
    <cellStyle name="Calculation 2 3 19" xfId="358"/>
    <cellStyle name="Calculation 2 3 19 2" xfId="2765"/>
    <cellStyle name="Calculation 2 3 19 3" xfId="2522"/>
    <cellStyle name="Calculation 2 3 2" xfId="359"/>
    <cellStyle name="Calculation 2 3 2 2" xfId="2766"/>
    <cellStyle name="Calculation 2 3 2 3" xfId="2521"/>
    <cellStyle name="Calculation 2 3 20" xfId="360"/>
    <cellStyle name="Calculation 2 3 20 2" xfId="2767"/>
    <cellStyle name="Calculation 2 3 20 3" xfId="2520"/>
    <cellStyle name="Calculation 2 3 21" xfId="361"/>
    <cellStyle name="Calculation 2 3 21 2" xfId="2768"/>
    <cellStyle name="Calculation 2 3 21 3" xfId="2519"/>
    <cellStyle name="Calculation 2 3 22" xfId="362"/>
    <cellStyle name="Calculation 2 3 22 2" xfId="2769"/>
    <cellStyle name="Calculation 2 3 22 3" xfId="2518"/>
    <cellStyle name="Calculation 2 3 23" xfId="363"/>
    <cellStyle name="Calculation 2 3 23 2" xfId="2770"/>
    <cellStyle name="Calculation 2 3 23 3" xfId="2517"/>
    <cellStyle name="Calculation 2 3 24" xfId="2755"/>
    <cellStyle name="Calculation 2 3 25" xfId="2459"/>
    <cellStyle name="Calculation 2 3 3" xfId="364"/>
    <cellStyle name="Calculation 2 3 3 2" xfId="2771"/>
    <cellStyle name="Calculation 2 3 3 3" xfId="2516"/>
    <cellStyle name="Calculation 2 3 4" xfId="365"/>
    <cellStyle name="Calculation 2 3 4 2" xfId="2772"/>
    <cellStyle name="Calculation 2 3 4 3" xfId="2515"/>
    <cellStyle name="Calculation 2 3 5" xfId="366"/>
    <cellStyle name="Calculation 2 3 5 2" xfId="2773"/>
    <cellStyle name="Calculation 2 3 5 3" xfId="2455"/>
    <cellStyle name="Calculation 2 3 6" xfId="367"/>
    <cellStyle name="Calculation 2 3 6 2" xfId="2774"/>
    <cellStyle name="Calculation 2 3 6 3" xfId="2514"/>
    <cellStyle name="Calculation 2 3 7" xfId="368"/>
    <cellStyle name="Calculation 2 3 7 2" xfId="2775"/>
    <cellStyle name="Calculation 2 3 7 3" xfId="2513"/>
    <cellStyle name="Calculation 2 3 8" xfId="369"/>
    <cellStyle name="Calculation 2 3 8 2" xfId="2776"/>
    <cellStyle name="Calculation 2 3 8 3" xfId="2454"/>
    <cellStyle name="Calculation 2 3 9" xfId="370"/>
    <cellStyle name="Calculation 2 3 9 2" xfId="2777"/>
    <cellStyle name="Calculation 2 3 9 3" xfId="2512"/>
    <cellStyle name="Calculation 2 30" xfId="371"/>
    <cellStyle name="Calculation 2 30 2" xfId="2778"/>
    <cellStyle name="Calculation 2 30 3" xfId="2511"/>
    <cellStyle name="Calculation 2 31" xfId="372"/>
    <cellStyle name="Calculation 2 31 2" xfId="2779"/>
    <cellStyle name="Calculation 2 31 3" xfId="2453"/>
    <cellStyle name="Calculation 2 32" xfId="373"/>
    <cellStyle name="Calculation 2 32 2" xfId="2780"/>
    <cellStyle name="Calculation 2 32 3" xfId="2510"/>
    <cellStyle name="Calculation 2 33" xfId="374"/>
    <cellStyle name="Calculation 2 33 2" xfId="2781"/>
    <cellStyle name="Calculation 2 33 3" xfId="2509"/>
    <cellStyle name="Calculation 2 34" xfId="375"/>
    <cellStyle name="Calculation 2 34 2" xfId="2782"/>
    <cellStyle name="Calculation 2 34 3" xfId="2452"/>
    <cellStyle name="Calculation 2 35" xfId="376"/>
    <cellStyle name="Calculation 2 35 2" xfId="2783"/>
    <cellStyle name="Calculation 2 35 3" xfId="2508"/>
    <cellStyle name="Calculation 2 36" xfId="377"/>
    <cellStyle name="Calculation 2 36 2" xfId="2784"/>
    <cellStyle name="Calculation 2 36 3" xfId="2507"/>
    <cellStyle name="Calculation 2 37" xfId="378"/>
    <cellStyle name="Calculation 2 37 2" xfId="2785"/>
    <cellStyle name="Calculation 2 37 3" xfId="2451"/>
    <cellStyle name="Calculation 2 38" xfId="2579"/>
    <cellStyle name="Calculation 2 39" xfId="2484"/>
    <cellStyle name="Calculation 2 4" xfId="379"/>
    <cellStyle name="Calculation 2 4 10" xfId="380"/>
    <cellStyle name="Calculation 2 4 10 2" xfId="2787"/>
    <cellStyle name="Calculation 2 4 10 3" xfId="2505"/>
    <cellStyle name="Calculation 2 4 11" xfId="381"/>
    <cellStyle name="Calculation 2 4 11 2" xfId="2788"/>
    <cellStyle name="Calculation 2 4 11 3" xfId="2450"/>
    <cellStyle name="Calculation 2 4 12" xfId="382"/>
    <cellStyle name="Calculation 2 4 12 2" xfId="2789"/>
    <cellStyle name="Calculation 2 4 12 3" xfId="4783"/>
    <cellStyle name="Calculation 2 4 13" xfId="383"/>
    <cellStyle name="Calculation 2 4 13 2" xfId="2790"/>
    <cellStyle name="Calculation 2 4 13 3" xfId="4784"/>
    <cellStyle name="Calculation 2 4 14" xfId="384"/>
    <cellStyle name="Calculation 2 4 14 2" xfId="2791"/>
    <cellStyle name="Calculation 2 4 14 3" xfId="4785"/>
    <cellStyle name="Calculation 2 4 15" xfId="385"/>
    <cellStyle name="Calculation 2 4 15 2" xfId="2792"/>
    <cellStyle name="Calculation 2 4 15 3" xfId="4786"/>
    <cellStyle name="Calculation 2 4 16" xfId="386"/>
    <cellStyle name="Calculation 2 4 16 2" xfId="2793"/>
    <cellStyle name="Calculation 2 4 16 3" xfId="4787"/>
    <cellStyle name="Calculation 2 4 17" xfId="387"/>
    <cellStyle name="Calculation 2 4 17 2" xfId="2794"/>
    <cellStyle name="Calculation 2 4 17 3" xfId="4788"/>
    <cellStyle name="Calculation 2 4 18" xfId="388"/>
    <cellStyle name="Calculation 2 4 18 2" xfId="2795"/>
    <cellStyle name="Calculation 2 4 18 3" xfId="4789"/>
    <cellStyle name="Calculation 2 4 19" xfId="389"/>
    <cellStyle name="Calculation 2 4 19 2" xfId="2796"/>
    <cellStyle name="Calculation 2 4 19 3" xfId="4790"/>
    <cellStyle name="Calculation 2 4 2" xfId="390"/>
    <cellStyle name="Calculation 2 4 2 2" xfId="2797"/>
    <cellStyle name="Calculation 2 4 2 3" xfId="4791"/>
    <cellStyle name="Calculation 2 4 20" xfId="391"/>
    <cellStyle name="Calculation 2 4 20 2" xfId="2798"/>
    <cellStyle name="Calculation 2 4 20 3" xfId="4792"/>
    <cellStyle name="Calculation 2 4 21" xfId="392"/>
    <cellStyle name="Calculation 2 4 21 2" xfId="2799"/>
    <cellStyle name="Calculation 2 4 21 3" xfId="4793"/>
    <cellStyle name="Calculation 2 4 22" xfId="393"/>
    <cellStyle name="Calculation 2 4 22 2" xfId="2800"/>
    <cellStyle name="Calculation 2 4 22 3" xfId="4794"/>
    <cellStyle name="Calculation 2 4 23" xfId="394"/>
    <cellStyle name="Calculation 2 4 23 2" xfId="2801"/>
    <cellStyle name="Calculation 2 4 23 3" xfId="4795"/>
    <cellStyle name="Calculation 2 4 24" xfId="2786"/>
    <cellStyle name="Calculation 2 4 25" xfId="2506"/>
    <cellStyle name="Calculation 2 4 3" xfId="395"/>
    <cellStyle name="Calculation 2 4 3 2" xfId="2802"/>
    <cellStyle name="Calculation 2 4 3 3" xfId="4796"/>
    <cellStyle name="Calculation 2 4 4" xfId="396"/>
    <cellStyle name="Calculation 2 4 4 2" xfId="2803"/>
    <cellStyle name="Calculation 2 4 4 3" xfId="4797"/>
    <cellStyle name="Calculation 2 4 5" xfId="397"/>
    <cellStyle name="Calculation 2 4 5 2" xfId="2804"/>
    <cellStyle name="Calculation 2 4 5 3" xfId="4798"/>
    <cellStyle name="Calculation 2 4 6" xfId="398"/>
    <cellStyle name="Calculation 2 4 6 2" xfId="2805"/>
    <cellStyle name="Calculation 2 4 6 3" xfId="4799"/>
    <cellStyle name="Calculation 2 4 7" xfId="399"/>
    <cellStyle name="Calculation 2 4 7 2" xfId="2806"/>
    <cellStyle name="Calculation 2 4 7 3" xfId="4800"/>
    <cellStyle name="Calculation 2 4 8" xfId="400"/>
    <cellStyle name="Calculation 2 4 8 2" xfId="2807"/>
    <cellStyle name="Calculation 2 4 8 3" xfId="4801"/>
    <cellStyle name="Calculation 2 4 9" xfId="401"/>
    <cellStyle name="Calculation 2 4 9 2" xfId="2808"/>
    <cellStyle name="Calculation 2 4 9 3" xfId="4802"/>
    <cellStyle name="Calculation 2 5" xfId="402"/>
    <cellStyle name="Calculation 2 5 10" xfId="403"/>
    <cellStyle name="Calculation 2 5 10 2" xfId="2810"/>
    <cellStyle name="Calculation 2 5 10 3" xfId="4804"/>
    <cellStyle name="Calculation 2 5 11" xfId="404"/>
    <cellStyle name="Calculation 2 5 11 2" xfId="2811"/>
    <cellStyle name="Calculation 2 5 11 3" xfId="4805"/>
    <cellStyle name="Calculation 2 5 12" xfId="405"/>
    <cellStyle name="Calculation 2 5 12 2" xfId="2812"/>
    <cellStyle name="Calculation 2 5 12 3" xfId="4806"/>
    <cellStyle name="Calculation 2 5 13" xfId="406"/>
    <cellStyle name="Calculation 2 5 13 2" xfId="2813"/>
    <cellStyle name="Calculation 2 5 13 3" xfId="4807"/>
    <cellStyle name="Calculation 2 5 14" xfId="407"/>
    <cellStyle name="Calculation 2 5 14 2" xfId="2814"/>
    <cellStyle name="Calculation 2 5 14 3" xfId="4808"/>
    <cellStyle name="Calculation 2 5 15" xfId="408"/>
    <cellStyle name="Calculation 2 5 15 2" xfId="2815"/>
    <cellStyle name="Calculation 2 5 15 3" xfId="4809"/>
    <cellStyle name="Calculation 2 5 16" xfId="409"/>
    <cellStyle name="Calculation 2 5 16 2" xfId="2816"/>
    <cellStyle name="Calculation 2 5 16 3" xfId="4810"/>
    <cellStyle name="Calculation 2 5 17" xfId="410"/>
    <cellStyle name="Calculation 2 5 17 2" xfId="2817"/>
    <cellStyle name="Calculation 2 5 17 3" xfId="4811"/>
    <cellStyle name="Calculation 2 5 18" xfId="411"/>
    <cellStyle name="Calculation 2 5 18 2" xfId="2818"/>
    <cellStyle name="Calculation 2 5 18 3" xfId="4812"/>
    <cellStyle name="Calculation 2 5 19" xfId="412"/>
    <cellStyle name="Calculation 2 5 19 2" xfId="2819"/>
    <cellStyle name="Calculation 2 5 19 3" xfId="4813"/>
    <cellStyle name="Calculation 2 5 2" xfId="413"/>
    <cellStyle name="Calculation 2 5 2 2" xfId="2820"/>
    <cellStyle name="Calculation 2 5 2 3" xfId="4814"/>
    <cellStyle name="Calculation 2 5 20" xfId="414"/>
    <cellStyle name="Calculation 2 5 20 2" xfId="2821"/>
    <cellStyle name="Calculation 2 5 20 3" xfId="4815"/>
    <cellStyle name="Calculation 2 5 21" xfId="415"/>
    <cellStyle name="Calculation 2 5 21 2" xfId="2822"/>
    <cellStyle name="Calculation 2 5 21 3" xfId="4816"/>
    <cellStyle name="Calculation 2 5 22" xfId="416"/>
    <cellStyle name="Calculation 2 5 22 2" xfId="2823"/>
    <cellStyle name="Calculation 2 5 22 3" xfId="4817"/>
    <cellStyle name="Calculation 2 5 23" xfId="417"/>
    <cellStyle name="Calculation 2 5 23 2" xfId="2824"/>
    <cellStyle name="Calculation 2 5 23 3" xfId="4818"/>
    <cellStyle name="Calculation 2 5 24" xfId="2809"/>
    <cellStyle name="Calculation 2 5 25" xfId="4803"/>
    <cellStyle name="Calculation 2 5 3" xfId="418"/>
    <cellStyle name="Calculation 2 5 3 2" xfId="2825"/>
    <cellStyle name="Calculation 2 5 3 3" xfId="4819"/>
    <cellStyle name="Calculation 2 5 4" xfId="419"/>
    <cellStyle name="Calculation 2 5 4 2" xfId="2826"/>
    <cellStyle name="Calculation 2 5 4 3" xfId="4820"/>
    <cellStyle name="Calculation 2 5 5" xfId="420"/>
    <cellStyle name="Calculation 2 5 5 2" xfId="2827"/>
    <cellStyle name="Calculation 2 5 5 3" xfId="4821"/>
    <cellStyle name="Calculation 2 5 6" xfId="421"/>
    <cellStyle name="Calculation 2 5 6 2" xfId="2828"/>
    <cellStyle name="Calculation 2 5 6 3" xfId="4822"/>
    <cellStyle name="Calculation 2 5 7" xfId="422"/>
    <cellStyle name="Calculation 2 5 7 2" xfId="2829"/>
    <cellStyle name="Calculation 2 5 7 3" xfId="4823"/>
    <cellStyle name="Calculation 2 5 8" xfId="423"/>
    <cellStyle name="Calculation 2 5 8 2" xfId="2830"/>
    <cellStyle name="Calculation 2 5 8 3" xfId="4824"/>
    <cellStyle name="Calculation 2 5 9" xfId="424"/>
    <cellStyle name="Calculation 2 5 9 2" xfId="2831"/>
    <cellStyle name="Calculation 2 5 9 3" xfId="4825"/>
    <cellStyle name="Calculation 2 6" xfId="425"/>
    <cellStyle name="Calculation 2 6 10" xfId="426"/>
    <cellStyle name="Calculation 2 6 10 2" xfId="2833"/>
    <cellStyle name="Calculation 2 6 10 3" xfId="4827"/>
    <cellStyle name="Calculation 2 6 11" xfId="427"/>
    <cellStyle name="Calculation 2 6 11 2" xfId="2834"/>
    <cellStyle name="Calculation 2 6 11 3" xfId="4828"/>
    <cellStyle name="Calculation 2 6 12" xfId="428"/>
    <cellStyle name="Calculation 2 6 12 2" xfId="2835"/>
    <cellStyle name="Calculation 2 6 12 3" xfId="4829"/>
    <cellStyle name="Calculation 2 6 13" xfId="429"/>
    <cellStyle name="Calculation 2 6 13 2" xfId="2836"/>
    <cellStyle name="Calculation 2 6 13 3" xfId="4830"/>
    <cellStyle name="Calculation 2 6 14" xfId="430"/>
    <cellStyle name="Calculation 2 6 14 2" xfId="2837"/>
    <cellStyle name="Calculation 2 6 14 3" xfId="4831"/>
    <cellStyle name="Calculation 2 6 15" xfId="431"/>
    <cellStyle name="Calculation 2 6 15 2" xfId="2838"/>
    <cellStyle name="Calculation 2 6 15 3" xfId="4832"/>
    <cellStyle name="Calculation 2 6 16" xfId="432"/>
    <cellStyle name="Calculation 2 6 16 2" xfId="2839"/>
    <cellStyle name="Calculation 2 6 16 3" xfId="4833"/>
    <cellStyle name="Calculation 2 6 17" xfId="433"/>
    <cellStyle name="Calculation 2 6 17 2" xfId="2840"/>
    <cellStyle name="Calculation 2 6 17 3" xfId="4834"/>
    <cellStyle name="Calculation 2 6 18" xfId="434"/>
    <cellStyle name="Calculation 2 6 18 2" xfId="2841"/>
    <cellStyle name="Calculation 2 6 18 3" xfId="4835"/>
    <cellStyle name="Calculation 2 6 19" xfId="435"/>
    <cellStyle name="Calculation 2 6 19 2" xfId="2842"/>
    <cellStyle name="Calculation 2 6 19 3" xfId="4836"/>
    <cellStyle name="Calculation 2 6 2" xfId="436"/>
    <cellStyle name="Calculation 2 6 2 2" xfId="2843"/>
    <cellStyle name="Calculation 2 6 2 3" xfId="4837"/>
    <cellStyle name="Calculation 2 6 20" xfId="437"/>
    <cellStyle name="Calculation 2 6 20 2" xfId="2844"/>
    <cellStyle name="Calculation 2 6 20 3" xfId="4838"/>
    <cellStyle name="Calculation 2 6 21" xfId="438"/>
    <cellStyle name="Calculation 2 6 21 2" xfId="2845"/>
    <cellStyle name="Calculation 2 6 21 3" xfId="4839"/>
    <cellStyle name="Calculation 2 6 22" xfId="439"/>
    <cellStyle name="Calculation 2 6 22 2" xfId="2846"/>
    <cellStyle name="Calculation 2 6 22 3" xfId="4840"/>
    <cellStyle name="Calculation 2 6 23" xfId="440"/>
    <cellStyle name="Calculation 2 6 23 2" xfId="2847"/>
    <cellStyle name="Calculation 2 6 23 3" xfId="4841"/>
    <cellStyle name="Calculation 2 6 24" xfId="2832"/>
    <cellStyle name="Calculation 2 6 25" xfId="4826"/>
    <cellStyle name="Calculation 2 6 3" xfId="441"/>
    <cellStyle name="Calculation 2 6 3 2" xfId="2848"/>
    <cellStyle name="Calculation 2 6 3 3" xfId="4842"/>
    <cellStyle name="Calculation 2 6 4" xfId="442"/>
    <cellStyle name="Calculation 2 6 4 2" xfId="2849"/>
    <cellStyle name="Calculation 2 6 4 3" xfId="4843"/>
    <cellStyle name="Calculation 2 6 5" xfId="443"/>
    <cellStyle name="Calculation 2 6 5 2" xfId="2850"/>
    <cellStyle name="Calculation 2 6 5 3" xfId="4844"/>
    <cellStyle name="Calculation 2 6 6" xfId="444"/>
    <cellStyle name="Calculation 2 6 6 2" xfId="2851"/>
    <cellStyle name="Calculation 2 6 6 3" xfId="4845"/>
    <cellStyle name="Calculation 2 6 7" xfId="445"/>
    <cellStyle name="Calculation 2 6 7 2" xfId="2852"/>
    <cellStyle name="Calculation 2 6 7 3" xfId="4846"/>
    <cellStyle name="Calculation 2 6 8" xfId="446"/>
    <cellStyle name="Calculation 2 6 8 2" xfId="2853"/>
    <cellStyle name="Calculation 2 6 8 3" xfId="4847"/>
    <cellStyle name="Calculation 2 6 9" xfId="447"/>
    <cellStyle name="Calculation 2 6 9 2" xfId="2854"/>
    <cellStyle name="Calculation 2 6 9 3" xfId="4848"/>
    <cellStyle name="Calculation 2 7" xfId="448"/>
    <cellStyle name="Calculation 2 7 10" xfId="449"/>
    <cellStyle name="Calculation 2 7 10 2" xfId="2856"/>
    <cellStyle name="Calculation 2 7 10 3" xfId="4850"/>
    <cellStyle name="Calculation 2 7 11" xfId="450"/>
    <cellStyle name="Calculation 2 7 11 2" xfId="2857"/>
    <cellStyle name="Calculation 2 7 11 3" xfId="4851"/>
    <cellStyle name="Calculation 2 7 12" xfId="451"/>
    <cellStyle name="Calculation 2 7 12 2" xfId="2858"/>
    <cellStyle name="Calculation 2 7 12 3" xfId="4852"/>
    <cellStyle name="Calculation 2 7 13" xfId="452"/>
    <cellStyle name="Calculation 2 7 13 2" xfId="2859"/>
    <cellStyle name="Calculation 2 7 13 3" xfId="4853"/>
    <cellStyle name="Calculation 2 7 14" xfId="453"/>
    <cellStyle name="Calculation 2 7 14 2" xfId="2860"/>
    <cellStyle name="Calculation 2 7 14 3" xfId="4854"/>
    <cellStyle name="Calculation 2 7 15" xfId="454"/>
    <cellStyle name="Calculation 2 7 15 2" xfId="2861"/>
    <cellStyle name="Calculation 2 7 15 3" xfId="4855"/>
    <cellStyle name="Calculation 2 7 16" xfId="455"/>
    <cellStyle name="Calculation 2 7 16 2" xfId="2862"/>
    <cellStyle name="Calculation 2 7 16 3" xfId="4856"/>
    <cellStyle name="Calculation 2 7 17" xfId="456"/>
    <cellStyle name="Calculation 2 7 17 2" xfId="2863"/>
    <cellStyle name="Calculation 2 7 17 3" xfId="4857"/>
    <cellStyle name="Calculation 2 7 18" xfId="457"/>
    <cellStyle name="Calculation 2 7 18 2" xfId="2864"/>
    <cellStyle name="Calculation 2 7 18 3" xfId="4858"/>
    <cellStyle name="Calculation 2 7 19" xfId="458"/>
    <cellStyle name="Calculation 2 7 19 2" xfId="2865"/>
    <cellStyle name="Calculation 2 7 19 3" xfId="4859"/>
    <cellStyle name="Calculation 2 7 2" xfId="459"/>
    <cellStyle name="Calculation 2 7 2 2" xfId="2866"/>
    <cellStyle name="Calculation 2 7 2 3" xfId="4860"/>
    <cellStyle name="Calculation 2 7 20" xfId="460"/>
    <cellStyle name="Calculation 2 7 20 2" xfId="2867"/>
    <cellStyle name="Calculation 2 7 20 3" xfId="4861"/>
    <cellStyle name="Calculation 2 7 21" xfId="461"/>
    <cellStyle name="Calculation 2 7 21 2" xfId="2868"/>
    <cellStyle name="Calculation 2 7 21 3" xfId="4862"/>
    <cellStyle name="Calculation 2 7 22" xfId="462"/>
    <cellStyle name="Calculation 2 7 22 2" xfId="2869"/>
    <cellStyle name="Calculation 2 7 22 3" xfId="4863"/>
    <cellStyle name="Calculation 2 7 23" xfId="463"/>
    <cellStyle name="Calculation 2 7 23 2" xfId="2870"/>
    <cellStyle name="Calculation 2 7 23 3" xfId="4864"/>
    <cellStyle name="Calculation 2 7 24" xfId="2855"/>
    <cellStyle name="Calculation 2 7 25" xfId="4849"/>
    <cellStyle name="Calculation 2 7 3" xfId="464"/>
    <cellStyle name="Calculation 2 7 3 2" xfId="2871"/>
    <cellStyle name="Calculation 2 7 3 3" xfId="4865"/>
    <cellStyle name="Calculation 2 7 4" xfId="465"/>
    <cellStyle name="Calculation 2 7 4 2" xfId="2872"/>
    <cellStyle name="Calculation 2 7 4 3" xfId="4866"/>
    <cellStyle name="Calculation 2 7 5" xfId="466"/>
    <cellStyle name="Calculation 2 7 5 2" xfId="2873"/>
    <cellStyle name="Calculation 2 7 5 3" xfId="4867"/>
    <cellStyle name="Calculation 2 7 6" xfId="467"/>
    <cellStyle name="Calculation 2 7 6 2" xfId="2874"/>
    <cellStyle name="Calculation 2 7 6 3" xfId="4868"/>
    <cellStyle name="Calculation 2 7 7" xfId="468"/>
    <cellStyle name="Calculation 2 7 7 2" xfId="2875"/>
    <cellStyle name="Calculation 2 7 7 3" xfId="4869"/>
    <cellStyle name="Calculation 2 7 8" xfId="469"/>
    <cellStyle name="Calculation 2 7 8 2" xfId="2876"/>
    <cellStyle name="Calculation 2 7 8 3" xfId="4870"/>
    <cellStyle name="Calculation 2 7 9" xfId="470"/>
    <cellStyle name="Calculation 2 7 9 2" xfId="2877"/>
    <cellStyle name="Calculation 2 7 9 3" xfId="4871"/>
    <cellStyle name="Calculation 2 8" xfId="471"/>
    <cellStyle name="Calculation 2 8 10" xfId="472"/>
    <cellStyle name="Calculation 2 8 10 2" xfId="2879"/>
    <cellStyle name="Calculation 2 8 10 3" xfId="4873"/>
    <cellStyle name="Calculation 2 8 11" xfId="473"/>
    <cellStyle name="Calculation 2 8 11 2" xfId="2880"/>
    <cellStyle name="Calculation 2 8 11 3" xfId="4874"/>
    <cellStyle name="Calculation 2 8 12" xfId="474"/>
    <cellStyle name="Calculation 2 8 12 2" xfId="2881"/>
    <cellStyle name="Calculation 2 8 12 3" xfId="4875"/>
    <cellStyle name="Calculation 2 8 13" xfId="475"/>
    <cellStyle name="Calculation 2 8 13 2" xfId="2882"/>
    <cellStyle name="Calculation 2 8 13 3" xfId="4876"/>
    <cellStyle name="Calculation 2 8 14" xfId="476"/>
    <cellStyle name="Calculation 2 8 14 2" xfId="2883"/>
    <cellStyle name="Calculation 2 8 14 3" xfId="4877"/>
    <cellStyle name="Calculation 2 8 15" xfId="477"/>
    <cellStyle name="Calculation 2 8 15 2" xfId="2884"/>
    <cellStyle name="Calculation 2 8 15 3" xfId="4878"/>
    <cellStyle name="Calculation 2 8 16" xfId="478"/>
    <cellStyle name="Calculation 2 8 16 2" xfId="2885"/>
    <cellStyle name="Calculation 2 8 16 3" xfId="4879"/>
    <cellStyle name="Calculation 2 8 17" xfId="479"/>
    <cellStyle name="Calculation 2 8 17 2" xfId="2886"/>
    <cellStyle name="Calculation 2 8 17 3" xfId="4880"/>
    <cellStyle name="Calculation 2 8 18" xfId="480"/>
    <cellStyle name="Calculation 2 8 18 2" xfId="2887"/>
    <cellStyle name="Calculation 2 8 18 3" xfId="4881"/>
    <cellStyle name="Calculation 2 8 19" xfId="481"/>
    <cellStyle name="Calculation 2 8 19 2" xfId="2888"/>
    <cellStyle name="Calculation 2 8 19 3" xfId="4882"/>
    <cellStyle name="Calculation 2 8 2" xfId="482"/>
    <cellStyle name="Calculation 2 8 2 2" xfId="2889"/>
    <cellStyle name="Calculation 2 8 2 3" xfId="4883"/>
    <cellStyle name="Calculation 2 8 20" xfId="483"/>
    <cellStyle name="Calculation 2 8 20 2" xfId="2890"/>
    <cellStyle name="Calculation 2 8 20 3" xfId="4884"/>
    <cellStyle name="Calculation 2 8 21" xfId="484"/>
    <cellStyle name="Calculation 2 8 21 2" xfId="2891"/>
    <cellStyle name="Calculation 2 8 21 3" xfId="4885"/>
    <cellStyle name="Calculation 2 8 22" xfId="485"/>
    <cellStyle name="Calculation 2 8 22 2" xfId="2892"/>
    <cellStyle name="Calculation 2 8 22 3" xfId="4886"/>
    <cellStyle name="Calculation 2 8 23" xfId="486"/>
    <cellStyle name="Calculation 2 8 23 2" xfId="2893"/>
    <cellStyle name="Calculation 2 8 23 3" xfId="4887"/>
    <cellStyle name="Calculation 2 8 24" xfId="2878"/>
    <cellStyle name="Calculation 2 8 25" xfId="4872"/>
    <cellStyle name="Calculation 2 8 3" xfId="487"/>
    <cellStyle name="Calculation 2 8 3 2" xfId="2894"/>
    <cellStyle name="Calculation 2 8 3 3" xfId="4888"/>
    <cellStyle name="Calculation 2 8 4" xfId="488"/>
    <cellStyle name="Calculation 2 8 4 2" xfId="2895"/>
    <cellStyle name="Calculation 2 8 4 3" xfId="4889"/>
    <cellStyle name="Calculation 2 8 5" xfId="489"/>
    <cellStyle name="Calculation 2 8 5 2" xfId="2896"/>
    <cellStyle name="Calculation 2 8 5 3" xfId="4890"/>
    <cellStyle name="Calculation 2 8 6" xfId="490"/>
    <cellStyle name="Calculation 2 8 6 2" xfId="2897"/>
    <cellStyle name="Calculation 2 8 6 3" xfId="4891"/>
    <cellStyle name="Calculation 2 8 7" xfId="491"/>
    <cellStyle name="Calculation 2 8 7 2" xfId="2898"/>
    <cellStyle name="Calculation 2 8 7 3" xfId="4892"/>
    <cellStyle name="Calculation 2 8 8" xfId="492"/>
    <cellStyle name="Calculation 2 8 8 2" xfId="2899"/>
    <cellStyle name="Calculation 2 8 8 3" xfId="4893"/>
    <cellStyle name="Calculation 2 8 9" xfId="493"/>
    <cellStyle name="Calculation 2 8 9 2" xfId="2900"/>
    <cellStyle name="Calculation 2 8 9 3" xfId="4894"/>
    <cellStyle name="Calculation 2 9" xfId="494"/>
    <cellStyle name="Calculation 2 9 10" xfId="495"/>
    <cellStyle name="Calculation 2 9 10 2" xfId="2902"/>
    <cellStyle name="Calculation 2 9 10 3" xfId="4896"/>
    <cellStyle name="Calculation 2 9 11" xfId="496"/>
    <cellStyle name="Calculation 2 9 11 2" xfId="2903"/>
    <cellStyle name="Calculation 2 9 11 3" xfId="4897"/>
    <cellStyle name="Calculation 2 9 12" xfId="497"/>
    <cellStyle name="Calculation 2 9 12 2" xfId="2904"/>
    <cellStyle name="Calculation 2 9 12 3" xfId="4898"/>
    <cellStyle name="Calculation 2 9 13" xfId="498"/>
    <cellStyle name="Calculation 2 9 13 2" xfId="2905"/>
    <cellStyle name="Calculation 2 9 13 3" xfId="4899"/>
    <cellStyle name="Calculation 2 9 14" xfId="499"/>
    <cellStyle name="Calculation 2 9 14 2" xfId="2906"/>
    <cellStyle name="Calculation 2 9 14 3" xfId="4900"/>
    <cellStyle name="Calculation 2 9 15" xfId="500"/>
    <cellStyle name="Calculation 2 9 15 2" xfId="2907"/>
    <cellStyle name="Calculation 2 9 15 3" xfId="4901"/>
    <cellStyle name="Calculation 2 9 16" xfId="501"/>
    <cellStyle name="Calculation 2 9 16 2" xfId="2908"/>
    <cellStyle name="Calculation 2 9 16 3" xfId="4902"/>
    <cellStyle name="Calculation 2 9 17" xfId="502"/>
    <cellStyle name="Calculation 2 9 17 2" xfId="2909"/>
    <cellStyle name="Calculation 2 9 17 3" xfId="4903"/>
    <cellStyle name="Calculation 2 9 18" xfId="503"/>
    <cellStyle name="Calculation 2 9 18 2" xfId="2910"/>
    <cellStyle name="Calculation 2 9 18 3" xfId="4904"/>
    <cellStyle name="Calculation 2 9 19" xfId="504"/>
    <cellStyle name="Calculation 2 9 19 2" xfId="2911"/>
    <cellStyle name="Calculation 2 9 19 3" xfId="4905"/>
    <cellStyle name="Calculation 2 9 2" xfId="505"/>
    <cellStyle name="Calculation 2 9 2 2" xfId="2912"/>
    <cellStyle name="Calculation 2 9 2 3" xfId="4906"/>
    <cellStyle name="Calculation 2 9 20" xfId="506"/>
    <cellStyle name="Calculation 2 9 20 2" xfId="2913"/>
    <cellStyle name="Calculation 2 9 20 3" xfId="4907"/>
    <cellStyle name="Calculation 2 9 21" xfId="507"/>
    <cellStyle name="Calculation 2 9 21 2" xfId="2914"/>
    <cellStyle name="Calculation 2 9 21 3" xfId="4908"/>
    <cellStyle name="Calculation 2 9 22" xfId="508"/>
    <cellStyle name="Calculation 2 9 22 2" xfId="2915"/>
    <cellStyle name="Calculation 2 9 22 3" xfId="4909"/>
    <cellStyle name="Calculation 2 9 23" xfId="509"/>
    <cellStyle name="Calculation 2 9 23 2" xfId="2916"/>
    <cellStyle name="Calculation 2 9 23 3" xfId="4910"/>
    <cellStyle name="Calculation 2 9 24" xfId="2901"/>
    <cellStyle name="Calculation 2 9 25" xfId="4895"/>
    <cellStyle name="Calculation 2 9 3" xfId="510"/>
    <cellStyle name="Calculation 2 9 3 2" xfId="2917"/>
    <cellStyle name="Calculation 2 9 3 3" xfId="4911"/>
    <cellStyle name="Calculation 2 9 4" xfId="511"/>
    <cellStyle name="Calculation 2 9 4 2" xfId="2918"/>
    <cellStyle name="Calculation 2 9 4 3" xfId="4912"/>
    <cellStyle name="Calculation 2 9 5" xfId="512"/>
    <cellStyle name="Calculation 2 9 5 2" xfId="2919"/>
    <cellStyle name="Calculation 2 9 5 3" xfId="4913"/>
    <cellStyle name="Calculation 2 9 6" xfId="513"/>
    <cellStyle name="Calculation 2 9 6 2" xfId="2920"/>
    <cellStyle name="Calculation 2 9 6 3" xfId="4914"/>
    <cellStyle name="Calculation 2 9 7" xfId="514"/>
    <cellStyle name="Calculation 2 9 7 2" xfId="2921"/>
    <cellStyle name="Calculation 2 9 7 3" xfId="4915"/>
    <cellStyle name="Calculation 2 9 8" xfId="515"/>
    <cellStyle name="Calculation 2 9 8 2" xfId="2922"/>
    <cellStyle name="Calculation 2 9 8 3" xfId="4916"/>
    <cellStyle name="Calculation 2 9 9" xfId="516"/>
    <cellStyle name="Calculation 2 9 9 2" xfId="2923"/>
    <cellStyle name="Calculation 2 9 9 3" xfId="4917"/>
    <cellStyle name="Calculation 3" xfId="4752"/>
    <cellStyle name="Calculation 4" xfId="2475"/>
    <cellStyle name="Calculation 5" xfId="4729"/>
    <cellStyle name="Check Cell" xfId="27" builtinId="23" customBuiltin="1"/>
    <cellStyle name="Check Cell 2" xfId="517"/>
    <cellStyle name="Check Cell 2 2" xfId="518"/>
    <cellStyle name="Check Cell 3" xfId="4754"/>
    <cellStyle name="CollegeHeader1" xfId="77"/>
    <cellStyle name="ColumnAttributeAbovePrompt" xfId="28"/>
    <cellStyle name="ColumnAttributePrompt" xfId="29"/>
    <cellStyle name="ColumnAttributeValue" xfId="30"/>
    <cellStyle name="ColumnHeadingPrompt" xfId="31"/>
    <cellStyle name="ColumnHeadingValue" xfId="32"/>
    <cellStyle name="Comma" xfId="2446" builtinId="3"/>
    <cellStyle name="Comma [0] 2" xfId="4738"/>
    <cellStyle name="Comma 10" xfId="519"/>
    <cellStyle name="Comma 10 10" xfId="6675"/>
    <cellStyle name="Comma 10 2" xfId="520"/>
    <cellStyle name="Comma 10 2 2" xfId="6676"/>
    <cellStyle name="Comma 10 3" xfId="521"/>
    <cellStyle name="Comma 10 3 2" xfId="6677"/>
    <cellStyle name="Comma 10 4" xfId="522"/>
    <cellStyle name="Comma 10 4 2" xfId="6678"/>
    <cellStyle name="Comma 10 5" xfId="523"/>
    <cellStyle name="Comma 10 5 2" xfId="6679"/>
    <cellStyle name="Comma 10 6" xfId="524"/>
    <cellStyle name="Comma 10 6 2" xfId="6680"/>
    <cellStyle name="Comma 10 7" xfId="525"/>
    <cellStyle name="Comma 10 7 2" xfId="6681"/>
    <cellStyle name="Comma 10 8" xfId="526"/>
    <cellStyle name="Comma 10 8 2" xfId="6682"/>
    <cellStyle name="Comma 10 9" xfId="527"/>
    <cellStyle name="Comma 10 9 2" xfId="6683"/>
    <cellStyle name="Comma 11" xfId="6622"/>
    <cellStyle name="Comma 12" xfId="6668"/>
    <cellStyle name="Comma 13" xfId="6620"/>
    <cellStyle name="Comma 14" xfId="6666"/>
    <cellStyle name="Comma 15" xfId="6624"/>
    <cellStyle name="Comma 16" xfId="6664"/>
    <cellStyle name="Comma 17" xfId="6657"/>
    <cellStyle name="Comma 18" xfId="6653"/>
    <cellStyle name="Comma 19" xfId="6648"/>
    <cellStyle name="Comma 2" xfId="73"/>
    <cellStyle name="Comma 2 10" xfId="2377"/>
    <cellStyle name="Comma 2 10 2" xfId="4724"/>
    <cellStyle name="Comma 2 11" xfId="2489"/>
    <cellStyle name="Comma 2 2" xfId="528"/>
    <cellStyle name="Comma 2 2 10" xfId="529"/>
    <cellStyle name="Comma 2 2 2" xfId="530"/>
    <cellStyle name="Comma 2 2 2 2" xfId="6684"/>
    <cellStyle name="Comma 2 2 3" xfId="531"/>
    <cellStyle name="Comma 2 2 3 2" xfId="6685"/>
    <cellStyle name="Comma 2 2 4" xfId="532"/>
    <cellStyle name="Comma 2 2 4 2" xfId="6686"/>
    <cellStyle name="Comma 2 2 5" xfId="533"/>
    <cellStyle name="Comma 2 2 5 2" xfId="6687"/>
    <cellStyle name="Comma 2 2 6" xfId="534"/>
    <cellStyle name="Comma 2 2 6 2" xfId="6688"/>
    <cellStyle name="Comma 2 2 7" xfId="535"/>
    <cellStyle name="Comma 2 2 7 2" xfId="6689"/>
    <cellStyle name="Comma 2 2 8" xfId="536"/>
    <cellStyle name="Comma 2 2 8 2" xfId="6690"/>
    <cellStyle name="Comma 2 2 9" xfId="537"/>
    <cellStyle name="Comma 2 2 9 2" xfId="6691"/>
    <cellStyle name="Comma 2 3" xfId="538"/>
    <cellStyle name="Comma 2 4" xfId="539"/>
    <cellStyle name="Comma 2 5" xfId="540"/>
    <cellStyle name="Comma 2 6" xfId="541"/>
    <cellStyle name="Comma 2 7" xfId="542"/>
    <cellStyle name="Comma 2 8" xfId="543"/>
    <cellStyle name="Comma 2 9" xfId="544"/>
    <cellStyle name="Comma 20" xfId="6644"/>
    <cellStyle name="Comma 21" xfId="6639"/>
    <cellStyle name="Comma 22" xfId="6635"/>
    <cellStyle name="Comma 23" xfId="6629"/>
    <cellStyle name="Comma 24" xfId="6634"/>
    <cellStyle name="Comma 25" xfId="6662"/>
    <cellStyle name="Comma 26" xfId="6650"/>
    <cellStyle name="Comma 27" xfId="6659"/>
    <cellStyle name="Comma 28" xfId="6643"/>
    <cellStyle name="Comma 29" xfId="6651"/>
    <cellStyle name="Comma 3" xfId="78"/>
    <cellStyle name="Comma 3 10" xfId="2494"/>
    <cellStyle name="Comma 3 2" xfId="545"/>
    <cellStyle name="Comma 3 2 2" xfId="6692"/>
    <cellStyle name="Comma 3 3" xfId="546"/>
    <cellStyle name="Comma 3 3 2" xfId="6693"/>
    <cellStyle name="Comma 3 4" xfId="547"/>
    <cellStyle name="Comma 3 4 2" xfId="6694"/>
    <cellStyle name="Comma 3 5" xfId="548"/>
    <cellStyle name="Comma 3 5 2" xfId="6695"/>
    <cellStyle name="Comma 3 6" xfId="549"/>
    <cellStyle name="Comma 3 6 2" xfId="6696"/>
    <cellStyle name="Comma 3 7" xfId="550"/>
    <cellStyle name="Comma 3 7 2" xfId="6697"/>
    <cellStyle name="Comma 3 8" xfId="551"/>
    <cellStyle name="Comma 3 8 2" xfId="6698"/>
    <cellStyle name="Comma 3 9" xfId="552"/>
    <cellStyle name="Comma 3 9 2" xfId="6699"/>
    <cellStyle name="Comma 30" xfId="6637"/>
    <cellStyle name="Comma 31" xfId="6642"/>
    <cellStyle name="Comma 32" xfId="6631"/>
    <cellStyle name="Comma 33" xfId="6633"/>
    <cellStyle name="Comma 34" xfId="6628"/>
    <cellStyle name="Comma 35" xfId="6626"/>
    <cellStyle name="Comma 36" xfId="6627"/>
    <cellStyle name="Comma 37" xfId="6625"/>
    <cellStyle name="Comma 38" xfId="6753"/>
    <cellStyle name="Comma 4" xfId="79"/>
    <cellStyle name="Comma 4 10" xfId="2495"/>
    <cellStyle name="Comma 4 2" xfId="553"/>
    <cellStyle name="Comma 4 2 2" xfId="6700"/>
    <cellStyle name="Comma 4 3" xfId="554"/>
    <cellStyle name="Comma 4 3 2" xfId="6701"/>
    <cellStyle name="Comma 4 4" xfId="555"/>
    <cellStyle name="Comma 4 4 2" xfId="6702"/>
    <cellStyle name="Comma 4 5" xfId="556"/>
    <cellStyle name="Comma 4 5 2" xfId="6703"/>
    <cellStyle name="Comma 4 6" xfId="557"/>
    <cellStyle name="Comma 4 6 2" xfId="6704"/>
    <cellStyle name="Comma 4 7" xfId="558"/>
    <cellStyle name="Comma 4 7 2" xfId="6705"/>
    <cellStyle name="Comma 4 8" xfId="559"/>
    <cellStyle name="Comma 4 8 2" xfId="6706"/>
    <cellStyle name="Comma 4 9" xfId="560"/>
    <cellStyle name="Comma 4 9 2" xfId="6707"/>
    <cellStyle name="Comma 5" xfId="93"/>
    <cellStyle name="Comma 5 10" xfId="2504"/>
    <cellStyle name="Comma 5 2" xfId="561"/>
    <cellStyle name="Comma 5 2 2" xfId="6708"/>
    <cellStyle name="Comma 5 3" xfId="562"/>
    <cellStyle name="Comma 5 3 2" xfId="6709"/>
    <cellStyle name="Comma 5 4" xfId="563"/>
    <cellStyle name="Comma 5 4 2" xfId="6710"/>
    <cellStyle name="Comma 5 5" xfId="564"/>
    <cellStyle name="Comma 5 5 2" xfId="6711"/>
    <cellStyle name="Comma 5 6" xfId="565"/>
    <cellStyle name="Comma 5 6 2" xfId="6712"/>
    <cellStyle name="Comma 5 7" xfId="566"/>
    <cellStyle name="Comma 5 7 2" xfId="6713"/>
    <cellStyle name="Comma 5 8" xfId="567"/>
    <cellStyle name="Comma 5 8 2" xfId="6714"/>
    <cellStyle name="Comma 5 9" xfId="568"/>
    <cellStyle name="Comma 5 9 2" xfId="6715"/>
    <cellStyle name="Comma 6" xfId="2424"/>
    <cellStyle name="Comma 6 2" xfId="569"/>
    <cellStyle name="Comma 6 2 2" xfId="6716"/>
    <cellStyle name="Comma 6 3" xfId="570"/>
    <cellStyle name="Comma 6 3 2" xfId="6717"/>
    <cellStyle name="Comma 6 4" xfId="571"/>
    <cellStyle name="Comma 6 4 2" xfId="6718"/>
    <cellStyle name="Comma 6 5" xfId="572"/>
    <cellStyle name="Comma 6 5 2" xfId="6719"/>
    <cellStyle name="Comma 6 6" xfId="573"/>
    <cellStyle name="Comma 6 6 2" xfId="6720"/>
    <cellStyle name="Comma 6 7" xfId="574"/>
    <cellStyle name="Comma 6 7 2" xfId="6721"/>
    <cellStyle name="Comma 6 8" xfId="575"/>
    <cellStyle name="Comma 6 8 2" xfId="6722"/>
    <cellStyle name="Comma 6 9" xfId="576"/>
    <cellStyle name="Comma 6 9 2" xfId="6723"/>
    <cellStyle name="Comma 7" xfId="2443"/>
    <cellStyle name="Comma 7 2" xfId="577"/>
    <cellStyle name="Comma 7 2 2" xfId="6724"/>
    <cellStyle name="Comma 7 3" xfId="578"/>
    <cellStyle name="Comma 7 3 2" xfId="6725"/>
    <cellStyle name="Comma 7 4" xfId="579"/>
    <cellStyle name="Comma 7 4 2" xfId="6726"/>
    <cellStyle name="Comma 7 5" xfId="580"/>
    <cellStyle name="Comma 7 5 2" xfId="6727"/>
    <cellStyle name="Comma 7 6" xfId="581"/>
    <cellStyle name="Comma 7 6 2" xfId="6728"/>
    <cellStyle name="Comma 7 7" xfId="582"/>
    <cellStyle name="Comma 7 7 2" xfId="6729"/>
    <cellStyle name="Comma 7 8" xfId="583"/>
    <cellStyle name="Comma 7 8 2" xfId="6730"/>
    <cellStyle name="Comma 7 9" xfId="584"/>
    <cellStyle name="Comma 7 9 2" xfId="6731"/>
    <cellStyle name="Comma 8" xfId="4737"/>
    <cellStyle name="Comma 8 2" xfId="585"/>
    <cellStyle name="Comma 8 2 2" xfId="6732"/>
    <cellStyle name="Comma 8 3" xfId="586"/>
    <cellStyle name="Comma 8 3 2" xfId="6733"/>
    <cellStyle name="Comma 8 4" xfId="587"/>
    <cellStyle name="Comma 8 4 2" xfId="6734"/>
    <cellStyle name="Comma 8 5" xfId="588"/>
    <cellStyle name="Comma 8 5 2" xfId="6735"/>
    <cellStyle name="Comma 8 6" xfId="589"/>
    <cellStyle name="Comma 8 6 2" xfId="6736"/>
    <cellStyle name="Comma 8 7" xfId="590"/>
    <cellStyle name="Comma 8 7 2" xfId="6737"/>
    <cellStyle name="Comma 8 8" xfId="591"/>
    <cellStyle name="Comma 8 8 2" xfId="6738"/>
    <cellStyle name="Comma 8 9" xfId="592"/>
    <cellStyle name="Comma 8 9 2" xfId="6739"/>
    <cellStyle name="Comma 9" xfId="4733"/>
    <cellStyle name="Comma 9 2" xfId="593"/>
    <cellStyle name="Comma 9 2 2" xfId="6740"/>
    <cellStyle name="Comma 9 3" xfId="594"/>
    <cellStyle name="Comma 9 3 2" xfId="6741"/>
    <cellStyle name="Comma 9 4" xfId="595"/>
    <cellStyle name="Comma 9 4 2" xfId="6742"/>
    <cellStyle name="Comma 9 5" xfId="596"/>
    <cellStyle name="Comma 9 5 2" xfId="6743"/>
    <cellStyle name="Comma 9 6" xfId="597"/>
    <cellStyle name="Comma 9 6 2" xfId="6744"/>
    <cellStyle name="Comma 9 7" xfId="598"/>
    <cellStyle name="Comma 9 7 2" xfId="6745"/>
    <cellStyle name="Comma 9 8" xfId="599"/>
    <cellStyle name="Comma 9 8 2" xfId="6746"/>
    <cellStyle name="Comma 9 9" xfId="600"/>
    <cellStyle name="Comma 9 9 2" xfId="6747"/>
    <cellStyle name="Currency [0] 2" xfId="4740"/>
    <cellStyle name="Currency 10" xfId="6673"/>
    <cellStyle name="Currency 11" xfId="6671"/>
    <cellStyle name="Currency 12" xfId="6621"/>
    <cellStyle name="Currency 13" xfId="6667"/>
    <cellStyle name="Currency 14" xfId="6672"/>
    <cellStyle name="Currency 15" xfId="6665"/>
    <cellStyle name="Currency 16" xfId="6658"/>
    <cellStyle name="Currency 17" xfId="6655"/>
    <cellStyle name="Currency 18" xfId="6649"/>
    <cellStyle name="Currency 19" xfId="6646"/>
    <cellStyle name="Currency 2" xfId="74"/>
    <cellStyle name="Currency 2 2" xfId="601"/>
    <cellStyle name="Currency 2 2 2" xfId="602"/>
    <cellStyle name="Currency 2 3" xfId="2490"/>
    <cellStyle name="Currency 20" xfId="6640"/>
    <cellStyle name="Currency 21" xfId="6636"/>
    <cellStyle name="Currency 22" xfId="6630"/>
    <cellStyle name="Currency 23" xfId="6669"/>
    <cellStyle name="Currency 24" xfId="6663"/>
    <cellStyle name="Currency 25" xfId="6660"/>
    <cellStyle name="Currency 26" xfId="6661"/>
    <cellStyle name="Currency 27" xfId="6654"/>
    <cellStyle name="Currency 28" xfId="6656"/>
    <cellStyle name="Currency 29" xfId="6645"/>
    <cellStyle name="Currency 3" xfId="80"/>
    <cellStyle name="Currency 3 2" xfId="603"/>
    <cellStyle name="Currency 3 3" xfId="2496"/>
    <cellStyle name="Currency 30" xfId="6647"/>
    <cellStyle name="Currency 31" xfId="6638"/>
    <cellStyle name="Currency 32" xfId="6641"/>
    <cellStyle name="Currency 33" xfId="6652"/>
    <cellStyle name="Currency 34" xfId="6632"/>
    <cellStyle name="Currency 35" xfId="6754"/>
    <cellStyle name="Currency 4" xfId="604"/>
    <cellStyle name="Currency 5" xfId="605"/>
    <cellStyle name="Currency 5 2" xfId="6748"/>
    <cellStyle name="Currency 6" xfId="606"/>
    <cellStyle name="Currency 7" xfId="4739"/>
    <cellStyle name="Currency 8" xfId="6623"/>
    <cellStyle name="Currency 9" xfId="6670"/>
    <cellStyle name="Dane wejściowe" xfId="607"/>
    <cellStyle name="Dane wejściowe 10" xfId="608"/>
    <cellStyle name="Dane wejściowe 10 2" xfId="3015"/>
    <cellStyle name="Dane wejściowe 10 3" xfId="4919"/>
    <cellStyle name="Dane wejściowe 11" xfId="609"/>
    <cellStyle name="Dane wejściowe 11 2" xfId="3016"/>
    <cellStyle name="Dane wejściowe 11 3" xfId="4920"/>
    <cellStyle name="Dane wejściowe 12" xfId="610"/>
    <cellStyle name="Dane wejściowe 12 2" xfId="3017"/>
    <cellStyle name="Dane wejściowe 12 3" xfId="4921"/>
    <cellStyle name="Dane wejściowe 13" xfId="611"/>
    <cellStyle name="Dane wejściowe 13 2" xfId="3018"/>
    <cellStyle name="Dane wejściowe 13 3" xfId="4922"/>
    <cellStyle name="Dane wejściowe 14" xfId="612"/>
    <cellStyle name="Dane wejściowe 14 2" xfId="3019"/>
    <cellStyle name="Dane wejściowe 14 3" xfId="4923"/>
    <cellStyle name="Dane wejściowe 15" xfId="613"/>
    <cellStyle name="Dane wejściowe 15 2" xfId="3020"/>
    <cellStyle name="Dane wejściowe 15 3" xfId="4924"/>
    <cellStyle name="Dane wejściowe 16" xfId="614"/>
    <cellStyle name="Dane wejściowe 16 2" xfId="3021"/>
    <cellStyle name="Dane wejściowe 16 3" xfId="4925"/>
    <cellStyle name="Dane wejściowe 17" xfId="615"/>
    <cellStyle name="Dane wejściowe 17 2" xfId="3022"/>
    <cellStyle name="Dane wejściowe 17 3" xfId="4926"/>
    <cellStyle name="Dane wejściowe 18" xfId="616"/>
    <cellStyle name="Dane wejściowe 18 2" xfId="3023"/>
    <cellStyle name="Dane wejściowe 18 3" xfId="4927"/>
    <cellStyle name="Dane wejściowe 19" xfId="617"/>
    <cellStyle name="Dane wejściowe 19 2" xfId="3024"/>
    <cellStyle name="Dane wejściowe 19 3" xfId="4928"/>
    <cellStyle name="Dane wejściowe 2" xfId="618"/>
    <cellStyle name="Dane wejściowe 2 10" xfId="619"/>
    <cellStyle name="Dane wejściowe 2 10 2" xfId="3026"/>
    <cellStyle name="Dane wejściowe 2 10 3" xfId="4930"/>
    <cellStyle name="Dane wejściowe 2 11" xfId="620"/>
    <cellStyle name="Dane wejściowe 2 11 2" xfId="3027"/>
    <cellStyle name="Dane wejściowe 2 11 3" xfId="4931"/>
    <cellStyle name="Dane wejściowe 2 12" xfId="621"/>
    <cellStyle name="Dane wejściowe 2 12 2" xfId="3028"/>
    <cellStyle name="Dane wejściowe 2 12 3" xfId="4932"/>
    <cellStyle name="Dane wejściowe 2 13" xfId="622"/>
    <cellStyle name="Dane wejściowe 2 13 2" xfId="3029"/>
    <cellStyle name="Dane wejściowe 2 13 3" xfId="4933"/>
    <cellStyle name="Dane wejściowe 2 14" xfId="623"/>
    <cellStyle name="Dane wejściowe 2 14 2" xfId="3030"/>
    <cellStyle name="Dane wejściowe 2 14 3" xfId="4934"/>
    <cellStyle name="Dane wejściowe 2 15" xfId="624"/>
    <cellStyle name="Dane wejściowe 2 15 2" xfId="3031"/>
    <cellStyle name="Dane wejściowe 2 15 3" xfId="4935"/>
    <cellStyle name="Dane wejściowe 2 16" xfId="625"/>
    <cellStyle name="Dane wejściowe 2 16 2" xfId="3032"/>
    <cellStyle name="Dane wejściowe 2 16 3" xfId="4936"/>
    <cellStyle name="Dane wejściowe 2 17" xfId="626"/>
    <cellStyle name="Dane wejściowe 2 17 2" xfId="3033"/>
    <cellStyle name="Dane wejściowe 2 17 3" xfId="4937"/>
    <cellStyle name="Dane wejściowe 2 18" xfId="627"/>
    <cellStyle name="Dane wejściowe 2 18 2" xfId="3034"/>
    <cellStyle name="Dane wejściowe 2 18 3" xfId="4938"/>
    <cellStyle name="Dane wejściowe 2 19" xfId="628"/>
    <cellStyle name="Dane wejściowe 2 19 2" xfId="3035"/>
    <cellStyle name="Dane wejściowe 2 19 3" xfId="4939"/>
    <cellStyle name="Dane wejściowe 2 2" xfId="629"/>
    <cellStyle name="Dane wejściowe 2 2 2" xfId="3036"/>
    <cellStyle name="Dane wejściowe 2 2 3" xfId="4940"/>
    <cellStyle name="Dane wejściowe 2 20" xfId="630"/>
    <cellStyle name="Dane wejściowe 2 20 2" xfId="3037"/>
    <cellStyle name="Dane wejściowe 2 20 3" xfId="4941"/>
    <cellStyle name="Dane wejściowe 2 21" xfId="631"/>
    <cellStyle name="Dane wejściowe 2 21 2" xfId="3038"/>
    <cellStyle name="Dane wejściowe 2 21 3" xfId="4942"/>
    <cellStyle name="Dane wejściowe 2 22" xfId="632"/>
    <cellStyle name="Dane wejściowe 2 22 2" xfId="3039"/>
    <cellStyle name="Dane wejściowe 2 22 3" xfId="4943"/>
    <cellStyle name="Dane wejściowe 2 23" xfId="633"/>
    <cellStyle name="Dane wejściowe 2 23 2" xfId="3040"/>
    <cellStyle name="Dane wejściowe 2 23 3" xfId="4944"/>
    <cellStyle name="Dane wejściowe 2 24" xfId="3025"/>
    <cellStyle name="Dane wejściowe 2 25" xfId="4929"/>
    <cellStyle name="Dane wejściowe 2 3" xfId="634"/>
    <cellStyle name="Dane wejściowe 2 3 2" xfId="3041"/>
    <cellStyle name="Dane wejściowe 2 3 3" xfId="4945"/>
    <cellStyle name="Dane wejściowe 2 4" xfId="635"/>
    <cellStyle name="Dane wejściowe 2 4 2" xfId="3042"/>
    <cellStyle name="Dane wejściowe 2 4 3" xfId="4946"/>
    <cellStyle name="Dane wejściowe 2 5" xfId="636"/>
    <cellStyle name="Dane wejściowe 2 5 2" xfId="3043"/>
    <cellStyle name="Dane wejściowe 2 5 3" xfId="4947"/>
    <cellStyle name="Dane wejściowe 2 6" xfId="637"/>
    <cellStyle name="Dane wejściowe 2 6 2" xfId="3044"/>
    <cellStyle name="Dane wejściowe 2 6 3" xfId="4948"/>
    <cellStyle name="Dane wejściowe 2 7" xfId="638"/>
    <cellStyle name="Dane wejściowe 2 7 2" xfId="3045"/>
    <cellStyle name="Dane wejściowe 2 7 3" xfId="4949"/>
    <cellStyle name="Dane wejściowe 2 8" xfId="639"/>
    <cellStyle name="Dane wejściowe 2 8 2" xfId="3046"/>
    <cellStyle name="Dane wejściowe 2 8 3" xfId="4950"/>
    <cellStyle name="Dane wejściowe 2 9" xfId="640"/>
    <cellStyle name="Dane wejściowe 2 9 2" xfId="3047"/>
    <cellStyle name="Dane wejściowe 2 9 3" xfId="4951"/>
    <cellStyle name="Dane wejściowe 20" xfId="641"/>
    <cellStyle name="Dane wejściowe 20 2" xfId="3048"/>
    <cellStyle name="Dane wejściowe 20 3" xfId="4952"/>
    <cellStyle name="Dane wejściowe 21" xfId="642"/>
    <cellStyle name="Dane wejściowe 21 2" xfId="3049"/>
    <cellStyle name="Dane wejściowe 21 3" xfId="4953"/>
    <cellStyle name="Dane wejściowe 22" xfId="643"/>
    <cellStyle name="Dane wejściowe 22 2" xfId="3050"/>
    <cellStyle name="Dane wejściowe 22 3" xfId="4954"/>
    <cellStyle name="Dane wejściowe 23" xfId="644"/>
    <cellStyle name="Dane wejściowe 23 2" xfId="3051"/>
    <cellStyle name="Dane wejściowe 23 3" xfId="4955"/>
    <cellStyle name="Dane wejściowe 24" xfId="645"/>
    <cellStyle name="Dane wejściowe 24 2" xfId="3052"/>
    <cellStyle name="Dane wejściowe 24 3" xfId="4956"/>
    <cellStyle name="Dane wejściowe 25" xfId="646"/>
    <cellStyle name="Dane wejściowe 25 2" xfId="3053"/>
    <cellStyle name="Dane wejściowe 25 3" xfId="4957"/>
    <cellStyle name="Dane wejściowe 26" xfId="3014"/>
    <cellStyle name="Dane wejściowe 27" xfId="4918"/>
    <cellStyle name="Dane wejściowe 3" xfId="647"/>
    <cellStyle name="Dane wejściowe 3 10" xfId="648"/>
    <cellStyle name="Dane wejściowe 3 10 2" xfId="3055"/>
    <cellStyle name="Dane wejściowe 3 10 3" xfId="4959"/>
    <cellStyle name="Dane wejściowe 3 11" xfId="649"/>
    <cellStyle name="Dane wejściowe 3 11 2" xfId="3056"/>
    <cellStyle name="Dane wejściowe 3 11 3" xfId="4960"/>
    <cellStyle name="Dane wejściowe 3 12" xfId="650"/>
    <cellStyle name="Dane wejściowe 3 12 2" xfId="3057"/>
    <cellStyle name="Dane wejściowe 3 12 3" xfId="4961"/>
    <cellStyle name="Dane wejściowe 3 13" xfId="651"/>
    <cellStyle name="Dane wejściowe 3 13 2" xfId="3058"/>
    <cellStyle name="Dane wejściowe 3 13 3" xfId="4962"/>
    <cellStyle name="Dane wejściowe 3 14" xfId="652"/>
    <cellStyle name="Dane wejściowe 3 14 2" xfId="3059"/>
    <cellStyle name="Dane wejściowe 3 14 3" xfId="4963"/>
    <cellStyle name="Dane wejściowe 3 15" xfId="653"/>
    <cellStyle name="Dane wejściowe 3 15 2" xfId="3060"/>
    <cellStyle name="Dane wejściowe 3 15 3" xfId="4964"/>
    <cellStyle name="Dane wejściowe 3 16" xfId="654"/>
    <cellStyle name="Dane wejściowe 3 16 2" xfId="3061"/>
    <cellStyle name="Dane wejściowe 3 16 3" xfId="4965"/>
    <cellStyle name="Dane wejściowe 3 17" xfId="655"/>
    <cellStyle name="Dane wejściowe 3 17 2" xfId="3062"/>
    <cellStyle name="Dane wejściowe 3 17 3" xfId="4966"/>
    <cellStyle name="Dane wejściowe 3 18" xfId="656"/>
    <cellStyle name="Dane wejściowe 3 18 2" xfId="3063"/>
    <cellStyle name="Dane wejściowe 3 18 3" xfId="4967"/>
    <cellStyle name="Dane wejściowe 3 19" xfId="657"/>
    <cellStyle name="Dane wejściowe 3 19 2" xfId="3064"/>
    <cellStyle name="Dane wejściowe 3 19 3" xfId="4968"/>
    <cellStyle name="Dane wejściowe 3 2" xfId="658"/>
    <cellStyle name="Dane wejściowe 3 2 2" xfId="3065"/>
    <cellStyle name="Dane wejściowe 3 2 3" xfId="4969"/>
    <cellStyle name="Dane wejściowe 3 20" xfId="659"/>
    <cellStyle name="Dane wejściowe 3 20 2" xfId="3066"/>
    <cellStyle name="Dane wejściowe 3 20 3" xfId="4970"/>
    <cellStyle name="Dane wejściowe 3 21" xfId="660"/>
    <cellStyle name="Dane wejściowe 3 21 2" xfId="3067"/>
    <cellStyle name="Dane wejściowe 3 21 3" xfId="4971"/>
    <cellStyle name="Dane wejściowe 3 22" xfId="661"/>
    <cellStyle name="Dane wejściowe 3 22 2" xfId="3068"/>
    <cellStyle name="Dane wejściowe 3 22 3" xfId="4972"/>
    <cellStyle name="Dane wejściowe 3 23" xfId="662"/>
    <cellStyle name="Dane wejściowe 3 23 2" xfId="3069"/>
    <cellStyle name="Dane wejściowe 3 23 3" xfId="4973"/>
    <cellStyle name="Dane wejściowe 3 24" xfId="3054"/>
    <cellStyle name="Dane wejściowe 3 25" xfId="4958"/>
    <cellStyle name="Dane wejściowe 3 3" xfId="663"/>
    <cellStyle name="Dane wejściowe 3 3 2" xfId="3070"/>
    <cellStyle name="Dane wejściowe 3 3 3" xfId="4974"/>
    <cellStyle name="Dane wejściowe 3 4" xfId="664"/>
    <cellStyle name="Dane wejściowe 3 4 2" xfId="3071"/>
    <cellStyle name="Dane wejściowe 3 4 3" xfId="4975"/>
    <cellStyle name="Dane wejściowe 3 5" xfId="665"/>
    <cellStyle name="Dane wejściowe 3 5 2" xfId="3072"/>
    <cellStyle name="Dane wejściowe 3 5 3" xfId="4976"/>
    <cellStyle name="Dane wejściowe 3 6" xfId="666"/>
    <cellStyle name="Dane wejściowe 3 6 2" xfId="3073"/>
    <cellStyle name="Dane wejściowe 3 6 3" xfId="4977"/>
    <cellStyle name="Dane wejściowe 3 7" xfId="667"/>
    <cellStyle name="Dane wejściowe 3 7 2" xfId="3074"/>
    <cellStyle name="Dane wejściowe 3 7 3" xfId="4978"/>
    <cellStyle name="Dane wejściowe 3 8" xfId="668"/>
    <cellStyle name="Dane wejściowe 3 8 2" xfId="3075"/>
    <cellStyle name="Dane wejściowe 3 8 3" xfId="4979"/>
    <cellStyle name="Dane wejściowe 3 9" xfId="669"/>
    <cellStyle name="Dane wejściowe 3 9 2" xfId="3076"/>
    <cellStyle name="Dane wejściowe 3 9 3" xfId="4980"/>
    <cellStyle name="Dane wejściowe 4" xfId="670"/>
    <cellStyle name="Dane wejściowe 4 2" xfId="3077"/>
    <cellStyle name="Dane wejściowe 4 3" xfId="4981"/>
    <cellStyle name="Dane wejściowe 5" xfId="671"/>
    <cellStyle name="Dane wejściowe 5 2" xfId="3078"/>
    <cellStyle name="Dane wejściowe 5 3" xfId="4982"/>
    <cellStyle name="Dane wejściowe 6" xfId="672"/>
    <cellStyle name="Dane wejściowe 6 2" xfId="3079"/>
    <cellStyle name="Dane wejściowe 6 3" xfId="4983"/>
    <cellStyle name="Dane wejściowe 7" xfId="673"/>
    <cellStyle name="Dane wejściowe 7 2" xfId="3080"/>
    <cellStyle name="Dane wejściowe 7 3" xfId="4984"/>
    <cellStyle name="Dane wejściowe 8" xfId="674"/>
    <cellStyle name="Dane wejściowe 8 2" xfId="3081"/>
    <cellStyle name="Dane wejściowe 8 3" xfId="4985"/>
    <cellStyle name="Dane wejściowe 9" xfId="675"/>
    <cellStyle name="Dane wejściowe 9 2" xfId="3082"/>
    <cellStyle name="Dane wejściowe 9 3" xfId="4986"/>
    <cellStyle name="Dane wyjściowe" xfId="676"/>
    <cellStyle name="Dane wyjściowe 10" xfId="677"/>
    <cellStyle name="Dane wyjściowe 10 2" xfId="3084"/>
    <cellStyle name="Dane wyjściowe 10 3" xfId="4988"/>
    <cellStyle name="Dane wyjściowe 11" xfId="678"/>
    <cellStyle name="Dane wyjściowe 11 2" xfId="3085"/>
    <cellStyle name="Dane wyjściowe 11 3" xfId="4989"/>
    <cellStyle name="Dane wyjściowe 12" xfId="679"/>
    <cellStyle name="Dane wyjściowe 12 2" xfId="3086"/>
    <cellStyle name="Dane wyjściowe 12 3" xfId="4990"/>
    <cellStyle name="Dane wyjściowe 13" xfId="680"/>
    <cellStyle name="Dane wyjściowe 13 2" xfId="3087"/>
    <cellStyle name="Dane wyjściowe 13 3" xfId="4991"/>
    <cellStyle name="Dane wyjściowe 14" xfId="681"/>
    <cellStyle name="Dane wyjściowe 14 2" xfId="3088"/>
    <cellStyle name="Dane wyjściowe 14 3" xfId="4992"/>
    <cellStyle name="Dane wyjściowe 15" xfId="682"/>
    <cellStyle name="Dane wyjściowe 15 2" xfId="3089"/>
    <cellStyle name="Dane wyjściowe 15 3" xfId="4993"/>
    <cellStyle name="Dane wyjściowe 16" xfId="683"/>
    <cellStyle name="Dane wyjściowe 16 2" xfId="3090"/>
    <cellStyle name="Dane wyjściowe 16 3" xfId="4994"/>
    <cellStyle name="Dane wyjściowe 17" xfId="684"/>
    <cellStyle name="Dane wyjściowe 17 2" xfId="3091"/>
    <cellStyle name="Dane wyjściowe 17 3" xfId="4995"/>
    <cellStyle name="Dane wyjściowe 18" xfId="685"/>
    <cellStyle name="Dane wyjściowe 18 2" xfId="3092"/>
    <cellStyle name="Dane wyjściowe 18 3" xfId="4996"/>
    <cellStyle name="Dane wyjściowe 19" xfId="686"/>
    <cellStyle name="Dane wyjściowe 19 2" xfId="3093"/>
    <cellStyle name="Dane wyjściowe 19 3" xfId="4997"/>
    <cellStyle name="Dane wyjściowe 2" xfId="687"/>
    <cellStyle name="Dane wyjściowe 2 10" xfId="688"/>
    <cellStyle name="Dane wyjściowe 2 10 2" xfId="3095"/>
    <cellStyle name="Dane wyjściowe 2 10 3" xfId="4999"/>
    <cellStyle name="Dane wyjściowe 2 11" xfId="689"/>
    <cellStyle name="Dane wyjściowe 2 11 2" xfId="3096"/>
    <cellStyle name="Dane wyjściowe 2 11 3" xfId="5000"/>
    <cellStyle name="Dane wyjściowe 2 12" xfId="690"/>
    <cellStyle name="Dane wyjściowe 2 12 2" xfId="3097"/>
    <cellStyle name="Dane wyjściowe 2 12 3" xfId="5001"/>
    <cellStyle name="Dane wyjściowe 2 13" xfId="691"/>
    <cellStyle name="Dane wyjściowe 2 13 2" xfId="3098"/>
    <cellStyle name="Dane wyjściowe 2 13 3" xfId="5002"/>
    <cellStyle name="Dane wyjściowe 2 14" xfId="692"/>
    <cellStyle name="Dane wyjściowe 2 14 2" xfId="3099"/>
    <cellStyle name="Dane wyjściowe 2 14 3" xfId="5003"/>
    <cellStyle name="Dane wyjściowe 2 15" xfId="693"/>
    <cellStyle name="Dane wyjściowe 2 15 2" xfId="3100"/>
    <cellStyle name="Dane wyjściowe 2 15 3" xfId="5004"/>
    <cellStyle name="Dane wyjściowe 2 16" xfId="694"/>
    <cellStyle name="Dane wyjściowe 2 16 2" xfId="3101"/>
    <cellStyle name="Dane wyjściowe 2 16 3" xfId="5005"/>
    <cellStyle name="Dane wyjściowe 2 17" xfId="695"/>
    <cellStyle name="Dane wyjściowe 2 17 2" xfId="3102"/>
    <cellStyle name="Dane wyjściowe 2 17 3" xfId="5006"/>
    <cellStyle name="Dane wyjściowe 2 18" xfId="696"/>
    <cellStyle name="Dane wyjściowe 2 18 2" xfId="3103"/>
    <cellStyle name="Dane wyjściowe 2 18 3" xfId="5007"/>
    <cellStyle name="Dane wyjściowe 2 19" xfId="697"/>
    <cellStyle name="Dane wyjściowe 2 19 2" xfId="3104"/>
    <cellStyle name="Dane wyjściowe 2 19 3" xfId="5008"/>
    <cellStyle name="Dane wyjściowe 2 2" xfId="698"/>
    <cellStyle name="Dane wyjściowe 2 2 2" xfId="3105"/>
    <cellStyle name="Dane wyjściowe 2 2 3" xfId="5009"/>
    <cellStyle name="Dane wyjściowe 2 20" xfId="699"/>
    <cellStyle name="Dane wyjściowe 2 20 2" xfId="3106"/>
    <cellStyle name="Dane wyjściowe 2 20 3" xfId="5010"/>
    <cellStyle name="Dane wyjściowe 2 21" xfId="700"/>
    <cellStyle name="Dane wyjściowe 2 21 2" xfId="3107"/>
    <cellStyle name="Dane wyjściowe 2 21 3" xfId="5011"/>
    <cellStyle name="Dane wyjściowe 2 22" xfId="701"/>
    <cellStyle name="Dane wyjściowe 2 22 2" xfId="3108"/>
    <cellStyle name="Dane wyjściowe 2 22 3" xfId="5012"/>
    <cellStyle name="Dane wyjściowe 2 23" xfId="702"/>
    <cellStyle name="Dane wyjściowe 2 23 2" xfId="3109"/>
    <cellStyle name="Dane wyjściowe 2 23 3" xfId="5013"/>
    <cellStyle name="Dane wyjściowe 2 24" xfId="3094"/>
    <cellStyle name="Dane wyjściowe 2 25" xfId="4998"/>
    <cellStyle name="Dane wyjściowe 2 3" xfId="703"/>
    <cellStyle name="Dane wyjściowe 2 3 2" xfId="3110"/>
    <cellStyle name="Dane wyjściowe 2 3 3" xfId="5014"/>
    <cellStyle name="Dane wyjściowe 2 4" xfId="704"/>
    <cellStyle name="Dane wyjściowe 2 4 2" xfId="3111"/>
    <cellStyle name="Dane wyjściowe 2 4 3" xfId="5015"/>
    <cellStyle name="Dane wyjściowe 2 5" xfId="705"/>
    <cellStyle name="Dane wyjściowe 2 5 2" xfId="3112"/>
    <cellStyle name="Dane wyjściowe 2 5 3" xfId="5016"/>
    <cellStyle name="Dane wyjściowe 2 6" xfId="706"/>
    <cellStyle name="Dane wyjściowe 2 6 2" xfId="3113"/>
    <cellStyle name="Dane wyjściowe 2 6 3" xfId="5017"/>
    <cellStyle name="Dane wyjściowe 2 7" xfId="707"/>
    <cellStyle name="Dane wyjściowe 2 7 2" xfId="3114"/>
    <cellStyle name="Dane wyjściowe 2 7 3" xfId="5018"/>
    <cellStyle name="Dane wyjściowe 2 8" xfId="708"/>
    <cellStyle name="Dane wyjściowe 2 8 2" xfId="3115"/>
    <cellStyle name="Dane wyjściowe 2 8 3" xfId="5019"/>
    <cellStyle name="Dane wyjściowe 2 9" xfId="709"/>
    <cellStyle name="Dane wyjściowe 2 9 2" xfId="3116"/>
    <cellStyle name="Dane wyjściowe 2 9 3" xfId="5020"/>
    <cellStyle name="Dane wyjściowe 20" xfId="710"/>
    <cellStyle name="Dane wyjściowe 20 2" xfId="3117"/>
    <cellStyle name="Dane wyjściowe 20 3" xfId="5021"/>
    <cellStyle name="Dane wyjściowe 21" xfId="711"/>
    <cellStyle name="Dane wyjściowe 21 2" xfId="3118"/>
    <cellStyle name="Dane wyjściowe 21 3" xfId="5022"/>
    <cellStyle name="Dane wyjściowe 22" xfId="712"/>
    <cellStyle name="Dane wyjściowe 22 2" xfId="3119"/>
    <cellStyle name="Dane wyjściowe 22 3" xfId="5023"/>
    <cellStyle name="Dane wyjściowe 23" xfId="713"/>
    <cellStyle name="Dane wyjściowe 23 2" xfId="3120"/>
    <cellStyle name="Dane wyjściowe 23 3" xfId="5024"/>
    <cellStyle name="Dane wyjściowe 24" xfId="714"/>
    <cellStyle name="Dane wyjściowe 24 2" xfId="3121"/>
    <cellStyle name="Dane wyjściowe 24 3" xfId="5025"/>
    <cellStyle name="Dane wyjściowe 25" xfId="715"/>
    <cellStyle name="Dane wyjściowe 25 2" xfId="3122"/>
    <cellStyle name="Dane wyjściowe 25 3" xfId="5026"/>
    <cellStyle name="Dane wyjściowe 26" xfId="3083"/>
    <cellStyle name="Dane wyjściowe 27" xfId="4987"/>
    <cellStyle name="Dane wyjściowe 3" xfId="716"/>
    <cellStyle name="Dane wyjściowe 3 10" xfId="717"/>
    <cellStyle name="Dane wyjściowe 3 10 2" xfId="3124"/>
    <cellStyle name="Dane wyjściowe 3 10 3" xfId="5028"/>
    <cellStyle name="Dane wyjściowe 3 11" xfId="718"/>
    <cellStyle name="Dane wyjściowe 3 11 2" xfId="3125"/>
    <cellStyle name="Dane wyjściowe 3 11 3" xfId="5029"/>
    <cellStyle name="Dane wyjściowe 3 12" xfId="719"/>
    <cellStyle name="Dane wyjściowe 3 12 2" xfId="3126"/>
    <cellStyle name="Dane wyjściowe 3 12 3" xfId="5030"/>
    <cellStyle name="Dane wyjściowe 3 13" xfId="720"/>
    <cellStyle name="Dane wyjściowe 3 13 2" xfId="3127"/>
    <cellStyle name="Dane wyjściowe 3 13 3" xfId="5031"/>
    <cellStyle name="Dane wyjściowe 3 14" xfId="721"/>
    <cellStyle name="Dane wyjściowe 3 14 2" xfId="3128"/>
    <cellStyle name="Dane wyjściowe 3 14 3" xfId="5032"/>
    <cellStyle name="Dane wyjściowe 3 15" xfId="722"/>
    <cellStyle name="Dane wyjściowe 3 15 2" xfId="3129"/>
    <cellStyle name="Dane wyjściowe 3 15 3" xfId="5033"/>
    <cellStyle name="Dane wyjściowe 3 16" xfId="723"/>
    <cellStyle name="Dane wyjściowe 3 16 2" xfId="3130"/>
    <cellStyle name="Dane wyjściowe 3 16 3" xfId="5034"/>
    <cellStyle name="Dane wyjściowe 3 17" xfId="724"/>
    <cellStyle name="Dane wyjściowe 3 17 2" xfId="3131"/>
    <cellStyle name="Dane wyjściowe 3 17 3" xfId="5035"/>
    <cellStyle name="Dane wyjściowe 3 18" xfId="725"/>
    <cellStyle name="Dane wyjściowe 3 18 2" xfId="3132"/>
    <cellStyle name="Dane wyjściowe 3 18 3" xfId="5036"/>
    <cellStyle name="Dane wyjściowe 3 19" xfId="726"/>
    <cellStyle name="Dane wyjściowe 3 19 2" xfId="3133"/>
    <cellStyle name="Dane wyjściowe 3 19 3" xfId="5037"/>
    <cellStyle name="Dane wyjściowe 3 2" xfId="727"/>
    <cellStyle name="Dane wyjściowe 3 2 2" xfId="3134"/>
    <cellStyle name="Dane wyjściowe 3 2 3" xfId="5038"/>
    <cellStyle name="Dane wyjściowe 3 20" xfId="728"/>
    <cellStyle name="Dane wyjściowe 3 20 2" xfId="3135"/>
    <cellStyle name="Dane wyjściowe 3 20 3" xfId="5039"/>
    <cellStyle name="Dane wyjściowe 3 21" xfId="729"/>
    <cellStyle name="Dane wyjściowe 3 21 2" xfId="3136"/>
    <cellStyle name="Dane wyjściowe 3 21 3" xfId="5040"/>
    <cellStyle name="Dane wyjściowe 3 22" xfId="730"/>
    <cellStyle name="Dane wyjściowe 3 22 2" xfId="3137"/>
    <cellStyle name="Dane wyjściowe 3 22 3" xfId="5041"/>
    <cellStyle name="Dane wyjściowe 3 23" xfId="731"/>
    <cellStyle name="Dane wyjściowe 3 23 2" xfId="3138"/>
    <cellStyle name="Dane wyjściowe 3 23 3" xfId="5042"/>
    <cellStyle name="Dane wyjściowe 3 24" xfId="3123"/>
    <cellStyle name="Dane wyjściowe 3 25" xfId="5027"/>
    <cellStyle name="Dane wyjściowe 3 3" xfId="732"/>
    <cellStyle name="Dane wyjściowe 3 3 2" xfId="3139"/>
    <cellStyle name="Dane wyjściowe 3 3 3" xfId="5043"/>
    <cellStyle name="Dane wyjściowe 3 4" xfId="733"/>
    <cellStyle name="Dane wyjściowe 3 4 2" xfId="3140"/>
    <cellStyle name="Dane wyjściowe 3 4 3" xfId="5044"/>
    <cellStyle name="Dane wyjściowe 3 5" xfId="734"/>
    <cellStyle name="Dane wyjściowe 3 5 2" xfId="3141"/>
    <cellStyle name="Dane wyjściowe 3 5 3" xfId="5045"/>
    <cellStyle name="Dane wyjściowe 3 6" xfId="735"/>
    <cellStyle name="Dane wyjściowe 3 6 2" xfId="3142"/>
    <cellStyle name="Dane wyjściowe 3 6 3" xfId="5046"/>
    <cellStyle name="Dane wyjściowe 3 7" xfId="736"/>
    <cellStyle name="Dane wyjściowe 3 7 2" xfId="3143"/>
    <cellStyle name="Dane wyjściowe 3 7 3" xfId="5047"/>
    <cellStyle name="Dane wyjściowe 3 8" xfId="737"/>
    <cellStyle name="Dane wyjściowe 3 8 2" xfId="3144"/>
    <cellStyle name="Dane wyjściowe 3 8 3" xfId="5048"/>
    <cellStyle name="Dane wyjściowe 3 9" xfId="738"/>
    <cellStyle name="Dane wyjściowe 3 9 2" xfId="3145"/>
    <cellStyle name="Dane wyjściowe 3 9 3" xfId="5049"/>
    <cellStyle name="Dane wyjściowe 4" xfId="739"/>
    <cellStyle name="Dane wyjściowe 4 2" xfId="3146"/>
    <cellStyle name="Dane wyjściowe 4 3" xfId="5050"/>
    <cellStyle name="Dane wyjściowe 5" xfId="740"/>
    <cellStyle name="Dane wyjściowe 5 2" xfId="3147"/>
    <cellStyle name="Dane wyjściowe 5 3" xfId="5051"/>
    <cellStyle name="Dane wyjściowe 6" xfId="741"/>
    <cellStyle name="Dane wyjściowe 6 2" xfId="3148"/>
    <cellStyle name="Dane wyjściowe 6 3" xfId="5052"/>
    <cellStyle name="Dane wyjściowe 7" xfId="742"/>
    <cellStyle name="Dane wyjściowe 7 2" xfId="3149"/>
    <cellStyle name="Dane wyjściowe 7 3" xfId="5053"/>
    <cellStyle name="Dane wyjściowe 8" xfId="743"/>
    <cellStyle name="Dane wyjściowe 8 2" xfId="3150"/>
    <cellStyle name="Dane wyjściowe 8 3" xfId="5054"/>
    <cellStyle name="Dane wyjściowe 9" xfId="744"/>
    <cellStyle name="Dane wyjściowe 9 2" xfId="3151"/>
    <cellStyle name="Dane wyjściowe 9 3" xfId="5055"/>
    <cellStyle name="Date" xfId="745"/>
    <cellStyle name="Dobre" xfId="746"/>
    <cellStyle name="Explanatory Text" xfId="33" builtinId="53" customBuiltin="1"/>
    <cellStyle name="Explanatory Text 2" xfId="747"/>
    <cellStyle name="Explanatory Text 3" xfId="4757"/>
    <cellStyle name="FirstTableHeader" xfId="81"/>
    <cellStyle name="Fixed" xfId="748"/>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Good" xfId="34" builtinId="26" customBuiltin="1"/>
    <cellStyle name="Good 2" xfId="749"/>
    <cellStyle name="Good 2 2" xfId="750"/>
    <cellStyle name="Good 3" xfId="4747"/>
    <cellStyle name="Heading 1" xfId="35" builtinId="16" customBuiltin="1"/>
    <cellStyle name="Heading 1 2" xfId="751"/>
    <cellStyle name="Heading 1 2 2" xfId="752"/>
    <cellStyle name="Heading 1 3" xfId="4743"/>
    <cellStyle name="Heading 2" xfId="36" builtinId="17" customBuiltin="1"/>
    <cellStyle name="Heading 2 2" xfId="753"/>
    <cellStyle name="Heading 2 2 2" xfId="754"/>
    <cellStyle name="Heading 2 3" xfId="4744"/>
    <cellStyle name="Heading 3" xfId="37" builtinId="18" customBuiltin="1"/>
    <cellStyle name="Heading 3 2" xfId="755"/>
    <cellStyle name="Heading 3 2 2" xfId="756"/>
    <cellStyle name="Heading 3 2 3" xfId="757"/>
    <cellStyle name="Heading 3 2 4" xfId="758"/>
    <cellStyle name="Heading 3 2 5" xfId="759"/>
    <cellStyle name="Heading 3 2 6" xfId="760"/>
    <cellStyle name="Heading 3 2 7" xfId="761"/>
    <cellStyle name="Heading 3 3" xfId="4745"/>
    <cellStyle name="Heading 4" xfId="38" builtinId="19" customBuiltin="1"/>
    <cellStyle name="Heading 4 2" xfId="762"/>
    <cellStyle name="Heading 4 3" xfId="4746"/>
    <cellStyle name="Hyperlink" xfId="2445" builtinId="8"/>
    <cellStyle name="Hyperlink 2" xfId="763"/>
    <cellStyle name="Hyperlink 2 2" xfId="764"/>
    <cellStyle name="Hyperlink 3" xfId="765"/>
    <cellStyle name="Hyperlink 4" xfId="2444"/>
    <cellStyle name="Hyperlink 5" xfId="4732"/>
    <cellStyle name="Input" xfId="39" builtinId="20" customBuiltin="1"/>
    <cellStyle name="Input 2" xfId="766"/>
    <cellStyle name="Input 2 10" xfId="767"/>
    <cellStyle name="Input 2 10 10" xfId="768"/>
    <cellStyle name="Input 2 10 10 2" xfId="3160"/>
    <cellStyle name="Input 2 10 10 3" xfId="5058"/>
    <cellStyle name="Input 2 10 11" xfId="769"/>
    <cellStyle name="Input 2 10 11 2" xfId="3161"/>
    <cellStyle name="Input 2 10 11 3" xfId="5059"/>
    <cellStyle name="Input 2 10 12" xfId="770"/>
    <cellStyle name="Input 2 10 12 2" xfId="3162"/>
    <cellStyle name="Input 2 10 12 3" xfId="5060"/>
    <cellStyle name="Input 2 10 13" xfId="771"/>
    <cellStyle name="Input 2 10 13 2" xfId="3163"/>
    <cellStyle name="Input 2 10 13 3" xfId="5061"/>
    <cellStyle name="Input 2 10 14" xfId="772"/>
    <cellStyle name="Input 2 10 14 2" xfId="3164"/>
    <cellStyle name="Input 2 10 14 3" xfId="5062"/>
    <cellStyle name="Input 2 10 15" xfId="773"/>
    <cellStyle name="Input 2 10 15 2" xfId="3165"/>
    <cellStyle name="Input 2 10 15 3" xfId="5063"/>
    <cellStyle name="Input 2 10 16" xfId="774"/>
    <cellStyle name="Input 2 10 16 2" xfId="3166"/>
    <cellStyle name="Input 2 10 16 3" xfId="5064"/>
    <cellStyle name="Input 2 10 17" xfId="775"/>
    <cellStyle name="Input 2 10 17 2" xfId="3167"/>
    <cellStyle name="Input 2 10 17 3" xfId="5065"/>
    <cellStyle name="Input 2 10 18" xfId="776"/>
    <cellStyle name="Input 2 10 18 2" xfId="3168"/>
    <cellStyle name="Input 2 10 18 3" xfId="5066"/>
    <cellStyle name="Input 2 10 19" xfId="777"/>
    <cellStyle name="Input 2 10 19 2" xfId="3169"/>
    <cellStyle name="Input 2 10 19 3" xfId="5067"/>
    <cellStyle name="Input 2 10 2" xfId="778"/>
    <cellStyle name="Input 2 10 2 2" xfId="3170"/>
    <cellStyle name="Input 2 10 2 3" xfId="5068"/>
    <cellStyle name="Input 2 10 20" xfId="779"/>
    <cellStyle name="Input 2 10 20 2" xfId="3171"/>
    <cellStyle name="Input 2 10 20 3" xfId="5069"/>
    <cellStyle name="Input 2 10 21" xfId="780"/>
    <cellStyle name="Input 2 10 21 2" xfId="3172"/>
    <cellStyle name="Input 2 10 21 3" xfId="5070"/>
    <cellStyle name="Input 2 10 22" xfId="781"/>
    <cellStyle name="Input 2 10 22 2" xfId="3173"/>
    <cellStyle name="Input 2 10 22 3" xfId="5071"/>
    <cellStyle name="Input 2 10 23" xfId="782"/>
    <cellStyle name="Input 2 10 23 2" xfId="3174"/>
    <cellStyle name="Input 2 10 23 3" xfId="5072"/>
    <cellStyle name="Input 2 10 24" xfId="3159"/>
    <cellStyle name="Input 2 10 25" xfId="5057"/>
    <cellStyle name="Input 2 10 3" xfId="783"/>
    <cellStyle name="Input 2 10 3 2" xfId="3175"/>
    <cellStyle name="Input 2 10 3 3" xfId="5073"/>
    <cellStyle name="Input 2 10 4" xfId="784"/>
    <cellStyle name="Input 2 10 4 2" xfId="3176"/>
    <cellStyle name="Input 2 10 4 3" xfId="5074"/>
    <cellStyle name="Input 2 10 5" xfId="785"/>
    <cellStyle name="Input 2 10 5 2" xfId="3177"/>
    <cellStyle name="Input 2 10 5 3" xfId="5075"/>
    <cellStyle name="Input 2 10 6" xfId="786"/>
    <cellStyle name="Input 2 10 6 2" xfId="3178"/>
    <cellStyle name="Input 2 10 6 3" xfId="5076"/>
    <cellStyle name="Input 2 10 7" xfId="787"/>
    <cellStyle name="Input 2 10 7 2" xfId="3179"/>
    <cellStyle name="Input 2 10 7 3" xfId="5077"/>
    <cellStyle name="Input 2 10 8" xfId="788"/>
    <cellStyle name="Input 2 10 8 2" xfId="3180"/>
    <cellStyle name="Input 2 10 8 3" xfId="5078"/>
    <cellStyle name="Input 2 10 9" xfId="789"/>
    <cellStyle name="Input 2 10 9 2" xfId="3181"/>
    <cellStyle name="Input 2 10 9 3" xfId="5079"/>
    <cellStyle name="Input 2 11" xfId="790"/>
    <cellStyle name="Input 2 11 10" xfId="791"/>
    <cellStyle name="Input 2 11 10 2" xfId="3183"/>
    <cellStyle name="Input 2 11 10 3" xfId="5081"/>
    <cellStyle name="Input 2 11 11" xfId="792"/>
    <cellStyle name="Input 2 11 11 2" xfId="3184"/>
    <cellStyle name="Input 2 11 11 3" xfId="5082"/>
    <cellStyle name="Input 2 11 12" xfId="793"/>
    <cellStyle name="Input 2 11 12 2" xfId="3185"/>
    <cellStyle name="Input 2 11 12 3" xfId="5083"/>
    <cellStyle name="Input 2 11 13" xfId="794"/>
    <cellStyle name="Input 2 11 13 2" xfId="3186"/>
    <cellStyle name="Input 2 11 13 3" xfId="5084"/>
    <cellStyle name="Input 2 11 14" xfId="795"/>
    <cellStyle name="Input 2 11 14 2" xfId="3187"/>
    <cellStyle name="Input 2 11 14 3" xfId="5085"/>
    <cellStyle name="Input 2 11 15" xfId="796"/>
    <cellStyle name="Input 2 11 15 2" xfId="3188"/>
    <cellStyle name="Input 2 11 15 3" xfId="5086"/>
    <cellStyle name="Input 2 11 16" xfId="797"/>
    <cellStyle name="Input 2 11 16 2" xfId="3189"/>
    <cellStyle name="Input 2 11 16 3" xfId="5087"/>
    <cellStyle name="Input 2 11 17" xfId="798"/>
    <cellStyle name="Input 2 11 17 2" xfId="3190"/>
    <cellStyle name="Input 2 11 17 3" xfId="5088"/>
    <cellStyle name="Input 2 11 18" xfId="799"/>
    <cellStyle name="Input 2 11 18 2" xfId="3191"/>
    <cellStyle name="Input 2 11 18 3" xfId="5089"/>
    <cellStyle name="Input 2 11 19" xfId="800"/>
    <cellStyle name="Input 2 11 19 2" xfId="3192"/>
    <cellStyle name="Input 2 11 19 3" xfId="5090"/>
    <cellStyle name="Input 2 11 2" xfId="801"/>
    <cellStyle name="Input 2 11 2 2" xfId="3193"/>
    <cellStyle name="Input 2 11 2 3" xfId="5091"/>
    <cellStyle name="Input 2 11 20" xfId="802"/>
    <cellStyle name="Input 2 11 20 2" xfId="3194"/>
    <cellStyle name="Input 2 11 20 3" xfId="5092"/>
    <cellStyle name="Input 2 11 21" xfId="803"/>
    <cellStyle name="Input 2 11 21 2" xfId="3195"/>
    <cellStyle name="Input 2 11 21 3" xfId="5093"/>
    <cellStyle name="Input 2 11 22" xfId="804"/>
    <cellStyle name="Input 2 11 22 2" xfId="3196"/>
    <cellStyle name="Input 2 11 22 3" xfId="5094"/>
    <cellStyle name="Input 2 11 23" xfId="805"/>
    <cellStyle name="Input 2 11 23 2" xfId="3197"/>
    <cellStyle name="Input 2 11 23 3" xfId="5095"/>
    <cellStyle name="Input 2 11 24" xfId="3182"/>
    <cellStyle name="Input 2 11 25" xfId="5080"/>
    <cellStyle name="Input 2 11 3" xfId="806"/>
    <cellStyle name="Input 2 11 3 2" xfId="3198"/>
    <cellStyle name="Input 2 11 3 3" xfId="5096"/>
    <cellStyle name="Input 2 11 4" xfId="807"/>
    <cellStyle name="Input 2 11 4 2" xfId="3199"/>
    <cellStyle name="Input 2 11 4 3" xfId="5097"/>
    <cellStyle name="Input 2 11 5" xfId="808"/>
    <cellStyle name="Input 2 11 5 2" xfId="3200"/>
    <cellStyle name="Input 2 11 5 3" xfId="5098"/>
    <cellStyle name="Input 2 11 6" xfId="809"/>
    <cellStyle name="Input 2 11 6 2" xfId="3201"/>
    <cellStyle name="Input 2 11 6 3" xfId="5099"/>
    <cellStyle name="Input 2 11 7" xfId="810"/>
    <cellStyle name="Input 2 11 7 2" xfId="3202"/>
    <cellStyle name="Input 2 11 7 3" xfId="5100"/>
    <cellStyle name="Input 2 11 8" xfId="811"/>
    <cellStyle name="Input 2 11 8 2" xfId="3203"/>
    <cellStyle name="Input 2 11 8 3" xfId="5101"/>
    <cellStyle name="Input 2 11 9" xfId="812"/>
    <cellStyle name="Input 2 11 9 2" xfId="3204"/>
    <cellStyle name="Input 2 11 9 3" xfId="5102"/>
    <cellStyle name="Input 2 12" xfId="813"/>
    <cellStyle name="Input 2 12 10" xfId="814"/>
    <cellStyle name="Input 2 12 10 2" xfId="3206"/>
    <cellStyle name="Input 2 12 10 3" xfId="5104"/>
    <cellStyle name="Input 2 12 11" xfId="815"/>
    <cellStyle name="Input 2 12 11 2" xfId="3207"/>
    <cellStyle name="Input 2 12 11 3" xfId="5105"/>
    <cellStyle name="Input 2 12 12" xfId="816"/>
    <cellStyle name="Input 2 12 12 2" xfId="3208"/>
    <cellStyle name="Input 2 12 12 3" xfId="5106"/>
    <cellStyle name="Input 2 12 13" xfId="817"/>
    <cellStyle name="Input 2 12 13 2" xfId="3209"/>
    <cellStyle name="Input 2 12 13 3" xfId="5107"/>
    <cellStyle name="Input 2 12 14" xfId="818"/>
    <cellStyle name="Input 2 12 14 2" xfId="3210"/>
    <cellStyle name="Input 2 12 14 3" xfId="5108"/>
    <cellStyle name="Input 2 12 15" xfId="819"/>
    <cellStyle name="Input 2 12 15 2" xfId="3211"/>
    <cellStyle name="Input 2 12 15 3" xfId="5109"/>
    <cellStyle name="Input 2 12 16" xfId="820"/>
    <cellStyle name="Input 2 12 16 2" xfId="3212"/>
    <cellStyle name="Input 2 12 16 3" xfId="5110"/>
    <cellStyle name="Input 2 12 17" xfId="821"/>
    <cellStyle name="Input 2 12 17 2" xfId="3213"/>
    <cellStyle name="Input 2 12 17 3" xfId="5111"/>
    <cellStyle name="Input 2 12 18" xfId="822"/>
    <cellStyle name="Input 2 12 18 2" xfId="3214"/>
    <cellStyle name="Input 2 12 18 3" xfId="5112"/>
    <cellStyle name="Input 2 12 19" xfId="823"/>
    <cellStyle name="Input 2 12 19 2" xfId="3215"/>
    <cellStyle name="Input 2 12 19 3" xfId="5113"/>
    <cellStyle name="Input 2 12 2" xfId="824"/>
    <cellStyle name="Input 2 12 2 2" xfId="3216"/>
    <cellStyle name="Input 2 12 2 3" xfId="5114"/>
    <cellStyle name="Input 2 12 20" xfId="825"/>
    <cellStyle name="Input 2 12 20 2" xfId="3217"/>
    <cellStyle name="Input 2 12 20 3" xfId="5115"/>
    <cellStyle name="Input 2 12 21" xfId="826"/>
    <cellStyle name="Input 2 12 21 2" xfId="3218"/>
    <cellStyle name="Input 2 12 21 3" xfId="5116"/>
    <cellStyle name="Input 2 12 22" xfId="827"/>
    <cellStyle name="Input 2 12 22 2" xfId="3219"/>
    <cellStyle name="Input 2 12 22 3" xfId="5117"/>
    <cellStyle name="Input 2 12 23" xfId="828"/>
    <cellStyle name="Input 2 12 23 2" xfId="3220"/>
    <cellStyle name="Input 2 12 23 3" xfId="5118"/>
    <cellStyle name="Input 2 12 24" xfId="3205"/>
    <cellStyle name="Input 2 12 25" xfId="5103"/>
    <cellStyle name="Input 2 12 3" xfId="829"/>
    <cellStyle name="Input 2 12 3 2" xfId="3221"/>
    <cellStyle name="Input 2 12 3 3" xfId="5119"/>
    <cellStyle name="Input 2 12 4" xfId="830"/>
    <cellStyle name="Input 2 12 4 2" xfId="3222"/>
    <cellStyle name="Input 2 12 4 3" xfId="5120"/>
    <cellStyle name="Input 2 12 5" xfId="831"/>
    <cellStyle name="Input 2 12 5 2" xfId="3223"/>
    <cellStyle name="Input 2 12 5 3" xfId="5121"/>
    <cellStyle name="Input 2 12 6" xfId="832"/>
    <cellStyle name="Input 2 12 6 2" xfId="3224"/>
    <cellStyle name="Input 2 12 6 3" xfId="5122"/>
    <cellStyle name="Input 2 12 7" xfId="833"/>
    <cellStyle name="Input 2 12 7 2" xfId="3225"/>
    <cellStyle name="Input 2 12 7 3" xfId="5123"/>
    <cellStyle name="Input 2 12 8" xfId="834"/>
    <cellStyle name="Input 2 12 8 2" xfId="3226"/>
    <cellStyle name="Input 2 12 8 3" xfId="5124"/>
    <cellStyle name="Input 2 12 9" xfId="835"/>
    <cellStyle name="Input 2 12 9 2" xfId="3227"/>
    <cellStyle name="Input 2 12 9 3" xfId="5125"/>
    <cellStyle name="Input 2 13" xfId="836"/>
    <cellStyle name="Input 2 13 10" xfId="837"/>
    <cellStyle name="Input 2 13 10 2" xfId="3229"/>
    <cellStyle name="Input 2 13 10 3" xfId="5127"/>
    <cellStyle name="Input 2 13 11" xfId="838"/>
    <cellStyle name="Input 2 13 11 2" xfId="3230"/>
    <cellStyle name="Input 2 13 11 3" xfId="5128"/>
    <cellStyle name="Input 2 13 12" xfId="839"/>
    <cellStyle name="Input 2 13 12 2" xfId="3231"/>
    <cellStyle name="Input 2 13 12 3" xfId="5129"/>
    <cellStyle name="Input 2 13 13" xfId="840"/>
    <cellStyle name="Input 2 13 13 2" xfId="3232"/>
    <cellStyle name="Input 2 13 13 3" xfId="5130"/>
    <cellStyle name="Input 2 13 14" xfId="841"/>
    <cellStyle name="Input 2 13 14 2" xfId="3233"/>
    <cellStyle name="Input 2 13 14 3" xfId="5131"/>
    <cellStyle name="Input 2 13 15" xfId="842"/>
    <cellStyle name="Input 2 13 15 2" xfId="3234"/>
    <cellStyle name="Input 2 13 15 3" xfId="5132"/>
    <cellStyle name="Input 2 13 16" xfId="843"/>
    <cellStyle name="Input 2 13 16 2" xfId="3235"/>
    <cellStyle name="Input 2 13 16 3" xfId="5133"/>
    <cellStyle name="Input 2 13 17" xfId="844"/>
    <cellStyle name="Input 2 13 17 2" xfId="3236"/>
    <cellStyle name="Input 2 13 17 3" xfId="5134"/>
    <cellStyle name="Input 2 13 18" xfId="845"/>
    <cellStyle name="Input 2 13 18 2" xfId="3237"/>
    <cellStyle name="Input 2 13 18 3" xfId="5135"/>
    <cellStyle name="Input 2 13 19" xfId="846"/>
    <cellStyle name="Input 2 13 19 2" xfId="3238"/>
    <cellStyle name="Input 2 13 19 3" xfId="5136"/>
    <cellStyle name="Input 2 13 2" xfId="847"/>
    <cellStyle name="Input 2 13 2 2" xfId="3239"/>
    <cellStyle name="Input 2 13 2 3" xfId="5137"/>
    <cellStyle name="Input 2 13 20" xfId="848"/>
    <cellStyle name="Input 2 13 20 2" xfId="3240"/>
    <cellStyle name="Input 2 13 20 3" xfId="5138"/>
    <cellStyle name="Input 2 13 21" xfId="849"/>
    <cellStyle name="Input 2 13 21 2" xfId="3241"/>
    <cellStyle name="Input 2 13 21 3" xfId="5139"/>
    <cellStyle name="Input 2 13 22" xfId="850"/>
    <cellStyle name="Input 2 13 22 2" xfId="3242"/>
    <cellStyle name="Input 2 13 22 3" xfId="5140"/>
    <cellStyle name="Input 2 13 23" xfId="851"/>
    <cellStyle name="Input 2 13 23 2" xfId="3243"/>
    <cellStyle name="Input 2 13 23 3" xfId="5141"/>
    <cellStyle name="Input 2 13 24" xfId="3228"/>
    <cellStyle name="Input 2 13 25" xfId="5126"/>
    <cellStyle name="Input 2 13 3" xfId="852"/>
    <cellStyle name="Input 2 13 3 2" xfId="3244"/>
    <cellStyle name="Input 2 13 3 3" xfId="5142"/>
    <cellStyle name="Input 2 13 4" xfId="853"/>
    <cellStyle name="Input 2 13 4 2" xfId="3245"/>
    <cellStyle name="Input 2 13 4 3" xfId="5143"/>
    <cellStyle name="Input 2 13 5" xfId="854"/>
    <cellStyle name="Input 2 13 5 2" xfId="3246"/>
    <cellStyle name="Input 2 13 5 3" xfId="5144"/>
    <cellStyle name="Input 2 13 6" xfId="855"/>
    <cellStyle name="Input 2 13 6 2" xfId="3247"/>
    <cellStyle name="Input 2 13 6 3" xfId="5145"/>
    <cellStyle name="Input 2 13 7" xfId="856"/>
    <cellStyle name="Input 2 13 7 2" xfId="3248"/>
    <cellStyle name="Input 2 13 7 3" xfId="5146"/>
    <cellStyle name="Input 2 13 8" xfId="857"/>
    <cellStyle name="Input 2 13 8 2" xfId="3249"/>
    <cellStyle name="Input 2 13 8 3" xfId="5147"/>
    <cellStyle name="Input 2 13 9" xfId="858"/>
    <cellStyle name="Input 2 13 9 2" xfId="3250"/>
    <cellStyle name="Input 2 13 9 3" xfId="5148"/>
    <cellStyle name="Input 2 14" xfId="859"/>
    <cellStyle name="Input 2 14 10" xfId="860"/>
    <cellStyle name="Input 2 14 10 2" xfId="3252"/>
    <cellStyle name="Input 2 14 10 3" xfId="5150"/>
    <cellStyle name="Input 2 14 11" xfId="861"/>
    <cellStyle name="Input 2 14 11 2" xfId="3253"/>
    <cellStyle name="Input 2 14 11 3" xfId="5151"/>
    <cellStyle name="Input 2 14 12" xfId="862"/>
    <cellStyle name="Input 2 14 12 2" xfId="3254"/>
    <cellStyle name="Input 2 14 12 3" xfId="5152"/>
    <cellStyle name="Input 2 14 13" xfId="863"/>
    <cellStyle name="Input 2 14 13 2" xfId="3255"/>
    <cellStyle name="Input 2 14 13 3" xfId="5153"/>
    <cellStyle name="Input 2 14 14" xfId="864"/>
    <cellStyle name="Input 2 14 14 2" xfId="3256"/>
    <cellStyle name="Input 2 14 14 3" xfId="5154"/>
    <cellStyle name="Input 2 14 15" xfId="865"/>
    <cellStyle name="Input 2 14 15 2" xfId="3257"/>
    <cellStyle name="Input 2 14 15 3" xfId="5155"/>
    <cellStyle name="Input 2 14 16" xfId="866"/>
    <cellStyle name="Input 2 14 16 2" xfId="3258"/>
    <cellStyle name="Input 2 14 16 3" xfId="5156"/>
    <cellStyle name="Input 2 14 17" xfId="867"/>
    <cellStyle name="Input 2 14 17 2" xfId="3259"/>
    <cellStyle name="Input 2 14 17 3" xfId="5157"/>
    <cellStyle name="Input 2 14 18" xfId="868"/>
    <cellStyle name="Input 2 14 18 2" xfId="3260"/>
    <cellStyle name="Input 2 14 18 3" xfId="5158"/>
    <cellStyle name="Input 2 14 19" xfId="869"/>
    <cellStyle name="Input 2 14 19 2" xfId="3261"/>
    <cellStyle name="Input 2 14 19 3" xfId="5159"/>
    <cellStyle name="Input 2 14 2" xfId="870"/>
    <cellStyle name="Input 2 14 2 2" xfId="3262"/>
    <cellStyle name="Input 2 14 2 3" xfId="5160"/>
    <cellStyle name="Input 2 14 20" xfId="871"/>
    <cellStyle name="Input 2 14 20 2" xfId="3263"/>
    <cellStyle name="Input 2 14 20 3" xfId="5161"/>
    <cellStyle name="Input 2 14 21" xfId="872"/>
    <cellStyle name="Input 2 14 21 2" xfId="3264"/>
    <cellStyle name="Input 2 14 21 3" xfId="5162"/>
    <cellStyle name="Input 2 14 22" xfId="873"/>
    <cellStyle name="Input 2 14 22 2" xfId="3265"/>
    <cellStyle name="Input 2 14 22 3" xfId="5163"/>
    <cellStyle name="Input 2 14 23" xfId="874"/>
    <cellStyle name="Input 2 14 23 2" xfId="3266"/>
    <cellStyle name="Input 2 14 23 3" xfId="5164"/>
    <cellStyle name="Input 2 14 24" xfId="3251"/>
    <cellStyle name="Input 2 14 25" xfId="5149"/>
    <cellStyle name="Input 2 14 3" xfId="875"/>
    <cellStyle name="Input 2 14 3 2" xfId="3267"/>
    <cellStyle name="Input 2 14 3 3" xfId="5165"/>
    <cellStyle name="Input 2 14 4" xfId="876"/>
    <cellStyle name="Input 2 14 4 2" xfId="3268"/>
    <cellStyle name="Input 2 14 4 3" xfId="5166"/>
    <cellStyle name="Input 2 14 5" xfId="877"/>
    <cellStyle name="Input 2 14 5 2" xfId="3269"/>
    <cellStyle name="Input 2 14 5 3" xfId="5167"/>
    <cellStyle name="Input 2 14 6" xfId="878"/>
    <cellStyle name="Input 2 14 6 2" xfId="3270"/>
    <cellStyle name="Input 2 14 6 3" xfId="5168"/>
    <cellStyle name="Input 2 14 7" xfId="879"/>
    <cellStyle name="Input 2 14 7 2" xfId="3271"/>
    <cellStyle name="Input 2 14 7 3" xfId="5169"/>
    <cellStyle name="Input 2 14 8" xfId="880"/>
    <cellStyle name="Input 2 14 8 2" xfId="3272"/>
    <cellStyle name="Input 2 14 8 3" xfId="5170"/>
    <cellStyle name="Input 2 14 9" xfId="881"/>
    <cellStyle name="Input 2 14 9 2" xfId="3273"/>
    <cellStyle name="Input 2 14 9 3" xfId="5171"/>
    <cellStyle name="Input 2 15" xfId="882"/>
    <cellStyle name="Input 2 15 10" xfId="883"/>
    <cellStyle name="Input 2 15 10 2" xfId="3275"/>
    <cellStyle name="Input 2 15 10 3" xfId="5173"/>
    <cellStyle name="Input 2 15 11" xfId="884"/>
    <cellStyle name="Input 2 15 11 2" xfId="3276"/>
    <cellStyle name="Input 2 15 11 3" xfId="5174"/>
    <cellStyle name="Input 2 15 12" xfId="885"/>
    <cellStyle name="Input 2 15 12 2" xfId="3277"/>
    <cellStyle name="Input 2 15 12 3" xfId="5175"/>
    <cellStyle name="Input 2 15 13" xfId="886"/>
    <cellStyle name="Input 2 15 13 2" xfId="3278"/>
    <cellStyle name="Input 2 15 13 3" xfId="5176"/>
    <cellStyle name="Input 2 15 14" xfId="887"/>
    <cellStyle name="Input 2 15 14 2" xfId="3279"/>
    <cellStyle name="Input 2 15 14 3" xfId="5177"/>
    <cellStyle name="Input 2 15 15" xfId="888"/>
    <cellStyle name="Input 2 15 15 2" xfId="3280"/>
    <cellStyle name="Input 2 15 15 3" xfId="5178"/>
    <cellStyle name="Input 2 15 16" xfId="889"/>
    <cellStyle name="Input 2 15 16 2" xfId="3281"/>
    <cellStyle name="Input 2 15 16 3" xfId="5179"/>
    <cellStyle name="Input 2 15 17" xfId="890"/>
    <cellStyle name="Input 2 15 17 2" xfId="3282"/>
    <cellStyle name="Input 2 15 17 3" xfId="5180"/>
    <cellStyle name="Input 2 15 18" xfId="891"/>
    <cellStyle name="Input 2 15 18 2" xfId="3283"/>
    <cellStyle name="Input 2 15 18 3" xfId="5181"/>
    <cellStyle name="Input 2 15 19" xfId="892"/>
    <cellStyle name="Input 2 15 19 2" xfId="3284"/>
    <cellStyle name="Input 2 15 19 3" xfId="5182"/>
    <cellStyle name="Input 2 15 2" xfId="893"/>
    <cellStyle name="Input 2 15 2 2" xfId="3285"/>
    <cellStyle name="Input 2 15 2 3" xfId="5183"/>
    <cellStyle name="Input 2 15 20" xfId="894"/>
    <cellStyle name="Input 2 15 20 2" xfId="3286"/>
    <cellStyle name="Input 2 15 20 3" xfId="5184"/>
    <cellStyle name="Input 2 15 21" xfId="895"/>
    <cellStyle name="Input 2 15 21 2" xfId="3287"/>
    <cellStyle name="Input 2 15 21 3" xfId="5185"/>
    <cellStyle name="Input 2 15 22" xfId="896"/>
    <cellStyle name="Input 2 15 22 2" xfId="3288"/>
    <cellStyle name="Input 2 15 22 3" xfId="5186"/>
    <cellStyle name="Input 2 15 23" xfId="897"/>
    <cellStyle name="Input 2 15 23 2" xfId="3289"/>
    <cellStyle name="Input 2 15 23 3" xfId="5187"/>
    <cellStyle name="Input 2 15 24" xfId="3274"/>
    <cellStyle name="Input 2 15 25" xfId="5172"/>
    <cellStyle name="Input 2 15 3" xfId="898"/>
    <cellStyle name="Input 2 15 3 2" xfId="3290"/>
    <cellStyle name="Input 2 15 3 3" xfId="5188"/>
    <cellStyle name="Input 2 15 4" xfId="899"/>
    <cellStyle name="Input 2 15 4 2" xfId="3291"/>
    <cellStyle name="Input 2 15 4 3" xfId="5189"/>
    <cellStyle name="Input 2 15 5" xfId="900"/>
    <cellStyle name="Input 2 15 5 2" xfId="3292"/>
    <cellStyle name="Input 2 15 5 3" xfId="5190"/>
    <cellStyle name="Input 2 15 6" xfId="901"/>
    <cellStyle name="Input 2 15 6 2" xfId="3293"/>
    <cellStyle name="Input 2 15 6 3" xfId="5191"/>
    <cellStyle name="Input 2 15 7" xfId="902"/>
    <cellStyle name="Input 2 15 7 2" xfId="3294"/>
    <cellStyle name="Input 2 15 7 3" xfId="5192"/>
    <cellStyle name="Input 2 15 8" xfId="903"/>
    <cellStyle name="Input 2 15 8 2" xfId="3295"/>
    <cellStyle name="Input 2 15 8 3" xfId="5193"/>
    <cellStyle name="Input 2 15 9" xfId="904"/>
    <cellStyle name="Input 2 15 9 2" xfId="3296"/>
    <cellStyle name="Input 2 15 9 3" xfId="5194"/>
    <cellStyle name="Input 2 16" xfId="905"/>
    <cellStyle name="Input 2 16 2" xfId="3297"/>
    <cellStyle name="Input 2 16 3" xfId="5195"/>
    <cellStyle name="Input 2 17" xfId="906"/>
    <cellStyle name="Input 2 17 2" xfId="3298"/>
    <cellStyle name="Input 2 17 3" xfId="5196"/>
    <cellStyle name="Input 2 18" xfId="907"/>
    <cellStyle name="Input 2 18 2" xfId="3299"/>
    <cellStyle name="Input 2 18 3" xfId="5197"/>
    <cellStyle name="Input 2 19" xfId="908"/>
    <cellStyle name="Input 2 19 2" xfId="3300"/>
    <cellStyle name="Input 2 19 3" xfId="5198"/>
    <cellStyle name="Input 2 2" xfId="909"/>
    <cellStyle name="Input 2 2 10" xfId="910"/>
    <cellStyle name="Input 2 2 10 2" xfId="3302"/>
    <cellStyle name="Input 2 2 10 3" xfId="5200"/>
    <cellStyle name="Input 2 2 11" xfId="911"/>
    <cellStyle name="Input 2 2 11 2" xfId="3303"/>
    <cellStyle name="Input 2 2 11 3" xfId="5201"/>
    <cellStyle name="Input 2 2 12" xfId="912"/>
    <cellStyle name="Input 2 2 12 2" xfId="3304"/>
    <cellStyle name="Input 2 2 12 3" xfId="5202"/>
    <cellStyle name="Input 2 2 13" xfId="913"/>
    <cellStyle name="Input 2 2 13 2" xfId="3305"/>
    <cellStyle name="Input 2 2 13 3" xfId="5203"/>
    <cellStyle name="Input 2 2 14" xfId="914"/>
    <cellStyle name="Input 2 2 14 2" xfId="3306"/>
    <cellStyle name="Input 2 2 14 3" xfId="5204"/>
    <cellStyle name="Input 2 2 15" xfId="915"/>
    <cellStyle name="Input 2 2 15 2" xfId="3307"/>
    <cellStyle name="Input 2 2 15 3" xfId="5205"/>
    <cellStyle name="Input 2 2 16" xfId="916"/>
    <cellStyle name="Input 2 2 16 2" xfId="3308"/>
    <cellStyle name="Input 2 2 16 3" xfId="5206"/>
    <cellStyle name="Input 2 2 17" xfId="917"/>
    <cellStyle name="Input 2 2 17 2" xfId="3309"/>
    <cellStyle name="Input 2 2 17 3" xfId="5207"/>
    <cellStyle name="Input 2 2 18" xfId="918"/>
    <cellStyle name="Input 2 2 18 2" xfId="3310"/>
    <cellStyle name="Input 2 2 18 3" xfId="5208"/>
    <cellStyle name="Input 2 2 19" xfId="919"/>
    <cellStyle name="Input 2 2 19 2" xfId="3311"/>
    <cellStyle name="Input 2 2 19 3" xfId="5209"/>
    <cellStyle name="Input 2 2 2" xfId="920"/>
    <cellStyle name="Input 2 2 2 2" xfId="3312"/>
    <cellStyle name="Input 2 2 2 3" xfId="5210"/>
    <cellStyle name="Input 2 2 20" xfId="921"/>
    <cellStyle name="Input 2 2 20 2" xfId="3313"/>
    <cellStyle name="Input 2 2 20 3" xfId="5211"/>
    <cellStyle name="Input 2 2 21" xfId="922"/>
    <cellStyle name="Input 2 2 21 2" xfId="3314"/>
    <cellStyle name="Input 2 2 21 3" xfId="5212"/>
    <cellStyle name="Input 2 2 22" xfId="923"/>
    <cellStyle name="Input 2 2 22 2" xfId="3315"/>
    <cellStyle name="Input 2 2 22 3" xfId="5213"/>
    <cellStyle name="Input 2 2 23" xfId="924"/>
    <cellStyle name="Input 2 2 23 2" xfId="3316"/>
    <cellStyle name="Input 2 2 23 3" xfId="5214"/>
    <cellStyle name="Input 2 2 24" xfId="3301"/>
    <cellStyle name="Input 2 2 25" xfId="5199"/>
    <cellStyle name="Input 2 2 3" xfId="925"/>
    <cellStyle name="Input 2 2 3 2" xfId="3317"/>
    <cellStyle name="Input 2 2 3 3" xfId="5215"/>
    <cellStyle name="Input 2 2 4" xfId="926"/>
    <cellStyle name="Input 2 2 4 2" xfId="3318"/>
    <cellStyle name="Input 2 2 4 3" xfId="5216"/>
    <cellStyle name="Input 2 2 5" xfId="927"/>
    <cellStyle name="Input 2 2 5 2" xfId="3319"/>
    <cellStyle name="Input 2 2 5 3" xfId="5217"/>
    <cellStyle name="Input 2 2 6" xfId="928"/>
    <cellStyle name="Input 2 2 6 2" xfId="3320"/>
    <cellStyle name="Input 2 2 6 3" xfId="5218"/>
    <cellStyle name="Input 2 2 7" xfId="929"/>
    <cellStyle name="Input 2 2 7 2" xfId="3321"/>
    <cellStyle name="Input 2 2 7 3" xfId="5219"/>
    <cellStyle name="Input 2 2 8" xfId="930"/>
    <cellStyle name="Input 2 2 8 2" xfId="3322"/>
    <cellStyle name="Input 2 2 8 3" xfId="5220"/>
    <cellStyle name="Input 2 2 9" xfId="931"/>
    <cellStyle name="Input 2 2 9 2" xfId="3323"/>
    <cellStyle name="Input 2 2 9 3" xfId="5221"/>
    <cellStyle name="Input 2 20" xfId="932"/>
    <cellStyle name="Input 2 20 2" xfId="3324"/>
    <cellStyle name="Input 2 20 3" xfId="5222"/>
    <cellStyle name="Input 2 21" xfId="933"/>
    <cellStyle name="Input 2 21 2" xfId="3325"/>
    <cellStyle name="Input 2 21 3" xfId="5223"/>
    <cellStyle name="Input 2 22" xfId="934"/>
    <cellStyle name="Input 2 22 2" xfId="3326"/>
    <cellStyle name="Input 2 22 3" xfId="5224"/>
    <cellStyle name="Input 2 23" xfId="935"/>
    <cellStyle name="Input 2 23 2" xfId="3327"/>
    <cellStyle name="Input 2 23 3" xfId="5225"/>
    <cellStyle name="Input 2 24" xfId="936"/>
    <cellStyle name="Input 2 24 2" xfId="3328"/>
    <cellStyle name="Input 2 24 3" xfId="5226"/>
    <cellStyle name="Input 2 25" xfId="937"/>
    <cellStyle name="Input 2 25 2" xfId="3329"/>
    <cellStyle name="Input 2 25 3" xfId="5227"/>
    <cellStyle name="Input 2 26" xfId="938"/>
    <cellStyle name="Input 2 26 2" xfId="3330"/>
    <cellStyle name="Input 2 26 3" xfId="5228"/>
    <cellStyle name="Input 2 27" xfId="939"/>
    <cellStyle name="Input 2 27 2" xfId="3331"/>
    <cellStyle name="Input 2 27 3" xfId="5229"/>
    <cellStyle name="Input 2 28" xfId="940"/>
    <cellStyle name="Input 2 28 2" xfId="3332"/>
    <cellStyle name="Input 2 28 3" xfId="5230"/>
    <cellStyle name="Input 2 29" xfId="941"/>
    <cellStyle name="Input 2 29 2" xfId="3333"/>
    <cellStyle name="Input 2 29 3" xfId="5231"/>
    <cellStyle name="Input 2 3" xfId="942"/>
    <cellStyle name="Input 2 3 10" xfId="943"/>
    <cellStyle name="Input 2 3 10 2" xfId="3335"/>
    <cellStyle name="Input 2 3 10 3" xfId="5233"/>
    <cellStyle name="Input 2 3 11" xfId="944"/>
    <cellStyle name="Input 2 3 11 2" xfId="3336"/>
    <cellStyle name="Input 2 3 11 3" xfId="5234"/>
    <cellStyle name="Input 2 3 12" xfId="945"/>
    <cellStyle name="Input 2 3 12 2" xfId="3337"/>
    <cellStyle name="Input 2 3 12 3" xfId="5235"/>
    <cellStyle name="Input 2 3 13" xfId="946"/>
    <cellStyle name="Input 2 3 13 2" xfId="3338"/>
    <cellStyle name="Input 2 3 13 3" xfId="5236"/>
    <cellStyle name="Input 2 3 14" xfId="947"/>
    <cellStyle name="Input 2 3 14 2" xfId="3339"/>
    <cellStyle name="Input 2 3 14 3" xfId="5237"/>
    <cellStyle name="Input 2 3 15" xfId="948"/>
    <cellStyle name="Input 2 3 15 2" xfId="3340"/>
    <cellStyle name="Input 2 3 15 3" xfId="5238"/>
    <cellStyle name="Input 2 3 16" xfId="949"/>
    <cellStyle name="Input 2 3 16 2" xfId="3341"/>
    <cellStyle name="Input 2 3 16 3" xfId="5239"/>
    <cellStyle name="Input 2 3 17" xfId="950"/>
    <cellStyle name="Input 2 3 17 2" xfId="3342"/>
    <cellStyle name="Input 2 3 17 3" xfId="5240"/>
    <cellStyle name="Input 2 3 18" xfId="951"/>
    <cellStyle name="Input 2 3 18 2" xfId="3343"/>
    <cellStyle name="Input 2 3 18 3" xfId="5241"/>
    <cellStyle name="Input 2 3 19" xfId="952"/>
    <cellStyle name="Input 2 3 19 2" xfId="3344"/>
    <cellStyle name="Input 2 3 19 3" xfId="5242"/>
    <cellStyle name="Input 2 3 2" xfId="953"/>
    <cellStyle name="Input 2 3 2 2" xfId="3345"/>
    <cellStyle name="Input 2 3 2 3" xfId="5243"/>
    <cellStyle name="Input 2 3 20" xfId="954"/>
    <cellStyle name="Input 2 3 20 2" xfId="3346"/>
    <cellStyle name="Input 2 3 20 3" xfId="5244"/>
    <cellStyle name="Input 2 3 21" xfId="955"/>
    <cellStyle name="Input 2 3 21 2" xfId="3347"/>
    <cellStyle name="Input 2 3 21 3" xfId="5245"/>
    <cellStyle name="Input 2 3 22" xfId="956"/>
    <cellStyle name="Input 2 3 22 2" xfId="3348"/>
    <cellStyle name="Input 2 3 22 3" xfId="5246"/>
    <cellStyle name="Input 2 3 23" xfId="957"/>
    <cellStyle name="Input 2 3 23 2" xfId="3349"/>
    <cellStyle name="Input 2 3 23 3" xfId="5247"/>
    <cellStyle name="Input 2 3 24" xfId="3334"/>
    <cellStyle name="Input 2 3 25" xfId="5232"/>
    <cellStyle name="Input 2 3 3" xfId="958"/>
    <cellStyle name="Input 2 3 3 2" xfId="3350"/>
    <cellStyle name="Input 2 3 3 3" xfId="5248"/>
    <cellStyle name="Input 2 3 4" xfId="959"/>
    <cellStyle name="Input 2 3 4 2" xfId="3351"/>
    <cellStyle name="Input 2 3 4 3" xfId="5249"/>
    <cellStyle name="Input 2 3 5" xfId="960"/>
    <cellStyle name="Input 2 3 5 2" xfId="3352"/>
    <cellStyle name="Input 2 3 5 3" xfId="5250"/>
    <cellStyle name="Input 2 3 6" xfId="961"/>
    <cellStyle name="Input 2 3 6 2" xfId="3353"/>
    <cellStyle name="Input 2 3 6 3" xfId="5251"/>
    <cellStyle name="Input 2 3 7" xfId="962"/>
    <cellStyle name="Input 2 3 7 2" xfId="3354"/>
    <cellStyle name="Input 2 3 7 3" xfId="5252"/>
    <cellStyle name="Input 2 3 8" xfId="963"/>
    <cellStyle name="Input 2 3 8 2" xfId="3355"/>
    <cellStyle name="Input 2 3 8 3" xfId="5253"/>
    <cellStyle name="Input 2 3 9" xfId="964"/>
    <cellStyle name="Input 2 3 9 2" xfId="3356"/>
    <cellStyle name="Input 2 3 9 3" xfId="5254"/>
    <cellStyle name="Input 2 30" xfId="965"/>
    <cellStyle name="Input 2 30 2" xfId="3357"/>
    <cellStyle name="Input 2 30 3" xfId="5255"/>
    <cellStyle name="Input 2 31" xfId="966"/>
    <cellStyle name="Input 2 31 2" xfId="3358"/>
    <cellStyle name="Input 2 31 3" xfId="5256"/>
    <cellStyle name="Input 2 32" xfId="967"/>
    <cellStyle name="Input 2 32 2" xfId="3359"/>
    <cellStyle name="Input 2 32 3" xfId="5257"/>
    <cellStyle name="Input 2 33" xfId="968"/>
    <cellStyle name="Input 2 33 2" xfId="3360"/>
    <cellStyle name="Input 2 33 3" xfId="5258"/>
    <cellStyle name="Input 2 34" xfId="969"/>
    <cellStyle name="Input 2 34 2" xfId="3361"/>
    <cellStyle name="Input 2 34 3" xfId="5259"/>
    <cellStyle name="Input 2 35" xfId="970"/>
    <cellStyle name="Input 2 35 2" xfId="3362"/>
    <cellStyle name="Input 2 35 3" xfId="5260"/>
    <cellStyle name="Input 2 36" xfId="971"/>
    <cellStyle name="Input 2 36 2" xfId="3363"/>
    <cellStyle name="Input 2 36 3" xfId="5261"/>
    <cellStyle name="Input 2 37" xfId="972"/>
    <cellStyle name="Input 2 37 2" xfId="3364"/>
    <cellStyle name="Input 2 37 3" xfId="5262"/>
    <cellStyle name="Input 2 38" xfId="3158"/>
    <cellStyle name="Input 2 39" xfId="5056"/>
    <cellStyle name="Input 2 4" xfId="973"/>
    <cellStyle name="Input 2 4 10" xfId="974"/>
    <cellStyle name="Input 2 4 10 2" xfId="3366"/>
    <cellStyle name="Input 2 4 10 3" xfId="5264"/>
    <cellStyle name="Input 2 4 11" xfId="975"/>
    <cellStyle name="Input 2 4 11 2" xfId="3367"/>
    <cellStyle name="Input 2 4 11 3" xfId="5265"/>
    <cellStyle name="Input 2 4 12" xfId="976"/>
    <cellStyle name="Input 2 4 12 2" xfId="3368"/>
    <cellStyle name="Input 2 4 12 3" xfId="5266"/>
    <cellStyle name="Input 2 4 13" xfId="977"/>
    <cellStyle name="Input 2 4 13 2" xfId="3369"/>
    <cellStyle name="Input 2 4 13 3" xfId="5267"/>
    <cellStyle name="Input 2 4 14" xfId="978"/>
    <cellStyle name="Input 2 4 14 2" xfId="3370"/>
    <cellStyle name="Input 2 4 14 3" xfId="5268"/>
    <cellStyle name="Input 2 4 15" xfId="979"/>
    <cellStyle name="Input 2 4 15 2" xfId="3371"/>
    <cellStyle name="Input 2 4 15 3" xfId="5269"/>
    <cellStyle name="Input 2 4 16" xfId="980"/>
    <cellStyle name="Input 2 4 16 2" xfId="3372"/>
    <cellStyle name="Input 2 4 16 3" xfId="5270"/>
    <cellStyle name="Input 2 4 17" xfId="981"/>
    <cellStyle name="Input 2 4 17 2" xfId="3373"/>
    <cellStyle name="Input 2 4 17 3" xfId="5271"/>
    <cellStyle name="Input 2 4 18" xfId="982"/>
    <cellStyle name="Input 2 4 18 2" xfId="3374"/>
    <cellStyle name="Input 2 4 18 3" xfId="5272"/>
    <cellStyle name="Input 2 4 19" xfId="983"/>
    <cellStyle name="Input 2 4 19 2" xfId="3375"/>
    <cellStyle name="Input 2 4 19 3" xfId="5273"/>
    <cellStyle name="Input 2 4 2" xfId="984"/>
    <cellStyle name="Input 2 4 2 2" xfId="3376"/>
    <cellStyle name="Input 2 4 2 3" xfId="5274"/>
    <cellStyle name="Input 2 4 20" xfId="985"/>
    <cellStyle name="Input 2 4 20 2" xfId="3377"/>
    <cellStyle name="Input 2 4 20 3" xfId="5275"/>
    <cellStyle name="Input 2 4 21" xfId="986"/>
    <cellStyle name="Input 2 4 21 2" xfId="3378"/>
    <cellStyle name="Input 2 4 21 3" xfId="5276"/>
    <cellStyle name="Input 2 4 22" xfId="987"/>
    <cellStyle name="Input 2 4 22 2" xfId="3379"/>
    <cellStyle name="Input 2 4 22 3" xfId="5277"/>
    <cellStyle name="Input 2 4 23" xfId="988"/>
    <cellStyle name="Input 2 4 23 2" xfId="3380"/>
    <cellStyle name="Input 2 4 23 3" xfId="5278"/>
    <cellStyle name="Input 2 4 24" xfId="3365"/>
    <cellStyle name="Input 2 4 25" xfId="5263"/>
    <cellStyle name="Input 2 4 3" xfId="989"/>
    <cellStyle name="Input 2 4 3 2" xfId="3381"/>
    <cellStyle name="Input 2 4 3 3" xfId="5279"/>
    <cellStyle name="Input 2 4 4" xfId="990"/>
    <cellStyle name="Input 2 4 4 2" xfId="3382"/>
    <cellStyle name="Input 2 4 4 3" xfId="5280"/>
    <cellStyle name="Input 2 4 5" xfId="991"/>
    <cellStyle name="Input 2 4 5 2" xfId="3383"/>
    <cellStyle name="Input 2 4 5 3" xfId="5281"/>
    <cellStyle name="Input 2 4 6" xfId="992"/>
    <cellStyle name="Input 2 4 6 2" xfId="3384"/>
    <cellStyle name="Input 2 4 6 3" xfId="5282"/>
    <cellStyle name="Input 2 4 7" xfId="993"/>
    <cellStyle name="Input 2 4 7 2" xfId="3385"/>
    <cellStyle name="Input 2 4 7 3" xfId="5283"/>
    <cellStyle name="Input 2 4 8" xfId="994"/>
    <cellStyle name="Input 2 4 8 2" xfId="3386"/>
    <cellStyle name="Input 2 4 8 3" xfId="5284"/>
    <cellStyle name="Input 2 4 9" xfId="995"/>
    <cellStyle name="Input 2 4 9 2" xfId="3387"/>
    <cellStyle name="Input 2 4 9 3" xfId="5285"/>
    <cellStyle name="Input 2 5" xfId="996"/>
    <cellStyle name="Input 2 5 10" xfId="997"/>
    <cellStyle name="Input 2 5 10 2" xfId="3389"/>
    <cellStyle name="Input 2 5 10 3" xfId="5287"/>
    <cellStyle name="Input 2 5 11" xfId="998"/>
    <cellStyle name="Input 2 5 11 2" xfId="3390"/>
    <cellStyle name="Input 2 5 11 3" xfId="5288"/>
    <cellStyle name="Input 2 5 12" xfId="999"/>
    <cellStyle name="Input 2 5 12 2" xfId="3391"/>
    <cellStyle name="Input 2 5 12 3" xfId="5289"/>
    <cellStyle name="Input 2 5 13" xfId="1000"/>
    <cellStyle name="Input 2 5 13 2" xfId="3392"/>
    <cellStyle name="Input 2 5 13 3" xfId="5290"/>
    <cellStyle name="Input 2 5 14" xfId="1001"/>
    <cellStyle name="Input 2 5 14 2" xfId="3393"/>
    <cellStyle name="Input 2 5 14 3" xfId="5291"/>
    <cellStyle name="Input 2 5 15" xfId="1002"/>
    <cellStyle name="Input 2 5 15 2" xfId="3394"/>
    <cellStyle name="Input 2 5 15 3" xfId="5292"/>
    <cellStyle name="Input 2 5 16" xfId="1003"/>
    <cellStyle name="Input 2 5 16 2" xfId="3395"/>
    <cellStyle name="Input 2 5 16 3" xfId="5293"/>
    <cellStyle name="Input 2 5 17" xfId="1004"/>
    <cellStyle name="Input 2 5 17 2" xfId="3396"/>
    <cellStyle name="Input 2 5 17 3" xfId="5294"/>
    <cellStyle name="Input 2 5 18" xfId="1005"/>
    <cellStyle name="Input 2 5 18 2" xfId="3397"/>
    <cellStyle name="Input 2 5 18 3" xfId="5295"/>
    <cellStyle name="Input 2 5 19" xfId="1006"/>
    <cellStyle name="Input 2 5 19 2" xfId="3398"/>
    <cellStyle name="Input 2 5 19 3" xfId="5296"/>
    <cellStyle name="Input 2 5 2" xfId="1007"/>
    <cellStyle name="Input 2 5 2 2" xfId="3399"/>
    <cellStyle name="Input 2 5 2 3" xfId="5297"/>
    <cellStyle name="Input 2 5 20" xfId="1008"/>
    <cellStyle name="Input 2 5 20 2" xfId="3400"/>
    <cellStyle name="Input 2 5 20 3" xfId="5298"/>
    <cellStyle name="Input 2 5 21" xfId="1009"/>
    <cellStyle name="Input 2 5 21 2" xfId="3401"/>
    <cellStyle name="Input 2 5 21 3" xfId="5299"/>
    <cellStyle name="Input 2 5 22" xfId="1010"/>
    <cellStyle name="Input 2 5 22 2" xfId="3402"/>
    <cellStyle name="Input 2 5 22 3" xfId="5300"/>
    <cellStyle name="Input 2 5 23" xfId="1011"/>
    <cellStyle name="Input 2 5 23 2" xfId="3403"/>
    <cellStyle name="Input 2 5 23 3" xfId="5301"/>
    <cellStyle name="Input 2 5 24" xfId="3388"/>
    <cellStyle name="Input 2 5 25" xfId="5286"/>
    <cellStyle name="Input 2 5 3" xfId="1012"/>
    <cellStyle name="Input 2 5 3 2" xfId="3404"/>
    <cellStyle name="Input 2 5 3 3" xfId="5302"/>
    <cellStyle name="Input 2 5 4" xfId="1013"/>
    <cellStyle name="Input 2 5 4 2" xfId="3405"/>
    <cellStyle name="Input 2 5 4 3" xfId="5303"/>
    <cellStyle name="Input 2 5 5" xfId="1014"/>
    <cellStyle name="Input 2 5 5 2" xfId="3406"/>
    <cellStyle name="Input 2 5 5 3" xfId="5304"/>
    <cellStyle name="Input 2 5 6" xfId="1015"/>
    <cellStyle name="Input 2 5 6 2" xfId="3407"/>
    <cellStyle name="Input 2 5 6 3" xfId="5305"/>
    <cellStyle name="Input 2 5 7" xfId="1016"/>
    <cellStyle name="Input 2 5 7 2" xfId="3408"/>
    <cellStyle name="Input 2 5 7 3" xfId="5306"/>
    <cellStyle name="Input 2 5 8" xfId="1017"/>
    <cellStyle name="Input 2 5 8 2" xfId="3409"/>
    <cellStyle name="Input 2 5 8 3" xfId="5307"/>
    <cellStyle name="Input 2 5 9" xfId="1018"/>
    <cellStyle name="Input 2 5 9 2" xfId="3410"/>
    <cellStyle name="Input 2 5 9 3" xfId="5308"/>
    <cellStyle name="Input 2 6" xfId="1019"/>
    <cellStyle name="Input 2 6 10" xfId="1020"/>
    <cellStyle name="Input 2 6 10 2" xfId="3412"/>
    <cellStyle name="Input 2 6 10 3" xfId="5310"/>
    <cellStyle name="Input 2 6 11" xfId="1021"/>
    <cellStyle name="Input 2 6 11 2" xfId="3413"/>
    <cellStyle name="Input 2 6 11 3" xfId="5311"/>
    <cellStyle name="Input 2 6 12" xfId="1022"/>
    <cellStyle name="Input 2 6 12 2" xfId="3414"/>
    <cellStyle name="Input 2 6 12 3" xfId="5312"/>
    <cellStyle name="Input 2 6 13" xfId="1023"/>
    <cellStyle name="Input 2 6 13 2" xfId="3415"/>
    <cellStyle name="Input 2 6 13 3" xfId="5313"/>
    <cellStyle name="Input 2 6 14" xfId="1024"/>
    <cellStyle name="Input 2 6 14 2" xfId="3416"/>
    <cellStyle name="Input 2 6 14 3" xfId="5314"/>
    <cellStyle name="Input 2 6 15" xfId="1025"/>
    <cellStyle name="Input 2 6 15 2" xfId="3417"/>
    <cellStyle name="Input 2 6 15 3" xfId="5315"/>
    <cellStyle name="Input 2 6 16" xfId="1026"/>
    <cellStyle name="Input 2 6 16 2" xfId="3418"/>
    <cellStyle name="Input 2 6 16 3" xfId="5316"/>
    <cellStyle name="Input 2 6 17" xfId="1027"/>
    <cellStyle name="Input 2 6 17 2" xfId="3419"/>
    <cellStyle name="Input 2 6 17 3" xfId="5317"/>
    <cellStyle name="Input 2 6 18" xfId="1028"/>
    <cellStyle name="Input 2 6 18 2" xfId="3420"/>
    <cellStyle name="Input 2 6 18 3" xfId="5318"/>
    <cellStyle name="Input 2 6 19" xfId="1029"/>
    <cellStyle name="Input 2 6 19 2" xfId="3421"/>
    <cellStyle name="Input 2 6 19 3" xfId="5319"/>
    <cellStyle name="Input 2 6 2" xfId="1030"/>
    <cellStyle name="Input 2 6 2 2" xfId="3422"/>
    <cellStyle name="Input 2 6 2 3" xfId="5320"/>
    <cellStyle name="Input 2 6 20" xfId="1031"/>
    <cellStyle name="Input 2 6 20 2" xfId="3423"/>
    <cellStyle name="Input 2 6 20 3" xfId="5321"/>
    <cellStyle name="Input 2 6 21" xfId="1032"/>
    <cellStyle name="Input 2 6 21 2" xfId="3424"/>
    <cellStyle name="Input 2 6 21 3" xfId="5322"/>
    <cellStyle name="Input 2 6 22" xfId="1033"/>
    <cellStyle name="Input 2 6 22 2" xfId="3425"/>
    <cellStyle name="Input 2 6 22 3" xfId="5323"/>
    <cellStyle name="Input 2 6 23" xfId="1034"/>
    <cellStyle name="Input 2 6 23 2" xfId="3426"/>
    <cellStyle name="Input 2 6 23 3" xfId="5324"/>
    <cellStyle name="Input 2 6 24" xfId="3411"/>
    <cellStyle name="Input 2 6 25" xfId="5309"/>
    <cellStyle name="Input 2 6 3" xfId="1035"/>
    <cellStyle name="Input 2 6 3 2" xfId="3427"/>
    <cellStyle name="Input 2 6 3 3" xfId="5325"/>
    <cellStyle name="Input 2 6 4" xfId="1036"/>
    <cellStyle name="Input 2 6 4 2" xfId="3428"/>
    <cellStyle name="Input 2 6 4 3" xfId="5326"/>
    <cellStyle name="Input 2 6 5" xfId="1037"/>
    <cellStyle name="Input 2 6 5 2" xfId="3429"/>
    <cellStyle name="Input 2 6 5 3" xfId="5327"/>
    <cellStyle name="Input 2 6 6" xfId="1038"/>
    <cellStyle name="Input 2 6 6 2" xfId="3430"/>
    <cellStyle name="Input 2 6 6 3" xfId="5328"/>
    <cellStyle name="Input 2 6 7" xfId="1039"/>
    <cellStyle name="Input 2 6 7 2" xfId="3431"/>
    <cellStyle name="Input 2 6 7 3" xfId="5329"/>
    <cellStyle name="Input 2 6 8" xfId="1040"/>
    <cellStyle name="Input 2 6 8 2" xfId="3432"/>
    <cellStyle name="Input 2 6 8 3" xfId="5330"/>
    <cellStyle name="Input 2 6 9" xfId="1041"/>
    <cellStyle name="Input 2 6 9 2" xfId="3433"/>
    <cellStyle name="Input 2 6 9 3" xfId="5331"/>
    <cellStyle name="Input 2 7" xfId="1042"/>
    <cellStyle name="Input 2 7 10" xfId="1043"/>
    <cellStyle name="Input 2 7 10 2" xfId="3435"/>
    <cellStyle name="Input 2 7 10 3" xfId="5333"/>
    <cellStyle name="Input 2 7 11" xfId="1044"/>
    <cellStyle name="Input 2 7 11 2" xfId="3436"/>
    <cellStyle name="Input 2 7 11 3" xfId="5334"/>
    <cellStyle name="Input 2 7 12" xfId="1045"/>
    <cellStyle name="Input 2 7 12 2" xfId="3437"/>
    <cellStyle name="Input 2 7 12 3" xfId="5335"/>
    <cellStyle name="Input 2 7 13" xfId="1046"/>
    <cellStyle name="Input 2 7 13 2" xfId="3438"/>
    <cellStyle name="Input 2 7 13 3" xfId="5336"/>
    <cellStyle name="Input 2 7 14" xfId="1047"/>
    <cellStyle name="Input 2 7 14 2" xfId="3439"/>
    <cellStyle name="Input 2 7 14 3" xfId="5337"/>
    <cellStyle name="Input 2 7 15" xfId="1048"/>
    <cellStyle name="Input 2 7 15 2" xfId="3440"/>
    <cellStyle name="Input 2 7 15 3" xfId="5338"/>
    <cellStyle name="Input 2 7 16" xfId="1049"/>
    <cellStyle name="Input 2 7 16 2" xfId="3441"/>
    <cellStyle name="Input 2 7 16 3" xfId="5339"/>
    <cellStyle name="Input 2 7 17" xfId="1050"/>
    <cellStyle name="Input 2 7 17 2" xfId="3442"/>
    <cellStyle name="Input 2 7 17 3" xfId="5340"/>
    <cellStyle name="Input 2 7 18" xfId="1051"/>
    <cellStyle name="Input 2 7 18 2" xfId="3443"/>
    <cellStyle name="Input 2 7 18 3" xfId="5341"/>
    <cellStyle name="Input 2 7 19" xfId="1052"/>
    <cellStyle name="Input 2 7 19 2" xfId="3444"/>
    <cellStyle name="Input 2 7 19 3" xfId="5342"/>
    <cellStyle name="Input 2 7 2" xfId="1053"/>
    <cellStyle name="Input 2 7 2 2" xfId="3445"/>
    <cellStyle name="Input 2 7 2 3" xfId="5343"/>
    <cellStyle name="Input 2 7 20" xfId="1054"/>
    <cellStyle name="Input 2 7 20 2" xfId="3446"/>
    <cellStyle name="Input 2 7 20 3" xfId="5344"/>
    <cellStyle name="Input 2 7 21" xfId="1055"/>
    <cellStyle name="Input 2 7 21 2" xfId="3447"/>
    <cellStyle name="Input 2 7 21 3" xfId="5345"/>
    <cellStyle name="Input 2 7 22" xfId="1056"/>
    <cellStyle name="Input 2 7 22 2" xfId="3448"/>
    <cellStyle name="Input 2 7 22 3" xfId="5346"/>
    <cellStyle name="Input 2 7 23" xfId="1057"/>
    <cellStyle name="Input 2 7 23 2" xfId="3449"/>
    <cellStyle name="Input 2 7 23 3" xfId="5347"/>
    <cellStyle name="Input 2 7 24" xfId="3434"/>
    <cellStyle name="Input 2 7 25" xfId="5332"/>
    <cellStyle name="Input 2 7 3" xfId="1058"/>
    <cellStyle name="Input 2 7 3 2" xfId="3450"/>
    <cellStyle name="Input 2 7 3 3" xfId="5348"/>
    <cellStyle name="Input 2 7 4" xfId="1059"/>
    <cellStyle name="Input 2 7 4 2" xfId="3451"/>
    <cellStyle name="Input 2 7 4 3" xfId="5349"/>
    <cellStyle name="Input 2 7 5" xfId="1060"/>
    <cellStyle name="Input 2 7 5 2" xfId="3452"/>
    <cellStyle name="Input 2 7 5 3" xfId="5350"/>
    <cellStyle name="Input 2 7 6" xfId="1061"/>
    <cellStyle name="Input 2 7 6 2" xfId="3453"/>
    <cellStyle name="Input 2 7 6 3" xfId="5351"/>
    <cellStyle name="Input 2 7 7" xfId="1062"/>
    <cellStyle name="Input 2 7 7 2" xfId="3454"/>
    <cellStyle name="Input 2 7 7 3" xfId="5352"/>
    <cellStyle name="Input 2 7 8" xfId="1063"/>
    <cellStyle name="Input 2 7 8 2" xfId="3455"/>
    <cellStyle name="Input 2 7 8 3" xfId="5353"/>
    <cellStyle name="Input 2 7 9" xfId="1064"/>
    <cellStyle name="Input 2 7 9 2" xfId="3456"/>
    <cellStyle name="Input 2 7 9 3" xfId="5354"/>
    <cellStyle name="Input 2 8" xfId="1065"/>
    <cellStyle name="Input 2 8 10" xfId="1066"/>
    <cellStyle name="Input 2 8 10 2" xfId="3458"/>
    <cellStyle name="Input 2 8 10 3" xfId="5356"/>
    <cellStyle name="Input 2 8 11" xfId="1067"/>
    <cellStyle name="Input 2 8 11 2" xfId="3459"/>
    <cellStyle name="Input 2 8 11 3" xfId="5357"/>
    <cellStyle name="Input 2 8 12" xfId="1068"/>
    <cellStyle name="Input 2 8 12 2" xfId="3460"/>
    <cellStyle name="Input 2 8 12 3" xfId="5358"/>
    <cellStyle name="Input 2 8 13" xfId="1069"/>
    <cellStyle name="Input 2 8 13 2" xfId="3461"/>
    <cellStyle name="Input 2 8 13 3" xfId="5359"/>
    <cellStyle name="Input 2 8 14" xfId="1070"/>
    <cellStyle name="Input 2 8 14 2" xfId="3462"/>
    <cellStyle name="Input 2 8 14 3" xfId="5360"/>
    <cellStyle name="Input 2 8 15" xfId="1071"/>
    <cellStyle name="Input 2 8 15 2" xfId="3463"/>
    <cellStyle name="Input 2 8 15 3" xfId="5361"/>
    <cellStyle name="Input 2 8 16" xfId="1072"/>
    <cellStyle name="Input 2 8 16 2" xfId="3464"/>
    <cellStyle name="Input 2 8 16 3" xfId="5362"/>
    <cellStyle name="Input 2 8 17" xfId="1073"/>
    <cellStyle name="Input 2 8 17 2" xfId="3465"/>
    <cellStyle name="Input 2 8 17 3" xfId="5363"/>
    <cellStyle name="Input 2 8 18" xfId="1074"/>
    <cellStyle name="Input 2 8 18 2" xfId="3466"/>
    <cellStyle name="Input 2 8 18 3" xfId="5364"/>
    <cellStyle name="Input 2 8 19" xfId="1075"/>
    <cellStyle name="Input 2 8 19 2" xfId="3467"/>
    <cellStyle name="Input 2 8 19 3" xfId="5365"/>
    <cellStyle name="Input 2 8 2" xfId="1076"/>
    <cellStyle name="Input 2 8 2 2" xfId="3468"/>
    <cellStyle name="Input 2 8 2 3" xfId="5366"/>
    <cellStyle name="Input 2 8 20" xfId="1077"/>
    <cellStyle name="Input 2 8 20 2" xfId="3469"/>
    <cellStyle name="Input 2 8 20 3" xfId="5367"/>
    <cellStyle name="Input 2 8 21" xfId="1078"/>
    <cellStyle name="Input 2 8 21 2" xfId="3470"/>
    <cellStyle name="Input 2 8 21 3" xfId="5368"/>
    <cellStyle name="Input 2 8 22" xfId="1079"/>
    <cellStyle name="Input 2 8 22 2" xfId="3471"/>
    <cellStyle name="Input 2 8 22 3" xfId="5369"/>
    <cellStyle name="Input 2 8 23" xfId="1080"/>
    <cellStyle name="Input 2 8 23 2" xfId="3472"/>
    <cellStyle name="Input 2 8 23 3" xfId="5370"/>
    <cellStyle name="Input 2 8 24" xfId="3457"/>
    <cellStyle name="Input 2 8 25" xfId="5355"/>
    <cellStyle name="Input 2 8 3" xfId="1081"/>
    <cellStyle name="Input 2 8 3 2" xfId="3473"/>
    <cellStyle name="Input 2 8 3 3" xfId="5371"/>
    <cellStyle name="Input 2 8 4" xfId="1082"/>
    <cellStyle name="Input 2 8 4 2" xfId="3474"/>
    <cellStyle name="Input 2 8 4 3" xfId="5372"/>
    <cellStyle name="Input 2 8 5" xfId="1083"/>
    <cellStyle name="Input 2 8 5 2" xfId="3475"/>
    <cellStyle name="Input 2 8 5 3" xfId="5373"/>
    <cellStyle name="Input 2 8 6" xfId="1084"/>
    <cellStyle name="Input 2 8 6 2" xfId="3476"/>
    <cellStyle name="Input 2 8 6 3" xfId="5374"/>
    <cellStyle name="Input 2 8 7" xfId="1085"/>
    <cellStyle name="Input 2 8 7 2" xfId="3477"/>
    <cellStyle name="Input 2 8 7 3" xfId="5375"/>
    <cellStyle name="Input 2 8 8" xfId="1086"/>
    <cellStyle name="Input 2 8 8 2" xfId="3478"/>
    <cellStyle name="Input 2 8 8 3" xfId="5376"/>
    <cellStyle name="Input 2 8 9" xfId="1087"/>
    <cellStyle name="Input 2 8 9 2" xfId="3479"/>
    <cellStyle name="Input 2 8 9 3" xfId="5377"/>
    <cellStyle name="Input 2 9" xfId="1088"/>
    <cellStyle name="Input 2 9 10" xfId="1089"/>
    <cellStyle name="Input 2 9 10 2" xfId="3481"/>
    <cellStyle name="Input 2 9 10 3" xfId="5379"/>
    <cellStyle name="Input 2 9 11" xfId="1090"/>
    <cellStyle name="Input 2 9 11 2" xfId="3482"/>
    <cellStyle name="Input 2 9 11 3" xfId="5380"/>
    <cellStyle name="Input 2 9 12" xfId="1091"/>
    <cellStyle name="Input 2 9 12 2" xfId="3483"/>
    <cellStyle name="Input 2 9 12 3" xfId="5381"/>
    <cellStyle name="Input 2 9 13" xfId="1092"/>
    <cellStyle name="Input 2 9 13 2" xfId="3484"/>
    <cellStyle name="Input 2 9 13 3" xfId="5382"/>
    <cellStyle name="Input 2 9 14" xfId="1093"/>
    <cellStyle name="Input 2 9 14 2" xfId="3485"/>
    <cellStyle name="Input 2 9 14 3" xfId="5383"/>
    <cellStyle name="Input 2 9 15" xfId="1094"/>
    <cellStyle name="Input 2 9 15 2" xfId="3486"/>
    <cellStyle name="Input 2 9 15 3" xfId="5384"/>
    <cellStyle name="Input 2 9 16" xfId="1095"/>
    <cellStyle name="Input 2 9 16 2" xfId="3487"/>
    <cellStyle name="Input 2 9 16 3" xfId="5385"/>
    <cellStyle name="Input 2 9 17" xfId="1096"/>
    <cellStyle name="Input 2 9 17 2" xfId="3488"/>
    <cellStyle name="Input 2 9 17 3" xfId="5386"/>
    <cellStyle name="Input 2 9 18" xfId="1097"/>
    <cellStyle name="Input 2 9 18 2" xfId="3489"/>
    <cellStyle name="Input 2 9 18 3" xfId="5387"/>
    <cellStyle name="Input 2 9 19" xfId="1098"/>
    <cellStyle name="Input 2 9 19 2" xfId="3490"/>
    <cellStyle name="Input 2 9 19 3" xfId="5388"/>
    <cellStyle name="Input 2 9 2" xfId="1099"/>
    <cellStyle name="Input 2 9 2 2" xfId="3491"/>
    <cellStyle name="Input 2 9 2 3" xfId="5389"/>
    <cellStyle name="Input 2 9 20" xfId="1100"/>
    <cellStyle name="Input 2 9 20 2" xfId="3492"/>
    <cellStyle name="Input 2 9 20 3" xfId="5390"/>
    <cellStyle name="Input 2 9 21" xfId="1101"/>
    <cellStyle name="Input 2 9 21 2" xfId="3493"/>
    <cellStyle name="Input 2 9 21 3" xfId="5391"/>
    <cellStyle name="Input 2 9 22" xfId="1102"/>
    <cellStyle name="Input 2 9 22 2" xfId="3494"/>
    <cellStyle name="Input 2 9 22 3" xfId="5392"/>
    <cellStyle name="Input 2 9 23" xfId="1103"/>
    <cellStyle name="Input 2 9 23 2" xfId="3495"/>
    <cellStyle name="Input 2 9 23 3" xfId="5393"/>
    <cellStyle name="Input 2 9 24" xfId="3480"/>
    <cellStyle name="Input 2 9 25" xfId="5378"/>
    <cellStyle name="Input 2 9 3" xfId="1104"/>
    <cellStyle name="Input 2 9 3 2" xfId="3496"/>
    <cellStyle name="Input 2 9 3 3" xfId="5394"/>
    <cellStyle name="Input 2 9 4" xfId="1105"/>
    <cellStyle name="Input 2 9 4 2" xfId="3497"/>
    <cellStyle name="Input 2 9 4 3" xfId="5395"/>
    <cellStyle name="Input 2 9 5" xfId="1106"/>
    <cellStyle name="Input 2 9 5 2" xfId="3498"/>
    <cellStyle name="Input 2 9 5 3" xfId="5396"/>
    <cellStyle name="Input 2 9 6" xfId="1107"/>
    <cellStyle name="Input 2 9 6 2" xfId="3499"/>
    <cellStyle name="Input 2 9 6 3" xfId="5397"/>
    <cellStyle name="Input 2 9 7" xfId="1108"/>
    <cellStyle name="Input 2 9 7 2" xfId="3500"/>
    <cellStyle name="Input 2 9 7 3" xfId="5398"/>
    <cellStyle name="Input 2 9 8" xfId="1109"/>
    <cellStyle name="Input 2 9 8 2" xfId="3501"/>
    <cellStyle name="Input 2 9 8 3" xfId="5399"/>
    <cellStyle name="Input 2 9 9" xfId="1110"/>
    <cellStyle name="Input 2 9 9 2" xfId="3502"/>
    <cellStyle name="Input 2 9 9 3" xfId="5400"/>
    <cellStyle name="Input 3" xfId="4750"/>
    <cellStyle name="Input 4" xfId="2485"/>
    <cellStyle name="Input 5" xfId="4728"/>
    <cellStyle name="Komórka połączona" xfId="1111"/>
    <cellStyle name="Komórka zaznaczona" xfId="1112"/>
    <cellStyle name="LineItemPrompt" xfId="40"/>
    <cellStyle name="LineItemValue" xfId="41"/>
    <cellStyle name="Linked Cell" xfId="42" builtinId="24" customBuiltin="1"/>
    <cellStyle name="Linked Cell 2" xfId="1113"/>
    <cellStyle name="Linked Cell 3" xfId="4753"/>
    <cellStyle name="Nagłówek 1" xfId="1114"/>
    <cellStyle name="Nagłówek 2" xfId="1115"/>
    <cellStyle name="Nagłówek 3" xfId="1116"/>
    <cellStyle name="Nagłówek 3 2" xfId="1117"/>
    <cellStyle name="Nagłówek 3 2 2" xfId="1118"/>
    <cellStyle name="Nagłówek 3 2 3" xfId="1119"/>
    <cellStyle name="Nagłówek 3 2 4" xfId="1120"/>
    <cellStyle name="Nagłówek 3 2 5" xfId="1121"/>
    <cellStyle name="Nagłówek 3 2 6" xfId="1122"/>
    <cellStyle name="Nagłówek 3 2 7" xfId="1123"/>
    <cellStyle name="Nagłówek 3 3" xfId="1124"/>
    <cellStyle name="Nagłówek 3 4" xfId="1125"/>
    <cellStyle name="Nagłówek 3 5" xfId="1126"/>
    <cellStyle name="Nagłówek 3 6" xfId="1127"/>
    <cellStyle name="Nagłówek 3 7" xfId="1128"/>
    <cellStyle name="Nagłówek 3 8" xfId="1129"/>
    <cellStyle name="Nagłówek 4" xfId="1130"/>
    <cellStyle name="Neutral" xfId="43" builtinId="28" customBuiltin="1"/>
    <cellStyle name="Neutral 2" xfId="1131"/>
    <cellStyle name="Neutral 2 2" xfId="1132"/>
    <cellStyle name="Neutral 3" xfId="4749"/>
    <cellStyle name="Neutralne" xfId="1133"/>
    <cellStyle name="Normal" xfId="0" builtinId="0"/>
    <cellStyle name="Normal 10" xfId="1134"/>
    <cellStyle name="Normal 10 2" xfId="1135"/>
    <cellStyle name="Normal 11" xfId="1136"/>
    <cellStyle name="Normal 12" xfId="1137"/>
    <cellStyle name="Normal 13" xfId="2423"/>
    <cellStyle name="Normal 14" xfId="4734"/>
    <cellStyle name="Normal 15" xfId="4736"/>
    <cellStyle name="Normal 2" xfId="44"/>
    <cellStyle name="Normal 2 2" xfId="82"/>
    <cellStyle name="Normal 2 2 2" xfId="1138"/>
    <cellStyle name="Normal 2 2 3" xfId="2379"/>
    <cellStyle name="Normal 2 3" xfId="1139"/>
    <cellStyle name="Normal 2 3 2" xfId="6749"/>
    <cellStyle name="Normal 21" xfId="75"/>
    <cellStyle name="Normal 21 2" xfId="2491"/>
    <cellStyle name="Normal 23" xfId="83"/>
    <cellStyle name="Normal 23 2" xfId="2498"/>
    <cellStyle name="Normal 3" xfId="72"/>
    <cellStyle name="Normal 3 2" xfId="95"/>
    <cellStyle name="Normal 3 2 2" xfId="1140"/>
    <cellStyle name="Normal 3 2 3" xfId="2380"/>
    <cellStyle name="Normal 3 3" xfId="1141"/>
    <cellStyle name="Normal 3 3 2" xfId="6750"/>
    <cellStyle name="Normal 3 4" xfId="1142"/>
    <cellStyle name="Normal 3 5" xfId="2376"/>
    <cellStyle name="Normal 3 5 2" xfId="4723"/>
    <cellStyle name="Normal 4" xfId="84"/>
    <cellStyle name="Normal 4 2" xfId="1143"/>
    <cellStyle name="Normal 5" xfId="85"/>
    <cellStyle name="Normal 5 2" xfId="1144"/>
    <cellStyle name="Normal 5 2 2" xfId="6751"/>
    <cellStyle name="Normal 5 3" xfId="2499"/>
    <cellStyle name="Normal 6" xfId="86"/>
    <cellStyle name="Normal 6 2" xfId="2500"/>
    <cellStyle name="Normal 7" xfId="87"/>
    <cellStyle name="Normal 7 2" xfId="1145"/>
    <cellStyle name="Normal 7 2 2" xfId="6752"/>
    <cellStyle name="Normal 7 3" xfId="2501"/>
    <cellStyle name="Normal 8" xfId="94"/>
    <cellStyle name="Normal 8 2" xfId="2447"/>
    <cellStyle name="Normal 9" xfId="1146"/>
    <cellStyle name="Normal_Funding by District" xfId="45"/>
    <cellStyle name="Note" xfId="46" builtinId="10" customBuiltin="1"/>
    <cellStyle name="Note 2" xfId="1147"/>
    <cellStyle name="Note 2 10" xfId="1148"/>
    <cellStyle name="Note 2 10 10" xfId="1149"/>
    <cellStyle name="Note 2 10 10 2" xfId="3505"/>
    <cellStyle name="Note 2 10 10 3" xfId="5403"/>
    <cellStyle name="Note 2 10 11" xfId="1150"/>
    <cellStyle name="Note 2 10 11 2" xfId="3506"/>
    <cellStyle name="Note 2 10 11 3" xfId="5404"/>
    <cellStyle name="Note 2 10 12" xfId="1151"/>
    <cellStyle name="Note 2 10 12 2" xfId="3507"/>
    <cellStyle name="Note 2 10 12 3" xfId="5405"/>
    <cellStyle name="Note 2 10 13" xfId="1152"/>
    <cellStyle name="Note 2 10 13 2" xfId="3508"/>
    <cellStyle name="Note 2 10 13 3" xfId="5406"/>
    <cellStyle name="Note 2 10 14" xfId="1153"/>
    <cellStyle name="Note 2 10 14 2" xfId="3509"/>
    <cellStyle name="Note 2 10 14 3" xfId="5407"/>
    <cellStyle name="Note 2 10 15" xfId="1154"/>
    <cellStyle name="Note 2 10 15 2" xfId="3510"/>
    <cellStyle name="Note 2 10 15 3" xfId="5408"/>
    <cellStyle name="Note 2 10 16" xfId="1155"/>
    <cellStyle name="Note 2 10 16 2" xfId="3511"/>
    <cellStyle name="Note 2 10 16 3" xfId="5409"/>
    <cellStyle name="Note 2 10 17" xfId="1156"/>
    <cellStyle name="Note 2 10 17 2" xfId="3512"/>
    <cellStyle name="Note 2 10 17 3" xfId="5410"/>
    <cellStyle name="Note 2 10 18" xfId="1157"/>
    <cellStyle name="Note 2 10 18 2" xfId="3513"/>
    <cellStyle name="Note 2 10 18 3" xfId="5411"/>
    <cellStyle name="Note 2 10 19" xfId="1158"/>
    <cellStyle name="Note 2 10 19 2" xfId="3514"/>
    <cellStyle name="Note 2 10 19 3" xfId="5412"/>
    <cellStyle name="Note 2 10 2" xfId="1159"/>
    <cellStyle name="Note 2 10 2 2" xfId="3515"/>
    <cellStyle name="Note 2 10 2 3" xfId="5413"/>
    <cellStyle name="Note 2 10 20" xfId="1160"/>
    <cellStyle name="Note 2 10 20 2" xfId="3516"/>
    <cellStyle name="Note 2 10 20 3" xfId="5414"/>
    <cellStyle name="Note 2 10 21" xfId="1161"/>
    <cellStyle name="Note 2 10 21 2" xfId="3517"/>
    <cellStyle name="Note 2 10 21 3" xfId="5415"/>
    <cellStyle name="Note 2 10 22" xfId="1162"/>
    <cellStyle name="Note 2 10 22 2" xfId="3518"/>
    <cellStyle name="Note 2 10 22 3" xfId="5416"/>
    <cellStyle name="Note 2 10 23" xfId="1163"/>
    <cellStyle name="Note 2 10 23 2" xfId="3519"/>
    <cellStyle name="Note 2 10 23 3" xfId="5417"/>
    <cellStyle name="Note 2 10 24" xfId="3504"/>
    <cellStyle name="Note 2 10 25" xfId="5402"/>
    <cellStyle name="Note 2 10 3" xfId="1164"/>
    <cellStyle name="Note 2 10 3 2" xfId="3520"/>
    <cellStyle name="Note 2 10 3 3" xfId="5418"/>
    <cellStyle name="Note 2 10 4" xfId="1165"/>
    <cellStyle name="Note 2 10 4 2" xfId="3521"/>
    <cellStyle name="Note 2 10 4 3" xfId="5419"/>
    <cellStyle name="Note 2 10 5" xfId="1166"/>
    <cellStyle name="Note 2 10 5 2" xfId="3522"/>
    <cellStyle name="Note 2 10 5 3" xfId="5420"/>
    <cellStyle name="Note 2 10 6" xfId="1167"/>
    <cellStyle name="Note 2 10 6 2" xfId="3523"/>
    <cellStyle name="Note 2 10 6 3" xfId="5421"/>
    <cellStyle name="Note 2 10 7" xfId="1168"/>
    <cellStyle name="Note 2 10 7 2" xfId="3524"/>
    <cellStyle name="Note 2 10 7 3" xfId="5422"/>
    <cellStyle name="Note 2 10 8" xfId="1169"/>
    <cellStyle name="Note 2 10 8 2" xfId="3525"/>
    <cellStyle name="Note 2 10 8 3" xfId="5423"/>
    <cellStyle name="Note 2 10 9" xfId="1170"/>
    <cellStyle name="Note 2 10 9 2" xfId="3526"/>
    <cellStyle name="Note 2 10 9 3" xfId="5424"/>
    <cellStyle name="Note 2 11" xfId="1171"/>
    <cellStyle name="Note 2 11 10" xfId="1172"/>
    <cellStyle name="Note 2 11 10 2" xfId="3528"/>
    <cellStyle name="Note 2 11 10 3" xfId="5426"/>
    <cellStyle name="Note 2 11 11" xfId="1173"/>
    <cellStyle name="Note 2 11 11 2" xfId="3529"/>
    <cellStyle name="Note 2 11 11 3" xfId="5427"/>
    <cellStyle name="Note 2 11 12" xfId="1174"/>
    <cellStyle name="Note 2 11 12 2" xfId="3530"/>
    <cellStyle name="Note 2 11 12 3" xfId="5428"/>
    <cellStyle name="Note 2 11 13" xfId="1175"/>
    <cellStyle name="Note 2 11 13 2" xfId="3531"/>
    <cellStyle name="Note 2 11 13 3" xfId="5429"/>
    <cellStyle name="Note 2 11 14" xfId="1176"/>
    <cellStyle name="Note 2 11 14 2" xfId="3532"/>
    <cellStyle name="Note 2 11 14 3" xfId="5430"/>
    <cellStyle name="Note 2 11 15" xfId="1177"/>
    <cellStyle name="Note 2 11 15 2" xfId="3533"/>
    <cellStyle name="Note 2 11 15 3" xfId="5431"/>
    <cellStyle name="Note 2 11 16" xfId="1178"/>
    <cellStyle name="Note 2 11 16 2" xfId="3534"/>
    <cellStyle name="Note 2 11 16 3" xfId="5432"/>
    <cellStyle name="Note 2 11 17" xfId="1179"/>
    <cellStyle name="Note 2 11 17 2" xfId="3535"/>
    <cellStyle name="Note 2 11 17 3" xfId="5433"/>
    <cellStyle name="Note 2 11 18" xfId="1180"/>
    <cellStyle name="Note 2 11 18 2" xfId="3536"/>
    <cellStyle name="Note 2 11 18 3" xfId="5434"/>
    <cellStyle name="Note 2 11 19" xfId="1181"/>
    <cellStyle name="Note 2 11 19 2" xfId="3537"/>
    <cellStyle name="Note 2 11 19 3" xfId="5435"/>
    <cellStyle name="Note 2 11 2" xfId="1182"/>
    <cellStyle name="Note 2 11 2 2" xfId="3538"/>
    <cellStyle name="Note 2 11 2 3" xfId="5436"/>
    <cellStyle name="Note 2 11 20" xfId="1183"/>
    <cellStyle name="Note 2 11 20 2" xfId="3539"/>
    <cellStyle name="Note 2 11 20 3" xfId="5437"/>
    <cellStyle name="Note 2 11 21" xfId="1184"/>
    <cellStyle name="Note 2 11 21 2" xfId="3540"/>
    <cellStyle name="Note 2 11 21 3" xfId="5438"/>
    <cellStyle name="Note 2 11 22" xfId="1185"/>
    <cellStyle name="Note 2 11 22 2" xfId="3541"/>
    <cellStyle name="Note 2 11 22 3" xfId="5439"/>
    <cellStyle name="Note 2 11 23" xfId="1186"/>
    <cellStyle name="Note 2 11 23 2" xfId="3542"/>
    <cellStyle name="Note 2 11 23 3" xfId="5440"/>
    <cellStyle name="Note 2 11 24" xfId="3527"/>
    <cellStyle name="Note 2 11 25" xfId="5425"/>
    <cellStyle name="Note 2 11 3" xfId="1187"/>
    <cellStyle name="Note 2 11 3 2" xfId="3543"/>
    <cellStyle name="Note 2 11 3 3" xfId="5441"/>
    <cellStyle name="Note 2 11 4" xfId="1188"/>
    <cellStyle name="Note 2 11 4 2" xfId="3544"/>
    <cellStyle name="Note 2 11 4 3" xfId="5442"/>
    <cellStyle name="Note 2 11 5" xfId="1189"/>
    <cellStyle name="Note 2 11 5 2" xfId="3545"/>
    <cellStyle name="Note 2 11 5 3" xfId="5443"/>
    <cellStyle name="Note 2 11 6" xfId="1190"/>
    <cellStyle name="Note 2 11 6 2" xfId="3546"/>
    <cellStyle name="Note 2 11 6 3" xfId="5444"/>
    <cellStyle name="Note 2 11 7" xfId="1191"/>
    <cellStyle name="Note 2 11 7 2" xfId="3547"/>
    <cellStyle name="Note 2 11 7 3" xfId="5445"/>
    <cellStyle name="Note 2 11 8" xfId="1192"/>
    <cellStyle name="Note 2 11 8 2" xfId="3548"/>
    <cellStyle name="Note 2 11 8 3" xfId="5446"/>
    <cellStyle name="Note 2 11 9" xfId="1193"/>
    <cellStyle name="Note 2 11 9 2" xfId="3549"/>
    <cellStyle name="Note 2 11 9 3" xfId="5447"/>
    <cellStyle name="Note 2 12" xfId="1194"/>
    <cellStyle name="Note 2 12 10" xfId="1195"/>
    <cellStyle name="Note 2 12 10 2" xfId="3551"/>
    <cellStyle name="Note 2 12 10 3" xfId="5449"/>
    <cellStyle name="Note 2 12 11" xfId="1196"/>
    <cellStyle name="Note 2 12 11 2" xfId="3552"/>
    <cellStyle name="Note 2 12 11 3" xfId="5450"/>
    <cellStyle name="Note 2 12 12" xfId="1197"/>
    <cellStyle name="Note 2 12 12 2" xfId="3553"/>
    <cellStyle name="Note 2 12 12 3" xfId="5451"/>
    <cellStyle name="Note 2 12 13" xfId="1198"/>
    <cellStyle name="Note 2 12 13 2" xfId="3554"/>
    <cellStyle name="Note 2 12 13 3" xfId="5452"/>
    <cellStyle name="Note 2 12 14" xfId="1199"/>
    <cellStyle name="Note 2 12 14 2" xfId="3555"/>
    <cellStyle name="Note 2 12 14 3" xfId="5453"/>
    <cellStyle name="Note 2 12 15" xfId="1200"/>
    <cellStyle name="Note 2 12 15 2" xfId="3556"/>
    <cellStyle name="Note 2 12 15 3" xfId="5454"/>
    <cellStyle name="Note 2 12 16" xfId="1201"/>
    <cellStyle name="Note 2 12 16 2" xfId="3557"/>
    <cellStyle name="Note 2 12 16 3" xfId="5455"/>
    <cellStyle name="Note 2 12 17" xfId="1202"/>
    <cellStyle name="Note 2 12 17 2" xfId="3558"/>
    <cellStyle name="Note 2 12 17 3" xfId="5456"/>
    <cellStyle name="Note 2 12 18" xfId="1203"/>
    <cellStyle name="Note 2 12 18 2" xfId="3559"/>
    <cellStyle name="Note 2 12 18 3" xfId="5457"/>
    <cellStyle name="Note 2 12 19" xfId="1204"/>
    <cellStyle name="Note 2 12 19 2" xfId="3560"/>
    <cellStyle name="Note 2 12 19 3" xfId="5458"/>
    <cellStyle name="Note 2 12 2" xfId="1205"/>
    <cellStyle name="Note 2 12 2 2" xfId="3561"/>
    <cellStyle name="Note 2 12 2 3" xfId="5459"/>
    <cellStyle name="Note 2 12 20" xfId="1206"/>
    <cellStyle name="Note 2 12 20 2" xfId="3562"/>
    <cellStyle name="Note 2 12 20 3" xfId="5460"/>
    <cellStyle name="Note 2 12 21" xfId="1207"/>
    <cellStyle name="Note 2 12 21 2" xfId="3563"/>
    <cellStyle name="Note 2 12 21 3" xfId="5461"/>
    <cellStyle name="Note 2 12 22" xfId="1208"/>
    <cellStyle name="Note 2 12 22 2" xfId="3564"/>
    <cellStyle name="Note 2 12 22 3" xfId="5462"/>
    <cellStyle name="Note 2 12 23" xfId="1209"/>
    <cellStyle name="Note 2 12 23 2" xfId="3565"/>
    <cellStyle name="Note 2 12 23 3" xfId="5463"/>
    <cellStyle name="Note 2 12 24" xfId="3550"/>
    <cellStyle name="Note 2 12 25" xfId="5448"/>
    <cellStyle name="Note 2 12 3" xfId="1210"/>
    <cellStyle name="Note 2 12 3 2" xfId="3566"/>
    <cellStyle name="Note 2 12 3 3" xfId="5464"/>
    <cellStyle name="Note 2 12 4" xfId="1211"/>
    <cellStyle name="Note 2 12 4 2" xfId="3567"/>
    <cellStyle name="Note 2 12 4 3" xfId="5465"/>
    <cellStyle name="Note 2 12 5" xfId="1212"/>
    <cellStyle name="Note 2 12 5 2" xfId="3568"/>
    <cellStyle name="Note 2 12 5 3" xfId="5466"/>
    <cellStyle name="Note 2 12 6" xfId="1213"/>
    <cellStyle name="Note 2 12 6 2" xfId="3569"/>
    <cellStyle name="Note 2 12 6 3" xfId="5467"/>
    <cellStyle name="Note 2 12 7" xfId="1214"/>
    <cellStyle name="Note 2 12 7 2" xfId="3570"/>
    <cellStyle name="Note 2 12 7 3" xfId="5468"/>
    <cellStyle name="Note 2 12 8" xfId="1215"/>
    <cellStyle name="Note 2 12 8 2" xfId="3571"/>
    <cellStyle name="Note 2 12 8 3" xfId="5469"/>
    <cellStyle name="Note 2 12 9" xfId="1216"/>
    <cellStyle name="Note 2 12 9 2" xfId="3572"/>
    <cellStyle name="Note 2 12 9 3" xfId="5470"/>
    <cellStyle name="Note 2 13" xfId="1217"/>
    <cellStyle name="Note 2 13 10" xfId="1218"/>
    <cellStyle name="Note 2 13 10 2" xfId="3574"/>
    <cellStyle name="Note 2 13 10 3" xfId="5472"/>
    <cellStyle name="Note 2 13 11" xfId="1219"/>
    <cellStyle name="Note 2 13 11 2" xfId="3575"/>
    <cellStyle name="Note 2 13 11 3" xfId="5473"/>
    <cellStyle name="Note 2 13 12" xfId="1220"/>
    <cellStyle name="Note 2 13 12 2" xfId="3576"/>
    <cellStyle name="Note 2 13 12 3" xfId="5474"/>
    <cellStyle name="Note 2 13 13" xfId="1221"/>
    <cellStyle name="Note 2 13 13 2" xfId="3577"/>
    <cellStyle name="Note 2 13 13 3" xfId="5475"/>
    <cellStyle name="Note 2 13 14" xfId="1222"/>
    <cellStyle name="Note 2 13 14 2" xfId="3578"/>
    <cellStyle name="Note 2 13 14 3" xfId="5476"/>
    <cellStyle name="Note 2 13 15" xfId="1223"/>
    <cellStyle name="Note 2 13 15 2" xfId="3579"/>
    <cellStyle name="Note 2 13 15 3" xfId="5477"/>
    <cellStyle name="Note 2 13 16" xfId="1224"/>
    <cellStyle name="Note 2 13 16 2" xfId="3580"/>
    <cellStyle name="Note 2 13 16 3" xfId="5478"/>
    <cellStyle name="Note 2 13 17" xfId="1225"/>
    <cellStyle name="Note 2 13 17 2" xfId="3581"/>
    <cellStyle name="Note 2 13 17 3" xfId="5479"/>
    <cellStyle name="Note 2 13 18" xfId="1226"/>
    <cellStyle name="Note 2 13 18 2" xfId="3582"/>
    <cellStyle name="Note 2 13 18 3" xfId="5480"/>
    <cellStyle name="Note 2 13 19" xfId="1227"/>
    <cellStyle name="Note 2 13 19 2" xfId="3583"/>
    <cellStyle name="Note 2 13 19 3" xfId="5481"/>
    <cellStyle name="Note 2 13 2" xfId="1228"/>
    <cellStyle name="Note 2 13 2 2" xfId="3584"/>
    <cellStyle name="Note 2 13 2 3" xfId="5482"/>
    <cellStyle name="Note 2 13 20" xfId="1229"/>
    <cellStyle name="Note 2 13 20 2" xfId="3585"/>
    <cellStyle name="Note 2 13 20 3" xfId="5483"/>
    <cellStyle name="Note 2 13 21" xfId="1230"/>
    <cellStyle name="Note 2 13 21 2" xfId="3586"/>
    <cellStyle name="Note 2 13 21 3" xfId="5484"/>
    <cellStyle name="Note 2 13 22" xfId="1231"/>
    <cellStyle name="Note 2 13 22 2" xfId="3587"/>
    <cellStyle name="Note 2 13 22 3" xfId="5485"/>
    <cellStyle name="Note 2 13 23" xfId="1232"/>
    <cellStyle name="Note 2 13 23 2" xfId="3588"/>
    <cellStyle name="Note 2 13 23 3" xfId="5486"/>
    <cellStyle name="Note 2 13 24" xfId="3573"/>
    <cellStyle name="Note 2 13 25" xfId="5471"/>
    <cellStyle name="Note 2 13 3" xfId="1233"/>
    <cellStyle name="Note 2 13 3 2" xfId="3589"/>
    <cellStyle name="Note 2 13 3 3" xfId="5487"/>
    <cellStyle name="Note 2 13 4" xfId="1234"/>
    <cellStyle name="Note 2 13 4 2" xfId="3590"/>
    <cellStyle name="Note 2 13 4 3" xfId="5488"/>
    <cellStyle name="Note 2 13 5" xfId="1235"/>
    <cellStyle name="Note 2 13 5 2" xfId="3591"/>
    <cellStyle name="Note 2 13 5 3" xfId="5489"/>
    <cellStyle name="Note 2 13 6" xfId="1236"/>
    <cellStyle name="Note 2 13 6 2" xfId="3592"/>
    <cellStyle name="Note 2 13 6 3" xfId="5490"/>
    <cellStyle name="Note 2 13 7" xfId="1237"/>
    <cellStyle name="Note 2 13 7 2" xfId="3593"/>
    <cellStyle name="Note 2 13 7 3" xfId="5491"/>
    <cellStyle name="Note 2 13 8" xfId="1238"/>
    <cellStyle name="Note 2 13 8 2" xfId="3594"/>
    <cellStyle name="Note 2 13 8 3" xfId="5492"/>
    <cellStyle name="Note 2 13 9" xfId="1239"/>
    <cellStyle name="Note 2 13 9 2" xfId="3595"/>
    <cellStyle name="Note 2 13 9 3" xfId="5493"/>
    <cellStyle name="Note 2 14" xfId="1240"/>
    <cellStyle name="Note 2 14 10" xfId="1241"/>
    <cellStyle name="Note 2 14 10 2" xfId="3597"/>
    <cellStyle name="Note 2 14 10 3" xfId="5495"/>
    <cellStyle name="Note 2 14 11" xfId="1242"/>
    <cellStyle name="Note 2 14 11 2" xfId="3598"/>
    <cellStyle name="Note 2 14 11 3" xfId="5496"/>
    <cellStyle name="Note 2 14 12" xfId="1243"/>
    <cellStyle name="Note 2 14 12 2" xfId="3599"/>
    <cellStyle name="Note 2 14 12 3" xfId="5497"/>
    <cellStyle name="Note 2 14 13" xfId="1244"/>
    <cellStyle name="Note 2 14 13 2" xfId="3600"/>
    <cellStyle name="Note 2 14 13 3" xfId="5498"/>
    <cellStyle name="Note 2 14 14" xfId="1245"/>
    <cellStyle name="Note 2 14 14 2" xfId="3601"/>
    <cellStyle name="Note 2 14 14 3" xfId="5499"/>
    <cellStyle name="Note 2 14 15" xfId="1246"/>
    <cellStyle name="Note 2 14 15 2" xfId="3602"/>
    <cellStyle name="Note 2 14 15 3" xfId="5500"/>
    <cellStyle name="Note 2 14 16" xfId="1247"/>
    <cellStyle name="Note 2 14 16 2" xfId="3603"/>
    <cellStyle name="Note 2 14 16 3" xfId="5501"/>
    <cellStyle name="Note 2 14 17" xfId="1248"/>
    <cellStyle name="Note 2 14 17 2" xfId="3604"/>
    <cellStyle name="Note 2 14 17 3" xfId="5502"/>
    <cellStyle name="Note 2 14 18" xfId="1249"/>
    <cellStyle name="Note 2 14 18 2" xfId="3605"/>
    <cellStyle name="Note 2 14 18 3" xfId="5503"/>
    <cellStyle name="Note 2 14 19" xfId="1250"/>
    <cellStyle name="Note 2 14 19 2" xfId="3606"/>
    <cellStyle name="Note 2 14 19 3" xfId="5504"/>
    <cellStyle name="Note 2 14 2" xfId="1251"/>
    <cellStyle name="Note 2 14 2 2" xfId="3607"/>
    <cellStyle name="Note 2 14 2 3" xfId="5505"/>
    <cellStyle name="Note 2 14 20" xfId="1252"/>
    <cellStyle name="Note 2 14 20 2" xfId="3608"/>
    <cellStyle name="Note 2 14 20 3" xfId="5506"/>
    <cellStyle name="Note 2 14 21" xfId="1253"/>
    <cellStyle name="Note 2 14 21 2" xfId="3609"/>
    <cellStyle name="Note 2 14 21 3" xfId="5507"/>
    <cellStyle name="Note 2 14 22" xfId="1254"/>
    <cellStyle name="Note 2 14 22 2" xfId="3610"/>
    <cellStyle name="Note 2 14 22 3" xfId="5508"/>
    <cellStyle name="Note 2 14 23" xfId="1255"/>
    <cellStyle name="Note 2 14 23 2" xfId="3611"/>
    <cellStyle name="Note 2 14 23 3" xfId="5509"/>
    <cellStyle name="Note 2 14 24" xfId="3596"/>
    <cellStyle name="Note 2 14 25" xfId="5494"/>
    <cellStyle name="Note 2 14 3" xfId="1256"/>
    <cellStyle name="Note 2 14 3 2" xfId="3612"/>
    <cellStyle name="Note 2 14 3 3" xfId="5510"/>
    <cellStyle name="Note 2 14 4" xfId="1257"/>
    <cellStyle name="Note 2 14 4 2" xfId="3613"/>
    <cellStyle name="Note 2 14 4 3" xfId="5511"/>
    <cellStyle name="Note 2 14 5" xfId="1258"/>
    <cellStyle name="Note 2 14 5 2" xfId="3614"/>
    <cellStyle name="Note 2 14 5 3" xfId="5512"/>
    <cellStyle name="Note 2 14 6" xfId="1259"/>
    <cellStyle name="Note 2 14 6 2" xfId="3615"/>
    <cellStyle name="Note 2 14 6 3" xfId="5513"/>
    <cellStyle name="Note 2 14 7" xfId="1260"/>
    <cellStyle name="Note 2 14 7 2" xfId="3616"/>
    <cellStyle name="Note 2 14 7 3" xfId="5514"/>
    <cellStyle name="Note 2 14 8" xfId="1261"/>
    <cellStyle name="Note 2 14 8 2" xfId="3617"/>
    <cellStyle name="Note 2 14 8 3" xfId="5515"/>
    <cellStyle name="Note 2 14 9" xfId="1262"/>
    <cellStyle name="Note 2 14 9 2" xfId="3618"/>
    <cellStyle name="Note 2 14 9 3" xfId="5516"/>
    <cellStyle name="Note 2 15" xfId="1263"/>
    <cellStyle name="Note 2 15 10" xfId="1264"/>
    <cellStyle name="Note 2 15 10 2" xfId="3620"/>
    <cellStyle name="Note 2 15 10 3" xfId="5518"/>
    <cellStyle name="Note 2 15 11" xfId="1265"/>
    <cellStyle name="Note 2 15 11 2" xfId="3621"/>
    <cellStyle name="Note 2 15 11 3" xfId="5519"/>
    <cellStyle name="Note 2 15 12" xfId="1266"/>
    <cellStyle name="Note 2 15 12 2" xfId="3622"/>
    <cellStyle name="Note 2 15 12 3" xfId="5520"/>
    <cellStyle name="Note 2 15 13" xfId="1267"/>
    <cellStyle name="Note 2 15 13 2" xfId="3623"/>
    <cellStyle name="Note 2 15 13 3" xfId="5521"/>
    <cellStyle name="Note 2 15 14" xfId="1268"/>
    <cellStyle name="Note 2 15 14 2" xfId="3624"/>
    <cellStyle name="Note 2 15 14 3" xfId="5522"/>
    <cellStyle name="Note 2 15 15" xfId="1269"/>
    <cellStyle name="Note 2 15 15 2" xfId="3625"/>
    <cellStyle name="Note 2 15 15 3" xfId="5523"/>
    <cellStyle name="Note 2 15 16" xfId="1270"/>
    <cellStyle name="Note 2 15 16 2" xfId="3626"/>
    <cellStyle name="Note 2 15 16 3" xfId="5524"/>
    <cellStyle name="Note 2 15 17" xfId="1271"/>
    <cellStyle name="Note 2 15 17 2" xfId="3627"/>
    <cellStyle name="Note 2 15 17 3" xfId="5525"/>
    <cellStyle name="Note 2 15 18" xfId="1272"/>
    <cellStyle name="Note 2 15 18 2" xfId="3628"/>
    <cellStyle name="Note 2 15 18 3" xfId="5526"/>
    <cellStyle name="Note 2 15 19" xfId="1273"/>
    <cellStyle name="Note 2 15 19 2" xfId="3629"/>
    <cellStyle name="Note 2 15 19 3" xfId="5527"/>
    <cellStyle name="Note 2 15 2" xfId="1274"/>
    <cellStyle name="Note 2 15 2 2" xfId="3630"/>
    <cellStyle name="Note 2 15 2 3" xfId="5528"/>
    <cellStyle name="Note 2 15 20" xfId="1275"/>
    <cellStyle name="Note 2 15 20 2" xfId="3631"/>
    <cellStyle name="Note 2 15 20 3" xfId="5529"/>
    <cellStyle name="Note 2 15 21" xfId="1276"/>
    <cellStyle name="Note 2 15 21 2" xfId="3632"/>
    <cellStyle name="Note 2 15 21 3" xfId="5530"/>
    <cellStyle name="Note 2 15 22" xfId="1277"/>
    <cellStyle name="Note 2 15 22 2" xfId="3633"/>
    <cellStyle name="Note 2 15 22 3" xfId="5531"/>
    <cellStyle name="Note 2 15 23" xfId="1278"/>
    <cellStyle name="Note 2 15 23 2" xfId="3634"/>
    <cellStyle name="Note 2 15 23 3" xfId="5532"/>
    <cellStyle name="Note 2 15 24" xfId="3619"/>
    <cellStyle name="Note 2 15 25" xfId="5517"/>
    <cellStyle name="Note 2 15 3" xfId="1279"/>
    <cellStyle name="Note 2 15 3 2" xfId="3635"/>
    <cellStyle name="Note 2 15 3 3" xfId="5533"/>
    <cellStyle name="Note 2 15 4" xfId="1280"/>
    <cellStyle name="Note 2 15 4 2" xfId="3636"/>
    <cellStyle name="Note 2 15 4 3" xfId="5534"/>
    <cellStyle name="Note 2 15 5" xfId="1281"/>
    <cellStyle name="Note 2 15 5 2" xfId="3637"/>
    <cellStyle name="Note 2 15 5 3" xfId="5535"/>
    <cellStyle name="Note 2 15 6" xfId="1282"/>
    <cellStyle name="Note 2 15 6 2" xfId="3638"/>
    <cellStyle name="Note 2 15 6 3" xfId="5536"/>
    <cellStyle name="Note 2 15 7" xfId="1283"/>
    <cellStyle name="Note 2 15 7 2" xfId="3639"/>
    <cellStyle name="Note 2 15 7 3" xfId="5537"/>
    <cellStyle name="Note 2 15 8" xfId="1284"/>
    <cellStyle name="Note 2 15 8 2" xfId="3640"/>
    <cellStyle name="Note 2 15 8 3" xfId="5538"/>
    <cellStyle name="Note 2 15 9" xfId="1285"/>
    <cellStyle name="Note 2 15 9 2" xfId="3641"/>
    <cellStyle name="Note 2 15 9 3" xfId="5539"/>
    <cellStyle name="Note 2 16" xfId="1286"/>
    <cellStyle name="Note 2 16 2" xfId="3642"/>
    <cellStyle name="Note 2 16 3" xfId="5540"/>
    <cellStyle name="Note 2 17" xfId="1287"/>
    <cellStyle name="Note 2 17 2" xfId="3643"/>
    <cellStyle name="Note 2 17 3" xfId="5541"/>
    <cellStyle name="Note 2 18" xfId="1288"/>
    <cellStyle name="Note 2 18 2" xfId="3644"/>
    <cellStyle name="Note 2 18 3" xfId="5542"/>
    <cellStyle name="Note 2 19" xfId="1289"/>
    <cellStyle name="Note 2 19 2" xfId="3645"/>
    <cellStyle name="Note 2 19 3" xfId="5543"/>
    <cellStyle name="Note 2 2" xfId="1290"/>
    <cellStyle name="Note 2 2 10" xfId="1291"/>
    <cellStyle name="Note 2 2 10 2" xfId="3647"/>
    <cellStyle name="Note 2 2 10 3" xfId="5545"/>
    <cellStyle name="Note 2 2 11" xfId="1292"/>
    <cellStyle name="Note 2 2 11 2" xfId="3648"/>
    <cellStyle name="Note 2 2 11 3" xfId="5546"/>
    <cellStyle name="Note 2 2 12" xfId="1293"/>
    <cellStyle name="Note 2 2 12 2" xfId="3649"/>
    <cellStyle name="Note 2 2 12 3" xfId="5547"/>
    <cellStyle name="Note 2 2 13" xfId="1294"/>
    <cellStyle name="Note 2 2 13 2" xfId="3650"/>
    <cellStyle name="Note 2 2 13 3" xfId="5548"/>
    <cellStyle name="Note 2 2 14" xfId="1295"/>
    <cellStyle name="Note 2 2 14 2" xfId="3651"/>
    <cellStyle name="Note 2 2 14 3" xfId="5549"/>
    <cellStyle name="Note 2 2 15" xfId="1296"/>
    <cellStyle name="Note 2 2 15 2" xfId="3652"/>
    <cellStyle name="Note 2 2 15 3" xfId="5550"/>
    <cellStyle name="Note 2 2 16" xfId="1297"/>
    <cellStyle name="Note 2 2 16 2" xfId="3653"/>
    <cellStyle name="Note 2 2 16 3" xfId="5551"/>
    <cellStyle name="Note 2 2 17" xfId="1298"/>
    <cellStyle name="Note 2 2 17 2" xfId="3654"/>
    <cellStyle name="Note 2 2 17 3" xfId="5552"/>
    <cellStyle name="Note 2 2 18" xfId="1299"/>
    <cellStyle name="Note 2 2 18 2" xfId="3655"/>
    <cellStyle name="Note 2 2 18 3" xfId="5553"/>
    <cellStyle name="Note 2 2 19" xfId="1300"/>
    <cellStyle name="Note 2 2 19 2" xfId="3656"/>
    <cellStyle name="Note 2 2 19 3" xfId="5554"/>
    <cellStyle name="Note 2 2 2" xfId="1301"/>
    <cellStyle name="Note 2 2 2 2" xfId="3657"/>
    <cellStyle name="Note 2 2 2 3" xfId="5555"/>
    <cellStyle name="Note 2 2 20" xfId="1302"/>
    <cellStyle name="Note 2 2 20 2" xfId="3658"/>
    <cellStyle name="Note 2 2 20 3" xfId="5556"/>
    <cellStyle name="Note 2 2 21" xfId="1303"/>
    <cellStyle name="Note 2 2 21 2" xfId="3659"/>
    <cellStyle name="Note 2 2 21 3" xfId="5557"/>
    <cellStyle name="Note 2 2 22" xfId="1304"/>
    <cellStyle name="Note 2 2 22 2" xfId="3660"/>
    <cellStyle name="Note 2 2 22 3" xfId="5558"/>
    <cellStyle name="Note 2 2 23" xfId="1305"/>
    <cellStyle name="Note 2 2 23 2" xfId="3661"/>
    <cellStyle name="Note 2 2 23 3" xfId="5559"/>
    <cellStyle name="Note 2 2 24" xfId="3646"/>
    <cellStyle name="Note 2 2 25" xfId="5544"/>
    <cellStyle name="Note 2 2 3" xfId="1306"/>
    <cellStyle name="Note 2 2 3 2" xfId="3662"/>
    <cellStyle name="Note 2 2 3 3" xfId="5560"/>
    <cellStyle name="Note 2 2 4" xfId="1307"/>
    <cellStyle name="Note 2 2 4 2" xfId="3663"/>
    <cellStyle name="Note 2 2 4 3" xfId="5561"/>
    <cellStyle name="Note 2 2 5" xfId="1308"/>
    <cellStyle name="Note 2 2 5 2" xfId="3664"/>
    <cellStyle name="Note 2 2 5 3" xfId="5562"/>
    <cellStyle name="Note 2 2 6" xfId="1309"/>
    <cellStyle name="Note 2 2 6 2" xfId="3665"/>
    <cellStyle name="Note 2 2 6 3" xfId="5563"/>
    <cellStyle name="Note 2 2 7" xfId="1310"/>
    <cellStyle name="Note 2 2 7 2" xfId="3666"/>
    <cellStyle name="Note 2 2 7 3" xfId="5564"/>
    <cellStyle name="Note 2 2 8" xfId="1311"/>
    <cellStyle name="Note 2 2 8 2" xfId="3667"/>
    <cellStyle name="Note 2 2 8 3" xfId="5565"/>
    <cellStyle name="Note 2 2 9" xfId="1312"/>
    <cellStyle name="Note 2 2 9 2" xfId="3668"/>
    <cellStyle name="Note 2 2 9 3" xfId="5566"/>
    <cellStyle name="Note 2 20" xfId="1313"/>
    <cellStyle name="Note 2 20 2" xfId="3669"/>
    <cellStyle name="Note 2 20 3" xfId="5567"/>
    <cellStyle name="Note 2 21" xfId="1314"/>
    <cellStyle name="Note 2 21 2" xfId="3670"/>
    <cellStyle name="Note 2 21 3" xfId="5568"/>
    <cellStyle name="Note 2 22" xfId="1315"/>
    <cellStyle name="Note 2 22 2" xfId="3671"/>
    <cellStyle name="Note 2 22 3" xfId="5569"/>
    <cellStyle name="Note 2 23" xfId="1316"/>
    <cellStyle name="Note 2 23 2" xfId="3672"/>
    <cellStyle name="Note 2 23 3" xfId="5570"/>
    <cellStyle name="Note 2 24" xfId="1317"/>
    <cellStyle name="Note 2 24 2" xfId="3673"/>
    <cellStyle name="Note 2 24 3" xfId="5571"/>
    <cellStyle name="Note 2 25" xfId="1318"/>
    <cellStyle name="Note 2 25 2" xfId="3674"/>
    <cellStyle name="Note 2 25 3" xfId="5572"/>
    <cellStyle name="Note 2 26" xfId="1319"/>
    <cellStyle name="Note 2 26 2" xfId="3675"/>
    <cellStyle name="Note 2 26 3" xfId="5573"/>
    <cellStyle name="Note 2 27" xfId="1320"/>
    <cellStyle name="Note 2 27 2" xfId="3676"/>
    <cellStyle name="Note 2 27 3" xfId="5574"/>
    <cellStyle name="Note 2 28" xfId="1321"/>
    <cellStyle name="Note 2 28 2" xfId="3677"/>
    <cellStyle name="Note 2 28 3" xfId="5575"/>
    <cellStyle name="Note 2 29" xfId="1322"/>
    <cellStyle name="Note 2 29 2" xfId="3678"/>
    <cellStyle name="Note 2 29 3" xfId="5576"/>
    <cellStyle name="Note 2 3" xfId="1323"/>
    <cellStyle name="Note 2 3 10" xfId="1324"/>
    <cellStyle name="Note 2 3 10 2" xfId="3680"/>
    <cellStyle name="Note 2 3 10 3" xfId="5578"/>
    <cellStyle name="Note 2 3 11" xfId="1325"/>
    <cellStyle name="Note 2 3 11 2" xfId="3681"/>
    <cellStyle name="Note 2 3 11 3" xfId="5579"/>
    <cellStyle name="Note 2 3 12" xfId="1326"/>
    <cellStyle name="Note 2 3 12 2" xfId="3682"/>
    <cellStyle name="Note 2 3 12 3" xfId="5580"/>
    <cellStyle name="Note 2 3 13" xfId="1327"/>
    <cellStyle name="Note 2 3 13 2" xfId="3683"/>
    <cellStyle name="Note 2 3 13 3" xfId="5581"/>
    <cellStyle name="Note 2 3 14" xfId="1328"/>
    <cellStyle name="Note 2 3 14 2" xfId="3684"/>
    <cellStyle name="Note 2 3 14 3" xfId="5582"/>
    <cellStyle name="Note 2 3 15" xfId="1329"/>
    <cellStyle name="Note 2 3 15 2" xfId="3685"/>
    <cellStyle name="Note 2 3 15 3" xfId="5583"/>
    <cellStyle name="Note 2 3 16" xfId="1330"/>
    <cellStyle name="Note 2 3 16 2" xfId="3686"/>
    <cellStyle name="Note 2 3 16 3" xfId="5584"/>
    <cellStyle name="Note 2 3 17" xfId="1331"/>
    <cellStyle name="Note 2 3 17 2" xfId="3687"/>
    <cellStyle name="Note 2 3 17 3" xfId="5585"/>
    <cellStyle name="Note 2 3 18" xfId="1332"/>
    <cellStyle name="Note 2 3 18 2" xfId="3688"/>
    <cellStyle name="Note 2 3 18 3" xfId="5586"/>
    <cellStyle name="Note 2 3 19" xfId="1333"/>
    <cellStyle name="Note 2 3 19 2" xfId="3689"/>
    <cellStyle name="Note 2 3 19 3" xfId="5587"/>
    <cellStyle name="Note 2 3 2" xfId="1334"/>
    <cellStyle name="Note 2 3 2 2" xfId="3690"/>
    <cellStyle name="Note 2 3 2 3" xfId="5588"/>
    <cellStyle name="Note 2 3 20" xfId="1335"/>
    <cellStyle name="Note 2 3 20 2" xfId="3691"/>
    <cellStyle name="Note 2 3 20 3" xfId="5589"/>
    <cellStyle name="Note 2 3 21" xfId="1336"/>
    <cellStyle name="Note 2 3 21 2" xfId="3692"/>
    <cellStyle name="Note 2 3 21 3" xfId="5590"/>
    <cellStyle name="Note 2 3 22" xfId="1337"/>
    <cellStyle name="Note 2 3 22 2" xfId="3693"/>
    <cellStyle name="Note 2 3 22 3" xfId="5591"/>
    <cellStyle name="Note 2 3 23" xfId="1338"/>
    <cellStyle name="Note 2 3 23 2" xfId="3694"/>
    <cellStyle name="Note 2 3 23 3" xfId="5592"/>
    <cellStyle name="Note 2 3 24" xfId="3679"/>
    <cellStyle name="Note 2 3 25" xfId="5577"/>
    <cellStyle name="Note 2 3 3" xfId="1339"/>
    <cellStyle name="Note 2 3 3 2" xfId="3695"/>
    <cellStyle name="Note 2 3 3 3" xfId="5593"/>
    <cellStyle name="Note 2 3 4" xfId="1340"/>
    <cellStyle name="Note 2 3 4 2" xfId="3696"/>
    <cellStyle name="Note 2 3 4 3" xfId="5594"/>
    <cellStyle name="Note 2 3 5" xfId="1341"/>
    <cellStyle name="Note 2 3 5 2" xfId="3697"/>
    <cellStyle name="Note 2 3 5 3" xfId="5595"/>
    <cellStyle name="Note 2 3 6" xfId="1342"/>
    <cellStyle name="Note 2 3 6 2" xfId="3698"/>
    <cellStyle name="Note 2 3 6 3" xfId="5596"/>
    <cellStyle name="Note 2 3 7" xfId="1343"/>
    <cellStyle name="Note 2 3 7 2" xfId="3699"/>
    <cellStyle name="Note 2 3 7 3" xfId="5597"/>
    <cellStyle name="Note 2 3 8" xfId="1344"/>
    <cellStyle name="Note 2 3 8 2" xfId="3700"/>
    <cellStyle name="Note 2 3 8 3" xfId="5598"/>
    <cellStyle name="Note 2 3 9" xfId="1345"/>
    <cellStyle name="Note 2 3 9 2" xfId="3701"/>
    <cellStyle name="Note 2 3 9 3" xfId="5599"/>
    <cellStyle name="Note 2 30" xfId="1346"/>
    <cellStyle name="Note 2 30 2" xfId="3702"/>
    <cellStyle name="Note 2 30 3" xfId="5600"/>
    <cellStyle name="Note 2 31" xfId="1347"/>
    <cellStyle name="Note 2 31 2" xfId="3703"/>
    <cellStyle name="Note 2 31 3" xfId="5601"/>
    <cellStyle name="Note 2 32" xfId="1348"/>
    <cellStyle name="Note 2 32 2" xfId="3704"/>
    <cellStyle name="Note 2 32 3" xfId="5602"/>
    <cellStyle name="Note 2 33" xfId="1349"/>
    <cellStyle name="Note 2 33 2" xfId="3705"/>
    <cellStyle name="Note 2 33 3" xfId="5603"/>
    <cellStyle name="Note 2 34" xfId="1350"/>
    <cellStyle name="Note 2 34 2" xfId="3706"/>
    <cellStyle name="Note 2 34 3" xfId="5604"/>
    <cellStyle name="Note 2 35" xfId="1351"/>
    <cellStyle name="Note 2 35 2" xfId="3707"/>
    <cellStyle name="Note 2 35 3" xfId="5605"/>
    <cellStyle name="Note 2 36" xfId="1352"/>
    <cellStyle name="Note 2 36 2" xfId="3708"/>
    <cellStyle name="Note 2 36 3" xfId="5606"/>
    <cellStyle name="Note 2 37" xfId="1353"/>
    <cellStyle name="Note 2 37 2" xfId="3709"/>
    <cellStyle name="Note 2 37 3" xfId="5607"/>
    <cellStyle name="Note 2 38" xfId="3503"/>
    <cellStyle name="Note 2 39" xfId="5401"/>
    <cellStyle name="Note 2 4" xfId="1354"/>
    <cellStyle name="Note 2 4 10" xfId="1355"/>
    <cellStyle name="Note 2 4 10 2" xfId="3711"/>
    <cellStyle name="Note 2 4 10 3" xfId="5609"/>
    <cellStyle name="Note 2 4 11" xfId="1356"/>
    <cellStyle name="Note 2 4 11 2" xfId="3712"/>
    <cellStyle name="Note 2 4 11 3" xfId="5610"/>
    <cellStyle name="Note 2 4 12" xfId="1357"/>
    <cellStyle name="Note 2 4 12 2" xfId="3713"/>
    <cellStyle name="Note 2 4 12 3" xfId="5611"/>
    <cellStyle name="Note 2 4 13" xfId="1358"/>
    <cellStyle name="Note 2 4 13 2" xfId="3714"/>
    <cellStyle name="Note 2 4 13 3" xfId="5612"/>
    <cellStyle name="Note 2 4 14" xfId="1359"/>
    <cellStyle name="Note 2 4 14 2" xfId="3715"/>
    <cellStyle name="Note 2 4 14 3" xfId="5613"/>
    <cellStyle name="Note 2 4 15" xfId="1360"/>
    <cellStyle name="Note 2 4 15 2" xfId="3716"/>
    <cellStyle name="Note 2 4 15 3" xfId="5614"/>
    <cellStyle name="Note 2 4 16" xfId="1361"/>
    <cellStyle name="Note 2 4 16 2" xfId="3717"/>
    <cellStyle name="Note 2 4 16 3" xfId="5615"/>
    <cellStyle name="Note 2 4 17" xfId="1362"/>
    <cellStyle name="Note 2 4 17 2" xfId="3718"/>
    <cellStyle name="Note 2 4 17 3" xfId="5616"/>
    <cellStyle name="Note 2 4 18" xfId="1363"/>
    <cellStyle name="Note 2 4 18 2" xfId="3719"/>
    <cellStyle name="Note 2 4 18 3" xfId="5617"/>
    <cellStyle name="Note 2 4 19" xfId="1364"/>
    <cellStyle name="Note 2 4 19 2" xfId="3720"/>
    <cellStyle name="Note 2 4 19 3" xfId="5618"/>
    <cellStyle name="Note 2 4 2" xfId="1365"/>
    <cellStyle name="Note 2 4 2 2" xfId="3721"/>
    <cellStyle name="Note 2 4 2 3" xfId="5619"/>
    <cellStyle name="Note 2 4 20" xfId="1366"/>
    <cellStyle name="Note 2 4 20 2" xfId="3722"/>
    <cellStyle name="Note 2 4 20 3" xfId="5620"/>
    <cellStyle name="Note 2 4 21" xfId="1367"/>
    <cellStyle name="Note 2 4 21 2" xfId="3723"/>
    <cellStyle name="Note 2 4 21 3" xfId="5621"/>
    <cellStyle name="Note 2 4 22" xfId="1368"/>
    <cellStyle name="Note 2 4 22 2" xfId="3724"/>
    <cellStyle name="Note 2 4 22 3" xfId="5622"/>
    <cellStyle name="Note 2 4 23" xfId="1369"/>
    <cellStyle name="Note 2 4 23 2" xfId="3725"/>
    <cellStyle name="Note 2 4 23 3" xfId="5623"/>
    <cellStyle name="Note 2 4 24" xfId="3710"/>
    <cellStyle name="Note 2 4 25" xfId="5608"/>
    <cellStyle name="Note 2 4 3" xfId="1370"/>
    <cellStyle name="Note 2 4 3 2" xfId="3726"/>
    <cellStyle name="Note 2 4 3 3" xfId="5624"/>
    <cellStyle name="Note 2 4 4" xfId="1371"/>
    <cellStyle name="Note 2 4 4 2" xfId="3727"/>
    <cellStyle name="Note 2 4 4 3" xfId="5625"/>
    <cellStyle name="Note 2 4 5" xfId="1372"/>
    <cellStyle name="Note 2 4 5 2" xfId="3728"/>
    <cellStyle name="Note 2 4 5 3" xfId="5626"/>
    <cellStyle name="Note 2 4 6" xfId="1373"/>
    <cellStyle name="Note 2 4 6 2" xfId="3729"/>
    <cellStyle name="Note 2 4 6 3" xfId="5627"/>
    <cellStyle name="Note 2 4 7" xfId="1374"/>
    <cellStyle name="Note 2 4 7 2" xfId="3730"/>
    <cellStyle name="Note 2 4 7 3" xfId="5628"/>
    <cellStyle name="Note 2 4 8" xfId="1375"/>
    <cellStyle name="Note 2 4 8 2" xfId="3731"/>
    <cellStyle name="Note 2 4 8 3" xfId="5629"/>
    <cellStyle name="Note 2 4 9" xfId="1376"/>
    <cellStyle name="Note 2 4 9 2" xfId="3732"/>
    <cellStyle name="Note 2 4 9 3" xfId="5630"/>
    <cellStyle name="Note 2 5" xfId="1377"/>
    <cellStyle name="Note 2 5 10" xfId="1378"/>
    <cellStyle name="Note 2 5 10 2" xfId="3734"/>
    <cellStyle name="Note 2 5 10 3" xfId="5632"/>
    <cellStyle name="Note 2 5 11" xfId="1379"/>
    <cellStyle name="Note 2 5 11 2" xfId="3735"/>
    <cellStyle name="Note 2 5 11 3" xfId="5633"/>
    <cellStyle name="Note 2 5 12" xfId="1380"/>
    <cellStyle name="Note 2 5 12 2" xfId="3736"/>
    <cellStyle name="Note 2 5 12 3" xfId="5634"/>
    <cellStyle name="Note 2 5 13" xfId="1381"/>
    <cellStyle name="Note 2 5 13 2" xfId="3737"/>
    <cellStyle name="Note 2 5 13 3" xfId="5635"/>
    <cellStyle name="Note 2 5 14" xfId="1382"/>
    <cellStyle name="Note 2 5 14 2" xfId="3738"/>
    <cellStyle name="Note 2 5 14 3" xfId="5636"/>
    <cellStyle name="Note 2 5 15" xfId="1383"/>
    <cellStyle name="Note 2 5 15 2" xfId="3739"/>
    <cellStyle name="Note 2 5 15 3" xfId="5637"/>
    <cellStyle name="Note 2 5 16" xfId="1384"/>
    <cellStyle name="Note 2 5 16 2" xfId="3740"/>
    <cellStyle name="Note 2 5 16 3" xfId="5638"/>
    <cellStyle name="Note 2 5 17" xfId="1385"/>
    <cellStyle name="Note 2 5 17 2" xfId="3741"/>
    <cellStyle name="Note 2 5 17 3" xfId="5639"/>
    <cellStyle name="Note 2 5 18" xfId="1386"/>
    <cellStyle name="Note 2 5 18 2" xfId="3742"/>
    <cellStyle name="Note 2 5 18 3" xfId="5640"/>
    <cellStyle name="Note 2 5 19" xfId="1387"/>
    <cellStyle name="Note 2 5 19 2" xfId="3743"/>
    <cellStyle name="Note 2 5 19 3" xfId="5641"/>
    <cellStyle name="Note 2 5 2" xfId="1388"/>
    <cellStyle name="Note 2 5 2 2" xfId="3744"/>
    <cellStyle name="Note 2 5 2 3" xfId="5642"/>
    <cellStyle name="Note 2 5 20" xfId="1389"/>
    <cellStyle name="Note 2 5 20 2" xfId="3745"/>
    <cellStyle name="Note 2 5 20 3" xfId="5643"/>
    <cellStyle name="Note 2 5 21" xfId="1390"/>
    <cellStyle name="Note 2 5 21 2" xfId="3746"/>
    <cellStyle name="Note 2 5 21 3" xfId="5644"/>
    <cellStyle name="Note 2 5 22" xfId="1391"/>
    <cellStyle name="Note 2 5 22 2" xfId="3747"/>
    <cellStyle name="Note 2 5 22 3" xfId="5645"/>
    <cellStyle name="Note 2 5 23" xfId="1392"/>
    <cellStyle name="Note 2 5 23 2" xfId="3748"/>
    <cellStyle name="Note 2 5 23 3" xfId="5646"/>
    <cellStyle name="Note 2 5 24" xfId="3733"/>
    <cellStyle name="Note 2 5 25" xfId="5631"/>
    <cellStyle name="Note 2 5 3" xfId="1393"/>
    <cellStyle name="Note 2 5 3 2" xfId="3749"/>
    <cellStyle name="Note 2 5 3 3" xfId="5647"/>
    <cellStyle name="Note 2 5 4" xfId="1394"/>
    <cellStyle name="Note 2 5 4 2" xfId="3750"/>
    <cellStyle name="Note 2 5 4 3" xfId="5648"/>
    <cellStyle name="Note 2 5 5" xfId="1395"/>
    <cellStyle name="Note 2 5 5 2" xfId="3751"/>
    <cellStyle name="Note 2 5 5 3" xfId="5649"/>
    <cellStyle name="Note 2 5 6" xfId="1396"/>
    <cellStyle name="Note 2 5 6 2" xfId="3752"/>
    <cellStyle name="Note 2 5 6 3" xfId="5650"/>
    <cellStyle name="Note 2 5 7" xfId="1397"/>
    <cellStyle name="Note 2 5 7 2" xfId="3753"/>
    <cellStyle name="Note 2 5 7 3" xfId="5651"/>
    <cellStyle name="Note 2 5 8" xfId="1398"/>
    <cellStyle name="Note 2 5 8 2" xfId="3754"/>
    <cellStyle name="Note 2 5 8 3" xfId="5652"/>
    <cellStyle name="Note 2 5 9" xfId="1399"/>
    <cellStyle name="Note 2 5 9 2" xfId="3755"/>
    <cellStyle name="Note 2 5 9 3" xfId="5653"/>
    <cellStyle name="Note 2 6" xfId="1400"/>
    <cellStyle name="Note 2 6 10" xfId="1401"/>
    <cellStyle name="Note 2 6 10 2" xfId="3757"/>
    <cellStyle name="Note 2 6 10 3" xfId="5655"/>
    <cellStyle name="Note 2 6 11" xfId="1402"/>
    <cellStyle name="Note 2 6 11 2" xfId="3758"/>
    <cellStyle name="Note 2 6 11 3" xfId="5656"/>
    <cellStyle name="Note 2 6 12" xfId="1403"/>
    <cellStyle name="Note 2 6 12 2" xfId="3759"/>
    <cellStyle name="Note 2 6 12 3" xfId="5657"/>
    <cellStyle name="Note 2 6 13" xfId="1404"/>
    <cellStyle name="Note 2 6 13 2" xfId="3760"/>
    <cellStyle name="Note 2 6 13 3" xfId="5658"/>
    <cellStyle name="Note 2 6 14" xfId="1405"/>
    <cellStyle name="Note 2 6 14 2" xfId="3761"/>
    <cellStyle name="Note 2 6 14 3" xfId="5659"/>
    <cellStyle name="Note 2 6 15" xfId="1406"/>
    <cellStyle name="Note 2 6 15 2" xfId="3762"/>
    <cellStyle name="Note 2 6 15 3" xfId="5660"/>
    <cellStyle name="Note 2 6 16" xfId="1407"/>
    <cellStyle name="Note 2 6 16 2" xfId="3763"/>
    <cellStyle name="Note 2 6 16 3" xfId="5661"/>
    <cellStyle name="Note 2 6 17" xfId="1408"/>
    <cellStyle name="Note 2 6 17 2" xfId="3764"/>
    <cellStyle name="Note 2 6 17 3" xfId="5662"/>
    <cellStyle name="Note 2 6 18" xfId="1409"/>
    <cellStyle name="Note 2 6 18 2" xfId="3765"/>
    <cellStyle name="Note 2 6 18 3" xfId="5663"/>
    <cellStyle name="Note 2 6 19" xfId="1410"/>
    <cellStyle name="Note 2 6 19 2" xfId="3766"/>
    <cellStyle name="Note 2 6 19 3" xfId="5664"/>
    <cellStyle name="Note 2 6 2" xfId="1411"/>
    <cellStyle name="Note 2 6 2 2" xfId="3767"/>
    <cellStyle name="Note 2 6 2 3" xfId="5665"/>
    <cellStyle name="Note 2 6 20" xfId="1412"/>
    <cellStyle name="Note 2 6 20 2" xfId="3768"/>
    <cellStyle name="Note 2 6 20 3" xfId="5666"/>
    <cellStyle name="Note 2 6 21" xfId="1413"/>
    <cellStyle name="Note 2 6 21 2" xfId="3769"/>
    <cellStyle name="Note 2 6 21 3" xfId="5667"/>
    <cellStyle name="Note 2 6 22" xfId="1414"/>
    <cellStyle name="Note 2 6 22 2" xfId="3770"/>
    <cellStyle name="Note 2 6 22 3" xfId="5668"/>
    <cellStyle name="Note 2 6 23" xfId="1415"/>
    <cellStyle name="Note 2 6 23 2" xfId="3771"/>
    <cellStyle name="Note 2 6 23 3" xfId="5669"/>
    <cellStyle name="Note 2 6 24" xfId="3756"/>
    <cellStyle name="Note 2 6 25" xfId="5654"/>
    <cellStyle name="Note 2 6 3" xfId="1416"/>
    <cellStyle name="Note 2 6 3 2" xfId="3772"/>
    <cellStyle name="Note 2 6 3 3" xfId="5670"/>
    <cellStyle name="Note 2 6 4" xfId="1417"/>
    <cellStyle name="Note 2 6 4 2" xfId="3773"/>
    <cellStyle name="Note 2 6 4 3" xfId="5671"/>
    <cellStyle name="Note 2 6 5" xfId="1418"/>
    <cellStyle name="Note 2 6 5 2" xfId="3774"/>
    <cellStyle name="Note 2 6 5 3" xfId="5672"/>
    <cellStyle name="Note 2 6 6" xfId="1419"/>
    <cellStyle name="Note 2 6 6 2" xfId="3775"/>
    <cellStyle name="Note 2 6 6 3" xfId="5673"/>
    <cellStyle name="Note 2 6 7" xfId="1420"/>
    <cellStyle name="Note 2 6 7 2" xfId="3776"/>
    <cellStyle name="Note 2 6 7 3" xfId="5674"/>
    <cellStyle name="Note 2 6 8" xfId="1421"/>
    <cellStyle name="Note 2 6 8 2" xfId="3777"/>
    <cellStyle name="Note 2 6 8 3" xfId="5675"/>
    <cellStyle name="Note 2 6 9" xfId="1422"/>
    <cellStyle name="Note 2 6 9 2" xfId="3778"/>
    <cellStyle name="Note 2 6 9 3" xfId="5676"/>
    <cellStyle name="Note 2 7" xfId="1423"/>
    <cellStyle name="Note 2 7 10" xfId="1424"/>
    <cellStyle name="Note 2 7 10 2" xfId="3780"/>
    <cellStyle name="Note 2 7 10 3" xfId="5678"/>
    <cellStyle name="Note 2 7 11" xfId="1425"/>
    <cellStyle name="Note 2 7 11 2" xfId="3781"/>
    <cellStyle name="Note 2 7 11 3" xfId="5679"/>
    <cellStyle name="Note 2 7 12" xfId="1426"/>
    <cellStyle name="Note 2 7 12 2" xfId="3782"/>
    <cellStyle name="Note 2 7 12 3" xfId="5680"/>
    <cellStyle name="Note 2 7 13" xfId="1427"/>
    <cellStyle name="Note 2 7 13 2" xfId="3783"/>
    <cellStyle name="Note 2 7 13 3" xfId="5681"/>
    <cellStyle name="Note 2 7 14" xfId="1428"/>
    <cellStyle name="Note 2 7 14 2" xfId="3784"/>
    <cellStyle name="Note 2 7 14 3" xfId="5682"/>
    <cellStyle name="Note 2 7 15" xfId="1429"/>
    <cellStyle name="Note 2 7 15 2" xfId="3785"/>
    <cellStyle name="Note 2 7 15 3" xfId="5683"/>
    <cellStyle name="Note 2 7 16" xfId="1430"/>
    <cellStyle name="Note 2 7 16 2" xfId="3786"/>
    <cellStyle name="Note 2 7 16 3" xfId="5684"/>
    <cellStyle name="Note 2 7 17" xfId="1431"/>
    <cellStyle name="Note 2 7 17 2" xfId="3787"/>
    <cellStyle name="Note 2 7 17 3" xfId="5685"/>
    <cellStyle name="Note 2 7 18" xfId="1432"/>
    <cellStyle name="Note 2 7 18 2" xfId="3788"/>
    <cellStyle name="Note 2 7 18 3" xfId="5686"/>
    <cellStyle name="Note 2 7 19" xfId="1433"/>
    <cellStyle name="Note 2 7 19 2" xfId="3789"/>
    <cellStyle name="Note 2 7 19 3" xfId="5687"/>
    <cellStyle name="Note 2 7 2" xfId="1434"/>
    <cellStyle name="Note 2 7 2 2" xfId="3790"/>
    <cellStyle name="Note 2 7 2 3" xfId="5688"/>
    <cellStyle name="Note 2 7 20" xfId="1435"/>
    <cellStyle name="Note 2 7 20 2" xfId="3791"/>
    <cellStyle name="Note 2 7 20 3" xfId="5689"/>
    <cellStyle name="Note 2 7 21" xfId="1436"/>
    <cellStyle name="Note 2 7 21 2" xfId="3792"/>
    <cellStyle name="Note 2 7 21 3" xfId="5690"/>
    <cellStyle name="Note 2 7 22" xfId="1437"/>
    <cellStyle name="Note 2 7 22 2" xfId="3793"/>
    <cellStyle name="Note 2 7 22 3" xfId="5691"/>
    <cellStyle name="Note 2 7 23" xfId="1438"/>
    <cellStyle name="Note 2 7 23 2" xfId="3794"/>
    <cellStyle name="Note 2 7 23 3" xfId="5692"/>
    <cellStyle name="Note 2 7 24" xfId="3779"/>
    <cellStyle name="Note 2 7 25" xfId="5677"/>
    <cellStyle name="Note 2 7 3" xfId="1439"/>
    <cellStyle name="Note 2 7 3 2" xfId="3795"/>
    <cellStyle name="Note 2 7 3 3" xfId="5693"/>
    <cellStyle name="Note 2 7 4" xfId="1440"/>
    <cellStyle name="Note 2 7 4 2" xfId="3796"/>
    <cellStyle name="Note 2 7 4 3" xfId="5694"/>
    <cellStyle name="Note 2 7 5" xfId="1441"/>
    <cellStyle name="Note 2 7 5 2" xfId="3797"/>
    <cellStyle name="Note 2 7 5 3" xfId="5695"/>
    <cellStyle name="Note 2 7 6" xfId="1442"/>
    <cellStyle name="Note 2 7 6 2" xfId="3798"/>
    <cellStyle name="Note 2 7 6 3" xfId="5696"/>
    <cellStyle name="Note 2 7 7" xfId="1443"/>
    <cellStyle name="Note 2 7 7 2" xfId="3799"/>
    <cellStyle name="Note 2 7 7 3" xfId="5697"/>
    <cellStyle name="Note 2 7 8" xfId="1444"/>
    <cellStyle name="Note 2 7 8 2" xfId="3800"/>
    <cellStyle name="Note 2 7 8 3" xfId="5698"/>
    <cellStyle name="Note 2 7 9" xfId="1445"/>
    <cellStyle name="Note 2 7 9 2" xfId="3801"/>
    <cellStyle name="Note 2 7 9 3" xfId="5699"/>
    <cellStyle name="Note 2 8" xfId="1446"/>
    <cellStyle name="Note 2 8 10" xfId="1447"/>
    <cellStyle name="Note 2 8 10 2" xfId="3803"/>
    <cellStyle name="Note 2 8 10 3" xfId="5701"/>
    <cellStyle name="Note 2 8 11" xfId="1448"/>
    <cellStyle name="Note 2 8 11 2" xfId="3804"/>
    <cellStyle name="Note 2 8 11 3" xfId="5702"/>
    <cellStyle name="Note 2 8 12" xfId="1449"/>
    <cellStyle name="Note 2 8 12 2" xfId="3805"/>
    <cellStyle name="Note 2 8 12 3" xfId="5703"/>
    <cellStyle name="Note 2 8 13" xfId="1450"/>
    <cellStyle name="Note 2 8 13 2" xfId="3806"/>
    <cellStyle name="Note 2 8 13 3" xfId="5704"/>
    <cellStyle name="Note 2 8 14" xfId="1451"/>
    <cellStyle name="Note 2 8 14 2" xfId="3807"/>
    <cellStyle name="Note 2 8 14 3" xfId="5705"/>
    <cellStyle name="Note 2 8 15" xfId="1452"/>
    <cellStyle name="Note 2 8 15 2" xfId="3808"/>
    <cellStyle name="Note 2 8 15 3" xfId="5706"/>
    <cellStyle name="Note 2 8 16" xfId="1453"/>
    <cellStyle name="Note 2 8 16 2" xfId="3809"/>
    <cellStyle name="Note 2 8 16 3" xfId="5707"/>
    <cellStyle name="Note 2 8 17" xfId="1454"/>
    <cellStyle name="Note 2 8 17 2" xfId="3810"/>
    <cellStyle name="Note 2 8 17 3" xfId="5708"/>
    <cellStyle name="Note 2 8 18" xfId="1455"/>
    <cellStyle name="Note 2 8 18 2" xfId="3811"/>
    <cellStyle name="Note 2 8 18 3" xfId="5709"/>
    <cellStyle name="Note 2 8 19" xfId="1456"/>
    <cellStyle name="Note 2 8 19 2" xfId="3812"/>
    <cellStyle name="Note 2 8 19 3" xfId="5710"/>
    <cellStyle name="Note 2 8 2" xfId="1457"/>
    <cellStyle name="Note 2 8 2 2" xfId="3813"/>
    <cellStyle name="Note 2 8 2 3" xfId="5711"/>
    <cellStyle name="Note 2 8 20" xfId="1458"/>
    <cellStyle name="Note 2 8 20 2" xfId="3814"/>
    <cellStyle name="Note 2 8 20 3" xfId="5712"/>
    <cellStyle name="Note 2 8 21" xfId="1459"/>
    <cellStyle name="Note 2 8 21 2" xfId="3815"/>
    <cellStyle name="Note 2 8 21 3" xfId="5713"/>
    <cellStyle name="Note 2 8 22" xfId="1460"/>
    <cellStyle name="Note 2 8 22 2" xfId="3816"/>
    <cellStyle name="Note 2 8 22 3" xfId="5714"/>
    <cellStyle name="Note 2 8 23" xfId="1461"/>
    <cellStyle name="Note 2 8 23 2" xfId="3817"/>
    <cellStyle name="Note 2 8 23 3" xfId="5715"/>
    <cellStyle name="Note 2 8 24" xfId="3802"/>
    <cellStyle name="Note 2 8 25" xfId="5700"/>
    <cellStyle name="Note 2 8 3" xfId="1462"/>
    <cellStyle name="Note 2 8 3 2" xfId="3818"/>
    <cellStyle name="Note 2 8 3 3" xfId="5716"/>
    <cellStyle name="Note 2 8 4" xfId="1463"/>
    <cellStyle name="Note 2 8 4 2" xfId="3819"/>
    <cellStyle name="Note 2 8 4 3" xfId="5717"/>
    <cellStyle name="Note 2 8 5" xfId="1464"/>
    <cellStyle name="Note 2 8 5 2" xfId="3820"/>
    <cellStyle name="Note 2 8 5 3" xfId="5718"/>
    <cellStyle name="Note 2 8 6" xfId="1465"/>
    <cellStyle name="Note 2 8 6 2" xfId="3821"/>
    <cellStyle name="Note 2 8 6 3" xfId="5719"/>
    <cellStyle name="Note 2 8 7" xfId="1466"/>
    <cellStyle name="Note 2 8 7 2" xfId="3822"/>
    <cellStyle name="Note 2 8 7 3" xfId="5720"/>
    <cellStyle name="Note 2 8 8" xfId="1467"/>
    <cellStyle name="Note 2 8 8 2" xfId="3823"/>
    <cellStyle name="Note 2 8 8 3" xfId="5721"/>
    <cellStyle name="Note 2 8 9" xfId="1468"/>
    <cellStyle name="Note 2 8 9 2" xfId="3824"/>
    <cellStyle name="Note 2 8 9 3" xfId="5722"/>
    <cellStyle name="Note 2 9" xfId="1469"/>
    <cellStyle name="Note 2 9 10" xfId="1470"/>
    <cellStyle name="Note 2 9 10 2" xfId="3826"/>
    <cellStyle name="Note 2 9 10 3" xfId="5724"/>
    <cellStyle name="Note 2 9 11" xfId="1471"/>
    <cellStyle name="Note 2 9 11 2" xfId="3827"/>
    <cellStyle name="Note 2 9 11 3" xfId="5725"/>
    <cellStyle name="Note 2 9 12" xfId="1472"/>
    <cellStyle name="Note 2 9 12 2" xfId="3828"/>
    <cellStyle name="Note 2 9 12 3" xfId="5726"/>
    <cellStyle name="Note 2 9 13" xfId="1473"/>
    <cellStyle name="Note 2 9 13 2" xfId="3829"/>
    <cellStyle name="Note 2 9 13 3" xfId="5727"/>
    <cellStyle name="Note 2 9 14" xfId="1474"/>
    <cellStyle name="Note 2 9 14 2" xfId="3830"/>
    <cellStyle name="Note 2 9 14 3" xfId="5728"/>
    <cellStyle name="Note 2 9 15" xfId="1475"/>
    <cellStyle name="Note 2 9 15 2" xfId="3831"/>
    <cellStyle name="Note 2 9 15 3" xfId="5729"/>
    <cellStyle name="Note 2 9 16" xfId="1476"/>
    <cellStyle name="Note 2 9 16 2" xfId="3832"/>
    <cellStyle name="Note 2 9 16 3" xfId="5730"/>
    <cellStyle name="Note 2 9 17" xfId="1477"/>
    <cellStyle name="Note 2 9 17 2" xfId="3833"/>
    <cellStyle name="Note 2 9 17 3" xfId="5731"/>
    <cellStyle name="Note 2 9 18" xfId="1478"/>
    <cellStyle name="Note 2 9 18 2" xfId="3834"/>
    <cellStyle name="Note 2 9 18 3" xfId="5732"/>
    <cellStyle name="Note 2 9 19" xfId="1479"/>
    <cellStyle name="Note 2 9 19 2" xfId="3835"/>
    <cellStyle name="Note 2 9 19 3" xfId="5733"/>
    <cellStyle name="Note 2 9 2" xfId="1480"/>
    <cellStyle name="Note 2 9 2 2" xfId="3836"/>
    <cellStyle name="Note 2 9 2 3" xfId="5734"/>
    <cellStyle name="Note 2 9 20" xfId="1481"/>
    <cellStyle name="Note 2 9 20 2" xfId="3837"/>
    <cellStyle name="Note 2 9 20 3" xfId="5735"/>
    <cellStyle name="Note 2 9 21" xfId="1482"/>
    <cellStyle name="Note 2 9 21 2" xfId="3838"/>
    <cellStyle name="Note 2 9 21 3" xfId="5736"/>
    <cellStyle name="Note 2 9 22" xfId="1483"/>
    <cellStyle name="Note 2 9 22 2" xfId="3839"/>
    <cellStyle name="Note 2 9 22 3" xfId="5737"/>
    <cellStyle name="Note 2 9 23" xfId="1484"/>
    <cellStyle name="Note 2 9 23 2" xfId="3840"/>
    <cellStyle name="Note 2 9 23 3" xfId="5738"/>
    <cellStyle name="Note 2 9 24" xfId="3825"/>
    <cellStyle name="Note 2 9 25" xfId="5723"/>
    <cellStyle name="Note 2 9 3" xfId="1485"/>
    <cellStyle name="Note 2 9 3 2" xfId="3841"/>
    <cellStyle name="Note 2 9 3 3" xfId="5739"/>
    <cellStyle name="Note 2 9 4" xfId="1486"/>
    <cellStyle name="Note 2 9 4 2" xfId="3842"/>
    <cellStyle name="Note 2 9 4 3" xfId="5740"/>
    <cellStyle name="Note 2 9 5" xfId="1487"/>
    <cellStyle name="Note 2 9 5 2" xfId="3843"/>
    <cellStyle name="Note 2 9 5 3" xfId="5741"/>
    <cellStyle name="Note 2 9 6" xfId="1488"/>
    <cellStyle name="Note 2 9 6 2" xfId="3844"/>
    <cellStyle name="Note 2 9 6 3" xfId="5742"/>
    <cellStyle name="Note 2 9 7" xfId="1489"/>
    <cellStyle name="Note 2 9 7 2" xfId="3845"/>
    <cellStyle name="Note 2 9 7 3" xfId="5743"/>
    <cellStyle name="Note 2 9 8" xfId="1490"/>
    <cellStyle name="Note 2 9 8 2" xfId="3846"/>
    <cellStyle name="Note 2 9 8 3" xfId="5744"/>
    <cellStyle name="Note 2 9 9" xfId="1491"/>
    <cellStyle name="Note 2 9 9 2" xfId="3847"/>
    <cellStyle name="Note 2 9 9 3" xfId="5745"/>
    <cellStyle name="Note 3" xfId="4756"/>
    <cellStyle name="Note 4" xfId="2486"/>
    <cellStyle name="Note 5" xfId="4727"/>
    <cellStyle name="Obliczenia" xfId="1492"/>
    <cellStyle name="Obliczenia 10" xfId="1493"/>
    <cellStyle name="Obliczenia 10 2" xfId="3849"/>
    <cellStyle name="Obliczenia 10 3" xfId="5747"/>
    <cellStyle name="Obliczenia 11" xfId="1494"/>
    <cellStyle name="Obliczenia 11 2" xfId="3850"/>
    <cellStyle name="Obliczenia 11 3" xfId="5748"/>
    <cellStyle name="Obliczenia 12" xfId="1495"/>
    <cellStyle name="Obliczenia 12 2" xfId="3851"/>
    <cellStyle name="Obliczenia 12 3" xfId="5749"/>
    <cellStyle name="Obliczenia 13" xfId="1496"/>
    <cellStyle name="Obliczenia 13 2" xfId="3852"/>
    <cellStyle name="Obliczenia 13 3" xfId="5750"/>
    <cellStyle name="Obliczenia 14" xfId="1497"/>
    <cellStyle name="Obliczenia 14 2" xfId="3853"/>
    <cellStyle name="Obliczenia 14 3" xfId="5751"/>
    <cellStyle name="Obliczenia 15" xfId="1498"/>
    <cellStyle name="Obliczenia 15 2" xfId="3854"/>
    <cellStyle name="Obliczenia 15 3" xfId="5752"/>
    <cellStyle name="Obliczenia 16" xfId="1499"/>
    <cellStyle name="Obliczenia 16 2" xfId="3855"/>
    <cellStyle name="Obliczenia 16 3" xfId="5753"/>
    <cellStyle name="Obliczenia 17" xfId="1500"/>
    <cellStyle name="Obliczenia 17 2" xfId="3856"/>
    <cellStyle name="Obliczenia 17 3" xfId="5754"/>
    <cellStyle name="Obliczenia 18" xfId="1501"/>
    <cellStyle name="Obliczenia 18 2" xfId="3857"/>
    <cellStyle name="Obliczenia 18 3" xfId="5755"/>
    <cellStyle name="Obliczenia 19" xfId="1502"/>
    <cellStyle name="Obliczenia 19 2" xfId="3858"/>
    <cellStyle name="Obliczenia 19 3" xfId="5756"/>
    <cellStyle name="Obliczenia 2" xfId="1503"/>
    <cellStyle name="Obliczenia 2 10" xfId="1504"/>
    <cellStyle name="Obliczenia 2 10 2" xfId="3860"/>
    <cellStyle name="Obliczenia 2 10 3" xfId="5758"/>
    <cellStyle name="Obliczenia 2 11" xfId="1505"/>
    <cellStyle name="Obliczenia 2 11 2" xfId="3861"/>
    <cellStyle name="Obliczenia 2 11 3" xfId="5759"/>
    <cellStyle name="Obliczenia 2 12" xfId="1506"/>
    <cellStyle name="Obliczenia 2 12 2" xfId="3862"/>
    <cellStyle name="Obliczenia 2 12 3" xfId="5760"/>
    <cellStyle name="Obliczenia 2 13" xfId="1507"/>
    <cellStyle name="Obliczenia 2 13 2" xfId="3863"/>
    <cellStyle name="Obliczenia 2 13 3" xfId="5761"/>
    <cellStyle name="Obliczenia 2 14" xfId="1508"/>
    <cellStyle name="Obliczenia 2 14 2" xfId="3864"/>
    <cellStyle name="Obliczenia 2 14 3" xfId="5762"/>
    <cellStyle name="Obliczenia 2 15" xfId="1509"/>
    <cellStyle name="Obliczenia 2 15 2" xfId="3865"/>
    <cellStyle name="Obliczenia 2 15 3" xfId="5763"/>
    <cellStyle name="Obliczenia 2 16" xfId="1510"/>
    <cellStyle name="Obliczenia 2 16 2" xfId="3866"/>
    <cellStyle name="Obliczenia 2 16 3" xfId="5764"/>
    <cellStyle name="Obliczenia 2 17" xfId="1511"/>
    <cellStyle name="Obliczenia 2 17 2" xfId="3867"/>
    <cellStyle name="Obliczenia 2 17 3" xfId="5765"/>
    <cellStyle name="Obliczenia 2 18" xfId="1512"/>
    <cellStyle name="Obliczenia 2 18 2" xfId="3868"/>
    <cellStyle name="Obliczenia 2 18 3" xfId="5766"/>
    <cellStyle name="Obliczenia 2 19" xfId="1513"/>
    <cellStyle name="Obliczenia 2 19 2" xfId="3869"/>
    <cellStyle name="Obliczenia 2 19 3" xfId="5767"/>
    <cellStyle name="Obliczenia 2 2" xfId="1514"/>
    <cellStyle name="Obliczenia 2 2 2" xfId="3870"/>
    <cellStyle name="Obliczenia 2 2 3" xfId="5768"/>
    <cellStyle name="Obliczenia 2 20" xfId="1515"/>
    <cellStyle name="Obliczenia 2 20 2" xfId="3871"/>
    <cellStyle name="Obliczenia 2 20 3" xfId="5769"/>
    <cellStyle name="Obliczenia 2 21" xfId="1516"/>
    <cellStyle name="Obliczenia 2 21 2" xfId="3872"/>
    <cellStyle name="Obliczenia 2 21 3" xfId="5770"/>
    <cellStyle name="Obliczenia 2 22" xfId="1517"/>
    <cellStyle name="Obliczenia 2 22 2" xfId="3873"/>
    <cellStyle name="Obliczenia 2 22 3" xfId="5771"/>
    <cellStyle name="Obliczenia 2 23" xfId="1518"/>
    <cellStyle name="Obliczenia 2 23 2" xfId="3874"/>
    <cellStyle name="Obliczenia 2 23 3" xfId="5772"/>
    <cellStyle name="Obliczenia 2 24" xfId="3859"/>
    <cellStyle name="Obliczenia 2 25" xfId="5757"/>
    <cellStyle name="Obliczenia 2 3" xfId="1519"/>
    <cellStyle name="Obliczenia 2 3 2" xfId="3875"/>
    <cellStyle name="Obliczenia 2 3 3" xfId="5773"/>
    <cellStyle name="Obliczenia 2 4" xfId="1520"/>
    <cellStyle name="Obliczenia 2 4 2" xfId="3876"/>
    <cellStyle name="Obliczenia 2 4 3" xfId="5774"/>
    <cellStyle name="Obliczenia 2 5" xfId="1521"/>
    <cellStyle name="Obliczenia 2 5 2" xfId="3877"/>
    <cellStyle name="Obliczenia 2 5 3" xfId="5775"/>
    <cellStyle name="Obliczenia 2 6" xfId="1522"/>
    <cellStyle name="Obliczenia 2 6 2" xfId="3878"/>
    <cellStyle name="Obliczenia 2 6 3" xfId="5776"/>
    <cellStyle name="Obliczenia 2 7" xfId="1523"/>
    <cellStyle name="Obliczenia 2 7 2" xfId="3879"/>
    <cellStyle name="Obliczenia 2 7 3" xfId="5777"/>
    <cellStyle name="Obliczenia 2 8" xfId="1524"/>
    <cellStyle name="Obliczenia 2 8 2" xfId="3880"/>
    <cellStyle name="Obliczenia 2 8 3" xfId="5778"/>
    <cellStyle name="Obliczenia 2 9" xfId="1525"/>
    <cellStyle name="Obliczenia 2 9 2" xfId="3881"/>
    <cellStyle name="Obliczenia 2 9 3" xfId="5779"/>
    <cellStyle name="Obliczenia 20" xfId="1526"/>
    <cellStyle name="Obliczenia 20 2" xfId="3882"/>
    <cellStyle name="Obliczenia 20 3" xfId="5780"/>
    <cellStyle name="Obliczenia 21" xfId="1527"/>
    <cellStyle name="Obliczenia 21 2" xfId="3883"/>
    <cellStyle name="Obliczenia 21 3" xfId="5781"/>
    <cellStyle name="Obliczenia 22" xfId="1528"/>
    <cellStyle name="Obliczenia 22 2" xfId="3884"/>
    <cellStyle name="Obliczenia 22 3" xfId="5782"/>
    <cellStyle name="Obliczenia 23" xfId="1529"/>
    <cellStyle name="Obliczenia 23 2" xfId="3885"/>
    <cellStyle name="Obliczenia 23 3" xfId="5783"/>
    <cellStyle name="Obliczenia 24" xfId="1530"/>
    <cellStyle name="Obliczenia 24 2" xfId="3886"/>
    <cellStyle name="Obliczenia 24 3" xfId="5784"/>
    <cellStyle name="Obliczenia 25" xfId="1531"/>
    <cellStyle name="Obliczenia 25 2" xfId="3887"/>
    <cellStyle name="Obliczenia 25 3" xfId="5785"/>
    <cellStyle name="Obliczenia 26" xfId="3848"/>
    <cellStyle name="Obliczenia 27" xfId="5746"/>
    <cellStyle name="Obliczenia 3" xfId="1532"/>
    <cellStyle name="Obliczenia 3 10" xfId="1533"/>
    <cellStyle name="Obliczenia 3 10 2" xfId="3889"/>
    <cellStyle name="Obliczenia 3 10 3" xfId="5787"/>
    <cellStyle name="Obliczenia 3 11" xfId="1534"/>
    <cellStyle name="Obliczenia 3 11 2" xfId="3890"/>
    <cellStyle name="Obliczenia 3 11 3" xfId="5788"/>
    <cellStyle name="Obliczenia 3 12" xfId="1535"/>
    <cellStyle name="Obliczenia 3 12 2" xfId="3891"/>
    <cellStyle name="Obliczenia 3 12 3" xfId="5789"/>
    <cellStyle name="Obliczenia 3 13" xfId="1536"/>
    <cellStyle name="Obliczenia 3 13 2" xfId="3892"/>
    <cellStyle name="Obliczenia 3 13 3" xfId="5790"/>
    <cellStyle name="Obliczenia 3 14" xfId="1537"/>
    <cellStyle name="Obliczenia 3 14 2" xfId="3893"/>
    <cellStyle name="Obliczenia 3 14 3" xfId="5791"/>
    <cellStyle name="Obliczenia 3 15" xfId="1538"/>
    <cellStyle name="Obliczenia 3 15 2" xfId="3894"/>
    <cellStyle name="Obliczenia 3 15 3" xfId="5792"/>
    <cellStyle name="Obliczenia 3 16" xfId="1539"/>
    <cellStyle name="Obliczenia 3 16 2" xfId="3895"/>
    <cellStyle name="Obliczenia 3 16 3" xfId="5793"/>
    <cellStyle name="Obliczenia 3 17" xfId="1540"/>
    <cellStyle name="Obliczenia 3 17 2" xfId="3896"/>
    <cellStyle name="Obliczenia 3 17 3" xfId="5794"/>
    <cellStyle name="Obliczenia 3 18" xfId="1541"/>
    <cellStyle name="Obliczenia 3 18 2" xfId="3897"/>
    <cellStyle name="Obliczenia 3 18 3" xfId="5795"/>
    <cellStyle name="Obliczenia 3 19" xfId="1542"/>
    <cellStyle name="Obliczenia 3 19 2" xfId="3898"/>
    <cellStyle name="Obliczenia 3 19 3" xfId="5796"/>
    <cellStyle name="Obliczenia 3 2" xfId="1543"/>
    <cellStyle name="Obliczenia 3 2 2" xfId="3899"/>
    <cellStyle name="Obliczenia 3 2 3" xfId="5797"/>
    <cellStyle name="Obliczenia 3 20" xfId="1544"/>
    <cellStyle name="Obliczenia 3 20 2" xfId="3900"/>
    <cellStyle name="Obliczenia 3 20 3" xfId="5798"/>
    <cellStyle name="Obliczenia 3 21" xfId="1545"/>
    <cellStyle name="Obliczenia 3 21 2" xfId="3901"/>
    <cellStyle name="Obliczenia 3 21 3" xfId="5799"/>
    <cellStyle name="Obliczenia 3 22" xfId="1546"/>
    <cellStyle name="Obliczenia 3 22 2" xfId="3902"/>
    <cellStyle name="Obliczenia 3 22 3" xfId="5800"/>
    <cellStyle name="Obliczenia 3 23" xfId="1547"/>
    <cellStyle name="Obliczenia 3 23 2" xfId="3903"/>
    <cellStyle name="Obliczenia 3 23 3" xfId="5801"/>
    <cellStyle name="Obliczenia 3 24" xfId="3888"/>
    <cellStyle name="Obliczenia 3 25" xfId="5786"/>
    <cellStyle name="Obliczenia 3 3" xfId="1548"/>
    <cellStyle name="Obliczenia 3 3 2" xfId="3904"/>
    <cellStyle name="Obliczenia 3 3 3" xfId="5802"/>
    <cellStyle name="Obliczenia 3 4" xfId="1549"/>
    <cellStyle name="Obliczenia 3 4 2" xfId="3905"/>
    <cellStyle name="Obliczenia 3 4 3" xfId="5803"/>
    <cellStyle name="Obliczenia 3 5" xfId="1550"/>
    <cellStyle name="Obliczenia 3 5 2" xfId="3906"/>
    <cellStyle name="Obliczenia 3 5 3" xfId="5804"/>
    <cellStyle name="Obliczenia 3 6" xfId="1551"/>
    <cellStyle name="Obliczenia 3 6 2" xfId="3907"/>
    <cellStyle name="Obliczenia 3 6 3" xfId="5805"/>
    <cellStyle name="Obliczenia 3 7" xfId="1552"/>
    <cellStyle name="Obliczenia 3 7 2" xfId="3908"/>
    <cellStyle name="Obliczenia 3 7 3" xfId="5806"/>
    <cellStyle name="Obliczenia 3 8" xfId="1553"/>
    <cellStyle name="Obliczenia 3 8 2" xfId="3909"/>
    <cellStyle name="Obliczenia 3 8 3" xfId="5807"/>
    <cellStyle name="Obliczenia 3 9" xfId="1554"/>
    <cellStyle name="Obliczenia 3 9 2" xfId="3910"/>
    <cellStyle name="Obliczenia 3 9 3" xfId="5808"/>
    <cellStyle name="Obliczenia 4" xfId="1555"/>
    <cellStyle name="Obliczenia 4 2" xfId="3911"/>
    <cellStyle name="Obliczenia 4 3" xfId="5809"/>
    <cellStyle name="Obliczenia 5" xfId="1556"/>
    <cellStyle name="Obliczenia 5 2" xfId="3912"/>
    <cellStyle name="Obliczenia 5 3" xfId="5810"/>
    <cellStyle name="Obliczenia 6" xfId="1557"/>
    <cellStyle name="Obliczenia 6 2" xfId="3913"/>
    <cellStyle name="Obliczenia 6 3" xfId="5811"/>
    <cellStyle name="Obliczenia 7" xfId="1558"/>
    <cellStyle name="Obliczenia 7 2" xfId="3914"/>
    <cellStyle name="Obliczenia 7 3" xfId="5812"/>
    <cellStyle name="Obliczenia 8" xfId="1559"/>
    <cellStyle name="Obliczenia 8 2" xfId="3915"/>
    <cellStyle name="Obliczenia 8 3" xfId="5813"/>
    <cellStyle name="Obliczenia 9" xfId="1560"/>
    <cellStyle name="Obliczenia 9 2" xfId="3916"/>
    <cellStyle name="Obliczenia 9 3" xfId="5814"/>
    <cellStyle name="Output" xfId="47" builtinId="21" customBuiltin="1"/>
    <cellStyle name="Output 2" xfId="1561"/>
    <cellStyle name="Output 2 10" xfId="1562"/>
    <cellStyle name="Output 2 10 10" xfId="1563"/>
    <cellStyle name="Output 2 10 10 2" xfId="3919"/>
    <cellStyle name="Output 2 10 10 3" xfId="5817"/>
    <cellStyle name="Output 2 10 11" xfId="1564"/>
    <cellStyle name="Output 2 10 11 2" xfId="3920"/>
    <cellStyle name="Output 2 10 11 3" xfId="5818"/>
    <cellStyle name="Output 2 10 12" xfId="1565"/>
    <cellStyle name="Output 2 10 12 2" xfId="3921"/>
    <cellStyle name="Output 2 10 12 3" xfId="5819"/>
    <cellStyle name="Output 2 10 13" xfId="1566"/>
    <cellStyle name="Output 2 10 13 2" xfId="3922"/>
    <cellStyle name="Output 2 10 13 3" xfId="5820"/>
    <cellStyle name="Output 2 10 14" xfId="1567"/>
    <cellStyle name="Output 2 10 14 2" xfId="3923"/>
    <cellStyle name="Output 2 10 14 3" xfId="5821"/>
    <cellStyle name="Output 2 10 15" xfId="1568"/>
    <cellStyle name="Output 2 10 15 2" xfId="3924"/>
    <cellStyle name="Output 2 10 15 3" xfId="5822"/>
    <cellStyle name="Output 2 10 16" xfId="1569"/>
    <cellStyle name="Output 2 10 16 2" xfId="3925"/>
    <cellStyle name="Output 2 10 16 3" xfId="5823"/>
    <cellStyle name="Output 2 10 17" xfId="1570"/>
    <cellStyle name="Output 2 10 17 2" xfId="3926"/>
    <cellStyle name="Output 2 10 17 3" xfId="5824"/>
    <cellStyle name="Output 2 10 18" xfId="1571"/>
    <cellStyle name="Output 2 10 18 2" xfId="3927"/>
    <cellStyle name="Output 2 10 18 3" xfId="5825"/>
    <cellStyle name="Output 2 10 19" xfId="1572"/>
    <cellStyle name="Output 2 10 19 2" xfId="3928"/>
    <cellStyle name="Output 2 10 19 3" xfId="5826"/>
    <cellStyle name="Output 2 10 2" xfId="1573"/>
    <cellStyle name="Output 2 10 2 2" xfId="3929"/>
    <cellStyle name="Output 2 10 2 3" xfId="5827"/>
    <cellStyle name="Output 2 10 20" xfId="1574"/>
    <cellStyle name="Output 2 10 20 2" xfId="3930"/>
    <cellStyle name="Output 2 10 20 3" xfId="5828"/>
    <cellStyle name="Output 2 10 21" xfId="1575"/>
    <cellStyle name="Output 2 10 21 2" xfId="3931"/>
    <cellStyle name="Output 2 10 21 3" xfId="5829"/>
    <cellStyle name="Output 2 10 22" xfId="1576"/>
    <cellStyle name="Output 2 10 22 2" xfId="3932"/>
    <cellStyle name="Output 2 10 22 3" xfId="5830"/>
    <cellStyle name="Output 2 10 23" xfId="1577"/>
    <cellStyle name="Output 2 10 23 2" xfId="3933"/>
    <cellStyle name="Output 2 10 23 3" xfId="5831"/>
    <cellStyle name="Output 2 10 24" xfId="3918"/>
    <cellStyle name="Output 2 10 25" xfId="5816"/>
    <cellStyle name="Output 2 10 3" xfId="1578"/>
    <cellStyle name="Output 2 10 3 2" xfId="3934"/>
    <cellStyle name="Output 2 10 3 3" xfId="5832"/>
    <cellStyle name="Output 2 10 4" xfId="1579"/>
    <cellStyle name="Output 2 10 4 2" xfId="3935"/>
    <cellStyle name="Output 2 10 4 3" xfId="5833"/>
    <cellStyle name="Output 2 10 5" xfId="1580"/>
    <cellStyle name="Output 2 10 5 2" xfId="3936"/>
    <cellStyle name="Output 2 10 5 3" xfId="5834"/>
    <cellStyle name="Output 2 10 6" xfId="1581"/>
    <cellStyle name="Output 2 10 6 2" xfId="3937"/>
    <cellStyle name="Output 2 10 6 3" xfId="5835"/>
    <cellStyle name="Output 2 10 7" xfId="1582"/>
    <cellStyle name="Output 2 10 7 2" xfId="3938"/>
    <cellStyle name="Output 2 10 7 3" xfId="5836"/>
    <cellStyle name="Output 2 10 8" xfId="1583"/>
    <cellStyle name="Output 2 10 8 2" xfId="3939"/>
    <cellStyle name="Output 2 10 8 3" xfId="5837"/>
    <cellStyle name="Output 2 10 9" xfId="1584"/>
    <cellStyle name="Output 2 10 9 2" xfId="3940"/>
    <cellStyle name="Output 2 10 9 3" xfId="5838"/>
    <cellStyle name="Output 2 11" xfId="1585"/>
    <cellStyle name="Output 2 11 10" xfId="1586"/>
    <cellStyle name="Output 2 11 10 2" xfId="3942"/>
    <cellStyle name="Output 2 11 10 3" xfId="5840"/>
    <cellStyle name="Output 2 11 11" xfId="1587"/>
    <cellStyle name="Output 2 11 11 2" xfId="3943"/>
    <cellStyle name="Output 2 11 11 3" xfId="5841"/>
    <cellStyle name="Output 2 11 12" xfId="1588"/>
    <cellStyle name="Output 2 11 12 2" xfId="3944"/>
    <cellStyle name="Output 2 11 12 3" xfId="5842"/>
    <cellStyle name="Output 2 11 13" xfId="1589"/>
    <cellStyle name="Output 2 11 13 2" xfId="3945"/>
    <cellStyle name="Output 2 11 13 3" xfId="5843"/>
    <cellStyle name="Output 2 11 14" xfId="1590"/>
    <cellStyle name="Output 2 11 14 2" xfId="3946"/>
    <cellStyle name="Output 2 11 14 3" xfId="5844"/>
    <cellStyle name="Output 2 11 15" xfId="1591"/>
    <cellStyle name="Output 2 11 15 2" xfId="3947"/>
    <cellStyle name="Output 2 11 15 3" xfId="5845"/>
    <cellStyle name="Output 2 11 16" xfId="1592"/>
    <cellStyle name="Output 2 11 16 2" xfId="3948"/>
    <cellStyle name="Output 2 11 16 3" xfId="5846"/>
    <cellStyle name="Output 2 11 17" xfId="1593"/>
    <cellStyle name="Output 2 11 17 2" xfId="3949"/>
    <cellStyle name="Output 2 11 17 3" xfId="5847"/>
    <cellStyle name="Output 2 11 18" xfId="1594"/>
    <cellStyle name="Output 2 11 18 2" xfId="3950"/>
    <cellStyle name="Output 2 11 18 3" xfId="5848"/>
    <cellStyle name="Output 2 11 19" xfId="1595"/>
    <cellStyle name="Output 2 11 19 2" xfId="3951"/>
    <cellStyle name="Output 2 11 19 3" xfId="5849"/>
    <cellStyle name="Output 2 11 2" xfId="1596"/>
    <cellStyle name="Output 2 11 2 2" xfId="3952"/>
    <cellStyle name="Output 2 11 2 3" xfId="5850"/>
    <cellStyle name="Output 2 11 20" xfId="1597"/>
    <cellStyle name="Output 2 11 20 2" xfId="3953"/>
    <cellStyle name="Output 2 11 20 3" xfId="5851"/>
    <cellStyle name="Output 2 11 21" xfId="1598"/>
    <cellStyle name="Output 2 11 21 2" xfId="3954"/>
    <cellStyle name="Output 2 11 21 3" xfId="5852"/>
    <cellStyle name="Output 2 11 22" xfId="1599"/>
    <cellStyle name="Output 2 11 22 2" xfId="3955"/>
    <cellStyle name="Output 2 11 22 3" xfId="5853"/>
    <cellStyle name="Output 2 11 23" xfId="1600"/>
    <cellStyle name="Output 2 11 23 2" xfId="3956"/>
    <cellStyle name="Output 2 11 23 3" xfId="5854"/>
    <cellStyle name="Output 2 11 24" xfId="3941"/>
    <cellStyle name="Output 2 11 25" xfId="5839"/>
    <cellStyle name="Output 2 11 3" xfId="1601"/>
    <cellStyle name="Output 2 11 3 2" xfId="3957"/>
    <cellStyle name="Output 2 11 3 3" xfId="5855"/>
    <cellStyle name="Output 2 11 4" xfId="1602"/>
    <cellStyle name="Output 2 11 4 2" xfId="3958"/>
    <cellStyle name="Output 2 11 4 3" xfId="5856"/>
    <cellStyle name="Output 2 11 5" xfId="1603"/>
    <cellStyle name="Output 2 11 5 2" xfId="3959"/>
    <cellStyle name="Output 2 11 5 3" xfId="5857"/>
    <cellStyle name="Output 2 11 6" xfId="1604"/>
    <cellStyle name="Output 2 11 6 2" xfId="3960"/>
    <cellStyle name="Output 2 11 6 3" xfId="5858"/>
    <cellStyle name="Output 2 11 7" xfId="1605"/>
    <cellStyle name="Output 2 11 7 2" xfId="3961"/>
    <cellStyle name="Output 2 11 7 3" xfId="5859"/>
    <cellStyle name="Output 2 11 8" xfId="1606"/>
    <cellStyle name="Output 2 11 8 2" xfId="3962"/>
    <cellStyle name="Output 2 11 8 3" xfId="5860"/>
    <cellStyle name="Output 2 11 9" xfId="1607"/>
    <cellStyle name="Output 2 11 9 2" xfId="3963"/>
    <cellStyle name="Output 2 11 9 3" xfId="5861"/>
    <cellStyle name="Output 2 12" xfId="1608"/>
    <cellStyle name="Output 2 12 10" xfId="1609"/>
    <cellStyle name="Output 2 12 10 2" xfId="3965"/>
    <cellStyle name="Output 2 12 10 3" xfId="5863"/>
    <cellStyle name="Output 2 12 11" xfId="1610"/>
    <cellStyle name="Output 2 12 11 2" xfId="3966"/>
    <cellStyle name="Output 2 12 11 3" xfId="5864"/>
    <cellStyle name="Output 2 12 12" xfId="1611"/>
    <cellStyle name="Output 2 12 12 2" xfId="3967"/>
    <cellStyle name="Output 2 12 12 3" xfId="5865"/>
    <cellStyle name="Output 2 12 13" xfId="1612"/>
    <cellStyle name="Output 2 12 13 2" xfId="3968"/>
    <cellStyle name="Output 2 12 13 3" xfId="5866"/>
    <cellStyle name="Output 2 12 14" xfId="1613"/>
    <cellStyle name="Output 2 12 14 2" xfId="3969"/>
    <cellStyle name="Output 2 12 14 3" xfId="5867"/>
    <cellStyle name="Output 2 12 15" xfId="1614"/>
    <cellStyle name="Output 2 12 15 2" xfId="3970"/>
    <cellStyle name="Output 2 12 15 3" xfId="5868"/>
    <cellStyle name="Output 2 12 16" xfId="1615"/>
    <cellStyle name="Output 2 12 16 2" xfId="3971"/>
    <cellStyle name="Output 2 12 16 3" xfId="5869"/>
    <cellStyle name="Output 2 12 17" xfId="1616"/>
    <cellStyle name="Output 2 12 17 2" xfId="3972"/>
    <cellStyle name="Output 2 12 17 3" xfId="5870"/>
    <cellStyle name="Output 2 12 18" xfId="1617"/>
    <cellStyle name="Output 2 12 18 2" xfId="3973"/>
    <cellStyle name="Output 2 12 18 3" xfId="5871"/>
    <cellStyle name="Output 2 12 19" xfId="1618"/>
    <cellStyle name="Output 2 12 19 2" xfId="3974"/>
    <cellStyle name="Output 2 12 19 3" xfId="5872"/>
    <cellStyle name="Output 2 12 2" xfId="1619"/>
    <cellStyle name="Output 2 12 2 2" xfId="3975"/>
    <cellStyle name="Output 2 12 2 3" xfId="5873"/>
    <cellStyle name="Output 2 12 20" xfId="1620"/>
    <cellStyle name="Output 2 12 20 2" xfId="3976"/>
    <cellStyle name="Output 2 12 20 3" xfId="5874"/>
    <cellStyle name="Output 2 12 21" xfId="1621"/>
    <cellStyle name="Output 2 12 21 2" xfId="3977"/>
    <cellStyle name="Output 2 12 21 3" xfId="5875"/>
    <cellStyle name="Output 2 12 22" xfId="1622"/>
    <cellStyle name="Output 2 12 22 2" xfId="3978"/>
    <cellStyle name="Output 2 12 22 3" xfId="5876"/>
    <cellStyle name="Output 2 12 23" xfId="1623"/>
    <cellStyle name="Output 2 12 23 2" xfId="3979"/>
    <cellStyle name="Output 2 12 23 3" xfId="5877"/>
    <cellStyle name="Output 2 12 24" xfId="3964"/>
    <cellStyle name="Output 2 12 25" xfId="5862"/>
    <cellStyle name="Output 2 12 3" xfId="1624"/>
    <cellStyle name="Output 2 12 3 2" xfId="3980"/>
    <cellStyle name="Output 2 12 3 3" xfId="5878"/>
    <cellStyle name="Output 2 12 4" xfId="1625"/>
    <cellStyle name="Output 2 12 4 2" xfId="3981"/>
    <cellStyle name="Output 2 12 4 3" xfId="5879"/>
    <cellStyle name="Output 2 12 5" xfId="1626"/>
    <cellStyle name="Output 2 12 5 2" xfId="3982"/>
    <cellStyle name="Output 2 12 5 3" xfId="5880"/>
    <cellStyle name="Output 2 12 6" xfId="1627"/>
    <cellStyle name="Output 2 12 6 2" xfId="3983"/>
    <cellStyle name="Output 2 12 6 3" xfId="5881"/>
    <cellStyle name="Output 2 12 7" xfId="1628"/>
    <cellStyle name="Output 2 12 7 2" xfId="3984"/>
    <cellStyle name="Output 2 12 7 3" xfId="5882"/>
    <cellStyle name="Output 2 12 8" xfId="1629"/>
    <cellStyle name="Output 2 12 8 2" xfId="3985"/>
    <cellStyle name="Output 2 12 8 3" xfId="5883"/>
    <cellStyle name="Output 2 12 9" xfId="1630"/>
    <cellStyle name="Output 2 12 9 2" xfId="3986"/>
    <cellStyle name="Output 2 12 9 3" xfId="5884"/>
    <cellStyle name="Output 2 13" xfId="1631"/>
    <cellStyle name="Output 2 13 10" xfId="1632"/>
    <cellStyle name="Output 2 13 10 2" xfId="3988"/>
    <cellStyle name="Output 2 13 10 3" xfId="5886"/>
    <cellStyle name="Output 2 13 11" xfId="1633"/>
    <cellStyle name="Output 2 13 11 2" xfId="3989"/>
    <cellStyle name="Output 2 13 11 3" xfId="5887"/>
    <cellStyle name="Output 2 13 12" xfId="1634"/>
    <cellStyle name="Output 2 13 12 2" xfId="3990"/>
    <cellStyle name="Output 2 13 12 3" xfId="5888"/>
    <cellStyle name="Output 2 13 13" xfId="1635"/>
    <cellStyle name="Output 2 13 13 2" xfId="3991"/>
    <cellStyle name="Output 2 13 13 3" xfId="5889"/>
    <cellStyle name="Output 2 13 14" xfId="1636"/>
    <cellStyle name="Output 2 13 14 2" xfId="3992"/>
    <cellStyle name="Output 2 13 14 3" xfId="5890"/>
    <cellStyle name="Output 2 13 15" xfId="1637"/>
    <cellStyle name="Output 2 13 15 2" xfId="3993"/>
    <cellStyle name="Output 2 13 15 3" xfId="5891"/>
    <cellStyle name="Output 2 13 16" xfId="1638"/>
    <cellStyle name="Output 2 13 16 2" xfId="3994"/>
    <cellStyle name="Output 2 13 16 3" xfId="5892"/>
    <cellStyle name="Output 2 13 17" xfId="1639"/>
    <cellStyle name="Output 2 13 17 2" xfId="3995"/>
    <cellStyle name="Output 2 13 17 3" xfId="5893"/>
    <cellStyle name="Output 2 13 18" xfId="1640"/>
    <cellStyle name="Output 2 13 18 2" xfId="3996"/>
    <cellStyle name="Output 2 13 18 3" xfId="5894"/>
    <cellStyle name="Output 2 13 19" xfId="1641"/>
    <cellStyle name="Output 2 13 19 2" xfId="3997"/>
    <cellStyle name="Output 2 13 19 3" xfId="5895"/>
    <cellStyle name="Output 2 13 2" xfId="1642"/>
    <cellStyle name="Output 2 13 2 2" xfId="3998"/>
    <cellStyle name="Output 2 13 2 3" xfId="5896"/>
    <cellStyle name="Output 2 13 20" xfId="1643"/>
    <cellStyle name="Output 2 13 20 2" xfId="3999"/>
    <cellStyle name="Output 2 13 20 3" xfId="5897"/>
    <cellStyle name="Output 2 13 21" xfId="1644"/>
    <cellStyle name="Output 2 13 21 2" xfId="4000"/>
    <cellStyle name="Output 2 13 21 3" xfId="5898"/>
    <cellStyle name="Output 2 13 22" xfId="1645"/>
    <cellStyle name="Output 2 13 22 2" xfId="4001"/>
    <cellStyle name="Output 2 13 22 3" xfId="5899"/>
    <cellStyle name="Output 2 13 23" xfId="1646"/>
    <cellStyle name="Output 2 13 23 2" xfId="4002"/>
    <cellStyle name="Output 2 13 23 3" xfId="5900"/>
    <cellStyle name="Output 2 13 24" xfId="3987"/>
    <cellStyle name="Output 2 13 25" xfId="5885"/>
    <cellStyle name="Output 2 13 3" xfId="1647"/>
    <cellStyle name="Output 2 13 3 2" xfId="4003"/>
    <cellStyle name="Output 2 13 3 3" xfId="5901"/>
    <cellStyle name="Output 2 13 4" xfId="1648"/>
    <cellStyle name="Output 2 13 4 2" xfId="4004"/>
    <cellStyle name="Output 2 13 4 3" xfId="5902"/>
    <cellStyle name="Output 2 13 5" xfId="1649"/>
    <cellStyle name="Output 2 13 5 2" xfId="4005"/>
    <cellStyle name="Output 2 13 5 3" xfId="5903"/>
    <cellStyle name="Output 2 13 6" xfId="1650"/>
    <cellStyle name="Output 2 13 6 2" xfId="4006"/>
    <cellStyle name="Output 2 13 6 3" xfId="5904"/>
    <cellStyle name="Output 2 13 7" xfId="1651"/>
    <cellStyle name="Output 2 13 7 2" xfId="4007"/>
    <cellStyle name="Output 2 13 7 3" xfId="5905"/>
    <cellStyle name="Output 2 13 8" xfId="1652"/>
    <cellStyle name="Output 2 13 8 2" xfId="4008"/>
    <cellStyle name="Output 2 13 8 3" xfId="5906"/>
    <cellStyle name="Output 2 13 9" xfId="1653"/>
    <cellStyle name="Output 2 13 9 2" xfId="4009"/>
    <cellStyle name="Output 2 13 9 3" xfId="5907"/>
    <cellStyle name="Output 2 14" xfId="1654"/>
    <cellStyle name="Output 2 14 10" xfId="1655"/>
    <cellStyle name="Output 2 14 10 2" xfId="4011"/>
    <cellStyle name="Output 2 14 10 3" xfId="5909"/>
    <cellStyle name="Output 2 14 11" xfId="1656"/>
    <cellStyle name="Output 2 14 11 2" xfId="4012"/>
    <cellStyle name="Output 2 14 11 3" xfId="5910"/>
    <cellStyle name="Output 2 14 12" xfId="1657"/>
    <cellStyle name="Output 2 14 12 2" xfId="4013"/>
    <cellStyle name="Output 2 14 12 3" xfId="5911"/>
    <cellStyle name="Output 2 14 13" xfId="1658"/>
    <cellStyle name="Output 2 14 13 2" xfId="4014"/>
    <cellStyle name="Output 2 14 13 3" xfId="5912"/>
    <cellStyle name="Output 2 14 14" xfId="1659"/>
    <cellStyle name="Output 2 14 14 2" xfId="4015"/>
    <cellStyle name="Output 2 14 14 3" xfId="5913"/>
    <cellStyle name="Output 2 14 15" xfId="1660"/>
    <cellStyle name="Output 2 14 15 2" xfId="4016"/>
    <cellStyle name="Output 2 14 15 3" xfId="5914"/>
    <cellStyle name="Output 2 14 16" xfId="1661"/>
    <cellStyle name="Output 2 14 16 2" xfId="4017"/>
    <cellStyle name="Output 2 14 16 3" xfId="5915"/>
    <cellStyle name="Output 2 14 17" xfId="1662"/>
    <cellStyle name="Output 2 14 17 2" xfId="4018"/>
    <cellStyle name="Output 2 14 17 3" xfId="5916"/>
    <cellStyle name="Output 2 14 18" xfId="1663"/>
    <cellStyle name="Output 2 14 18 2" xfId="4019"/>
    <cellStyle name="Output 2 14 18 3" xfId="5917"/>
    <cellStyle name="Output 2 14 19" xfId="1664"/>
    <cellStyle name="Output 2 14 19 2" xfId="4020"/>
    <cellStyle name="Output 2 14 19 3" xfId="5918"/>
    <cellStyle name="Output 2 14 2" xfId="1665"/>
    <cellStyle name="Output 2 14 2 2" xfId="4021"/>
    <cellStyle name="Output 2 14 2 3" xfId="5919"/>
    <cellStyle name="Output 2 14 20" xfId="1666"/>
    <cellStyle name="Output 2 14 20 2" xfId="4022"/>
    <cellStyle name="Output 2 14 20 3" xfId="5920"/>
    <cellStyle name="Output 2 14 21" xfId="1667"/>
    <cellStyle name="Output 2 14 21 2" xfId="4023"/>
    <cellStyle name="Output 2 14 21 3" xfId="5921"/>
    <cellStyle name="Output 2 14 22" xfId="1668"/>
    <cellStyle name="Output 2 14 22 2" xfId="4024"/>
    <cellStyle name="Output 2 14 22 3" xfId="5922"/>
    <cellStyle name="Output 2 14 23" xfId="1669"/>
    <cellStyle name="Output 2 14 23 2" xfId="4025"/>
    <cellStyle name="Output 2 14 23 3" xfId="5923"/>
    <cellStyle name="Output 2 14 24" xfId="4010"/>
    <cellStyle name="Output 2 14 25" xfId="5908"/>
    <cellStyle name="Output 2 14 3" xfId="1670"/>
    <cellStyle name="Output 2 14 3 2" xfId="4026"/>
    <cellStyle name="Output 2 14 3 3" xfId="5924"/>
    <cellStyle name="Output 2 14 4" xfId="1671"/>
    <cellStyle name="Output 2 14 4 2" xfId="4027"/>
    <cellStyle name="Output 2 14 4 3" xfId="5925"/>
    <cellStyle name="Output 2 14 5" xfId="1672"/>
    <cellStyle name="Output 2 14 5 2" xfId="4028"/>
    <cellStyle name="Output 2 14 5 3" xfId="5926"/>
    <cellStyle name="Output 2 14 6" xfId="1673"/>
    <cellStyle name="Output 2 14 6 2" xfId="4029"/>
    <cellStyle name="Output 2 14 6 3" xfId="5927"/>
    <cellStyle name="Output 2 14 7" xfId="1674"/>
    <cellStyle name="Output 2 14 7 2" xfId="4030"/>
    <cellStyle name="Output 2 14 7 3" xfId="5928"/>
    <cellStyle name="Output 2 14 8" xfId="1675"/>
    <cellStyle name="Output 2 14 8 2" xfId="4031"/>
    <cellStyle name="Output 2 14 8 3" xfId="5929"/>
    <cellStyle name="Output 2 14 9" xfId="1676"/>
    <cellStyle name="Output 2 14 9 2" xfId="4032"/>
    <cellStyle name="Output 2 14 9 3" xfId="5930"/>
    <cellStyle name="Output 2 15" xfId="1677"/>
    <cellStyle name="Output 2 15 10" xfId="1678"/>
    <cellStyle name="Output 2 15 10 2" xfId="4034"/>
    <cellStyle name="Output 2 15 10 3" xfId="5932"/>
    <cellStyle name="Output 2 15 11" xfId="1679"/>
    <cellStyle name="Output 2 15 11 2" xfId="4035"/>
    <cellStyle name="Output 2 15 11 3" xfId="5933"/>
    <cellStyle name="Output 2 15 12" xfId="1680"/>
    <cellStyle name="Output 2 15 12 2" xfId="4036"/>
    <cellStyle name="Output 2 15 12 3" xfId="5934"/>
    <cellStyle name="Output 2 15 13" xfId="1681"/>
    <cellStyle name="Output 2 15 13 2" xfId="4037"/>
    <cellStyle name="Output 2 15 13 3" xfId="5935"/>
    <cellStyle name="Output 2 15 14" xfId="1682"/>
    <cellStyle name="Output 2 15 14 2" xfId="4038"/>
    <cellStyle name="Output 2 15 14 3" xfId="5936"/>
    <cellStyle name="Output 2 15 15" xfId="1683"/>
    <cellStyle name="Output 2 15 15 2" xfId="4039"/>
    <cellStyle name="Output 2 15 15 3" xfId="5937"/>
    <cellStyle name="Output 2 15 16" xfId="1684"/>
    <cellStyle name="Output 2 15 16 2" xfId="4040"/>
    <cellStyle name="Output 2 15 16 3" xfId="5938"/>
    <cellStyle name="Output 2 15 17" xfId="1685"/>
    <cellStyle name="Output 2 15 17 2" xfId="4041"/>
    <cellStyle name="Output 2 15 17 3" xfId="5939"/>
    <cellStyle name="Output 2 15 18" xfId="1686"/>
    <cellStyle name="Output 2 15 18 2" xfId="4042"/>
    <cellStyle name="Output 2 15 18 3" xfId="5940"/>
    <cellStyle name="Output 2 15 19" xfId="1687"/>
    <cellStyle name="Output 2 15 19 2" xfId="4043"/>
    <cellStyle name="Output 2 15 19 3" xfId="5941"/>
    <cellStyle name="Output 2 15 2" xfId="1688"/>
    <cellStyle name="Output 2 15 2 2" xfId="4044"/>
    <cellStyle name="Output 2 15 2 3" xfId="5942"/>
    <cellStyle name="Output 2 15 20" xfId="1689"/>
    <cellStyle name="Output 2 15 20 2" xfId="4045"/>
    <cellStyle name="Output 2 15 20 3" xfId="5943"/>
    <cellStyle name="Output 2 15 21" xfId="1690"/>
    <cellStyle name="Output 2 15 21 2" xfId="4046"/>
    <cellStyle name="Output 2 15 21 3" xfId="5944"/>
    <cellStyle name="Output 2 15 22" xfId="1691"/>
    <cellStyle name="Output 2 15 22 2" xfId="4047"/>
    <cellStyle name="Output 2 15 22 3" xfId="5945"/>
    <cellStyle name="Output 2 15 23" xfId="1692"/>
    <cellStyle name="Output 2 15 23 2" xfId="4048"/>
    <cellStyle name="Output 2 15 23 3" xfId="5946"/>
    <cellStyle name="Output 2 15 24" xfId="4033"/>
    <cellStyle name="Output 2 15 25" xfId="5931"/>
    <cellStyle name="Output 2 15 3" xfId="1693"/>
    <cellStyle name="Output 2 15 3 2" xfId="4049"/>
    <cellStyle name="Output 2 15 3 3" xfId="5947"/>
    <cellStyle name="Output 2 15 4" xfId="1694"/>
    <cellStyle name="Output 2 15 4 2" xfId="4050"/>
    <cellStyle name="Output 2 15 4 3" xfId="5948"/>
    <cellStyle name="Output 2 15 5" xfId="1695"/>
    <cellStyle name="Output 2 15 5 2" xfId="4051"/>
    <cellStyle name="Output 2 15 5 3" xfId="5949"/>
    <cellStyle name="Output 2 15 6" xfId="1696"/>
    <cellStyle name="Output 2 15 6 2" xfId="4052"/>
    <cellStyle name="Output 2 15 6 3" xfId="5950"/>
    <cellStyle name="Output 2 15 7" xfId="1697"/>
    <cellStyle name="Output 2 15 7 2" xfId="4053"/>
    <cellStyle name="Output 2 15 7 3" xfId="5951"/>
    <cellStyle name="Output 2 15 8" xfId="1698"/>
    <cellStyle name="Output 2 15 8 2" xfId="4054"/>
    <cellStyle name="Output 2 15 8 3" xfId="5952"/>
    <cellStyle name="Output 2 15 9" xfId="1699"/>
    <cellStyle name="Output 2 15 9 2" xfId="4055"/>
    <cellStyle name="Output 2 15 9 3" xfId="5953"/>
    <cellStyle name="Output 2 16" xfId="1700"/>
    <cellStyle name="Output 2 16 2" xfId="4056"/>
    <cellStyle name="Output 2 16 3" xfId="5954"/>
    <cellStyle name="Output 2 17" xfId="1701"/>
    <cellStyle name="Output 2 17 2" xfId="4057"/>
    <cellStyle name="Output 2 17 3" xfId="5955"/>
    <cellStyle name="Output 2 18" xfId="1702"/>
    <cellStyle name="Output 2 18 2" xfId="4058"/>
    <cellStyle name="Output 2 18 3" xfId="5956"/>
    <cellStyle name="Output 2 19" xfId="1703"/>
    <cellStyle name="Output 2 19 2" xfId="4059"/>
    <cellStyle name="Output 2 19 3" xfId="5957"/>
    <cellStyle name="Output 2 2" xfId="1704"/>
    <cellStyle name="Output 2 2 10" xfId="1705"/>
    <cellStyle name="Output 2 2 10 2" xfId="4061"/>
    <cellStyle name="Output 2 2 10 3" xfId="5959"/>
    <cellStyle name="Output 2 2 11" xfId="1706"/>
    <cellStyle name="Output 2 2 11 2" xfId="4062"/>
    <cellStyle name="Output 2 2 11 3" xfId="5960"/>
    <cellStyle name="Output 2 2 12" xfId="1707"/>
    <cellStyle name="Output 2 2 12 2" xfId="4063"/>
    <cellStyle name="Output 2 2 12 3" xfId="5961"/>
    <cellStyle name="Output 2 2 13" xfId="1708"/>
    <cellStyle name="Output 2 2 13 2" xfId="4064"/>
    <cellStyle name="Output 2 2 13 3" xfId="5962"/>
    <cellStyle name="Output 2 2 14" xfId="1709"/>
    <cellStyle name="Output 2 2 14 2" xfId="4065"/>
    <cellStyle name="Output 2 2 14 3" xfId="5963"/>
    <cellStyle name="Output 2 2 15" xfId="1710"/>
    <cellStyle name="Output 2 2 15 2" xfId="4066"/>
    <cellStyle name="Output 2 2 15 3" xfId="5964"/>
    <cellStyle name="Output 2 2 16" xfId="1711"/>
    <cellStyle name="Output 2 2 16 2" xfId="4067"/>
    <cellStyle name="Output 2 2 16 3" xfId="5965"/>
    <cellStyle name="Output 2 2 17" xfId="1712"/>
    <cellStyle name="Output 2 2 17 2" xfId="4068"/>
    <cellStyle name="Output 2 2 17 3" xfId="5966"/>
    <cellStyle name="Output 2 2 18" xfId="1713"/>
    <cellStyle name="Output 2 2 18 2" xfId="4069"/>
    <cellStyle name="Output 2 2 18 3" xfId="5967"/>
    <cellStyle name="Output 2 2 19" xfId="1714"/>
    <cellStyle name="Output 2 2 19 2" xfId="4070"/>
    <cellStyle name="Output 2 2 19 3" xfId="5968"/>
    <cellStyle name="Output 2 2 2" xfId="1715"/>
    <cellStyle name="Output 2 2 2 2" xfId="4071"/>
    <cellStyle name="Output 2 2 2 3" xfId="5969"/>
    <cellStyle name="Output 2 2 20" xfId="1716"/>
    <cellStyle name="Output 2 2 20 2" xfId="4072"/>
    <cellStyle name="Output 2 2 20 3" xfId="5970"/>
    <cellStyle name="Output 2 2 21" xfId="1717"/>
    <cellStyle name="Output 2 2 21 2" xfId="4073"/>
    <cellStyle name="Output 2 2 21 3" xfId="5971"/>
    <cellStyle name="Output 2 2 22" xfId="1718"/>
    <cellStyle name="Output 2 2 22 2" xfId="4074"/>
    <cellStyle name="Output 2 2 22 3" xfId="5972"/>
    <cellStyle name="Output 2 2 23" xfId="1719"/>
    <cellStyle name="Output 2 2 23 2" xfId="4075"/>
    <cellStyle name="Output 2 2 23 3" xfId="5973"/>
    <cellStyle name="Output 2 2 24" xfId="4060"/>
    <cellStyle name="Output 2 2 25" xfId="5958"/>
    <cellStyle name="Output 2 2 3" xfId="1720"/>
    <cellStyle name="Output 2 2 3 2" xfId="4076"/>
    <cellStyle name="Output 2 2 3 3" xfId="5974"/>
    <cellStyle name="Output 2 2 4" xfId="1721"/>
    <cellStyle name="Output 2 2 4 2" xfId="4077"/>
    <cellStyle name="Output 2 2 4 3" xfId="5975"/>
    <cellStyle name="Output 2 2 5" xfId="1722"/>
    <cellStyle name="Output 2 2 5 2" xfId="4078"/>
    <cellStyle name="Output 2 2 5 3" xfId="5976"/>
    <cellStyle name="Output 2 2 6" xfId="1723"/>
    <cellStyle name="Output 2 2 6 2" xfId="4079"/>
    <cellStyle name="Output 2 2 6 3" xfId="5977"/>
    <cellStyle name="Output 2 2 7" xfId="1724"/>
    <cellStyle name="Output 2 2 7 2" xfId="4080"/>
    <cellStyle name="Output 2 2 7 3" xfId="5978"/>
    <cellStyle name="Output 2 2 8" xfId="1725"/>
    <cellStyle name="Output 2 2 8 2" xfId="4081"/>
    <cellStyle name="Output 2 2 8 3" xfId="5979"/>
    <cellStyle name="Output 2 2 9" xfId="1726"/>
    <cellStyle name="Output 2 2 9 2" xfId="4082"/>
    <cellStyle name="Output 2 2 9 3" xfId="5980"/>
    <cellStyle name="Output 2 20" xfId="1727"/>
    <cellStyle name="Output 2 20 2" xfId="4083"/>
    <cellStyle name="Output 2 20 3" xfId="5981"/>
    <cellStyle name="Output 2 21" xfId="1728"/>
    <cellStyle name="Output 2 21 2" xfId="4084"/>
    <cellStyle name="Output 2 21 3" xfId="5982"/>
    <cellStyle name="Output 2 22" xfId="1729"/>
    <cellStyle name="Output 2 22 2" xfId="4085"/>
    <cellStyle name="Output 2 22 3" xfId="5983"/>
    <cellStyle name="Output 2 23" xfId="1730"/>
    <cellStyle name="Output 2 23 2" xfId="4086"/>
    <cellStyle name="Output 2 23 3" xfId="5984"/>
    <cellStyle name="Output 2 24" xfId="1731"/>
    <cellStyle name="Output 2 24 2" xfId="4087"/>
    <cellStyle name="Output 2 24 3" xfId="5985"/>
    <cellStyle name="Output 2 25" xfId="1732"/>
    <cellStyle name="Output 2 25 2" xfId="4088"/>
    <cellStyle name="Output 2 25 3" xfId="5986"/>
    <cellStyle name="Output 2 26" xfId="1733"/>
    <cellStyle name="Output 2 26 2" xfId="4089"/>
    <cellStyle name="Output 2 26 3" xfId="5987"/>
    <cellStyle name="Output 2 27" xfId="1734"/>
    <cellStyle name="Output 2 27 2" xfId="4090"/>
    <cellStyle name="Output 2 27 3" xfId="5988"/>
    <cellStyle name="Output 2 28" xfId="1735"/>
    <cellStyle name="Output 2 28 2" xfId="4091"/>
    <cellStyle name="Output 2 28 3" xfId="5989"/>
    <cellStyle name="Output 2 29" xfId="1736"/>
    <cellStyle name="Output 2 29 2" xfId="4092"/>
    <cellStyle name="Output 2 29 3" xfId="5990"/>
    <cellStyle name="Output 2 3" xfId="1737"/>
    <cellStyle name="Output 2 3 10" xfId="1738"/>
    <cellStyle name="Output 2 3 10 2" xfId="4094"/>
    <cellStyle name="Output 2 3 10 3" xfId="5992"/>
    <cellStyle name="Output 2 3 11" xfId="1739"/>
    <cellStyle name="Output 2 3 11 2" xfId="4095"/>
    <cellStyle name="Output 2 3 11 3" xfId="5993"/>
    <cellStyle name="Output 2 3 12" xfId="1740"/>
    <cellStyle name="Output 2 3 12 2" xfId="4096"/>
    <cellStyle name="Output 2 3 12 3" xfId="5994"/>
    <cellStyle name="Output 2 3 13" xfId="1741"/>
    <cellStyle name="Output 2 3 13 2" xfId="4097"/>
    <cellStyle name="Output 2 3 13 3" xfId="5995"/>
    <cellStyle name="Output 2 3 14" xfId="1742"/>
    <cellStyle name="Output 2 3 14 2" xfId="4098"/>
    <cellStyle name="Output 2 3 14 3" xfId="5996"/>
    <cellStyle name="Output 2 3 15" xfId="1743"/>
    <cellStyle name="Output 2 3 15 2" xfId="4099"/>
    <cellStyle name="Output 2 3 15 3" xfId="5997"/>
    <cellStyle name="Output 2 3 16" xfId="1744"/>
    <cellStyle name="Output 2 3 16 2" xfId="4100"/>
    <cellStyle name="Output 2 3 16 3" xfId="5998"/>
    <cellStyle name="Output 2 3 17" xfId="1745"/>
    <cellStyle name="Output 2 3 17 2" xfId="4101"/>
    <cellStyle name="Output 2 3 17 3" xfId="5999"/>
    <cellStyle name="Output 2 3 18" xfId="1746"/>
    <cellStyle name="Output 2 3 18 2" xfId="4102"/>
    <cellStyle name="Output 2 3 18 3" xfId="6000"/>
    <cellStyle name="Output 2 3 19" xfId="1747"/>
    <cellStyle name="Output 2 3 19 2" xfId="4103"/>
    <cellStyle name="Output 2 3 19 3" xfId="6001"/>
    <cellStyle name="Output 2 3 2" xfId="1748"/>
    <cellStyle name="Output 2 3 2 2" xfId="4104"/>
    <cellStyle name="Output 2 3 2 3" xfId="6002"/>
    <cellStyle name="Output 2 3 20" xfId="1749"/>
    <cellStyle name="Output 2 3 20 2" xfId="4105"/>
    <cellStyle name="Output 2 3 20 3" xfId="6003"/>
    <cellStyle name="Output 2 3 21" xfId="1750"/>
    <cellStyle name="Output 2 3 21 2" xfId="4106"/>
    <cellStyle name="Output 2 3 21 3" xfId="6004"/>
    <cellStyle name="Output 2 3 22" xfId="1751"/>
    <cellStyle name="Output 2 3 22 2" xfId="4107"/>
    <cellStyle name="Output 2 3 22 3" xfId="6005"/>
    <cellStyle name="Output 2 3 23" xfId="1752"/>
    <cellStyle name="Output 2 3 23 2" xfId="4108"/>
    <cellStyle name="Output 2 3 23 3" xfId="6006"/>
    <cellStyle name="Output 2 3 24" xfId="4093"/>
    <cellStyle name="Output 2 3 25" xfId="5991"/>
    <cellStyle name="Output 2 3 3" xfId="1753"/>
    <cellStyle name="Output 2 3 3 2" xfId="4109"/>
    <cellStyle name="Output 2 3 3 3" xfId="6007"/>
    <cellStyle name="Output 2 3 4" xfId="1754"/>
    <cellStyle name="Output 2 3 4 2" xfId="4110"/>
    <cellStyle name="Output 2 3 4 3" xfId="6008"/>
    <cellStyle name="Output 2 3 5" xfId="1755"/>
    <cellStyle name="Output 2 3 5 2" xfId="4111"/>
    <cellStyle name="Output 2 3 5 3" xfId="6009"/>
    <cellStyle name="Output 2 3 6" xfId="1756"/>
    <cellStyle name="Output 2 3 6 2" xfId="4112"/>
    <cellStyle name="Output 2 3 6 3" xfId="6010"/>
    <cellStyle name="Output 2 3 7" xfId="1757"/>
    <cellStyle name="Output 2 3 7 2" xfId="4113"/>
    <cellStyle name="Output 2 3 7 3" xfId="6011"/>
    <cellStyle name="Output 2 3 8" xfId="1758"/>
    <cellStyle name="Output 2 3 8 2" xfId="4114"/>
    <cellStyle name="Output 2 3 8 3" xfId="6012"/>
    <cellStyle name="Output 2 3 9" xfId="1759"/>
    <cellStyle name="Output 2 3 9 2" xfId="4115"/>
    <cellStyle name="Output 2 3 9 3" xfId="6013"/>
    <cellStyle name="Output 2 30" xfId="1760"/>
    <cellStyle name="Output 2 30 2" xfId="4116"/>
    <cellStyle name="Output 2 30 3" xfId="6014"/>
    <cellStyle name="Output 2 31" xfId="1761"/>
    <cellStyle name="Output 2 31 2" xfId="4117"/>
    <cellStyle name="Output 2 31 3" xfId="6015"/>
    <cellStyle name="Output 2 32" xfId="1762"/>
    <cellStyle name="Output 2 32 2" xfId="4118"/>
    <cellStyle name="Output 2 32 3" xfId="6016"/>
    <cellStyle name="Output 2 33" xfId="1763"/>
    <cellStyle name="Output 2 33 2" xfId="4119"/>
    <cellStyle name="Output 2 33 3" xfId="6017"/>
    <cellStyle name="Output 2 34" xfId="1764"/>
    <cellStyle name="Output 2 34 2" xfId="4120"/>
    <cellStyle name="Output 2 34 3" xfId="6018"/>
    <cellStyle name="Output 2 35" xfId="1765"/>
    <cellStyle name="Output 2 35 2" xfId="4121"/>
    <cellStyle name="Output 2 35 3" xfId="6019"/>
    <cellStyle name="Output 2 36" xfId="1766"/>
    <cellStyle name="Output 2 36 2" xfId="4122"/>
    <cellStyle name="Output 2 36 3" xfId="6020"/>
    <cellStyle name="Output 2 37" xfId="1767"/>
    <cellStyle name="Output 2 37 2" xfId="4123"/>
    <cellStyle name="Output 2 37 3" xfId="6021"/>
    <cellStyle name="Output 2 38" xfId="3917"/>
    <cellStyle name="Output 2 39" xfId="5815"/>
    <cellStyle name="Output 2 4" xfId="1768"/>
    <cellStyle name="Output 2 4 10" xfId="1769"/>
    <cellStyle name="Output 2 4 10 2" xfId="4125"/>
    <cellStyle name="Output 2 4 10 3" xfId="6023"/>
    <cellStyle name="Output 2 4 11" xfId="1770"/>
    <cellStyle name="Output 2 4 11 2" xfId="4126"/>
    <cellStyle name="Output 2 4 11 3" xfId="6024"/>
    <cellStyle name="Output 2 4 12" xfId="1771"/>
    <cellStyle name="Output 2 4 12 2" xfId="4127"/>
    <cellStyle name="Output 2 4 12 3" xfId="6025"/>
    <cellStyle name="Output 2 4 13" xfId="1772"/>
    <cellStyle name="Output 2 4 13 2" xfId="4128"/>
    <cellStyle name="Output 2 4 13 3" xfId="6026"/>
    <cellStyle name="Output 2 4 14" xfId="1773"/>
    <cellStyle name="Output 2 4 14 2" xfId="4129"/>
    <cellStyle name="Output 2 4 14 3" xfId="6027"/>
    <cellStyle name="Output 2 4 15" xfId="1774"/>
    <cellStyle name="Output 2 4 15 2" xfId="4130"/>
    <cellStyle name="Output 2 4 15 3" xfId="6028"/>
    <cellStyle name="Output 2 4 16" xfId="1775"/>
    <cellStyle name="Output 2 4 16 2" xfId="4131"/>
    <cellStyle name="Output 2 4 16 3" xfId="6029"/>
    <cellStyle name="Output 2 4 17" xfId="1776"/>
    <cellStyle name="Output 2 4 17 2" xfId="4132"/>
    <cellStyle name="Output 2 4 17 3" xfId="6030"/>
    <cellStyle name="Output 2 4 18" xfId="1777"/>
    <cellStyle name="Output 2 4 18 2" xfId="4133"/>
    <cellStyle name="Output 2 4 18 3" xfId="6031"/>
    <cellStyle name="Output 2 4 19" xfId="1778"/>
    <cellStyle name="Output 2 4 19 2" xfId="4134"/>
    <cellStyle name="Output 2 4 19 3" xfId="6032"/>
    <cellStyle name="Output 2 4 2" xfId="1779"/>
    <cellStyle name="Output 2 4 2 2" xfId="4135"/>
    <cellStyle name="Output 2 4 2 3" xfId="6033"/>
    <cellStyle name="Output 2 4 20" xfId="1780"/>
    <cellStyle name="Output 2 4 20 2" xfId="4136"/>
    <cellStyle name="Output 2 4 20 3" xfId="6034"/>
    <cellStyle name="Output 2 4 21" xfId="1781"/>
    <cellStyle name="Output 2 4 21 2" xfId="4137"/>
    <cellStyle name="Output 2 4 21 3" xfId="6035"/>
    <cellStyle name="Output 2 4 22" xfId="1782"/>
    <cellStyle name="Output 2 4 22 2" xfId="4138"/>
    <cellStyle name="Output 2 4 22 3" xfId="6036"/>
    <cellStyle name="Output 2 4 23" xfId="1783"/>
    <cellStyle name="Output 2 4 23 2" xfId="4139"/>
    <cellStyle name="Output 2 4 23 3" xfId="6037"/>
    <cellStyle name="Output 2 4 24" xfId="4124"/>
    <cellStyle name="Output 2 4 25" xfId="6022"/>
    <cellStyle name="Output 2 4 3" xfId="1784"/>
    <cellStyle name="Output 2 4 3 2" xfId="4140"/>
    <cellStyle name="Output 2 4 3 3" xfId="6038"/>
    <cellStyle name="Output 2 4 4" xfId="1785"/>
    <cellStyle name="Output 2 4 4 2" xfId="4141"/>
    <cellStyle name="Output 2 4 4 3" xfId="6039"/>
    <cellStyle name="Output 2 4 5" xfId="1786"/>
    <cellStyle name="Output 2 4 5 2" xfId="4142"/>
    <cellStyle name="Output 2 4 5 3" xfId="6040"/>
    <cellStyle name="Output 2 4 6" xfId="1787"/>
    <cellStyle name="Output 2 4 6 2" xfId="4143"/>
    <cellStyle name="Output 2 4 6 3" xfId="6041"/>
    <cellStyle name="Output 2 4 7" xfId="1788"/>
    <cellStyle name="Output 2 4 7 2" xfId="4144"/>
    <cellStyle name="Output 2 4 7 3" xfId="6042"/>
    <cellStyle name="Output 2 4 8" xfId="1789"/>
    <cellStyle name="Output 2 4 8 2" xfId="4145"/>
    <cellStyle name="Output 2 4 8 3" xfId="6043"/>
    <cellStyle name="Output 2 4 9" xfId="1790"/>
    <cellStyle name="Output 2 4 9 2" xfId="4146"/>
    <cellStyle name="Output 2 4 9 3" xfId="6044"/>
    <cellStyle name="Output 2 5" xfId="1791"/>
    <cellStyle name="Output 2 5 10" xfId="1792"/>
    <cellStyle name="Output 2 5 10 2" xfId="4148"/>
    <cellStyle name="Output 2 5 10 3" xfId="6046"/>
    <cellStyle name="Output 2 5 11" xfId="1793"/>
    <cellStyle name="Output 2 5 11 2" xfId="4149"/>
    <cellStyle name="Output 2 5 11 3" xfId="6047"/>
    <cellStyle name="Output 2 5 12" xfId="1794"/>
    <cellStyle name="Output 2 5 12 2" xfId="4150"/>
    <cellStyle name="Output 2 5 12 3" xfId="6048"/>
    <cellStyle name="Output 2 5 13" xfId="1795"/>
    <cellStyle name="Output 2 5 13 2" xfId="4151"/>
    <cellStyle name="Output 2 5 13 3" xfId="6049"/>
    <cellStyle name="Output 2 5 14" xfId="1796"/>
    <cellStyle name="Output 2 5 14 2" xfId="4152"/>
    <cellStyle name="Output 2 5 14 3" xfId="6050"/>
    <cellStyle name="Output 2 5 15" xfId="1797"/>
    <cellStyle name="Output 2 5 15 2" xfId="4153"/>
    <cellStyle name="Output 2 5 15 3" xfId="6051"/>
    <cellStyle name="Output 2 5 16" xfId="1798"/>
    <cellStyle name="Output 2 5 16 2" xfId="4154"/>
    <cellStyle name="Output 2 5 16 3" xfId="6052"/>
    <cellStyle name="Output 2 5 17" xfId="1799"/>
    <cellStyle name="Output 2 5 17 2" xfId="4155"/>
    <cellStyle name="Output 2 5 17 3" xfId="6053"/>
    <cellStyle name="Output 2 5 18" xfId="1800"/>
    <cellStyle name="Output 2 5 18 2" xfId="4156"/>
    <cellStyle name="Output 2 5 18 3" xfId="6054"/>
    <cellStyle name="Output 2 5 19" xfId="1801"/>
    <cellStyle name="Output 2 5 19 2" xfId="4157"/>
    <cellStyle name="Output 2 5 19 3" xfId="6055"/>
    <cellStyle name="Output 2 5 2" xfId="1802"/>
    <cellStyle name="Output 2 5 2 2" xfId="4158"/>
    <cellStyle name="Output 2 5 2 3" xfId="6056"/>
    <cellStyle name="Output 2 5 20" xfId="1803"/>
    <cellStyle name="Output 2 5 20 2" xfId="4159"/>
    <cellStyle name="Output 2 5 20 3" xfId="6057"/>
    <cellStyle name="Output 2 5 21" xfId="1804"/>
    <cellStyle name="Output 2 5 21 2" xfId="4160"/>
    <cellStyle name="Output 2 5 21 3" xfId="6058"/>
    <cellStyle name="Output 2 5 22" xfId="1805"/>
    <cellStyle name="Output 2 5 22 2" xfId="4161"/>
    <cellStyle name="Output 2 5 22 3" xfId="6059"/>
    <cellStyle name="Output 2 5 23" xfId="1806"/>
    <cellStyle name="Output 2 5 23 2" xfId="4162"/>
    <cellStyle name="Output 2 5 23 3" xfId="6060"/>
    <cellStyle name="Output 2 5 24" xfId="4147"/>
    <cellStyle name="Output 2 5 25" xfId="6045"/>
    <cellStyle name="Output 2 5 3" xfId="1807"/>
    <cellStyle name="Output 2 5 3 2" xfId="4163"/>
    <cellStyle name="Output 2 5 3 3" xfId="6061"/>
    <cellStyle name="Output 2 5 4" xfId="1808"/>
    <cellStyle name="Output 2 5 4 2" xfId="4164"/>
    <cellStyle name="Output 2 5 4 3" xfId="6062"/>
    <cellStyle name="Output 2 5 5" xfId="1809"/>
    <cellStyle name="Output 2 5 5 2" xfId="4165"/>
    <cellStyle name="Output 2 5 5 3" xfId="6063"/>
    <cellStyle name="Output 2 5 6" xfId="1810"/>
    <cellStyle name="Output 2 5 6 2" xfId="4166"/>
    <cellStyle name="Output 2 5 6 3" xfId="6064"/>
    <cellStyle name="Output 2 5 7" xfId="1811"/>
    <cellStyle name="Output 2 5 7 2" xfId="4167"/>
    <cellStyle name="Output 2 5 7 3" xfId="6065"/>
    <cellStyle name="Output 2 5 8" xfId="1812"/>
    <cellStyle name="Output 2 5 8 2" xfId="4168"/>
    <cellStyle name="Output 2 5 8 3" xfId="6066"/>
    <cellStyle name="Output 2 5 9" xfId="1813"/>
    <cellStyle name="Output 2 5 9 2" xfId="4169"/>
    <cellStyle name="Output 2 5 9 3" xfId="6067"/>
    <cellStyle name="Output 2 6" xfId="1814"/>
    <cellStyle name="Output 2 6 10" xfId="1815"/>
    <cellStyle name="Output 2 6 10 2" xfId="4171"/>
    <cellStyle name="Output 2 6 10 3" xfId="6069"/>
    <cellStyle name="Output 2 6 11" xfId="1816"/>
    <cellStyle name="Output 2 6 11 2" xfId="4172"/>
    <cellStyle name="Output 2 6 11 3" xfId="6070"/>
    <cellStyle name="Output 2 6 12" xfId="1817"/>
    <cellStyle name="Output 2 6 12 2" xfId="4173"/>
    <cellStyle name="Output 2 6 12 3" xfId="6071"/>
    <cellStyle name="Output 2 6 13" xfId="1818"/>
    <cellStyle name="Output 2 6 13 2" xfId="4174"/>
    <cellStyle name="Output 2 6 13 3" xfId="6072"/>
    <cellStyle name="Output 2 6 14" xfId="1819"/>
    <cellStyle name="Output 2 6 14 2" xfId="4175"/>
    <cellStyle name="Output 2 6 14 3" xfId="6073"/>
    <cellStyle name="Output 2 6 15" xfId="1820"/>
    <cellStyle name="Output 2 6 15 2" xfId="4176"/>
    <cellStyle name="Output 2 6 15 3" xfId="6074"/>
    <cellStyle name="Output 2 6 16" xfId="1821"/>
    <cellStyle name="Output 2 6 16 2" xfId="4177"/>
    <cellStyle name="Output 2 6 16 3" xfId="6075"/>
    <cellStyle name="Output 2 6 17" xfId="1822"/>
    <cellStyle name="Output 2 6 17 2" xfId="4178"/>
    <cellStyle name="Output 2 6 17 3" xfId="6076"/>
    <cellStyle name="Output 2 6 18" xfId="1823"/>
    <cellStyle name="Output 2 6 18 2" xfId="4179"/>
    <cellStyle name="Output 2 6 18 3" xfId="6077"/>
    <cellStyle name="Output 2 6 19" xfId="1824"/>
    <cellStyle name="Output 2 6 19 2" xfId="4180"/>
    <cellStyle name="Output 2 6 19 3" xfId="6078"/>
    <cellStyle name="Output 2 6 2" xfId="1825"/>
    <cellStyle name="Output 2 6 2 2" xfId="4181"/>
    <cellStyle name="Output 2 6 2 3" xfId="6079"/>
    <cellStyle name="Output 2 6 20" xfId="1826"/>
    <cellStyle name="Output 2 6 20 2" xfId="4182"/>
    <cellStyle name="Output 2 6 20 3" xfId="6080"/>
    <cellStyle name="Output 2 6 21" xfId="1827"/>
    <cellStyle name="Output 2 6 21 2" xfId="4183"/>
    <cellStyle name="Output 2 6 21 3" xfId="6081"/>
    <cellStyle name="Output 2 6 22" xfId="1828"/>
    <cellStyle name="Output 2 6 22 2" xfId="4184"/>
    <cellStyle name="Output 2 6 22 3" xfId="6082"/>
    <cellStyle name="Output 2 6 23" xfId="1829"/>
    <cellStyle name="Output 2 6 23 2" xfId="4185"/>
    <cellStyle name="Output 2 6 23 3" xfId="6083"/>
    <cellStyle name="Output 2 6 24" xfId="4170"/>
    <cellStyle name="Output 2 6 25" xfId="6068"/>
    <cellStyle name="Output 2 6 3" xfId="1830"/>
    <cellStyle name="Output 2 6 3 2" xfId="4186"/>
    <cellStyle name="Output 2 6 3 3" xfId="6084"/>
    <cellStyle name="Output 2 6 4" xfId="1831"/>
    <cellStyle name="Output 2 6 4 2" xfId="4187"/>
    <cellStyle name="Output 2 6 4 3" xfId="6085"/>
    <cellStyle name="Output 2 6 5" xfId="1832"/>
    <cellStyle name="Output 2 6 5 2" xfId="4188"/>
    <cellStyle name="Output 2 6 5 3" xfId="6086"/>
    <cellStyle name="Output 2 6 6" xfId="1833"/>
    <cellStyle name="Output 2 6 6 2" xfId="4189"/>
    <cellStyle name="Output 2 6 6 3" xfId="6087"/>
    <cellStyle name="Output 2 6 7" xfId="1834"/>
    <cellStyle name="Output 2 6 7 2" xfId="4190"/>
    <cellStyle name="Output 2 6 7 3" xfId="6088"/>
    <cellStyle name="Output 2 6 8" xfId="1835"/>
    <cellStyle name="Output 2 6 8 2" xfId="4191"/>
    <cellStyle name="Output 2 6 8 3" xfId="6089"/>
    <cellStyle name="Output 2 6 9" xfId="1836"/>
    <cellStyle name="Output 2 6 9 2" xfId="4192"/>
    <cellStyle name="Output 2 6 9 3" xfId="6090"/>
    <cellStyle name="Output 2 7" xfId="1837"/>
    <cellStyle name="Output 2 7 10" xfId="1838"/>
    <cellStyle name="Output 2 7 10 2" xfId="4194"/>
    <cellStyle name="Output 2 7 10 3" xfId="6092"/>
    <cellStyle name="Output 2 7 11" xfId="1839"/>
    <cellStyle name="Output 2 7 11 2" xfId="4195"/>
    <cellStyle name="Output 2 7 11 3" xfId="6093"/>
    <cellStyle name="Output 2 7 12" xfId="1840"/>
    <cellStyle name="Output 2 7 12 2" xfId="4196"/>
    <cellStyle name="Output 2 7 12 3" xfId="6094"/>
    <cellStyle name="Output 2 7 13" xfId="1841"/>
    <cellStyle name="Output 2 7 13 2" xfId="4197"/>
    <cellStyle name="Output 2 7 13 3" xfId="6095"/>
    <cellStyle name="Output 2 7 14" xfId="1842"/>
    <cellStyle name="Output 2 7 14 2" xfId="4198"/>
    <cellStyle name="Output 2 7 14 3" xfId="6096"/>
    <cellStyle name="Output 2 7 15" xfId="1843"/>
    <cellStyle name="Output 2 7 15 2" xfId="4199"/>
    <cellStyle name="Output 2 7 15 3" xfId="6097"/>
    <cellStyle name="Output 2 7 16" xfId="1844"/>
    <cellStyle name="Output 2 7 16 2" xfId="4200"/>
    <cellStyle name="Output 2 7 16 3" xfId="6098"/>
    <cellStyle name="Output 2 7 17" xfId="1845"/>
    <cellStyle name="Output 2 7 17 2" xfId="4201"/>
    <cellStyle name="Output 2 7 17 3" xfId="6099"/>
    <cellStyle name="Output 2 7 18" xfId="1846"/>
    <cellStyle name="Output 2 7 18 2" xfId="4202"/>
    <cellStyle name="Output 2 7 18 3" xfId="6100"/>
    <cellStyle name="Output 2 7 19" xfId="1847"/>
    <cellStyle name="Output 2 7 19 2" xfId="4203"/>
    <cellStyle name="Output 2 7 19 3" xfId="6101"/>
    <cellStyle name="Output 2 7 2" xfId="1848"/>
    <cellStyle name="Output 2 7 2 2" xfId="4204"/>
    <cellStyle name="Output 2 7 2 3" xfId="6102"/>
    <cellStyle name="Output 2 7 20" xfId="1849"/>
    <cellStyle name="Output 2 7 20 2" xfId="4205"/>
    <cellStyle name="Output 2 7 20 3" xfId="6103"/>
    <cellStyle name="Output 2 7 21" xfId="1850"/>
    <cellStyle name="Output 2 7 21 2" xfId="4206"/>
    <cellStyle name="Output 2 7 21 3" xfId="6104"/>
    <cellStyle name="Output 2 7 22" xfId="1851"/>
    <cellStyle name="Output 2 7 22 2" xfId="4207"/>
    <cellStyle name="Output 2 7 22 3" xfId="6105"/>
    <cellStyle name="Output 2 7 23" xfId="1852"/>
    <cellStyle name="Output 2 7 23 2" xfId="4208"/>
    <cellStyle name="Output 2 7 23 3" xfId="6106"/>
    <cellStyle name="Output 2 7 24" xfId="4193"/>
    <cellStyle name="Output 2 7 25" xfId="6091"/>
    <cellStyle name="Output 2 7 3" xfId="1853"/>
    <cellStyle name="Output 2 7 3 2" xfId="4209"/>
    <cellStyle name="Output 2 7 3 3" xfId="6107"/>
    <cellStyle name="Output 2 7 4" xfId="1854"/>
    <cellStyle name="Output 2 7 4 2" xfId="4210"/>
    <cellStyle name="Output 2 7 4 3" xfId="6108"/>
    <cellStyle name="Output 2 7 5" xfId="1855"/>
    <cellStyle name="Output 2 7 5 2" xfId="4211"/>
    <cellStyle name="Output 2 7 5 3" xfId="6109"/>
    <cellStyle name="Output 2 7 6" xfId="1856"/>
    <cellStyle name="Output 2 7 6 2" xfId="4212"/>
    <cellStyle name="Output 2 7 6 3" xfId="6110"/>
    <cellStyle name="Output 2 7 7" xfId="1857"/>
    <cellStyle name="Output 2 7 7 2" xfId="4213"/>
    <cellStyle name="Output 2 7 7 3" xfId="6111"/>
    <cellStyle name="Output 2 7 8" xfId="1858"/>
    <cellStyle name="Output 2 7 8 2" xfId="4214"/>
    <cellStyle name="Output 2 7 8 3" xfId="6112"/>
    <cellStyle name="Output 2 7 9" xfId="1859"/>
    <cellStyle name="Output 2 7 9 2" xfId="4215"/>
    <cellStyle name="Output 2 7 9 3" xfId="6113"/>
    <cellStyle name="Output 2 8" xfId="1860"/>
    <cellStyle name="Output 2 8 10" xfId="1861"/>
    <cellStyle name="Output 2 8 10 2" xfId="4217"/>
    <cellStyle name="Output 2 8 10 3" xfId="6115"/>
    <cellStyle name="Output 2 8 11" xfId="1862"/>
    <cellStyle name="Output 2 8 11 2" xfId="4218"/>
    <cellStyle name="Output 2 8 11 3" xfId="6116"/>
    <cellStyle name="Output 2 8 12" xfId="1863"/>
    <cellStyle name="Output 2 8 12 2" xfId="4219"/>
    <cellStyle name="Output 2 8 12 3" xfId="6117"/>
    <cellStyle name="Output 2 8 13" xfId="1864"/>
    <cellStyle name="Output 2 8 13 2" xfId="4220"/>
    <cellStyle name="Output 2 8 13 3" xfId="6118"/>
    <cellStyle name="Output 2 8 14" xfId="1865"/>
    <cellStyle name="Output 2 8 14 2" xfId="4221"/>
    <cellStyle name="Output 2 8 14 3" xfId="6119"/>
    <cellStyle name="Output 2 8 15" xfId="1866"/>
    <cellStyle name="Output 2 8 15 2" xfId="4222"/>
    <cellStyle name="Output 2 8 15 3" xfId="6120"/>
    <cellStyle name="Output 2 8 16" xfId="1867"/>
    <cellStyle name="Output 2 8 16 2" xfId="4223"/>
    <cellStyle name="Output 2 8 16 3" xfId="6121"/>
    <cellStyle name="Output 2 8 17" xfId="1868"/>
    <cellStyle name="Output 2 8 17 2" xfId="4224"/>
    <cellStyle name="Output 2 8 17 3" xfId="6122"/>
    <cellStyle name="Output 2 8 18" xfId="1869"/>
    <cellStyle name="Output 2 8 18 2" xfId="4225"/>
    <cellStyle name="Output 2 8 18 3" xfId="6123"/>
    <cellStyle name="Output 2 8 19" xfId="1870"/>
    <cellStyle name="Output 2 8 19 2" xfId="4226"/>
    <cellStyle name="Output 2 8 19 3" xfId="6124"/>
    <cellStyle name="Output 2 8 2" xfId="1871"/>
    <cellStyle name="Output 2 8 2 2" xfId="4227"/>
    <cellStyle name="Output 2 8 2 3" xfId="6125"/>
    <cellStyle name="Output 2 8 20" xfId="1872"/>
    <cellStyle name="Output 2 8 20 2" xfId="4228"/>
    <cellStyle name="Output 2 8 20 3" xfId="6126"/>
    <cellStyle name="Output 2 8 21" xfId="1873"/>
    <cellStyle name="Output 2 8 21 2" xfId="4229"/>
    <cellStyle name="Output 2 8 21 3" xfId="6127"/>
    <cellStyle name="Output 2 8 22" xfId="1874"/>
    <cellStyle name="Output 2 8 22 2" xfId="4230"/>
    <cellStyle name="Output 2 8 22 3" xfId="6128"/>
    <cellStyle name="Output 2 8 23" xfId="1875"/>
    <cellStyle name="Output 2 8 23 2" xfId="4231"/>
    <cellStyle name="Output 2 8 23 3" xfId="6129"/>
    <cellStyle name="Output 2 8 24" xfId="4216"/>
    <cellStyle name="Output 2 8 25" xfId="6114"/>
    <cellStyle name="Output 2 8 3" xfId="1876"/>
    <cellStyle name="Output 2 8 3 2" xfId="4232"/>
    <cellStyle name="Output 2 8 3 3" xfId="6130"/>
    <cellStyle name="Output 2 8 4" xfId="1877"/>
    <cellStyle name="Output 2 8 4 2" xfId="4233"/>
    <cellStyle name="Output 2 8 4 3" xfId="6131"/>
    <cellStyle name="Output 2 8 5" xfId="1878"/>
    <cellStyle name="Output 2 8 5 2" xfId="4234"/>
    <cellStyle name="Output 2 8 5 3" xfId="6132"/>
    <cellStyle name="Output 2 8 6" xfId="1879"/>
    <cellStyle name="Output 2 8 6 2" xfId="4235"/>
    <cellStyle name="Output 2 8 6 3" xfId="6133"/>
    <cellStyle name="Output 2 8 7" xfId="1880"/>
    <cellStyle name="Output 2 8 7 2" xfId="4236"/>
    <cellStyle name="Output 2 8 7 3" xfId="6134"/>
    <cellStyle name="Output 2 8 8" xfId="1881"/>
    <cellStyle name="Output 2 8 8 2" xfId="4237"/>
    <cellStyle name="Output 2 8 8 3" xfId="6135"/>
    <cellStyle name="Output 2 8 9" xfId="1882"/>
    <cellStyle name="Output 2 8 9 2" xfId="4238"/>
    <cellStyle name="Output 2 8 9 3" xfId="6136"/>
    <cellStyle name="Output 2 9" xfId="1883"/>
    <cellStyle name="Output 2 9 10" xfId="1884"/>
    <cellStyle name="Output 2 9 10 2" xfId="4240"/>
    <cellStyle name="Output 2 9 10 3" xfId="6138"/>
    <cellStyle name="Output 2 9 11" xfId="1885"/>
    <cellStyle name="Output 2 9 11 2" xfId="4241"/>
    <cellStyle name="Output 2 9 11 3" xfId="6139"/>
    <cellStyle name="Output 2 9 12" xfId="1886"/>
    <cellStyle name="Output 2 9 12 2" xfId="4242"/>
    <cellStyle name="Output 2 9 12 3" xfId="6140"/>
    <cellStyle name="Output 2 9 13" xfId="1887"/>
    <cellStyle name="Output 2 9 13 2" xfId="4243"/>
    <cellStyle name="Output 2 9 13 3" xfId="6141"/>
    <cellStyle name="Output 2 9 14" xfId="1888"/>
    <cellStyle name="Output 2 9 14 2" xfId="4244"/>
    <cellStyle name="Output 2 9 14 3" xfId="6142"/>
    <cellStyle name="Output 2 9 15" xfId="1889"/>
    <cellStyle name="Output 2 9 15 2" xfId="4245"/>
    <cellStyle name="Output 2 9 15 3" xfId="6143"/>
    <cellStyle name="Output 2 9 16" xfId="1890"/>
    <cellStyle name="Output 2 9 16 2" xfId="4246"/>
    <cellStyle name="Output 2 9 16 3" xfId="6144"/>
    <cellStyle name="Output 2 9 17" xfId="1891"/>
    <cellStyle name="Output 2 9 17 2" xfId="4247"/>
    <cellStyle name="Output 2 9 17 3" xfId="6145"/>
    <cellStyle name="Output 2 9 18" xfId="1892"/>
    <cellStyle name="Output 2 9 18 2" xfId="4248"/>
    <cellStyle name="Output 2 9 18 3" xfId="6146"/>
    <cellStyle name="Output 2 9 19" xfId="1893"/>
    <cellStyle name="Output 2 9 19 2" xfId="4249"/>
    <cellStyle name="Output 2 9 19 3" xfId="6147"/>
    <cellStyle name="Output 2 9 2" xfId="1894"/>
    <cellStyle name="Output 2 9 2 2" xfId="4250"/>
    <cellStyle name="Output 2 9 2 3" xfId="6148"/>
    <cellStyle name="Output 2 9 20" xfId="1895"/>
    <cellStyle name="Output 2 9 20 2" xfId="4251"/>
    <cellStyle name="Output 2 9 20 3" xfId="6149"/>
    <cellStyle name="Output 2 9 21" xfId="1896"/>
    <cellStyle name="Output 2 9 21 2" xfId="4252"/>
    <cellStyle name="Output 2 9 21 3" xfId="6150"/>
    <cellStyle name="Output 2 9 22" xfId="1897"/>
    <cellStyle name="Output 2 9 22 2" xfId="4253"/>
    <cellStyle name="Output 2 9 22 3" xfId="6151"/>
    <cellStyle name="Output 2 9 23" xfId="1898"/>
    <cellStyle name="Output 2 9 23 2" xfId="4254"/>
    <cellStyle name="Output 2 9 23 3" xfId="6152"/>
    <cellStyle name="Output 2 9 24" xfId="4239"/>
    <cellStyle name="Output 2 9 25" xfId="6137"/>
    <cellStyle name="Output 2 9 3" xfId="1899"/>
    <cellStyle name="Output 2 9 3 2" xfId="4255"/>
    <cellStyle name="Output 2 9 3 3" xfId="6153"/>
    <cellStyle name="Output 2 9 4" xfId="1900"/>
    <cellStyle name="Output 2 9 4 2" xfId="4256"/>
    <cellStyle name="Output 2 9 4 3" xfId="6154"/>
    <cellStyle name="Output 2 9 5" xfId="1901"/>
    <cellStyle name="Output 2 9 5 2" xfId="4257"/>
    <cellStyle name="Output 2 9 5 3" xfId="6155"/>
    <cellStyle name="Output 2 9 6" xfId="1902"/>
    <cellStyle name="Output 2 9 6 2" xfId="4258"/>
    <cellStyle name="Output 2 9 6 3" xfId="6156"/>
    <cellStyle name="Output 2 9 7" xfId="1903"/>
    <cellStyle name="Output 2 9 7 2" xfId="4259"/>
    <cellStyle name="Output 2 9 7 3" xfId="6157"/>
    <cellStyle name="Output 2 9 8" xfId="1904"/>
    <cellStyle name="Output 2 9 8 2" xfId="4260"/>
    <cellStyle name="Output 2 9 8 3" xfId="6158"/>
    <cellStyle name="Output 2 9 9" xfId="1905"/>
    <cellStyle name="Output 2 9 9 2" xfId="4261"/>
    <cellStyle name="Output 2 9 9 3" xfId="6159"/>
    <cellStyle name="Output 3" xfId="4751"/>
    <cellStyle name="Output 4" xfId="2487"/>
    <cellStyle name="Output 5" xfId="4726"/>
    <cellStyle name="OUTPUT AMOUNTS" xfId="48"/>
    <cellStyle name="OUTPUT COLUMN HEADINGS" xfId="49"/>
    <cellStyle name="OUTPUT LINE ITEMS" xfId="50"/>
    <cellStyle name="OUTPUT REPORT HEADING" xfId="51"/>
    <cellStyle name="OUTPUT REPORT TITLE" xfId="52"/>
    <cellStyle name="Percent 2" xfId="88"/>
    <cellStyle name="Percent 2 2" xfId="97"/>
    <cellStyle name="Percent 2 2 2" xfId="6674"/>
    <cellStyle name="Percent 2 3" xfId="2378"/>
    <cellStyle name="Percent 2 3 2" xfId="4725"/>
    <cellStyle name="Percent 2 4" xfId="2502"/>
    <cellStyle name="Percent 3" xfId="89"/>
    <cellStyle name="Percent 3 2" xfId="1906"/>
    <cellStyle name="Percent 3 3" xfId="2503"/>
    <cellStyle name="Percent 4" xfId="96"/>
    <cellStyle name="Percent 4 2" xfId="2448"/>
    <cellStyle name="Percent 5" xfId="2425"/>
    <cellStyle name="Percent 6" xfId="4741"/>
    <cellStyle name="ReportTitlePrompt" xfId="53"/>
    <cellStyle name="ReportTitleValue" xfId="54"/>
    <cellStyle name="RowAcctAbovePrompt" xfId="55"/>
    <cellStyle name="RowAcctSOBAbovePrompt" xfId="56"/>
    <cellStyle name="RowAcctSOBValue" xfId="57"/>
    <cellStyle name="RowAcctValue" xfId="58"/>
    <cellStyle name="RowAttrAbovePrompt" xfId="59"/>
    <cellStyle name="RowAttrValue" xfId="60"/>
    <cellStyle name="RowColSetAbovePrompt" xfId="61"/>
    <cellStyle name="RowColSetLeftPrompt" xfId="62"/>
    <cellStyle name="RowColSetValue" xfId="63"/>
    <cellStyle name="RowLeftPrompt" xfId="64"/>
    <cellStyle name="SampleUsingFormatMask" xfId="65"/>
    <cellStyle name="SampleWithNoFormatMask" xfId="66"/>
    <cellStyle name="SecondHeader1" xfId="90"/>
    <cellStyle name="StandardNumberRow1" xfId="91"/>
    <cellStyle name="StandardRowHeader1" xfId="92"/>
    <cellStyle name="STYLE1" xfId="67"/>
    <cellStyle name="STYLE1 2" xfId="2449"/>
    <cellStyle name="STYLE2" xfId="1907"/>
    <cellStyle name="STYLE3" xfId="1908"/>
    <cellStyle name="Suma" xfId="1909"/>
    <cellStyle name="Suma 10" xfId="1910"/>
    <cellStyle name="Suma 10 2" xfId="4264"/>
    <cellStyle name="Suma 10 3" xfId="6161"/>
    <cellStyle name="Suma 11" xfId="1911"/>
    <cellStyle name="Suma 11 2" xfId="4265"/>
    <cellStyle name="Suma 11 3" xfId="6162"/>
    <cellStyle name="Suma 12" xfId="1912"/>
    <cellStyle name="Suma 12 2" xfId="4266"/>
    <cellStyle name="Suma 12 3" xfId="6163"/>
    <cellStyle name="Suma 13" xfId="1913"/>
    <cellStyle name="Suma 13 2" xfId="4267"/>
    <cellStyle name="Suma 13 3" xfId="6164"/>
    <cellStyle name="Suma 14" xfId="1914"/>
    <cellStyle name="Suma 14 2" xfId="4268"/>
    <cellStyle name="Suma 14 3" xfId="6165"/>
    <cellStyle name="Suma 15" xfId="1915"/>
    <cellStyle name="Suma 15 2" xfId="4269"/>
    <cellStyle name="Suma 15 3" xfId="6166"/>
    <cellStyle name="Suma 16" xfId="1916"/>
    <cellStyle name="Suma 16 2" xfId="4270"/>
    <cellStyle name="Suma 16 3" xfId="6167"/>
    <cellStyle name="Suma 17" xfId="1917"/>
    <cellStyle name="Suma 17 2" xfId="4271"/>
    <cellStyle name="Suma 17 3" xfId="6168"/>
    <cellStyle name="Suma 18" xfId="1918"/>
    <cellStyle name="Suma 18 2" xfId="4272"/>
    <cellStyle name="Suma 18 3" xfId="6169"/>
    <cellStyle name="Suma 19" xfId="1919"/>
    <cellStyle name="Suma 19 2" xfId="4273"/>
    <cellStyle name="Suma 19 3" xfId="6170"/>
    <cellStyle name="Suma 2" xfId="1920"/>
    <cellStyle name="Suma 2 10" xfId="1921"/>
    <cellStyle name="Suma 2 10 2" xfId="4275"/>
    <cellStyle name="Suma 2 10 3" xfId="6172"/>
    <cellStyle name="Suma 2 11" xfId="1922"/>
    <cellStyle name="Suma 2 11 2" xfId="4276"/>
    <cellStyle name="Suma 2 11 3" xfId="6173"/>
    <cellStyle name="Suma 2 12" xfId="1923"/>
    <cellStyle name="Suma 2 12 2" xfId="4277"/>
    <cellStyle name="Suma 2 12 3" xfId="6174"/>
    <cellStyle name="Suma 2 13" xfId="1924"/>
    <cellStyle name="Suma 2 13 2" xfId="4278"/>
    <cellStyle name="Suma 2 13 3" xfId="6175"/>
    <cellStyle name="Suma 2 14" xfId="1925"/>
    <cellStyle name="Suma 2 14 2" xfId="4279"/>
    <cellStyle name="Suma 2 14 3" xfId="6176"/>
    <cellStyle name="Suma 2 15" xfId="1926"/>
    <cellStyle name="Suma 2 15 2" xfId="4280"/>
    <cellStyle name="Suma 2 15 3" xfId="6177"/>
    <cellStyle name="Suma 2 16" xfId="1927"/>
    <cellStyle name="Suma 2 16 2" xfId="4281"/>
    <cellStyle name="Suma 2 16 3" xfId="6178"/>
    <cellStyle name="Suma 2 17" xfId="1928"/>
    <cellStyle name="Suma 2 17 2" xfId="4282"/>
    <cellStyle name="Suma 2 17 3" xfId="6179"/>
    <cellStyle name="Suma 2 18" xfId="1929"/>
    <cellStyle name="Suma 2 18 2" xfId="4283"/>
    <cellStyle name="Suma 2 18 3" xfId="6180"/>
    <cellStyle name="Suma 2 19" xfId="1930"/>
    <cellStyle name="Suma 2 19 2" xfId="4284"/>
    <cellStyle name="Suma 2 19 3" xfId="6181"/>
    <cellStyle name="Suma 2 2" xfId="1931"/>
    <cellStyle name="Suma 2 2 2" xfId="4285"/>
    <cellStyle name="Suma 2 2 3" xfId="6182"/>
    <cellStyle name="Suma 2 20" xfId="1932"/>
    <cellStyle name="Suma 2 20 2" xfId="4286"/>
    <cellStyle name="Suma 2 20 3" xfId="6183"/>
    <cellStyle name="Suma 2 21" xfId="1933"/>
    <cellStyle name="Suma 2 21 2" xfId="4287"/>
    <cellStyle name="Suma 2 21 3" xfId="6184"/>
    <cellStyle name="Suma 2 22" xfId="1934"/>
    <cellStyle name="Suma 2 22 2" xfId="4288"/>
    <cellStyle name="Suma 2 22 3" xfId="6185"/>
    <cellStyle name="Suma 2 23" xfId="1935"/>
    <cellStyle name="Suma 2 23 2" xfId="4289"/>
    <cellStyle name="Suma 2 23 3" xfId="6186"/>
    <cellStyle name="Suma 2 24" xfId="4274"/>
    <cellStyle name="Suma 2 25" xfId="6171"/>
    <cellStyle name="Suma 2 3" xfId="1936"/>
    <cellStyle name="Suma 2 3 2" xfId="4290"/>
    <cellStyle name="Suma 2 3 3" xfId="6187"/>
    <cellStyle name="Suma 2 4" xfId="1937"/>
    <cellStyle name="Suma 2 4 2" xfId="4291"/>
    <cellStyle name="Suma 2 4 3" xfId="6188"/>
    <cellStyle name="Suma 2 5" xfId="1938"/>
    <cellStyle name="Suma 2 5 2" xfId="4292"/>
    <cellStyle name="Suma 2 5 3" xfId="6189"/>
    <cellStyle name="Suma 2 6" xfId="1939"/>
    <cellStyle name="Suma 2 6 2" xfId="4293"/>
    <cellStyle name="Suma 2 6 3" xfId="6190"/>
    <cellStyle name="Suma 2 7" xfId="1940"/>
    <cellStyle name="Suma 2 7 2" xfId="4294"/>
    <cellStyle name="Suma 2 7 3" xfId="6191"/>
    <cellStyle name="Suma 2 8" xfId="1941"/>
    <cellStyle name="Suma 2 8 2" xfId="4295"/>
    <cellStyle name="Suma 2 8 3" xfId="6192"/>
    <cellStyle name="Suma 2 9" xfId="1942"/>
    <cellStyle name="Suma 2 9 2" xfId="4296"/>
    <cellStyle name="Suma 2 9 3" xfId="6193"/>
    <cellStyle name="Suma 20" xfId="1943"/>
    <cellStyle name="Suma 20 2" xfId="4297"/>
    <cellStyle name="Suma 20 3" xfId="6194"/>
    <cellStyle name="Suma 21" xfId="1944"/>
    <cellStyle name="Suma 21 2" xfId="4298"/>
    <cellStyle name="Suma 21 3" xfId="6195"/>
    <cellStyle name="Suma 22" xfId="1945"/>
    <cellStyle name="Suma 22 2" xfId="4299"/>
    <cellStyle name="Suma 22 3" xfId="6196"/>
    <cellStyle name="Suma 23" xfId="1946"/>
    <cellStyle name="Suma 23 2" xfId="4300"/>
    <cellStyle name="Suma 23 3" xfId="6197"/>
    <cellStyle name="Suma 24" xfId="1947"/>
    <cellStyle name="Suma 24 2" xfId="4301"/>
    <cellStyle name="Suma 24 3" xfId="6198"/>
    <cellStyle name="Suma 25" xfId="1948"/>
    <cellStyle name="Suma 25 2" xfId="4302"/>
    <cellStyle name="Suma 25 3" xfId="6199"/>
    <cellStyle name="Suma 26" xfId="4263"/>
    <cellStyle name="Suma 27" xfId="6160"/>
    <cellStyle name="Suma 3" xfId="1949"/>
    <cellStyle name="Suma 3 10" xfId="1950"/>
    <cellStyle name="Suma 3 10 2" xfId="4304"/>
    <cellStyle name="Suma 3 10 3" xfId="6201"/>
    <cellStyle name="Suma 3 11" xfId="1951"/>
    <cellStyle name="Suma 3 11 2" xfId="4305"/>
    <cellStyle name="Suma 3 11 3" xfId="6202"/>
    <cellStyle name="Suma 3 12" xfId="1952"/>
    <cellStyle name="Suma 3 12 2" xfId="4306"/>
    <cellStyle name="Suma 3 12 3" xfId="6203"/>
    <cellStyle name="Suma 3 13" xfId="1953"/>
    <cellStyle name="Suma 3 13 2" xfId="4307"/>
    <cellStyle name="Suma 3 13 3" xfId="6204"/>
    <cellStyle name="Suma 3 14" xfId="1954"/>
    <cellStyle name="Suma 3 14 2" xfId="4308"/>
    <cellStyle name="Suma 3 14 3" xfId="6205"/>
    <cellStyle name="Suma 3 15" xfId="1955"/>
    <cellStyle name="Suma 3 15 2" xfId="4309"/>
    <cellStyle name="Suma 3 15 3" xfId="6206"/>
    <cellStyle name="Suma 3 16" xfId="1956"/>
    <cellStyle name="Suma 3 16 2" xfId="4310"/>
    <cellStyle name="Suma 3 16 3" xfId="6207"/>
    <cellStyle name="Suma 3 17" xfId="1957"/>
    <cellStyle name="Suma 3 17 2" xfId="4311"/>
    <cellStyle name="Suma 3 17 3" xfId="6208"/>
    <cellStyle name="Suma 3 18" xfId="1958"/>
    <cellStyle name="Suma 3 18 2" xfId="4312"/>
    <cellStyle name="Suma 3 18 3" xfId="6209"/>
    <cellStyle name="Suma 3 19" xfId="1959"/>
    <cellStyle name="Suma 3 19 2" xfId="4313"/>
    <cellStyle name="Suma 3 19 3" xfId="6210"/>
    <cellStyle name="Suma 3 2" xfId="1960"/>
    <cellStyle name="Suma 3 2 2" xfId="4314"/>
    <cellStyle name="Suma 3 2 3" xfId="6211"/>
    <cellStyle name="Suma 3 20" xfId="1961"/>
    <cellStyle name="Suma 3 20 2" xfId="4315"/>
    <cellStyle name="Suma 3 20 3" xfId="6212"/>
    <cellStyle name="Suma 3 21" xfId="1962"/>
    <cellStyle name="Suma 3 21 2" xfId="4316"/>
    <cellStyle name="Suma 3 21 3" xfId="6213"/>
    <cellStyle name="Suma 3 22" xfId="1963"/>
    <cellStyle name="Suma 3 22 2" xfId="4317"/>
    <cellStyle name="Suma 3 22 3" xfId="6214"/>
    <cellStyle name="Suma 3 23" xfId="1964"/>
    <cellStyle name="Suma 3 23 2" xfId="4318"/>
    <cellStyle name="Suma 3 23 3" xfId="6215"/>
    <cellStyle name="Suma 3 24" xfId="4303"/>
    <cellStyle name="Suma 3 25" xfId="6200"/>
    <cellStyle name="Suma 3 3" xfId="1965"/>
    <cellStyle name="Suma 3 3 2" xfId="4319"/>
    <cellStyle name="Suma 3 3 3" xfId="6216"/>
    <cellStyle name="Suma 3 4" xfId="1966"/>
    <cellStyle name="Suma 3 4 2" xfId="4320"/>
    <cellStyle name="Suma 3 4 3" xfId="6217"/>
    <cellStyle name="Suma 3 5" xfId="1967"/>
    <cellStyle name="Suma 3 5 2" xfId="4321"/>
    <cellStyle name="Suma 3 5 3" xfId="6218"/>
    <cellStyle name="Suma 3 6" xfId="1968"/>
    <cellStyle name="Suma 3 6 2" xfId="4322"/>
    <cellStyle name="Suma 3 6 3" xfId="6219"/>
    <cellStyle name="Suma 3 7" xfId="1969"/>
    <cellStyle name="Suma 3 7 2" xfId="4323"/>
    <cellStyle name="Suma 3 7 3" xfId="6220"/>
    <cellStyle name="Suma 3 8" xfId="1970"/>
    <cellStyle name="Suma 3 8 2" xfId="4324"/>
    <cellStyle name="Suma 3 8 3" xfId="6221"/>
    <cellStyle name="Suma 3 9" xfId="1971"/>
    <cellStyle name="Suma 3 9 2" xfId="4325"/>
    <cellStyle name="Suma 3 9 3" xfId="6222"/>
    <cellStyle name="Suma 4" xfId="1972"/>
    <cellStyle name="Suma 4 2" xfId="4326"/>
    <cellStyle name="Suma 4 3" xfId="6223"/>
    <cellStyle name="Suma 5" xfId="1973"/>
    <cellStyle name="Suma 5 2" xfId="4327"/>
    <cellStyle name="Suma 5 3" xfId="6224"/>
    <cellStyle name="Suma 6" xfId="1974"/>
    <cellStyle name="Suma 6 2" xfId="4328"/>
    <cellStyle name="Suma 6 3" xfId="6225"/>
    <cellStyle name="Suma 7" xfId="1975"/>
    <cellStyle name="Suma 7 2" xfId="4329"/>
    <cellStyle name="Suma 7 3" xfId="6226"/>
    <cellStyle name="Suma 8" xfId="1976"/>
    <cellStyle name="Suma 8 2" xfId="4330"/>
    <cellStyle name="Suma 8 3" xfId="6227"/>
    <cellStyle name="Suma 9" xfId="1977"/>
    <cellStyle name="Suma 9 2" xfId="4331"/>
    <cellStyle name="Suma 9 3" xfId="6228"/>
    <cellStyle name="Tekst objaśnienia" xfId="1978"/>
    <cellStyle name="Tekst ostrzeżenia" xfId="1979"/>
    <cellStyle name="Text" xfId="1980"/>
    <cellStyle name="Title" xfId="68" builtinId="15" customBuiltin="1"/>
    <cellStyle name="Title 2" xfId="1981"/>
    <cellStyle name="Title 3" xfId="4742"/>
    <cellStyle name="Total" xfId="69" builtinId="25" customBuiltin="1"/>
    <cellStyle name="Total 2" xfId="1982"/>
    <cellStyle name="Total 2 10" xfId="1983"/>
    <cellStyle name="Total 2 10 10" xfId="1984"/>
    <cellStyle name="Total 2 10 10 2" xfId="4334"/>
    <cellStyle name="Total 2 10 10 3" xfId="6231"/>
    <cellStyle name="Total 2 10 11" xfId="1985"/>
    <cellStyle name="Total 2 10 11 2" xfId="4335"/>
    <cellStyle name="Total 2 10 11 3" xfId="6232"/>
    <cellStyle name="Total 2 10 12" xfId="1986"/>
    <cellStyle name="Total 2 10 12 2" xfId="4336"/>
    <cellStyle name="Total 2 10 12 3" xfId="6233"/>
    <cellStyle name="Total 2 10 13" xfId="1987"/>
    <cellStyle name="Total 2 10 13 2" xfId="4337"/>
    <cellStyle name="Total 2 10 13 3" xfId="6234"/>
    <cellStyle name="Total 2 10 14" xfId="1988"/>
    <cellStyle name="Total 2 10 14 2" xfId="4338"/>
    <cellStyle name="Total 2 10 14 3" xfId="6235"/>
    <cellStyle name="Total 2 10 15" xfId="1989"/>
    <cellStyle name="Total 2 10 15 2" xfId="4339"/>
    <cellStyle name="Total 2 10 15 3" xfId="6236"/>
    <cellStyle name="Total 2 10 16" xfId="1990"/>
    <cellStyle name="Total 2 10 16 2" xfId="4340"/>
    <cellStyle name="Total 2 10 16 3" xfId="6237"/>
    <cellStyle name="Total 2 10 17" xfId="1991"/>
    <cellStyle name="Total 2 10 17 2" xfId="4341"/>
    <cellStyle name="Total 2 10 17 3" xfId="6238"/>
    <cellStyle name="Total 2 10 18" xfId="1992"/>
    <cellStyle name="Total 2 10 18 2" xfId="4342"/>
    <cellStyle name="Total 2 10 18 3" xfId="6239"/>
    <cellStyle name="Total 2 10 19" xfId="1993"/>
    <cellStyle name="Total 2 10 19 2" xfId="4343"/>
    <cellStyle name="Total 2 10 19 3" xfId="6240"/>
    <cellStyle name="Total 2 10 2" xfId="1994"/>
    <cellStyle name="Total 2 10 2 2" xfId="4344"/>
    <cellStyle name="Total 2 10 2 3" xfId="6241"/>
    <cellStyle name="Total 2 10 20" xfId="1995"/>
    <cellStyle name="Total 2 10 20 2" xfId="4345"/>
    <cellStyle name="Total 2 10 20 3" xfId="6242"/>
    <cellStyle name="Total 2 10 21" xfId="1996"/>
    <cellStyle name="Total 2 10 21 2" xfId="4346"/>
    <cellStyle name="Total 2 10 21 3" xfId="6243"/>
    <cellStyle name="Total 2 10 22" xfId="1997"/>
    <cellStyle name="Total 2 10 22 2" xfId="4347"/>
    <cellStyle name="Total 2 10 22 3" xfId="6244"/>
    <cellStyle name="Total 2 10 23" xfId="1998"/>
    <cellStyle name="Total 2 10 23 2" xfId="4348"/>
    <cellStyle name="Total 2 10 23 3" xfId="6245"/>
    <cellStyle name="Total 2 10 24" xfId="4333"/>
    <cellStyle name="Total 2 10 25" xfId="6230"/>
    <cellStyle name="Total 2 10 3" xfId="1999"/>
    <cellStyle name="Total 2 10 3 2" xfId="4349"/>
    <cellStyle name="Total 2 10 3 3" xfId="6246"/>
    <cellStyle name="Total 2 10 4" xfId="2000"/>
    <cellStyle name="Total 2 10 4 2" xfId="4350"/>
    <cellStyle name="Total 2 10 4 3" xfId="6247"/>
    <cellStyle name="Total 2 10 5" xfId="2001"/>
    <cellStyle name="Total 2 10 5 2" xfId="4351"/>
    <cellStyle name="Total 2 10 5 3" xfId="6248"/>
    <cellStyle name="Total 2 10 6" xfId="2002"/>
    <cellStyle name="Total 2 10 6 2" xfId="4352"/>
    <cellStyle name="Total 2 10 6 3" xfId="6249"/>
    <cellStyle name="Total 2 10 7" xfId="2003"/>
    <cellStyle name="Total 2 10 7 2" xfId="4353"/>
    <cellStyle name="Total 2 10 7 3" xfId="6250"/>
    <cellStyle name="Total 2 10 8" xfId="2004"/>
    <cellStyle name="Total 2 10 8 2" xfId="4354"/>
    <cellStyle name="Total 2 10 8 3" xfId="6251"/>
    <cellStyle name="Total 2 10 9" xfId="2005"/>
    <cellStyle name="Total 2 10 9 2" xfId="4355"/>
    <cellStyle name="Total 2 10 9 3" xfId="6252"/>
    <cellStyle name="Total 2 11" xfId="2006"/>
    <cellStyle name="Total 2 11 10" xfId="2007"/>
    <cellStyle name="Total 2 11 10 2" xfId="4357"/>
    <cellStyle name="Total 2 11 10 3" xfId="6254"/>
    <cellStyle name="Total 2 11 11" xfId="2008"/>
    <cellStyle name="Total 2 11 11 2" xfId="4358"/>
    <cellStyle name="Total 2 11 11 3" xfId="6255"/>
    <cellStyle name="Total 2 11 12" xfId="2009"/>
    <cellStyle name="Total 2 11 12 2" xfId="4359"/>
    <cellStyle name="Total 2 11 12 3" xfId="6256"/>
    <cellStyle name="Total 2 11 13" xfId="2010"/>
    <cellStyle name="Total 2 11 13 2" xfId="4360"/>
    <cellStyle name="Total 2 11 13 3" xfId="6257"/>
    <cellStyle name="Total 2 11 14" xfId="2011"/>
    <cellStyle name="Total 2 11 14 2" xfId="4361"/>
    <cellStyle name="Total 2 11 14 3" xfId="6258"/>
    <cellStyle name="Total 2 11 15" xfId="2012"/>
    <cellStyle name="Total 2 11 15 2" xfId="4362"/>
    <cellStyle name="Total 2 11 15 3" xfId="6259"/>
    <cellStyle name="Total 2 11 16" xfId="2013"/>
    <cellStyle name="Total 2 11 16 2" xfId="4363"/>
    <cellStyle name="Total 2 11 16 3" xfId="6260"/>
    <cellStyle name="Total 2 11 17" xfId="2014"/>
    <cellStyle name="Total 2 11 17 2" xfId="4364"/>
    <cellStyle name="Total 2 11 17 3" xfId="6261"/>
    <cellStyle name="Total 2 11 18" xfId="2015"/>
    <cellStyle name="Total 2 11 18 2" xfId="4365"/>
    <cellStyle name="Total 2 11 18 3" xfId="6262"/>
    <cellStyle name="Total 2 11 19" xfId="2016"/>
    <cellStyle name="Total 2 11 19 2" xfId="4366"/>
    <cellStyle name="Total 2 11 19 3" xfId="6263"/>
    <cellStyle name="Total 2 11 2" xfId="2017"/>
    <cellStyle name="Total 2 11 2 2" xfId="4367"/>
    <cellStyle name="Total 2 11 2 3" xfId="6264"/>
    <cellStyle name="Total 2 11 20" xfId="2018"/>
    <cellStyle name="Total 2 11 20 2" xfId="4368"/>
    <cellStyle name="Total 2 11 20 3" xfId="6265"/>
    <cellStyle name="Total 2 11 21" xfId="2019"/>
    <cellStyle name="Total 2 11 21 2" xfId="4369"/>
    <cellStyle name="Total 2 11 21 3" xfId="6266"/>
    <cellStyle name="Total 2 11 22" xfId="2020"/>
    <cellStyle name="Total 2 11 22 2" xfId="4370"/>
    <cellStyle name="Total 2 11 22 3" xfId="6267"/>
    <cellStyle name="Total 2 11 23" xfId="2021"/>
    <cellStyle name="Total 2 11 23 2" xfId="4371"/>
    <cellStyle name="Total 2 11 23 3" xfId="6268"/>
    <cellStyle name="Total 2 11 24" xfId="4356"/>
    <cellStyle name="Total 2 11 25" xfId="6253"/>
    <cellStyle name="Total 2 11 3" xfId="2022"/>
    <cellStyle name="Total 2 11 3 2" xfId="4372"/>
    <cellStyle name="Total 2 11 3 3" xfId="6269"/>
    <cellStyle name="Total 2 11 4" xfId="2023"/>
    <cellStyle name="Total 2 11 4 2" xfId="4373"/>
    <cellStyle name="Total 2 11 4 3" xfId="6270"/>
    <cellStyle name="Total 2 11 5" xfId="2024"/>
    <cellStyle name="Total 2 11 5 2" xfId="4374"/>
    <cellStyle name="Total 2 11 5 3" xfId="6271"/>
    <cellStyle name="Total 2 11 6" xfId="2025"/>
    <cellStyle name="Total 2 11 6 2" xfId="4375"/>
    <cellStyle name="Total 2 11 6 3" xfId="6272"/>
    <cellStyle name="Total 2 11 7" xfId="2026"/>
    <cellStyle name="Total 2 11 7 2" xfId="4376"/>
    <cellStyle name="Total 2 11 7 3" xfId="6273"/>
    <cellStyle name="Total 2 11 8" xfId="2027"/>
    <cellStyle name="Total 2 11 8 2" xfId="4377"/>
    <cellStyle name="Total 2 11 8 3" xfId="6274"/>
    <cellStyle name="Total 2 11 9" xfId="2028"/>
    <cellStyle name="Total 2 11 9 2" xfId="4378"/>
    <cellStyle name="Total 2 11 9 3" xfId="6275"/>
    <cellStyle name="Total 2 12" xfId="2029"/>
    <cellStyle name="Total 2 12 10" xfId="2030"/>
    <cellStyle name="Total 2 12 10 2" xfId="4380"/>
    <cellStyle name="Total 2 12 10 3" xfId="6277"/>
    <cellStyle name="Total 2 12 11" xfId="2031"/>
    <cellStyle name="Total 2 12 11 2" xfId="4381"/>
    <cellStyle name="Total 2 12 11 3" xfId="6278"/>
    <cellStyle name="Total 2 12 12" xfId="2032"/>
    <cellStyle name="Total 2 12 12 2" xfId="4382"/>
    <cellStyle name="Total 2 12 12 3" xfId="6279"/>
    <cellStyle name="Total 2 12 13" xfId="2033"/>
    <cellStyle name="Total 2 12 13 2" xfId="4383"/>
    <cellStyle name="Total 2 12 13 3" xfId="6280"/>
    <cellStyle name="Total 2 12 14" xfId="2034"/>
    <cellStyle name="Total 2 12 14 2" xfId="4384"/>
    <cellStyle name="Total 2 12 14 3" xfId="6281"/>
    <cellStyle name="Total 2 12 15" xfId="2035"/>
    <cellStyle name="Total 2 12 15 2" xfId="4385"/>
    <cellStyle name="Total 2 12 15 3" xfId="6282"/>
    <cellStyle name="Total 2 12 16" xfId="2036"/>
    <cellStyle name="Total 2 12 16 2" xfId="4386"/>
    <cellStyle name="Total 2 12 16 3" xfId="6283"/>
    <cellStyle name="Total 2 12 17" xfId="2037"/>
    <cellStyle name="Total 2 12 17 2" xfId="4387"/>
    <cellStyle name="Total 2 12 17 3" xfId="6284"/>
    <cellStyle name="Total 2 12 18" xfId="2038"/>
    <cellStyle name="Total 2 12 18 2" xfId="4388"/>
    <cellStyle name="Total 2 12 18 3" xfId="6285"/>
    <cellStyle name="Total 2 12 19" xfId="2039"/>
    <cellStyle name="Total 2 12 19 2" xfId="4389"/>
    <cellStyle name="Total 2 12 19 3" xfId="6286"/>
    <cellStyle name="Total 2 12 2" xfId="2040"/>
    <cellStyle name="Total 2 12 2 2" xfId="4390"/>
    <cellStyle name="Total 2 12 2 3" xfId="6287"/>
    <cellStyle name="Total 2 12 20" xfId="2041"/>
    <cellStyle name="Total 2 12 20 2" xfId="4391"/>
    <cellStyle name="Total 2 12 20 3" xfId="6288"/>
    <cellStyle name="Total 2 12 21" xfId="2042"/>
    <cellStyle name="Total 2 12 21 2" xfId="4392"/>
    <cellStyle name="Total 2 12 21 3" xfId="6289"/>
    <cellStyle name="Total 2 12 22" xfId="2043"/>
    <cellStyle name="Total 2 12 22 2" xfId="4393"/>
    <cellStyle name="Total 2 12 22 3" xfId="6290"/>
    <cellStyle name="Total 2 12 23" xfId="2044"/>
    <cellStyle name="Total 2 12 23 2" xfId="4394"/>
    <cellStyle name="Total 2 12 23 3" xfId="6291"/>
    <cellStyle name="Total 2 12 24" xfId="4379"/>
    <cellStyle name="Total 2 12 25" xfId="6276"/>
    <cellStyle name="Total 2 12 3" xfId="2045"/>
    <cellStyle name="Total 2 12 3 2" xfId="4395"/>
    <cellStyle name="Total 2 12 3 3" xfId="6292"/>
    <cellStyle name="Total 2 12 4" xfId="2046"/>
    <cellStyle name="Total 2 12 4 2" xfId="4396"/>
    <cellStyle name="Total 2 12 4 3" xfId="6293"/>
    <cellStyle name="Total 2 12 5" xfId="2047"/>
    <cellStyle name="Total 2 12 5 2" xfId="4397"/>
    <cellStyle name="Total 2 12 5 3" xfId="6294"/>
    <cellStyle name="Total 2 12 6" xfId="2048"/>
    <cellStyle name="Total 2 12 6 2" xfId="4398"/>
    <cellStyle name="Total 2 12 6 3" xfId="6295"/>
    <cellStyle name="Total 2 12 7" xfId="2049"/>
    <cellStyle name="Total 2 12 7 2" xfId="4399"/>
    <cellStyle name="Total 2 12 7 3" xfId="6296"/>
    <cellStyle name="Total 2 12 8" xfId="2050"/>
    <cellStyle name="Total 2 12 8 2" xfId="4400"/>
    <cellStyle name="Total 2 12 8 3" xfId="6297"/>
    <cellStyle name="Total 2 12 9" xfId="2051"/>
    <cellStyle name="Total 2 12 9 2" xfId="4401"/>
    <cellStyle name="Total 2 12 9 3" xfId="6298"/>
    <cellStyle name="Total 2 13" xfId="2052"/>
    <cellStyle name="Total 2 13 10" xfId="2053"/>
    <cellStyle name="Total 2 13 10 2" xfId="4403"/>
    <cellStyle name="Total 2 13 10 3" xfId="6300"/>
    <cellStyle name="Total 2 13 11" xfId="2054"/>
    <cellStyle name="Total 2 13 11 2" xfId="4404"/>
    <cellStyle name="Total 2 13 11 3" xfId="6301"/>
    <cellStyle name="Total 2 13 12" xfId="2055"/>
    <cellStyle name="Total 2 13 12 2" xfId="4405"/>
    <cellStyle name="Total 2 13 12 3" xfId="6302"/>
    <cellStyle name="Total 2 13 13" xfId="2056"/>
    <cellStyle name="Total 2 13 13 2" xfId="4406"/>
    <cellStyle name="Total 2 13 13 3" xfId="6303"/>
    <cellStyle name="Total 2 13 14" xfId="2057"/>
    <cellStyle name="Total 2 13 14 2" xfId="4407"/>
    <cellStyle name="Total 2 13 14 3" xfId="6304"/>
    <cellStyle name="Total 2 13 15" xfId="2058"/>
    <cellStyle name="Total 2 13 15 2" xfId="4408"/>
    <cellStyle name="Total 2 13 15 3" xfId="6305"/>
    <cellStyle name="Total 2 13 16" xfId="2059"/>
    <cellStyle name="Total 2 13 16 2" xfId="4409"/>
    <cellStyle name="Total 2 13 16 3" xfId="6306"/>
    <cellStyle name="Total 2 13 17" xfId="2060"/>
    <cellStyle name="Total 2 13 17 2" xfId="4410"/>
    <cellStyle name="Total 2 13 17 3" xfId="6307"/>
    <cellStyle name="Total 2 13 18" xfId="2061"/>
    <cellStyle name="Total 2 13 18 2" xfId="4411"/>
    <cellStyle name="Total 2 13 18 3" xfId="6308"/>
    <cellStyle name="Total 2 13 19" xfId="2062"/>
    <cellStyle name="Total 2 13 19 2" xfId="4412"/>
    <cellStyle name="Total 2 13 19 3" xfId="6309"/>
    <cellStyle name="Total 2 13 2" xfId="2063"/>
    <cellStyle name="Total 2 13 2 2" xfId="4413"/>
    <cellStyle name="Total 2 13 2 3" xfId="6310"/>
    <cellStyle name="Total 2 13 20" xfId="2064"/>
    <cellStyle name="Total 2 13 20 2" xfId="4414"/>
    <cellStyle name="Total 2 13 20 3" xfId="6311"/>
    <cellStyle name="Total 2 13 21" xfId="2065"/>
    <cellStyle name="Total 2 13 21 2" xfId="4415"/>
    <cellStyle name="Total 2 13 21 3" xfId="6312"/>
    <cellStyle name="Total 2 13 22" xfId="2066"/>
    <cellStyle name="Total 2 13 22 2" xfId="4416"/>
    <cellStyle name="Total 2 13 22 3" xfId="6313"/>
    <cellStyle name="Total 2 13 23" xfId="2067"/>
    <cellStyle name="Total 2 13 23 2" xfId="4417"/>
    <cellStyle name="Total 2 13 23 3" xfId="6314"/>
    <cellStyle name="Total 2 13 24" xfId="4402"/>
    <cellStyle name="Total 2 13 25" xfId="6299"/>
    <cellStyle name="Total 2 13 3" xfId="2068"/>
    <cellStyle name="Total 2 13 3 2" xfId="4418"/>
    <cellStyle name="Total 2 13 3 3" xfId="6315"/>
    <cellStyle name="Total 2 13 4" xfId="2069"/>
    <cellStyle name="Total 2 13 4 2" xfId="4419"/>
    <cellStyle name="Total 2 13 4 3" xfId="6316"/>
    <cellStyle name="Total 2 13 5" xfId="2070"/>
    <cellStyle name="Total 2 13 5 2" xfId="4420"/>
    <cellStyle name="Total 2 13 5 3" xfId="6317"/>
    <cellStyle name="Total 2 13 6" xfId="2071"/>
    <cellStyle name="Total 2 13 6 2" xfId="4421"/>
    <cellStyle name="Total 2 13 6 3" xfId="6318"/>
    <cellStyle name="Total 2 13 7" xfId="2072"/>
    <cellStyle name="Total 2 13 7 2" xfId="4422"/>
    <cellStyle name="Total 2 13 7 3" xfId="6319"/>
    <cellStyle name="Total 2 13 8" xfId="2073"/>
    <cellStyle name="Total 2 13 8 2" xfId="4423"/>
    <cellStyle name="Total 2 13 8 3" xfId="6320"/>
    <cellStyle name="Total 2 13 9" xfId="2074"/>
    <cellStyle name="Total 2 13 9 2" xfId="4424"/>
    <cellStyle name="Total 2 13 9 3" xfId="6321"/>
    <cellStyle name="Total 2 14" xfId="2075"/>
    <cellStyle name="Total 2 14 10" xfId="2076"/>
    <cellStyle name="Total 2 14 10 2" xfId="4426"/>
    <cellStyle name="Total 2 14 10 3" xfId="6323"/>
    <cellStyle name="Total 2 14 11" xfId="2077"/>
    <cellStyle name="Total 2 14 11 2" xfId="4427"/>
    <cellStyle name="Total 2 14 11 3" xfId="6324"/>
    <cellStyle name="Total 2 14 12" xfId="2078"/>
    <cellStyle name="Total 2 14 12 2" xfId="4428"/>
    <cellStyle name="Total 2 14 12 3" xfId="6325"/>
    <cellStyle name="Total 2 14 13" xfId="2079"/>
    <cellStyle name="Total 2 14 13 2" xfId="4429"/>
    <cellStyle name="Total 2 14 13 3" xfId="6326"/>
    <cellStyle name="Total 2 14 14" xfId="2080"/>
    <cellStyle name="Total 2 14 14 2" xfId="4430"/>
    <cellStyle name="Total 2 14 14 3" xfId="6327"/>
    <cellStyle name="Total 2 14 15" xfId="2081"/>
    <cellStyle name="Total 2 14 15 2" xfId="4431"/>
    <cellStyle name="Total 2 14 15 3" xfId="6328"/>
    <cellStyle name="Total 2 14 16" xfId="2082"/>
    <cellStyle name="Total 2 14 16 2" xfId="4432"/>
    <cellStyle name="Total 2 14 16 3" xfId="6329"/>
    <cellStyle name="Total 2 14 17" xfId="2083"/>
    <cellStyle name="Total 2 14 17 2" xfId="4433"/>
    <cellStyle name="Total 2 14 17 3" xfId="6330"/>
    <cellStyle name="Total 2 14 18" xfId="2084"/>
    <cellStyle name="Total 2 14 18 2" xfId="4434"/>
    <cellStyle name="Total 2 14 18 3" xfId="6331"/>
    <cellStyle name="Total 2 14 19" xfId="2085"/>
    <cellStyle name="Total 2 14 19 2" xfId="4435"/>
    <cellStyle name="Total 2 14 19 3" xfId="6332"/>
    <cellStyle name="Total 2 14 2" xfId="2086"/>
    <cellStyle name="Total 2 14 2 2" xfId="4436"/>
    <cellStyle name="Total 2 14 2 3" xfId="6333"/>
    <cellStyle name="Total 2 14 20" xfId="2087"/>
    <cellStyle name="Total 2 14 20 2" xfId="4437"/>
    <cellStyle name="Total 2 14 20 3" xfId="6334"/>
    <cellStyle name="Total 2 14 21" xfId="2088"/>
    <cellStyle name="Total 2 14 21 2" xfId="4438"/>
    <cellStyle name="Total 2 14 21 3" xfId="6335"/>
    <cellStyle name="Total 2 14 22" xfId="2089"/>
    <cellStyle name="Total 2 14 22 2" xfId="4439"/>
    <cellStyle name="Total 2 14 22 3" xfId="6336"/>
    <cellStyle name="Total 2 14 23" xfId="2090"/>
    <cellStyle name="Total 2 14 23 2" xfId="4440"/>
    <cellStyle name="Total 2 14 23 3" xfId="6337"/>
    <cellStyle name="Total 2 14 24" xfId="4425"/>
    <cellStyle name="Total 2 14 25" xfId="6322"/>
    <cellStyle name="Total 2 14 3" xfId="2091"/>
    <cellStyle name="Total 2 14 3 2" xfId="4441"/>
    <cellStyle name="Total 2 14 3 3" xfId="6338"/>
    <cellStyle name="Total 2 14 4" xfId="2092"/>
    <cellStyle name="Total 2 14 4 2" xfId="4442"/>
    <cellStyle name="Total 2 14 4 3" xfId="6339"/>
    <cellStyle name="Total 2 14 5" xfId="2093"/>
    <cellStyle name="Total 2 14 5 2" xfId="4443"/>
    <cellStyle name="Total 2 14 5 3" xfId="6340"/>
    <cellStyle name="Total 2 14 6" xfId="2094"/>
    <cellStyle name="Total 2 14 6 2" xfId="4444"/>
    <cellStyle name="Total 2 14 6 3" xfId="6341"/>
    <cellStyle name="Total 2 14 7" xfId="2095"/>
    <cellStyle name="Total 2 14 7 2" xfId="4445"/>
    <cellStyle name="Total 2 14 7 3" xfId="6342"/>
    <cellStyle name="Total 2 14 8" xfId="2096"/>
    <cellStyle name="Total 2 14 8 2" xfId="4446"/>
    <cellStyle name="Total 2 14 8 3" xfId="6343"/>
    <cellStyle name="Total 2 14 9" xfId="2097"/>
    <cellStyle name="Total 2 14 9 2" xfId="4447"/>
    <cellStyle name="Total 2 14 9 3" xfId="6344"/>
    <cellStyle name="Total 2 15" xfId="2098"/>
    <cellStyle name="Total 2 15 2" xfId="4448"/>
    <cellStyle name="Total 2 15 3" xfId="6345"/>
    <cellStyle name="Total 2 16" xfId="2099"/>
    <cellStyle name="Total 2 16 2" xfId="4449"/>
    <cellStyle name="Total 2 16 3" xfId="6346"/>
    <cellStyle name="Total 2 17" xfId="2100"/>
    <cellStyle name="Total 2 17 2" xfId="4450"/>
    <cellStyle name="Total 2 17 3" xfId="6347"/>
    <cellStyle name="Total 2 18" xfId="2101"/>
    <cellStyle name="Total 2 18 2" xfId="4451"/>
    <cellStyle name="Total 2 18 3" xfId="6348"/>
    <cellStyle name="Total 2 19" xfId="2102"/>
    <cellStyle name="Total 2 19 2" xfId="4452"/>
    <cellStyle name="Total 2 19 3" xfId="6349"/>
    <cellStyle name="Total 2 2" xfId="2103"/>
    <cellStyle name="Total 2 2 10" xfId="2104"/>
    <cellStyle name="Total 2 2 10 2" xfId="4454"/>
    <cellStyle name="Total 2 2 10 3" xfId="6351"/>
    <cellStyle name="Total 2 2 11" xfId="2105"/>
    <cellStyle name="Total 2 2 11 2" xfId="4455"/>
    <cellStyle name="Total 2 2 11 3" xfId="6352"/>
    <cellStyle name="Total 2 2 12" xfId="2106"/>
    <cellStyle name="Total 2 2 12 2" xfId="4456"/>
    <cellStyle name="Total 2 2 12 3" xfId="6353"/>
    <cellStyle name="Total 2 2 13" xfId="2107"/>
    <cellStyle name="Total 2 2 13 2" xfId="4457"/>
    <cellStyle name="Total 2 2 13 3" xfId="6354"/>
    <cellStyle name="Total 2 2 14" xfId="2108"/>
    <cellStyle name="Total 2 2 14 2" xfId="4458"/>
    <cellStyle name="Total 2 2 14 3" xfId="6355"/>
    <cellStyle name="Total 2 2 15" xfId="2109"/>
    <cellStyle name="Total 2 2 15 2" xfId="4459"/>
    <cellStyle name="Total 2 2 15 3" xfId="6356"/>
    <cellStyle name="Total 2 2 16" xfId="2110"/>
    <cellStyle name="Total 2 2 16 2" xfId="4460"/>
    <cellStyle name="Total 2 2 16 3" xfId="6357"/>
    <cellStyle name="Total 2 2 17" xfId="2111"/>
    <cellStyle name="Total 2 2 17 2" xfId="4461"/>
    <cellStyle name="Total 2 2 17 3" xfId="6358"/>
    <cellStyle name="Total 2 2 18" xfId="2112"/>
    <cellStyle name="Total 2 2 18 2" xfId="4462"/>
    <cellStyle name="Total 2 2 18 3" xfId="6359"/>
    <cellStyle name="Total 2 2 19" xfId="2113"/>
    <cellStyle name="Total 2 2 19 2" xfId="4463"/>
    <cellStyle name="Total 2 2 19 3" xfId="6360"/>
    <cellStyle name="Total 2 2 2" xfId="2114"/>
    <cellStyle name="Total 2 2 2 2" xfId="4464"/>
    <cellStyle name="Total 2 2 2 3" xfId="6361"/>
    <cellStyle name="Total 2 2 20" xfId="2115"/>
    <cellStyle name="Total 2 2 20 2" xfId="4465"/>
    <cellStyle name="Total 2 2 20 3" xfId="6362"/>
    <cellStyle name="Total 2 2 21" xfId="2116"/>
    <cellStyle name="Total 2 2 21 2" xfId="4466"/>
    <cellStyle name="Total 2 2 21 3" xfId="6363"/>
    <cellStyle name="Total 2 2 22" xfId="2117"/>
    <cellStyle name="Total 2 2 22 2" xfId="4467"/>
    <cellStyle name="Total 2 2 22 3" xfId="6364"/>
    <cellStyle name="Total 2 2 23" xfId="2118"/>
    <cellStyle name="Total 2 2 23 2" xfId="4468"/>
    <cellStyle name="Total 2 2 23 3" xfId="6365"/>
    <cellStyle name="Total 2 2 24" xfId="4453"/>
    <cellStyle name="Total 2 2 25" xfId="6350"/>
    <cellStyle name="Total 2 2 3" xfId="2119"/>
    <cellStyle name="Total 2 2 3 2" xfId="4469"/>
    <cellStyle name="Total 2 2 3 3" xfId="6366"/>
    <cellStyle name="Total 2 2 4" xfId="2120"/>
    <cellStyle name="Total 2 2 4 2" xfId="4470"/>
    <cellStyle name="Total 2 2 4 3" xfId="6367"/>
    <cellStyle name="Total 2 2 5" xfId="2121"/>
    <cellStyle name="Total 2 2 5 2" xfId="4471"/>
    <cellStyle name="Total 2 2 5 3" xfId="6368"/>
    <cellStyle name="Total 2 2 6" xfId="2122"/>
    <cellStyle name="Total 2 2 6 2" xfId="4472"/>
    <cellStyle name="Total 2 2 6 3" xfId="6369"/>
    <cellStyle name="Total 2 2 7" xfId="2123"/>
    <cellStyle name="Total 2 2 7 2" xfId="4473"/>
    <cellStyle name="Total 2 2 7 3" xfId="6370"/>
    <cellStyle name="Total 2 2 8" xfId="2124"/>
    <cellStyle name="Total 2 2 8 2" xfId="4474"/>
    <cellStyle name="Total 2 2 8 3" xfId="6371"/>
    <cellStyle name="Total 2 2 9" xfId="2125"/>
    <cellStyle name="Total 2 2 9 2" xfId="4475"/>
    <cellStyle name="Total 2 2 9 3" xfId="6372"/>
    <cellStyle name="Total 2 20" xfId="2126"/>
    <cellStyle name="Total 2 20 2" xfId="4476"/>
    <cellStyle name="Total 2 20 3" xfId="6373"/>
    <cellStyle name="Total 2 21" xfId="2127"/>
    <cellStyle name="Total 2 21 2" xfId="4477"/>
    <cellStyle name="Total 2 21 3" xfId="6374"/>
    <cellStyle name="Total 2 22" xfId="2128"/>
    <cellStyle name="Total 2 22 2" xfId="4478"/>
    <cellStyle name="Total 2 22 3" xfId="6375"/>
    <cellStyle name="Total 2 23" xfId="2129"/>
    <cellStyle name="Total 2 23 2" xfId="4479"/>
    <cellStyle name="Total 2 23 3" xfId="6376"/>
    <cellStyle name="Total 2 24" xfId="2130"/>
    <cellStyle name="Total 2 24 2" xfId="4480"/>
    <cellStyle name="Total 2 24 3" xfId="6377"/>
    <cellStyle name="Total 2 25" xfId="2131"/>
    <cellStyle name="Total 2 25 2" xfId="4481"/>
    <cellStyle name="Total 2 25 3" xfId="6378"/>
    <cellStyle name="Total 2 26" xfId="2132"/>
    <cellStyle name="Total 2 26 2" xfId="4482"/>
    <cellStyle name="Total 2 26 3" xfId="6379"/>
    <cellStyle name="Total 2 27" xfId="2133"/>
    <cellStyle name="Total 2 27 2" xfId="4483"/>
    <cellStyle name="Total 2 27 3" xfId="6380"/>
    <cellStyle name="Total 2 28" xfId="2134"/>
    <cellStyle name="Total 2 28 2" xfId="4484"/>
    <cellStyle name="Total 2 28 3" xfId="6381"/>
    <cellStyle name="Total 2 29" xfId="2135"/>
    <cellStyle name="Total 2 29 2" xfId="4485"/>
    <cellStyle name="Total 2 29 3" xfId="6382"/>
    <cellStyle name="Total 2 3" xfId="2136"/>
    <cellStyle name="Total 2 3 10" xfId="2137"/>
    <cellStyle name="Total 2 3 10 2" xfId="4487"/>
    <cellStyle name="Total 2 3 10 3" xfId="6384"/>
    <cellStyle name="Total 2 3 11" xfId="2138"/>
    <cellStyle name="Total 2 3 11 2" xfId="4488"/>
    <cellStyle name="Total 2 3 11 3" xfId="6385"/>
    <cellStyle name="Total 2 3 12" xfId="2139"/>
    <cellStyle name="Total 2 3 12 2" xfId="4489"/>
    <cellStyle name="Total 2 3 12 3" xfId="6386"/>
    <cellStyle name="Total 2 3 13" xfId="2140"/>
    <cellStyle name="Total 2 3 13 2" xfId="4490"/>
    <cellStyle name="Total 2 3 13 3" xfId="6387"/>
    <cellStyle name="Total 2 3 14" xfId="2141"/>
    <cellStyle name="Total 2 3 14 2" xfId="4491"/>
    <cellStyle name="Total 2 3 14 3" xfId="6388"/>
    <cellStyle name="Total 2 3 15" xfId="2142"/>
    <cellStyle name="Total 2 3 15 2" xfId="4492"/>
    <cellStyle name="Total 2 3 15 3" xfId="6389"/>
    <cellStyle name="Total 2 3 16" xfId="2143"/>
    <cellStyle name="Total 2 3 16 2" xfId="4493"/>
    <cellStyle name="Total 2 3 16 3" xfId="6390"/>
    <cellStyle name="Total 2 3 17" xfId="2144"/>
    <cellStyle name="Total 2 3 17 2" xfId="4494"/>
    <cellStyle name="Total 2 3 17 3" xfId="6391"/>
    <cellStyle name="Total 2 3 18" xfId="2145"/>
    <cellStyle name="Total 2 3 18 2" xfId="4495"/>
    <cellStyle name="Total 2 3 18 3" xfId="6392"/>
    <cellStyle name="Total 2 3 19" xfId="2146"/>
    <cellStyle name="Total 2 3 19 2" xfId="4496"/>
    <cellStyle name="Total 2 3 19 3" xfId="6393"/>
    <cellStyle name="Total 2 3 2" xfId="2147"/>
    <cellStyle name="Total 2 3 2 2" xfId="4497"/>
    <cellStyle name="Total 2 3 2 3" xfId="6394"/>
    <cellStyle name="Total 2 3 20" xfId="2148"/>
    <cellStyle name="Total 2 3 20 2" xfId="4498"/>
    <cellStyle name="Total 2 3 20 3" xfId="6395"/>
    <cellStyle name="Total 2 3 21" xfId="2149"/>
    <cellStyle name="Total 2 3 21 2" xfId="4499"/>
    <cellStyle name="Total 2 3 21 3" xfId="6396"/>
    <cellStyle name="Total 2 3 22" xfId="2150"/>
    <cellStyle name="Total 2 3 22 2" xfId="4500"/>
    <cellStyle name="Total 2 3 22 3" xfId="6397"/>
    <cellStyle name="Total 2 3 23" xfId="2151"/>
    <cellStyle name="Total 2 3 23 2" xfId="4501"/>
    <cellStyle name="Total 2 3 23 3" xfId="6398"/>
    <cellStyle name="Total 2 3 24" xfId="4486"/>
    <cellStyle name="Total 2 3 25" xfId="6383"/>
    <cellStyle name="Total 2 3 3" xfId="2152"/>
    <cellStyle name="Total 2 3 3 2" xfId="4502"/>
    <cellStyle name="Total 2 3 3 3" xfId="6399"/>
    <cellStyle name="Total 2 3 4" xfId="2153"/>
    <cellStyle name="Total 2 3 4 2" xfId="4503"/>
    <cellStyle name="Total 2 3 4 3" xfId="6400"/>
    <cellStyle name="Total 2 3 5" xfId="2154"/>
    <cellStyle name="Total 2 3 5 2" xfId="4504"/>
    <cellStyle name="Total 2 3 5 3" xfId="6401"/>
    <cellStyle name="Total 2 3 6" xfId="2155"/>
    <cellStyle name="Total 2 3 6 2" xfId="4505"/>
    <cellStyle name="Total 2 3 6 3" xfId="6402"/>
    <cellStyle name="Total 2 3 7" xfId="2156"/>
    <cellStyle name="Total 2 3 7 2" xfId="4506"/>
    <cellStyle name="Total 2 3 7 3" xfId="6403"/>
    <cellStyle name="Total 2 3 8" xfId="2157"/>
    <cellStyle name="Total 2 3 8 2" xfId="4507"/>
    <cellStyle name="Total 2 3 8 3" xfId="6404"/>
    <cellStyle name="Total 2 3 9" xfId="2158"/>
    <cellStyle name="Total 2 3 9 2" xfId="4508"/>
    <cellStyle name="Total 2 3 9 3" xfId="6405"/>
    <cellStyle name="Total 2 30" xfId="2159"/>
    <cellStyle name="Total 2 30 2" xfId="4509"/>
    <cellStyle name="Total 2 30 3" xfId="6406"/>
    <cellStyle name="Total 2 31" xfId="2160"/>
    <cellStyle name="Total 2 31 2" xfId="4510"/>
    <cellStyle name="Total 2 31 3" xfId="6407"/>
    <cellStyle name="Total 2 32" xfId="2161"/>
    <cellStyle name="Total 2 32 2" xfId="4511"/>
    <cellStyle name="Total 2 32 3" xfId="6408"/>
    <cellStyle name="Total 2 33" xfId="2162"/>
    <cellStyle name="Total 2 33 2" xfId="4512"/>
    <cellStyle name="Total 2 33 3" xfId="6409"/>
    <cellStyle name="Total 2 34" xfId="2163"/>
    <cellStyle name="Total 2 34 2" xfId="4513"/>
    <cellStyle name="Total 2 34 3" xfId="6410"/>
    <cellStyle name="Total 2 35" xfId="2164"/>
    <cellStyle name="Total 2 35 2" xfId="4514"/>
    <cellStyle name="Total 2 35 3" xfId="6411"/>
    <cellStyle name="Total 2 36" xfId="2165"/>
    <cellStyle name="Total 2 36 2" xfId="4515"/>
    <cellStyle name="Total 2 36 3" xfId="6412"/>
    <cellStyle name="Total 2 37" xfId="4332"/>
    <cellStyle name="Total 2 38" xfId="6229"/>
    <cellStyle name="Total 2 4" xfId="2166"/>
    <cellStyle name="Total 2 4 10" xfId="2167"/>
    <cellStyle name="Total 2 4 10 2" xfId="4517"/>
    <cellStyle name="Total 2 4 10 3" xfId="6414"/>
    <cellStyle name="Total 2 4 11" xfId="2168"/>
    <cellStyle name="Total 2 4 11 2" xfId="4518"/>
    <cellStyle name="Total 2 4 11 3" xfId="6415"/>
    <cellStyle name="Total 2 4 12" xfId="2169"/>
    <cellStyle name="Total 2 4 12 2" xfId="4519"/>
    <cellStyle name="Total 2 4 12 3" xfId="6416"/>
    <cellStyle name="Total 2 4 13" xfId="2170"/>
    <cellStyle name="Total 2 4 13 2" xfId="4520"/>
    <cellStyle name="Total 2 4 13 3" xfId="6417"/>
    <cellStyle name="Total 2 4 14" xfId="2171"/>
    <cellStyle name="Total 2 4 14 2" xfId="4521"/>
    <cellStyle name="Total 2 4 14 3" xfId="6418"/>
    <cellStyle name="Total 2 4 15" xfId="2172"/>
    <cellStyle name="Total 2 4 15 2" xfId="4522"/>
    <cellStyle name="Total 2 4 15 3" xfId="6419"/>
    <cellStyle name="Total 2 4 16" xfId="2173"/>
    <cellStyle name="Total 2 4 16 2" xfId="4523"/>
    <cellStyle name="Total 2 4 16 3" xfId="6420"/>
    <cellStyle name="Total 2 4 17" xfId="2174"/>
    <cellStyle name="Total 2 4 17 2" xfId="4524"/>
    <cellStyle name="Total 2 4 17 3" xfId="6421"/>
    <cellStyle name="Total 2 4 18" xfId="2175"/>
    <cellStyle name="Total 2 4 18 2" xfId="4525"/>
    <cellStyle name="Total 2 4 18 3" xfId="6422"/>
    <cellStyle name="Total 2 4 19" xfId="2176"/>
    <cellStyle name="Total 2 4 19 2" xfId="4526"/>
    <cellStyle name="Total 2 4 19 3" xfId="6423"/>
    <cellStyle name="Total 2 4 2" xfId="2177"/>
    <cellStyle name="Total 2 4 2 2" xfId="4527"/>
    <cellStyle name="Total 2 4 2 3" xfId="6424"/>
    <cellStyle name="Total 2 4 20" xfId="2178"/>
    <cellStyle name="Total 2 4 20 2" xfId="4528"/>
    <cellStyle name="Total 2 4 20 3" xfId="6425"/>
    <cellStyle name="Total 2 4 21" xfId="2179"/>
    <cellStyle name="Total 2 4 21 2" xfId="4529"/>
    <cellStyle name="Total 2 4 21 3" xfId="6426"/>
    <cellStyle name="Total 2 4 22" xfId="2180"/>
    <cellStyle name="Total 2 4 22 2" xfId="4530"/>
    <cellStyle name="Total 2 4 22 3" xfId="6427"/>
    <cellStyle name="Total 2 4 23" xfId="2181"/>
    <cellStyle name="Total 2 4 23 2" xfId="4531"/>
    <cellStyle name="Total 2 4 23 3" xfId="6428"/>
    <cellStyle name="Total 2 4 24" xfId="4516"/>
    <cellStyle name="Total 2 4 25" xfId="6413"/>
    <cellStyle name="Total 2 4 3" xfId="2182"/>
    <cellStyle name="Total 2 4 3 2" xfId="4532"/>
    <cellStyle name="Total 2 4 3 3" xfId="6429"/>
    <cellStyle name="Total 2 4 4" xfId="2183"/>
    <cellStyle name="Total 2 4 4 2" xfId="4533"/>
    <cellStyle name="Total 2 4 4 3" xfId="6430"/>
    <cellStyle name="Total 2 4 5" xfId="2184"/>
    <cellStyle name="Total 2 4 5 2" xfId="4534"/>
    <cellStyle name="Total 2 4 5 3" xfId="6431"/>
    <cellStyle name="Total 2 4 6" xfId="2185"/>
    <cellStyle name="Total 2 4 6 2" xfId="4535"/>
    <cellStyle name="Total 2 4 6 3" xfId="6432"/>
    <cellStyle name="Total 2 4 7" xfId="2186"/>
    <cellStyle name="Total 2 4 7 2" xfId="4536"/>
    <cellStyle name="Total 2 4 7 3" xfId="6433"/>
    <cellStyle name="Total 2 4 8" xfId="2187"/>
    <cellStyle name="Total 2 4 8 2" xfId="4537"/>
    <cellStyle name="Total 2 4 8 3" xfId="6434"/>
    <cellStyle name="Total 2 4 9" xfId="2188"/>
    <cellStyle name="Total 2 4 9 2" xfId="4538"/>
    <cellStyle name="Total 2 4 9 3" xfId="6435"/>
    <cellStyle name="Total 2 5" xfId="2189"/>
    <cellStyle name="Total 2 5 10" xfId="2190"/>
    <cellStyle name="Total 2 5 10 2" xfId="4540"/>
    <cellStyle name="Total 2 5 10 3" xfId="6437"/>
    <cellStyle name="Total 2 5 11" xfId="2191"/>
    <cellStyle name="Total 2 5 11 2" xfId="4541"/>
    <cellStyle name="Total 2 5 11 3" xfId="6438"/>
    <cellStyle name="Total 2 5 12" xfId="2192"/>
    <cellStyle name="Total 2 5 12 2" xfId="4542"/>
    <cellStyle name="Total 2 5 12 3" xfId="6439"/>
    <cellStyle name="Total 2 5 13" xfId="2193"/>
    <cellStyle name="Total 2 5 13 2" xfId="4543"/>
    <cellStyle name="Total 2 5 13 3" xfId="6440"/>
    <cellStyle name="Total 2 5 14" xfId="2194"/>
    <cellStyle name="Total 2 5 14 2" xfId="4544"/>
    <cellStyle name="Total 2 5 14 3" xfId="6441"/>
    <cellStyle name="Total 2 5 15" xfId="2195"/>
    <cellStyle name="Total 2 5 15 2" xfId="4545"/>
    <cellStyle name="Total 2 5 15 3" xfId="6442"/>
    <cellStyle name="Total 2 5 16" xfId="2196"/>
    <cellStyle name="Total 2 5 16 2" xfId="4546"/>
    <cellStyle name="Total 2 5 16 3" xfId="6443"/>
    <cellStyle name="Total 2 5 17" xfId="2197"/>
    <cellStyle name="Total 2 5 17 2" xfId="4547"/>
    <cellStyle name="Total 2 5 17 3" xfId="6444"/>
    <cellStyle name="Total 2 5 18" xfId="2198"/>
    <cellStyle name="Total 2 5 18 2" xfId="4548"/>
    <cellStyle name="Total 2 5 18 3" xfId="6445"/>
    <cellStyle name="Total 2 5 19" xfId="2199"/>
    <cellStyle name="Total 2 5 19 2" xfId="4549"/>
    <cellStyle name="Total 2 5 19 3" xfId="6446"/>
    <cellStyle name="Total 2 5 2" xfId="2200"/>
    <cellStyle name="Total 2 5 2 2" xfId="4550"/>
    <cellStyle name="Total 2 5 2 3" xfId="6447"/>
    <cellStyle name="Total 2 5 20" xfId="2201"/>
    <cellStyle name="Total 2 5 20 2" xfId="4551"/>
    <cellStyle name="Total 2 5 20 3" xfId="6448"/>
    <cellStyle name="Total 2 5 21" xfId="2202"/>
    <cellStyle name="Total 2 5 21 2" xfId="4552"/>
    <cellStyle name="Total 2 5 21 3" xfId="6449"/>
    <cellStyle name="Total 2 5 22" xfId="2203"/>
    <cellStyle name="Total 2 5 22 2" xfId="4553"/>
    <cellStyle name="Total 2 5 22 3" xfId="6450"/>
    <cellStyle name="Total 2 5 23" xfId="2204"/>
    <cellStyle name="Total 2 5 23 2" xfId="4554"/>
    <cellStyle name="Total 2 5 23 3" xfId="6451"/>
    <cellStyle name="Total 2 5 24" xfId="4539"/>
    <cellStyle name="Total 2 5 25" xfId="6436"/>
    <cellStyle name="Total 2 5 3" xfId="2205"/>
    <cellStyle name="Total 2 5 3 2" xfId="4555"/>
    <cellStyle name="Total 2 5 3 3" xfId="6452"/>
    <cellStyle name="Total 2 5 4" xfId="2206"/>
    <cellStyle name="Total 2 5 4 2" xfId="4556"/>
    <cellStyle name="Total 2 5 4 3" xfId="6453"/>
    <cellStyle name="Total 2 5 5" xfId="2207"/>
    <cellStyle name="Total 2 5 5 2" xfId="4557"/>
    <cellStyle name="Total 2 5 5 3" xfId="6454"/>
    <cellStyle name="Total 2 5 6" xfId="2208"/>
    <cellStyle name="Total 2 5 6 2" xfId="4558"/>
    <cellStyle name="Total 2 5 6 3" xfId="6455"/>
    <cellStyle name="Total 2 5 7" xfId="2209"/>
    <cellStyle name="Total 2 5 7 2" xfId="4559"/>
    <cellStyle name="Total 2 5 7 3" xfId="6456"/>
    <cellStyle name="Total 2 5 8" xfId="2210"/>
    <cellStyle name="Total 2 5 8 2" xfId="4560"/>
    <cellStyle name="Total 2 5 8 3" xfId="6457"/>
    <cellStyle name="Total 2 5 9" xfId="2211"/>
    <cellStyle name="Total 2 5 9 2" xfId="4561"/>
    <cellStyle name="Total 2 5 9 3" xfId="6458"/>
    <cellStyle name="Total 2 6" xfId="2212"/>
    <cellStyle name="Total 2 6 10" xfId="2213"/>
    <cellStyle name="Total 2 6 10 2" xfId="4563"/>
    <cellStyle name="Total 2 6 10 3" xfId="6460"/>
    <cellStyle name="Total 2 6 11" xfId="2214"/>
    <cellStyle name="Total 2 6 11 2" xfId="4564"/>
    <cellStyle name="Total 2 6 11 3" xfId="6461"/>
    <cellStyle name="Total 2 6 12" xfId="2215"/>
    <cellStyle name="Total 2 6 12 2" xfId="4565"/>
    <cellStyle name="Total 2 6 12 3" xfId="6462"/>
    <cellStyle name="Total 2 6 13" xfId="2216"/>
    <cellStyle name="Total 2 6 13 2" xfId="4566"/>
    <cellStyle name="Total 2 6 13 3" xfId="6463"/>
    <cellStyle name="Total 2 6 14" xfId="2217"/>
    <cellStyle name="Total 2 6 14 2" xfId="4567"/>
    <cellStyle name="Total 2 6 14 3" xfId="6464"/>
    <cellStyle name="Total 2 6 15" xfId="2218"/>
    <cellStyle name="Total 2 6 15 2" xfId="4568"/>
    <cellStyle name="Total 2 6 15 3" xfId="6465"/>
    <cellStyle name="Total 2 6 16" xfId="2219"/>
    <cellStyle name="Total 2 6 16 2" xfId="4569"/>
    <cellStyle name="Total 2 6 16 3" xfId="6466"/>
    <cellStyle name="Total 2 6 17" xfId="2220"/>
    <cellStyle name="Total 2 6 17 2" xfId="4570"/>
    <cellStyle name="Total 2 6 17 3" xfId="6467"/>
    <cellStyle name="Total 2 6 18" xfId="2221"/>
    <cellStyle name="Total 2 6 18 2" xfId="4571"/>
    <cellStyle name="Total 2 6 18 3" xfId="6468"/>
    <cellStyle name="Total 2 6 19" xfId="2222"/>
    <cellStyle name="Total 2 6 19 2" xfId="4572"/>
    <cellStyle name="Total 2 6 19 3" xfId="6469"/>
    <cellStyle name="Total 2 6 2" xfId="2223"/>
    <cellStyle name="Total 2 6 2 2" xfId="4573"/>
    <cellStyle name="Total 2 6 2 3" xfId="6470"/>
    <cellStyle name="Total 2 6 20" xfId="2224"/>
    <cellStyle name="Total 2 6 20 2" xfId="4574"/>
    <cellStyle name="Total 2 6 20 3" xfId="6471"/>
    <cellStyle name="Total 2 6 21" xfId="2225"/>
    <cellStyle name="Total 2 6 21 2" xfId="4575"/>
    <cellStyle name="Total 2 6 21 3" xfId="6472"/>
    <cellStyle name="Total 2 6 22" xfId="2226"/>
    <cellStyle name="Total 2 6 22 2" xfId="4576"/>
    <cellStyle name="Total 2 6 22 3" xfId="6473"/>
    <cellStyle name="Total 2 6 23" xfId="2227"/>
    <cellStyle name="Total 2 6 23 2" xfId="4577"/>
    <cellStyle name="Total 2 6 23 3" xfId="6474"/>
    <cellStyle name="Total 2 6 24" xfId="4562"/>
    <cellStyle name="Total 2 6 25" xfId="6459"/>
    <cellStyle name="Total 2 6 3" xfId="2228"/>
    <cellStyle name="Total 2 6 3 2" xfId="4578"/>
    <cellStyle name="Total 2 6 3 3" xfId="6475"/>
    <cellStyle name="Total 2 6 4" xfId="2229"/>
    <cellStyle name="Total 2 6 4 2" xfId="4579"/>
    <cellStyle name="Total 2 6 4 3" xfId="6476"/>
    <cellStyle name="Total 2 6 5" xfId="2230"/>
    <cellStyle name="Total 2 6 5 2" xfId="4580"/>
    <cellStyle name="Total 2 6 5 3" xfId="6477"/>
    <cellStyle name="Total 2 6 6" xfId="2231"/>
    <cellStyle name="Total 2 6 6 2" xfId="4581"/>
    <cellStyle name="Total 2 6 6 3" xfId="6478"/>
    <cellStyle name="Total 2 6 7" xfId="2232"/>
    <cellStyle name="Total 2 6 7 2" xfId="4582"/>
    <cellStyle name="Total 2 6 7 3" xfId="6479"/>
    <cellStyle name="Total 2 6 8" xfId="2233"/>
    <cellStyle name="Total 2 6 8 2" xfId="4583"/>
    <cellStyle name="Total 2 6 8 3" xfId="6480"/>
    <cellStyle name="Total 2 6 9" xfId="2234"/>
    <cellStyle name="Total 2 6 9 2" xfId="4584"/>
    <cellStyle name="Total 2 6 9 3" xfId="6481"/>
    <cellStyle name="Total 2 7" xfId="2235"/>
    <cellStyle name="Total 2 7 10" xfId="2236"/>
    <cellStyle name="Total 2 7 10 2" xfId="4586"/>
    <cellStyle name="Total 2 7 10 3" xfId="6483"/>
    <cellStyle name="Total 2 7 11" xfId="2237"/>
    <cellStyle name="Total 2 7 11 2" xfId="4587"/>
    <cellStyle name="Total 2 7 11 3" xfId="6484"/>
    <cellStyle name="Total 2 7 12" xfId="2238"/>
    <cellStyle name="Total 2 7 12 2" xfId="4588"/>
    <cellStyle name="Total 2 7 12 3" xfId="6485"/>
    <cellStyle name="Total 2 7 13" xfId="2239"/>
    <cellStyle name="Total 2 7 13 2" xfId="4589"/>
    <cellStyle name="Total 2 7 13 3" xfId="6486"/>
    <cellStyle name="Total 2 7 14" xfId="2240"/>
    <cellStyle name="Total 2 7 14 2" xfId="4590"/>
    <cellStyle name="Total 2 7 14 3" xfId="6487"/>
    <cellStyle name="Total 2 7 15" xfId="2241"/>
    <cellStyle name="Total 2 7 15 2" xfId="4591"/>
    <cellStyle name="Total 2 7 15 3" xfId="6488"/>
    <cellStyle name="Total 2 7 16" xfId="2242"/>
    <cellStyle name="Total 2 7 16 2" xfId="4592"/>
    <cellStyle name="Total 2 7 16 3" xfId="6489"/>
    <cellStyle name="Total 2 7 17" xfId="2243"/>
    <cellStyle name="Total 2 7 17 2" xfId="4593"/>
    <cellStyle name="Total 2 7 17 3" xfId="6490"/>
    <cellStyle name="Total 2 7 18" xfId="2244"/>
    <cellStyle name="Total 2 7 18 2" xfId="4594"/>
    <cellStyle name="Total 2 7 18 3" xfId="6491"/>
    <cellStyle name="Total 2 7 19" xfId="2245"/>
    <cellStyle name="Total 2 7 19 2" xfId="4595"/>
    <cellStyle name="Total 2 7 19 3" xfId="6492"/>
    <cellStyle name="Total 2 7 2" xfId="2246"/>
    <cellStyle name="Total 2 7 2 2" xfId="4596"/>
    <cellStyle name="Total 2 7 2 3" xfId="6493"/>
    <cellStyle name="Total 2 7 20" xfId="2247"/>
    <cellStyle name="Total 2 7 20 2" xfId="4597"/>
    <cellStyle name="Total 2 7 20 3" xfId="6494"/>
    <cellStyle name="Total 2 7 21" xfId="2248"/>
    <cellStyle name="Total 2 7 21 2" xfId="4598"/>
    <cellStyle name="Total 2 7 21 3" xfId="6495"/>
    <cellStyle name="Total 2 7 22" xfId="2249"/>
    <cellStyle name="Total 2 7 22 2" xfId="4599"/>
    <cellStyle name="Total 2 7 22 3" xfId="6496"/>
    <cellStyle name="Total 2 7 23" xfId="2250"/>
    <cellStyle name="Total 2 7 23 2" xfId="4600"/>
    <cellStyle name="Total 2 7 23 3" xfId="6497"/>
    <cellStyle name="Total 2 7 24" xfId="4585"/>
    <cellStyle name="Total 2 7 25" xfId="6482"/>
    <cellStyle name="Total 2 7 3" xfId="2251"/>
    <cellStyle name="Total 2 7 3 2" xfId="4601"/>
    <cellStyle name="Total 2 7 3 3" xfId="6498"/>
    <cellStyle name="Total 2 7 4" xfId="2252"/>
    <cellStyle name="Total 2 7 4 2" xfId="4602"/>
    <cellStyle name="Total 2 7 4 3" xfId="6499"/>
    <cellStyle name="Total 2 7 5" xfId="2253"/>
    <cellStyle name="Total 2 7 5 2" xfId="4603"/>
    <cellStyle name="Total 2 7 5 3" xfId="6500"/>
    <cellStyle name="Total 2 7 6" xfId="2254"/>
    <cellStyle name="Total 2 7 6 2" xfId="4604"/>
    <cellStyle name="Total 2 7 6 3" xfId="6501"/>
    <cellStyle name="Total 2 7 7" xfId="2255"/>
    <cellStyle name="Total 2 7 7 2" xfId="4605"/>
    <cellStyle name="Total 2 7 7 3" xfId="6502"/>
    <cellStyle name="Total 2 7 8" xfId="2256"/>
    <cellStyle name="Total 2 7 8 2" xfId="4606"/>
    <cellStyle name="Total 2 7 8 3" xfId="6503"/>
    <cellStyle name="Total 2 7 9" xfId="2257"/>
    <cellStyle name="Total 2 7 9 2" xfId="4607"/>
    <cellStyle name="Total 2 7 9 3" xfId="6504"/>
    <cellStyle name="Total 2 8" xfId="2258"/>
    <cellStyle name="Total 2 8 10" xfId="2259"/>
    <cellStyle name="Total 2 8 10 2" xfId="4609"/>
    <cellStyle name="Total 2 8 10 3" xfId="6506"/>
    <cellStyle name="Total 2 8 11" xfId="2260"/>
    <cellStyle name="Total 2 8 11 2" xfId="4610"/>
    <cellStyle name="Total 2 8 11 3" xfId="6507"/>
    <cellStyle name="Total 2 8 12" xfId="2261"/>
    <cellStyle name="Total 2 8 12 2" xfId="4611"/>
    <cellStyle name="Total 2 8 12 3" xfId="6508"/>
    <cellStyle name="Total 2 8 13" xfId="2262"/>
    <cellStyle name="Total 2 8 13 2" xfId="4612"/>
    <cellStyle name="Total 2 8 13 3" xfId="6509"/>
    <cellStyle name="Total 2 8 14" xfId="2263"/>
    <cellStyle name="Total 2 8 14 2" xfId="4613"/>
    <cellStyle name="Total 2 8 14 3" xfId="6510"/>
    <cellStyle name="Total 2 8 15" xfId="2264"/>
    <cellStyle name="Total 2 8 15 2" xfId="4614"/>
    <cellStyle name="Total 2 8 15 3" xfId="6511"/>
    <cellStyle name="Total 2 8 16" xfId="2265"/>
    <cellStyle name="Total 2 8 16 2" xfId="4615"/>
    <cellStyle name="Total 2 8 16 3" xfId="6512"/>
    <cellStyle name="Total 2 8 17" xfId="2266"/>
    <cellStyle name="Total 2 8 17 2" xfId="4616"/>
    <cellStyle name="Total 2 8 17 3" xfId="6513"/>
    <cellStyle name="Total 2 8 18" xfId="2267"/>
    <cellStyle name="Total 2 8 18 2" xfId="4617"/>
    <cellStyle name="Total 2 8 18 3" xfId="6514"/>
    <cellStyle name="Total 2 8 19" xfId="2268"/>
    <cellStyle name="Total 2 8 19 2" xfId="4618"/>
    <cellStyle name="Total 2 8 19 3" xfId="6515"/>
    <cellStyle name="Total 2 8 2" xfId="2269"/>
    <cellStyle name="Total 2 8 2 2" xfId="4619"/>
    <cellStyle name="Total 2 8 2 3" xfId="6516"/>
    <cellStyle name="Total 2 8 20" xfId="2270"/>
    <cellStyle name="Total 2 8 20 2" xfId="4620"/>
    <cellStyle name="Total 2 8 20 3" xfId="6517"/>
    <cellStyle name="Total 2 8 21" xfId="2271"/>
    <cellStyle name="Total 2 8 21 2" xfId="4621"/>
    <cellStyle name="Total 2 8 21 3" xfId="6518"/>
    <cellStyle name="Total 2 8 22" xfId="2272"/>
    <cellStyle name="Total 2 8 22 2" xfId="4622"/>
    <cellStyle name="Total 2 8 22 3" xfId="6519"/>
    <cellStyle name="Total 2 8 23" xfId="2273"/>
    <cellStyle name="Total 2 8 23 2" xfId="4623"/>
    <cellStyle name="Total 2 8 23 3" xfId="6520"/>
    <cellStyle name="Total 2 8 24" xfId="4608"/>
    <cellStyle name="Total 2 8 25" xfId="6505"/>
    <cellStyle name="Total 2 8 3" xfId="2274"/>
    <cellStyle name="Total 2 8 3 2" xfId="4624"/>
    <cellStyle name="Total 2 8 3 3" xfId="6521"/>
    <cellStyle name="Total 2 8 4" xfId="2275"/>
    <cellStyle name="Total 2 8 4 2" xfId="4625"/>
    <cellStyle name="Total 2 8 4 3" xfId="6522"/>
    <cellStyle name="Total 2 8 5" xfId="2276"/>
    <cellStyle name="Total 2 8 5 2" xfId="4626"/>
    <cellStyle name="Total 2 8 5 3" xfId="6523"/>
    <cellStyle name="Total 2 8 6" xfId="2277"/>
    <cellStyle name="Total 2 8 6 2" xfId="4627"/>
    <cellStyle name="Total 2 8 6 3" xfId="6524"/>
    <cellStyle name="Total 2 8 7" xfId="2278"/>
    <cellStyle name="Total 2 8 7 2" xfId="4628"/>
    <cellStyle name="Total 2 8 7 3" xfId="6525"/>
    <cellStyle name="Total 2 8 8" xfId="2279"/>
    <cellStyle name="Total 2 8 8 2" xfId="4629"/>
    <cellStyle name="Total 2 8 8 3" xfId="6526"/>
    <cellStyle name="Total 2 8 9" xfId="2280"/>
    <cellStyle name="Total 2 8 9 2" xfId="4630"/>
    <cellStyle name="Total 2 8 9 3" xfId="6527"/>
    <cellStyle name="Total 2 9" xfId="2281"/>
    <cellStyle name="Total 2 9 10" xfId="2282"/>
    <cellStyle name="Total 2 9 10 2" xfId="4632"/>
    <cellStyle name="Total 2 9 10 3" xfId="6529"/>
    <cellStyle name="Total 2 9 11" xfId="2283"/>
    <cellStyle name="Total 2 9 11 2" xfId="4633"/>
    <cellStyle name="Total 2 9 11 3" xfId="6530"/>
    <cellStyle name="Total 2 9 12" xfId="2284"/>
    <cellStyle name="Total 2 9 12 2" xfId="4634"/>
    <cellStyle name="Total 2 9 12 3" xfId="6531"/>
    <cellStyle name="Total 2 9 13" xfId="2285"/>
    <cellStyle name="Total 2 9 13 2" xfId="4635"/>
    <cellStyle name="Total 2 9 13 3" xfId="6532"/>
    <cellStyle name="Total 2 9 14" xfId="2286"/>
    <cellStyle name="Total 2 9 14 2" xfId="4636"/>
    <cellStyle name="Total 2 9 14 3" xfId="6533"/>
    <cellStyle name="Total 2 9 15" xfId="2287"/>
    <cellStyle name="Total 2 9 15 2" xfId="4637"/>
    <cellStyle name="Total 2 9 15 3" xfId="6534"/>
    <cellStyle name="Total 2 9 16" xfId="2288"/>
    <cellStyle name="Total 2 9 16 2" xfId="4638"/>
    <cellStyle name="Total 2 9 16 3" xfId="6535"/>
    <cellStyle name="Total 2 9 17" xfId="2289"/>
    <cellStyle name="Total 2 9 17 2" xfId="4639"/>
    <cellStyle name="Total 2 9 17 3" xfId="6536"/>
    <cellStyle name="Total 2 9 18" xfId="2290"/>
    <cellStyle name="Total 2 9 18 2" xfId="4640"/>
    <cellStyle name="Total 2 9 18 3" xfId="6537"/>
    <cellStyle name="Total 2 9 19" xfId="2291"/>
    <cellStyle name="Total 2 9 19 2" xfId="4641"/>
    <cellStyle name="Total 2 9 19 3" xfId="6538"/>
    <cellStyle name="Total 2 9 2" xfId="2292"/>
    <cellStyle name="Total 2 9 2 2" xfId="4642"/>
    <cellStyle name="Total 2 9 2 3" xfId="6539"/>
    <cellStyle name="Total 2 9 20" xfId="2293"/>
    <cellStyle name="Total 2 9 20 2" xfId="4643"/>
    <cellStyle name="Total 2 9 20 3" xfId="6540"/>
    <cellStyle name="Total 2 9 21" xfId="2294"/>
    <cellStyle name="Total 2 9 21 2" xfId="4644"/>
    <cellStyle name="Total 2 9 21 3" xfId="6541"/>
    <cellStyle name="Total 2 9 22" xfId="2295"/>
    <cellStyle name="Total 2 9 22 2" xfId="4645"/>
    <cellStyle name="Total 2 9 22 3" xfId="6542"/>
    <cellStyle name="Total 2 9 23" xfId="2296"/>
    <cellStyle name="Total 2 9 23 2" xfId="4646"/>
    <cellStyle name="Total 2 9 23 3" xfId="6543"/>
    <cellStyle name="Total 2 9 24" xfId="4631"/>
    <cellStyle name="Total 2 9 25" xfId="6528"/>
    <cellStyle name="Total 2 9 3" xfId="2297"/>
    <cellStyle name="Total 2 9 3 2" xfId="4647"/>
    <cellStyle name="Total 2 9 3 3" xfId="6544"/>
    <cellStyle name="Total 2 9 4" xfId="2298"/>
    <cellStyle name="Total 2 9 4 2" xfId="4648"/>
    <cellStyle name="Total 2 9 4 3" xfId="6545"/>
    <cellStyle name="Total 2 9 5" xfId="2299"/>
    <cellStyle name="Total 2 9 5 2" xfId="4649"/>
    <cellStyle name="Total 2 9 5 3" xfId="6546"/>
    <cellStyle name="Total 2 9 6" xfId="2300"/>
    <cellStyle name="Total 2 9 6 2" xfId="4650"/>
    <cellStyle name="Total 2 9 6 3" xfId="6547"/>
    <cellStyle name="Total 2 9 7" xfId="2301"/>
    <cellStyle name="Total 2 9 7 2" xfId="4651"/>
    <cellStyle name="Total 2 9 7 3" xfId="6548"/>
    <cellStyle name="Total 2 9 8" xfId="2302"/>
    <cellStyle name="Total 2 9 8 2" xfId="4652"/>
    <cellStyle name="Total 2 9 8 3" xfId="6549"/>
    <cellStyle name="Total 2 9 9" xfId="2303"/>
    <cellStyle name="Total 2 9 9 2" xfId="4653"/>
    <cellStyle name="Total 2 9 9 3" xfId="6550"/>
    <cellStyle name="Total 3" xfId="4758"/>
    <cellStyle name="Total 4" xfId="2488"/>
    <cellStyle name="Total 5" xfId="4262"/>
    <cellStyle name="Tytuł" xfId="2304"/>
    <cellStyle name="UploadThisRowValue" xfId="70"/>
    <cellStyle name="Uwaga" xfId="2305"/>
    <cellStyle name="Uwaga 10" xfId="2306"/>
    <cellStyle name="Uwaga 10 2" xfId="4655"/>
    <cellStyle name="Uwaga 10 3" xfId="6552"/>
    <cellStyle name="Uwaga 11" xfId="2307"/>
    <cellStyle name="Uwaga 11 2" xfId="4656"/>
    <cellStyle name="Uwaga 11 3" xfId="6553"/>
    <cellStyle name="Uwaga 12" xfId="2308"/>
    <cellStyle name="Uwaga 12 2" xfId="4657"/>
    <cellStyle name="Uwaga 12 3" xfId="6554"/>
    <cellStyle name="Uwaga 13" xfId="2309"/>
    <cellStyle name="Uwaga 13 2" xfId="4658"/>
    <cellStyle name="Uwaga 13 3" xfId="6555"/>
    <cellStyle name="Uwaga 14" xfId="2310"/>
    <cellStyle name="Uwaga 14 2" xfId="4659"/>
    <cellStyle name="Uwaga 14 3" xfId="6556"/>
    <cellStyle name="Uwaga 15" xfId="2311"/>
    <cellStyle name="Uwaga 15 2" xfId="4660"/>
    <cellStyle name="Uwaga 15 3" xfId="6557"/>
    <cellStyle name="Uwaga 16" xfId="2312"/>
    <cellStyle name="Uwaga 16 2" xfId="4661"/>
    <cellStyle name="Uwaga 16 3" xfId="6558"/>
    <cellStyle name="Uwaga 17" xfId="2313"/>
    <cellStyle name="Uwaga 17 2" xfId="4662"/>
    <cellStyle name="Uwaga 17 3" xfId="6559"/>
    <cellStyle name="Uwaga 18" xfId="2314"/>
    <cellStyle name="Uwaga 18 2" xfId="4663"/>
    <cellStyle name="Uwaga 18 3" xfId="6560"/>
    <cellStyle name="Uwaga 19" xfId="2315"/>
    <cellStyle name="Uwaga 19 2" xfId="4664"/>
    <cellStyle name="Uwaga 19 3" xfId="6561"/>
    <cellStyle name="Uwaga 2" xfId="2316"/>
    <cellStyle name="Uwaga 2 10" xfId="2317"/>
    <cellStyle name="Uwaga 2 10 2" xfId="4666"/>
    <cellStyle name="Uwaga 2 10 3" xfId="6563"/>
    <cellStyle name="Uwaga 2 11" xfId="2318"/>
    <cellStyle name="Uwaga 2 11 2" xfId="4667"/>
    <cellStyle name="Uwaga 2 11 3" xfId="6564"/>
    <cellStyle name="Uwaga 2 12" xfId="2319"/>
    <cellStyle name="Uwaga 2 12 2" xfId="4668"/>
    <cellStyle name="Uwaga 2 12 3" xfId="6565"/>
    <cellStyle name="Uwaga 2 13" xfId="2320"/>
    <cellStyle name="Uwaga 2 13 2" xfId="4669"/>
    <cellStyle name="Uwaga 2 13 3" xfId="6566"/>
    <cellStyle name="Uwaga 2 14" xfId="2321"/>
    <cellStyle name="Uwaga 2 14 2" xfId="4670"/>
    <cellStyle name="Uwaga 2 14 3" xfId="6567"/>
    <cellStyle name="Uwaga 2 15" xfId="2322"/>
    <cellStyle name="Uwaga 2 15 2" xfId="4671"/>
    <cellStyle name="Uwaga 2 15 3" xfId="6568"/>
    <cellStyle name="Uwaga 2 16" xfId="2323"/>
    <cellStyle name="Uwaga 2 16 2" xfId="4672"/>
    <cellStyle name="Uwaga 2 16 3" xfId="6569"/>
    <cellStyle name="Uwaga 2 17" xfId="2324"/>
    <cellStyle name="Uwaga 2 17 2" xfId="4673"/>
    <cellStyle name="Uwaga 2 17 3" xfId="6570"/>
    <cellStyle name="Uwaga 2 18" xfId="2325"/>
    <cellStyle name="Uwaga 2 18 2" xfId="4674"/>
    <cellStyle name="Uwaga 2 18 3" xfId="6571"/>
    <cellStyle name="Uwaga 2 19" xfId="2326"/>
    <cellStyle name="Uwaga 2 19 2" xfId="4675"/>
    <cellStyle name="Uwaga 2 19 3" xfId="6572"/>
    <cellStyle name="Uwaga 2 2" xfId="2327"/>
    <cellStyle name="Uwaga 2 2 2" xfId="4676"/>
    <cellStyle name="Uwaga 2 2 3" xfId="6573"/>
    <cellStyle name="Uwaga 2 20" xfId="2328"/>
    <cellStyle name="Uwaga 2 20 2" xfId="4677"/>
    <cellStyle name="Uwaga 2 20 3" xfId="6574"/>
    <cellStyle name="Uwaga 2 21" xfId="2329"/>
    <cellStyle name="Uwaga 2 21 2" xfId="4678"/>
    <cellStyle name="Uwaga 2 21 3" xfId="6575"/>
    <cellStyle name="Uwaga 2 22" xfId="2330"/>
    <cellStyle name="Uwaga 2 22 2" xfId="4679"/>
    <cellStyle name="Uwaga 2 22 3" xfId="6576"/>
    <cellStyle name="Uwaga 2 23" xfId="2331"/>
    <cellStyle name="Uwaga 2 23 2" xfId="4680"/>
    <cellStyle name="Uwaga 2 23 3" xfId="6577"/>
    <cellStyle name="Uwaga 2 24" xfId="4665"/>
    <cellStyle name="Uwaga 2 25" xfId="6562"/>
    <cellStyle name="Uwaga 2 3" xfId="2332"/>
    <cellStyle name="Uwaga 2 3 2" xfId="4681"/>
    <cellStyle name="Uwaga 2 3 3" xfId="6578"/>
    <cellStyle name="Uwaga 2 4" xfId="2333"/>
    <cellStyle name="Uwaga 2 4 2" xfId="4682"/>
    <cellStyle name="Uwaga 2 4 3" xfId="6579"/>
    <cellStyle name="Uwaga 2 5" xfId="2334"/>
    <cellStyle name="Uwaga 2 5 2" xfId="4683"/>
    <cellStyle name="Uwaga 2 5 3" xfId="6580"/>
    <cellStyle name="Uwaga 2 6" xfId="2335"/>
    <cellStyle name="Uwaga 2 6 2" xfId="4684"/>
    <cellStyle name="Uwaga 2 6 3" xfId="6581"/>
    <cellStyle name="Uwaga 2 7" xfId="2336"/>
    <cellStyle name="Uwaga 2 7 2" xfId="4685"/>
    <cellStyle name="Uwaga 2 7 3" xfId="6582"/>
    <cellStyle name="Uwaga 2 8" xfId="2337"/>
    <cellStyle name="Uwaga 2 8 2" xfId="4686"/>
    <cellStyle name="Uwaga 2 8 3" xfId="6583"/>
    <cellStyle name="Uwaga 2 9" xfId="2338"/>
    <cellStyle name="Uwaga 2 9 2" xfId="4687"/>
    <cellStyle name="Uwaga 2 9 3" xfId="6584"/>
    <cellStyle name="Uwaga 20" xfId="2339"/>
    <cellStyle name="Uwaga 20 2" xfId="4688"/>
    <cellStyle name="Uwaga 20 3" xfId="6585"/>
    <cellStyle name="Uwaga 21" xfId="2340"/>
    <cellStyle name="Uwaga 21 2" xfId="4689"/>
    <cellStyle name="Uwaga 21 3" xfId="6586"/>
    <cellStyle name="Uwaga 22" xfId="2341"/>
    <cellStyle name="Uwaga 22 2" xfId="4690"/>
    <cellStyle name="Uwaga 22 3" xfId="6587"/>
    <cellStyle name="Uwaga 23" xfId="2342"/>
    <cellStyle name="Uwaga 23 2" xfId="4691"/>
    <cellStyle name="Uwaga 23 3" xfId="6588"/>
    <cellStyle name="Uwaga 24" xfId="2343"/>
    <cellStyle name="Uwaga 24 2" xfId="4692"/>
    <cellStyle name="Uwaga 24 3" xfId="6589"/>
    <cellStyle name="Uwaga 25" xfId="2344"/>
    <cellStyle name="Uwaga 25 2" xfId="4693"/>
    <cellStyle name="Uwaga 25 3" xfId="6590"/>
    <cellStyle name="Uwaga 26" xfId="4654"/>
    <cellStyle name="Uwaga 27" xfId="6551"/>
    <cellStyle name="Uwaga 3" xfId="2345"/>
    <cellStyle name="Uwaga 3 10" xfId="2346"/>
    <cellStyle name="Uwaga 3 10 2" xfId="4695"/>
    <cellStyle name="Uwaga 3 10 3" xfId="6592"/>
    <cellStyle name="Uwaga 3 11" xfId="2347"/>
    <cellStyle name="Uwaga 3 11 2" xfId="4696"/>
    <cellStyle name="Uwaga 3 11 3" xfId="6593"/>
    <cellStyle name="Uwaga 3 12" xfId="2348"/>
    <cellStyle name="Uwaga 3 12 2" xfId="4697"/>
    <cellStyle name="Uwaga 3 12 3" xfId="6594"/>
    <cellStyle name="Uwaga 3 13" xfId="2349"/>
    <cellStyle name="Uwaga 3 13 2" xfId="4698"/>
    <cellStyle name="Uwaga 3 13 3" xfId="6595"/>
    <cellStyle name="Uwaga 3 14" xfId="2350"/>
    <cellStyle name="Uwaga 3 14 2" xfId="4699"/>
    <cellStyle name="Uwaga 3 14 3" xfId="6596"/>
    <cellStyle name="Uwaga 3 15" xfId="2351"/>
    <cellStyle name="Uwaga 3 15 2" xfId="4700"/>
    <cellStyle name="Uwaga 3 15 3" xfId="6597"/>
    <cellStyle name="Uwaga 3 16" xfId="2352"/>
    <cellStyle name="Uwaga 3 16 2" xfId="4701"/>
    <cellStyle name="Uwaga 3 16 3" xfId="6598"/>
    <cellStyle name="Uwaga 3 17" xfId="2353"/>
    <cellStyle name="Uwaga 3 17 2" xfId="4702"/>
    <cellStyle name="Uwaga 3 17 3" xfId="6599"/>
    <cellStyle name="Uwaga 3 18" xfId="2354"/>
    <cellStyle name="Uwaga 3 18 2" xfId="4703"/>
    <cellStyle name="Uwaga 3 18 3" xfId="6600"/>
    <cellStyle name="Uwaga 3 19" xfId="2355"/>
    <cellStyle name="Uwaga 3 19 2" xfId="4704"/>
    <cellStyle name="Uwaga 3 19 3" xfId="6601"/>
    <cellStyle name="Uwaga 3 2" xfId="2356"/>
    <cellStyle name="Uwaga 3 2 2" xfId="4705"/>
    <cellStyle name="Uwaga 3 2 3" xfId="6602"/>
    <cellStyle name="Uwaga 3 20" xfId="2357"/>
    <cellStyle name="Uwaga 3 20 2" xfId="4706"/>
    <cellStyle name="Uwaga 3 20 3" xfId="6603"/>
    <cellStyle name="Uwaga 3 21" xfId="2358"/>
    <cellStyle name="Uwaga 3 21 2" xfId="4707"/>
    <cellStyle name="Uwaga 3 21 3" xfId="6604"/>
    <cellStyle name="Uwaga 3 22" xfId="2359"/>
    <cellStyle name="Uwaga 3 22 2" xfId="4708"/>
    <cellStyle name="Uwaga 3 22 3" xfId="6605"/>
    <cellStyle name="Uwaga 3 23" xfId="2360"/>
    <cellStyle name="Uwaga 3 23 2" xfId="4709"/>
    <cellStyle name="Uwaga 3 23 3" xfId="6606"/>
    <cellStyle name="Uwaga 3 24" xfId="4694"/>
    <cellStyle name="Uwaga 3 25" xfId="6591"/>
    <cellStyle name="Uwaga 3 3" xfId="2361"/>
    <cellStyle name="Uwaga 3 3 2" xfId="4710"/>
    <cellStyle name="Uwaga 3 3 3" xfId="6607"/>
    <cellStyle name="Uwaga 3 4" xfId="2362"/>
    <cellStyle name="Uwaga 3 4 2" xfId="4711"/>
    <cellStyle name="Uwaga 3 4 3" xfId="6608"/>
    <cellStyle name="Uwaga 3 5" xfId="2363"/>
    <cellStyle name="Uwaga 3 5 2" xfId="4712"/>
    <cellStyle name="Uwaga 3 5 3" xfId="6609"/>
    <cellStyle name="Uwaga 3 6" xfId="2364"/>
    <cellStyle name="Uwaga 3 6 2" xfId="4713"/>
    <cellStyle name="Uwaga 3 6 3" xfId="6610"/>
    <cellStyle name="Uwaga 3 7" xfId="2365"/>
    <cellStyle name="Uwaga 3 7 2" xfId="4714"/>
    <cellStyle name="Uwaga 3 7 3" xfId="6611"/>
    <cellStyle name="Uwaga 3 8" xfId="2366"/>
    <cellStyle name="Uwaga 3 8 2" xfId="4715"/>
    <cellStyle name="Uwaga 3 8 3" xfId="6612"/>
    <cellStyle name="Uwaga 3 9" xfId="2367"/>
    <cellStyle name="Uwaga 3 9 2" xfId="4716"/>
    <cellStyle name="Uwaga 3 9 3" xfId="6613"/>
    <cellStyle name="Uwaga 4" xfId="2368"/>
    <cellStyle name="Uwaga 4 2" xfId="4717"/>
    <cellStyle name="Uwaga 4 3" xfId="6614"/>
    <cellStyle name="Uwaga 5" xfId="2369"/>
    <cellStyle name="Uwaga 5 2" xfId="4718"/>
    <cellStyle name="Uwaga 5 3" xfId="6615"/>
    <cellStyle name="Uwaga 6" xfId="2370"/>
    <cellStyle name="Uwaga 6 2" xfId="4719"/>
    <cellStyle name="Uwaga 6 3" xfId="6616"/>
    <cellStyle name="Uwaga 7" xfId="2371"/>
    <cellStyle name="Uwaga 7 2" xfId="4720"/>
    <cellStyle name="Uwaga 7 3" xfId="6617"/>
    <cellStyle name="Uwaga 8" xfId="2372"/>
    <cellStyle name="Uwaga 8 2" xfId="4721"/>
    <cellStyle name="Uwaga 8 3" xfId="6618"/>
    <cellStyle name="Uwaga 9" xfId="2373"/>
    <cellStyle name="Uwaga 9 2" xfId="4722"/>
    <cellStyle name="Uwaga 9 3" xfId="6619"/>
    <cellStyle name="Warning Text" xfId="71" builtinId="11" customBuiltin="1"/>
    <cellStyle name="Warning Text 2" xfId="2374"/>
    <cellStyle name="Warning Text 3" xfId="4755"/>
    <cellStyle name="Złe" xfId="2375"/>
  </cellStyles>
  <dxfs count="10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BFBFBF"/>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val="0"/>
        <i/>
      </font>
      <fill>
        <patternFill>
          <bgColor rgb="FFFFFF00"/>
        </patternFill>
      </fill>
    </dxf>
    <dxf>
      <font>
        <b val="0"/>
        <i/>
      </font>
      <fill>
        <patternFill>
          <bgColor rgb="FFFFFF00"/>
        </patternFill>
      </fill>
    </dxf>
    <dxf>
      <fill>
        <patternFill patternType="solid">
          <bgColor indexed="65"/>
        </patternFill>
      </fill>
    </dxf>
    <dxf>
      <font>
        <color theme="0"/>
      </font>
      <fill>
        <patternFill>
          <bgColor theme="3"/>
        </patternFill>
      </fill>
      <border>
        <left style="thin">
          <color auto="1"/>
        </left>
        <right style="thin">
          <color auto="1"/>
        </right>
        <bottom style="thin">
          <color auto="1"/>
        </bottom>
      </border>
    </dxf>
    <dxf>
      <font>
        <b val="0"/>
        <i/>
      </font>
      <fill>
        <patternFill>
          <bgColor rgb="FFFFFF00"/>
        </patternFill>
      </fill>
    </dxf>
    <dxf>
      <font>
        <b val="0"/>
        <i/>
      </font>
      <fill>
        <patternFill>
          <bgColor rgb="FFFFFF00"/>
        </patternFill>
      </fill>
    </dxf>
    <dxf>
      <font>
        <color rgb="FFFF0000"/>
      </font>
    </dxf>
    <dxf>
      <fill>
        <patternFill>
          <bgColor theme="0" tint="-0.14996795556505021"/>
        </patternFill>
      </fill>
    </dxf>
    <dxf>
      <font>
        <b val="0"/>
        <i/>
      </font>
      <fill>
        <patternFill>
          <bgColor rgb="FFFFFF00"/>
        </patternFill>
      </fill>
    </dxf>
    <dxf>
      <font>
        <b val="0"/>
        <i/>
      </font>
      <fill>
        <patternFill>
          <bgColor rgb="FFFFFF00"/>
        </patternFill>
      </fill>
    </dxf>
    <dxf>
      <font>
        <b val="0"/>
        <i/>
      </font>
      <fill>
        <patternFill>
          <bgColor rgb="FFFFFF00"/>
        </patternFill>
      </fill>
    </dxf>
    <dxf>
      <font>
        <b val="0"/>
        <i/>
      </font>
      <fill>
        <patternFill>
          <bgColor rgb="FFFFFF00"/>
        </patternFill>
      </fill>
    </dxf>
    <dxf>
      <font>
        <b val="0"/>
        <i/>
      </font>
      <fill>
        <patternFill>
          <bgColor rgb="FFFFFF00"/>
        </patternFill>
      </fill>
    </dxf>
    <dxf>
      <font>
        <b val="0"/>
        <i/>
      </font>
      <fill>
        <patternFill>
          <bgColor rgb="FFFFFF0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b val="0"/>
        <i/>
      </font>
      <fill>
        <patternFill>
          <bgColor rgb="FFFFFF00"/>
        </patternFill>
      </fill>
    </dxf>
    <dxf>
      <font>
        <color rgb="FFFF0000"/>
      </font>
      <fill>
        <patternFill patternType="none">
          <bgColor auto="1"/>
        </patternFill>
      </fill>
    </dxf>
    <dxf>
      <font>
        <color rgb="FFFF0000"/>
      </font>
    </dxf>
    <dxf>
      <font>
        <color rgb="FFFF0000"/>
      </font>
      <fill>
        <patternFill>
          <bgColor theme="0"/>
        </patternFill>
      </fill>
    </dxf>
    <dxf>
      <fill>
        <patternFill>
          <bgColor rgb="FFFFFF00"/>
        </patternFill>
      </fill>
    </dxf>
    <dxf>
      <font>
        <color rgb="FFFF0000"/>
      </font>
      <border>
        <left/>
        <right/>
        <top/>
        <bottom/>
      </border>
    </dxf>
    <dxf>
      <font>
        <b val="0"/>
        <i/>
      </font>
      <fill>
        <patternFill>
          <bgColor rgb="FFFFFF00"/>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ill>
        <patternFill>
          <bgColor rgb="FFCCCCFF"/>
        </patternFill>
      </fill>
    </dxf>
    <dxf>
      <font>
        <b val="0"/>
        <i val="0"/>
        <strike val="0"/>
        <condense val="0"/>
        <extend val="0"/>
        <outline val="0"/>
        <shadow val="0"/>
        <u val="none"/>
        <vertAlign val="baseline"/>
        <sz val="10"/>
        <color theme="1"/>
        <name val="Calibri"/>
        <scheme val="minor"/>
      </font>
      <numFmt numFmtId="0" formatCode="General"/>
      <fill>
        <patternFill patternType="solid">
          <fgColor theme="4" tint="0.59999389629810485"/>
          <bgColor theme="4" tint="0.59999389629810485"/>
        </patternFill>
      </fill>
      <alignment horizontal="center" vertical="bottom" textRotation="0" wrapText="0" indent="0" justifyLastLine="0" shrinkToFit="0" readingOrder="0"/>
      <border diagonalUp="0" diagonalDown="0" outline="0">
        <left style="thin">
          <color theme="0"/>
        </left>
        <right/>
        <top style="thin">
          <color theme="0"/>
        </top>
        <bottom/>
      </border>
    </dxf>
    <dxf>
      <font>
        <b val="0"/>
        <i val="0"/>
        <strike val="0"/>
        <condense val="0"/>
        <extend val="0"/>
        <outline val="0"/>
        <shadow val="0"/>
        <u val="none"/>
        <vertAlign val="baseline"/>
        <sz val="10"/>
        <color theme="1"/>
        <name val="Calibri"/>
        <scheme val="minor"/>
      </font>
      <numFmt numFmtId="0" formatCode="General"/>
      <fill>
        <patternFill patternType="solid">
          <fgColor theme="4" tint="0.59999389629810485"/>
          <bgColor theme="4" tint="0.5999938962981048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border diagonalUp="0" diagonalDown="0" outlin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alignment horizontal="center" textRotation="0" indent="0" justifyLastLine="0" shrinkToFit="0" readingOrder="0"/>
      <border diagonalUp="0" diagonalDown="0" outlin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alignment horizontal="center" textRotation="0" indent="0" justifyLastLine="0" shrinkToFit="0" readingOrder="0"/>
      <border diagonalUp="0" diagonalDown="0" outlin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alignment horizontal="center" textRotation="0" indent="0" justifyLastLine="0" shrinkToFit="0" readingOrder="0"/>
      <border diagonalUp="0" diagonalDown="0" outline="0">
        <left style="thin">
          <color them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dxf>
  </dxfs>
  <tableStyles count="0" defaultTableStyle="TableStyleMedium9" defaultPivotStyle="PivotStyleLight16"/>
  <colors>
    <mruColors>
      <color rgb="FFCCCCFF"/>
      <color rgb="FFFFCC99"/>
      <color rgb="FF003366"/>
      <color rgb="FF333333"/>
      <color rgb="FF008000"/>
      <color rgb="FFD8D8D8"/>
      <color rgb="FF003300"/>
      <color rgb="FFE7E7E7"/>
      <color rgb="FFE1E1E1"/>
      <color rgb="FFE5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fmlaLink="CONTROL!$E$43"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 Name of School'!D1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1481375</xdr:colOff>
      <xdr:row>1</xdr:row>
      <xdr:rowOff>55564</xdr:rowOff>
    </xdr:from>
    <xdr:to>
      <xdr:col>4</xdr:col>
      <xdr:colOff>1900081</xdr:colOff>
      <xdr:row>6</xdr:row>
      <xdr:rowOff>17464</xdr:rowOff>
    </xdr:to>
    <xdr:pic>
      <xdr:nvPicPr>
        <xdr:cNvPr id="20653" name="Picture 1" descr="charter schools logo bw"/>
        <xdr:cNvPicPr>
          <a:picLocks noChangeAspect="1" noChangeArrowheads="1"/>
        </xdr:cNvPicPr>
      </xdr:nvPicPr>
      <xdr:blipFill>
        <a:blip xmlns:r="http://schemas.openxmlformats.org/officeDocument/2006/relationships" r:embed="rId1"/>
        <a:stretch>
          <a:fillRect/>
        </a:stretch>
      </xdr:blipFill>
      <xdr:spPr bwMode="auto">
        <a:xfrm>
          <a:off x="2310050" y="255589"/>
          <a:ext cx="3209531"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52917</xdr:colOff>
      <xdr:row>1</xdr:row>
      <xdr:rowOff>52917</xdr:rowOff>
    </xdr:from>
    <xdr:to>
      <xdr:col>3</xdr:col>
      <xdr:colOff>148167</xdr:colOff>
      <xdr:row>3</xdr:row>
      <xdr:rowOff>95276</xdr:rowOff>
    </xdr:to>
    <xdr:sp macro="" textlink="">
      <xdr:nvSpPr>
        <xdr:cNvPr id="3" name="TextBox 2"/>
        <xdr:cNvSpPr txBox="1"/>
      </xdr:nvSpPr>
      <xdr:spPr>
        <a:xfrm>
          <a:off x="433917" y="254000"/>
          <a:ext cx="539750" cy="423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83835</xdr:colOff>
      <xdr:row>1</xdr:row>
      <xdr:rowOff>15052</xdr:rowOff>
    </xdr:from>
    <xdr:to>
      <xdr:col>4</xdr:col>
      <xdr:colOff>1042454</xdr:colOff>
      <xdr:row>6</xdr:row>
      <xdr:rowOff>43627</xdr:rowOff>
    </xdr:to>
    <xdr:pic>
      <xdr:nvPicPr>
        <xdr:cNvPr id="43527" name="Picture 3" descr="charter schools logo bw"/>
        <xdr:cNvPicPr>
          <a:picLocks noChangeAspect="1" noChangeArrowheads="1"/>
        </xdr:cNvPicPr>
      </xdr:nvPicPr>
      <xdr:blipFill>
        <a:blip xmlns:r="http://schemas.openxmlformats.org/officeDocument/2006/relationships" r:embed="rId1"/>
        <a:stretch>
          <a:fillRect/>
        </a:stretch>
      </xdr:blipFill>
      <xdr:spPr bwMode="auto">
        <a:xfrm>
          <a:off x="2156475" y="129352"/>
          <a:ext cx="3078884"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3593</xdr:colOff>
      <xdr:row>10</xdr:row>
      <xdr:rowOff>20310</xdr:rowOff>
    </xdr:from>
    <xdr:to>
      <xdr:col>5</xdr:col>
      <xdr:colOff>167641</xdr:colOff>
      <xdr:row>10</xdr:row>
      <xdr:rowOff>180998</xdr:rowOff>
    </xdr:to>
    <xdr:pic>
      <xdr:nvPicPr>
        <xdr:cNvPr id="3" name="Picture 2">
          <a:hlinkClick xmlns:r="http://schemas.openxmlformats.org/officeDocument/2006/relationships" r:id="rId2" tooltip="Select Type"/>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45413" y="2405370"/>
          <a:ext cx="164048" cy="160688"/>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3</xdr:col>
          <xdr:colOff>548640</xdr:colOff>
          <xdr:row>20</xdr:row>
          <xdr:rowOff>182880</xdr:rowOff>
        </xdr:from>
        <xdr:to>
          <xdr:col>3</xdr:col>
          <xdr:colOff>1813560</xdr:colOff>
          <xdr:row>22</xdr:row>
          <xdr:rowOff>15240</xdr:rowOff>
        </xdr:to>
        <xdr:grpSp>
          <xdr:nvGrpSpPr>
            <xdr:cNvPr id="2" name="Group 1"/>
            <xdr:cNvGrpSpPr/>
          </xdr:nvGrpSpPr>
          <xdr:grpSpPr>
            <a:xfrm>
              <a:off x="2636520" y="4853940"/>
              <a:ext cx="1264920" cy="213360"/>
              <a:chOff x="2484120" y="5135880"/>
              <a:chExt cx="1264920" cy="213360"/>
            </a:xfrm>
          </xdr:grpSpPr>
          <xdr:sp macro="" textlink="">
            <xdr:nvSpPr>
              <xdr:cNvPr id="57346" name="Option Button 2" hidden="1">
                <a:extLst>
                  <a:ext uri="{63B3BB69-23CF-44E3-9099-C40C66FF867C}">
                    <a14:compatExt spid="_x0000_s57346"/>
                  </a:ext>
                </a:extLst>
              </xdr:cNvPr>
              <xdr:cNvSpPr/>
            </xdr:nvSpPr>
            <xdr:spPr bwMode="auto">
              <a:xfrm>
                <a:off x="2484120" y="5135880"/>
                <a:ext cx="61722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57347" name="Option Button 3" hidden="1">
                <a:extLst>
                  <a:ext uri="{63B3BB69-23CF-44E3-9099-C40C66FF867C}">
                    <a14:compatExt spid="_x0000_s57347"/>
                  </a:ext>
                </a:extLst>
              </xdr:cNvPr>
              <xdr:cNvSpPr/>
            </xdr:nvSpPr>
            <xdr:spPr bwMode="auto">
              <a:xfrm>
                <a:off x="3131820" y="5135880"/>
                <a:ext cx="61722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59249</xdr:colOff>
      <xdr:row>1</xdr:row>
      <xdr:rowOff>220976</xdr:rowOff>
    </xdr:from>
    <xdr:to>
      <xdr:col>3</xdr:col>
      <xdr:colOff>2201315</xdr:colOff>
      <xdr:row>7</xdr:row>
      <xdr:rowOff>42332</xdr:rowOff>
    </xdr:to>
    <xdr:sp macro="" textlink="BSNote1">
      <xdr:nvSpPr>
        <xdr:cNvPr id="2" name="TextBox 1"/>
        <xdr:cNvSpPr txBox="1"/>
      </xdr:nvSpPr>
      <xdr:spPr>
        <a:xfrm>
          <a:off x="59249" y="220976"/>
          <a:ext cx="4656666" cy="12860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78604D5-113C-46FA-B910-87188032A51A}" type="TxLink">
            <a:rPr lang="en-US" sz="1200" b="1" i="0" u="none" strike="noStrike">
              <a:solidFill>
                <a:srgbClr val="FF0000"/>
              </a:solidFill>
              <a:latin typeface="Calibri"/>
            </a:rPr>
            <a:pPr algn="ctr"/>
            <a:t>#N/A</a:t>
          </a:fld>
          <a:endParaRPr lang="en-US" sz="1200" b="1" i="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581025</xdr:colOff>
      <xdr:row>2</xdr:row>
      <xdr:rowOff>57150</xdr:rowOff>
    </xdr:from>
    <xdr:to>
      <xdr:col>3</xdr:col>
      <xdr:colOff>2114550</xdr:colOff>
      <xdr:row>5</xdr:row>
      <xdr:rowOff>161925</xdr:rowOff>
    </xdr:to>
    <xdr:pic>
      <xdr:nvPicPr>
        <xdr:cNvPr id="2" name="Picture 4"/>
        <xdr:cNvPicPr>
          <a:picLocks noChangeAspect="1" noChangeArrowheads="1"/>
        </xdr:cNvPicPr>
      </xdr:nvPicPr>
      <xdr:blipFill>
        <a:blip xmlns:r="http://schemas.openxmlformats.org/officeDocument/2006/relationships" r:embed="rId1"/>
        <a:srcRect/>
        <a:stretch>
          <a:fillRect/>
        </a:stretch>
      </xdr:blipFill>
      <xdr:spPr bwMode="auto">
        <a:xfrm>
          <a:off x="1943100" y="447675"/>
          <a:ext cx="2286000" cy="6762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ocuments%20and%20Settings\dkielar\Local%20Settings\Temporary%20Internet%20Files\OLK21\Accrued_Inter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ENFS1\DeptData$\My%20Documents\TEMPLATES\Annual%20Budget%20&amp;%20Quarterly%20Report%20Template\X_djh_New%20Application%20Budget%20and%20Cash%20Flow%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ed interest Bond"/>
      <sheetName val="Sheet1"/>
      <sheetName val="Bond Amortization1"/>
      <sheetName val="Bond Amortization1 (2)"/>
      <sheetName val="Bond Amortization1 (3)"/>
      <sheetName val="Bond Discount"/>
      <sheetName val="Balance Sheet"/>
      <sheetName val="Bond Closing Costs Amortization"/>
      <sheetName val="Grants"/>
      <sheetName val="AR Grants"/>
      <sheetName val="AR School Districts"/>
      <sheetName val="All"/>
      <sheetName val="Facility"/>
      <sheetName val="Technology"/>
      <sheetName val="Curriculum"/>
      <sheetName val="Salary Accts &amp; Unions"/>
      <sheetName val="Validation Tabl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Guidance -- "/>
      <sheetName val="General Template Instructions"/>
      <sheetName val="New Application Budget ---&gt;"/>
      <sheetName val="School Info"/>
      <sheetName val="Enrollment"/>
      <sheetName val="Personnel"/>
      <sheetName val="Assumptions"/>
      <sheetName val="5 YR Budget"/>
      <sheetName val="Start-Up Budget"/>
      <sheetName val="Cash Flow"/>
    </sheetNames>
    <sheetDataSet>
      <sheetData sheetId="0" refreshError="1"/>
      <sheetData sheetId="1" refreshError="1"/>
      <sheetData sheetId="2" refreshError="1"/>
      <sheetData sheetId="3" refreshError="1"/>
      <sheetData sheetId="4" refreshError="1"/>
      <sheetData sheetId="5" refreshError="1"/>
      <sheetData sheetId="6">
        <row r="66">
          <cell r="AN66" t="str">
            <v>Positions</v>
          </cell>
        </row>
        <row r="67">
          <cell r="AN67" t="str">
            <v>Executive Management</v>
          </cell>
        </row>
        <row r="68">
          <cell r="AN68" t="str">
            <v>Instructional Management</v>
          </cell>
        </row>
        <row r="69">
          <cell r="AN69" t="str">
            <v>Deans, Directors &amp; Coordinators</v>
          </cell>
        </row>
        <row r="70">
          <cell r="AN70" t="str">
            <v>CFO / Director of Finance</v>
          </cell>
        </row>
        <row r="71">
          <cell r="AN71" t="str">
            <v>Operation / Business Manager</v>
          </cell>
        </row>
        <row r="72">
          <cell r="AN72" t="str">
            <v>Administrative Staff</v>
          </cell>
        </row>
        <row r="73">
          <cell r="AN73" t="str">
            <v>Other - Administrative</v>
          </cell>
        </row>
        <row r="74">
          <cell r="AN74" t="str">
            <v>Teachers - Regular</v>
          </cell>
        </row>
        <row r="75">
          <cell r="AN75" t="str">
            <v>Teachers - SPED</v>
          </cell>
        </row>
        <row r="76">
          <cell r="AN76" t="str">
            <v>Substitute Teachers</v>
          </cell>
        </row>
        <row r="77">
          <cell r="AN77" t="str">
            <v>Teaching Assistants</v>
          </cell>
        </row>
        <row r="78">
          <cell r="AN78" t="str">
            <v>Specialty Teachers</v>
          </cell>
        </row>
        <row r="79">
          <cell r="AN79" t="str">
            <v>Aides</v>
          </cell>
        </row>
        <row r="80">
          <cell r="AN80" t="str">
            <v>Therapists &amp; Counselors</v>
          </cell>
        </row>
        <row r="81">
          <cell r="AN81" t="str">
            <v xml:space="preserve">Other - Instructional </v>
          </cell>
        </row>
        <row r="82">
          <cell r="AN82" t="str">
            <v>Nurse</v>
          </cell>
        </row>
        <row r="83">
          <cell r="AN83" t="str">
            <v>Librarian</v>
          </cell>
        </row>
        <row r="84">
          <cell r="AN84" t="str">
            <v>Custodian</v>
          </cell>
        </row>
        <row r="85">
          <cell r="AN85" t="str">
            <v>Security</v>
          </cell>
        </row>
        <row r="86">
          <cell r="AN86" t="str">
            <v xml:space="preserve">Other - Non-Instructional </v>
          </cell>
        </row>
      </sheetData>
      <sheetData sheetId="7" refreshError="1"/>
      <sheetData sheetId="8" refreshError="1"/>
      <sheetData sheetId="9" refreshError="1"/>
    </sheetDataSet>
  </externalBook>
</externalLink>
</file>

<file path=xl/tables/table1.xml><?xml version="1.0" encoding="utf-8"?>
<table xmlns="http://schemas.openxmlformats.org/spreadsheetml/2006/main" id="2" name="Table2" displayName="Table2" ref="B808:H1003" totalsRowShown="0" dataDxfId="102">
  <autoFilter ref="B808:H1003"/>
  <sortState ref="B809:H1012">
    <sortCondition ref="B808:B1012"/>
  </sortState>
  <tableColumns count="7">
    <tableColumn id="2" name="SCHOOLS" dataDxfId="101"/>
    <tableColumn id="3" name="YrOpen" dataDxfId="100"/>
    <tableColumn id="4" name="MergeYr" dataDxfId="99"/>
    <tableColumn id="5" name="MergeCorpID" dataDxfId="98"/>
    <tableColumn id="6" name="MergeName" dataDxfId="97"/>
    <tableColumn id="7" name="SurvivingEdCorp" dataDxfId="96">
      <calculatedColumnFormula>IF(ISBLANK(Table2[[#This Row],[MergeCorpID]]=TRUE),"",AND(ISNUMBER(Table2[[#This Row],[MergeCorpID]])=TRUE,ISBLANK(Table2[[#This Row],[MergeName]])=FALSE))</calculatedColumnFormula>
    </tableColumn>
    <tableColumn id="8" name="BS-NeedCode" dataDxfId="95">
      <calculatedColumnFormula>IF(ISBLANK(Table2[[#This Row],[MergeCorpID]])=TRUE,0,IF(Table2[[#This Row],[SurvivingEdCorp]]=TRUE,1,2))</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0.bin"/><Relationship Id="rId1" Type="http://schemas.openxmlformats.org/officeDocument/2006/relationships/hyperlink" Target="http://www.contextures.com/xlDataVal03.html" TargetMode="External"/><Relationship Id="rId5" Type="http://schemas.openxmlformats.org/officeDocument/2006/relationships/comments" Target="../comments7.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63"/>
    <pageSetUpPr fitToPage="1"/>
  </sheetPr>
  <dimension ref="B1:J39"/>
  <sheetViews>
    <sheetView showGridLines="0" tabSelected="1" zoomScale="90" zoomScaleNormal="90" zoomScaleSheetLayoutView="100" workbookViewId="0">
      <selection activeCell="F31" sqref="F31"/>
    </sheetView>
  </sheetViews>
  <sheetFormatPr defaultColWidth="8.88671875" defaultRowHeight="15"/>
  <cols>
    <col min="1" max="1" width="5.6640625" style="1" customWidth="1"/>
    <col min="2" max="2" width="2.6640625" style="1" customWidth="1"/>
    <col min="3" max="3" width="4" style="1" customWidth="1"/>
    <col min="4" max="4" width="41.88671875" style="1" customWidth="1"/>
    <col min="5" max="5" width="65.5546875" style="1" customWidth="1"/>
    <col min="6" max="6" width="2.6640625" style="1" customWidth="1"/>
    <col min="7" max="16384" width="8.88671875" style="1"/>
  </cols>
  <sheetData>
    <row r="1" spans="2:10" ht="15.6" thickBot="1"/>
    <row r="2" spans="2:10">
      <c r="B2" s="181"/>
      <c r="C2" s="182"/>
      <c r="D2" s="182"/>
      <c r="E2" s="182"/>
      <c r="F2" s="183"/>
    </row>
    <row r="3" spans="2:10">
      <c r="B3" s="184"/>
      <c r="C3" s="69"/>
      <c r="D3" s="69"/>
      <c r="E3" s="69"/>
      <c r="F3" s="185"/>
    </row>
    <row r="4" spans="2:10">
      <c r="B4" s="184"/>
      <c r="C4" s="69"/>
      <c r="D4" s="69"/>
      <c r="E4" s="69"/>
      <c r="F4" s="185"/>
    </row>
    <row r="5" spans="2:10">
      <c r="B5" s="184"/>
      <c r="C5" s="69"/>
      <c r="D5" s="69"/>
      <c r="E5" s="69"/>
      <c r="F5" s="185"/>
    </row>
    <row r="6" spans="2:10">
      <c r="B6" s="184"/>
      <c r="C6" s="69"/>
      <c r="D6" s="69"/>
      <c r="E6" s="69"/>
      <c r="F6" s="185"/>
    </row>
    <row r="7" spans="2:10" ht="36">
      <c r="B7" s="186"/>
      <c r="C7" s="187" t="s">
        <v>365</v>
      </c>
      <c r="D7" s="188"/>
      <c r="E7" s="189"/>
      <c r="F7" s="190"/>
    </row>
    <row r="8" spans="2:10">
      <c r="B8" s="184"/>
      <c r="C8" s="179"/>
      <c r="D8" s="179"/>
      <c r="E8" s="69"/>
      <c r="F8" s="185"/>
    </row>
    <row r="9" spans="2:10">
      <c r="B9" s="184"/>
      <c r="C9" s="160" t="s">
        <v>373</v>
      </c>
      <c r="D9" s="160"/>
      <c r="E9" s="160"/>
      <c r="F9" s="185"/>
    </row>
    <row r="10" spans="2:10" ht="24.9" customHeight="1">
      <c r="B10" s="184"/>
      <c r="C10" s="194" t="s">
        <v>371</v>
      </c>
      <c r="E10" s="195"/>
      <c r="F10" s="185"/>
    </row>
    <row r="11" spans="2:10">
      <c r="B11" s="184"/>
      <c r="C11" s="196"/>
      <c r="D11" s="613" t="s">
        <v>154</v>
      </c>
      <c r="E11" s="566" t="s">
        <v>361</v>
      </c>
      <c r="F11" s="185"/>
    </row>
    <row r="12" spans="2:10">
      <c r="B12" s="631"/>
      <c r="C12" s="196"/>
      <c r="D12" s="634" t="s">
        <v>155</v>
      </c>
      <c r="E12" s="632" t="s">
        <v>1180</v>
      </c>
      <c r="F12" s="563"/>
    </row>
    <row r="13" spans="2:10" ht="24.9" customHeight="1">
      <c r="B13" s="184"/>
      <c r="C13" s="194" t="s">
        <v>372</v>
      </c>
      <c r="E13" s="69"/>
      <c r="F13" s="185"/>
    </row>
    <row r="14" spans="2:10" ht="30">
      <c r="B14" s="184"/>
      <c r="C14" s="69"/>
      <c r="D14" s="633" t="s">
        <v>354</v>
      </c>
      <c r="E14" s="565" t="s">
        <v>1211</v>
      </c>
      <c r="F14" s="185"/>
    </row>
    <row r="15" spans="2:10" ht="60">
      <c r="B15" s="184"/>
      <c r="C15" s="69"/>
      <c r="D15" s="633" t="s">
        <v>355</v>
      </c>
      <c r="E15" s="565" t="s">
        <v>1212</v>
      </c>
      <c r="F15" s="185"/>
    </row>
    <row r="16" spans="2:10" ht="92.4" customHeight="1">
      <c r="B16" s="184"/>
      <c r="C16" s="69"/>
      <c r="D16" s="633" t="s">
        <v>356</v>
      </c>
      <c r="E16" s="565" t="s">
        <v>1326</v>
      </c>
      <c r="F16" s="185"/>
      <c r="J16" s="561"/>
    </row>
    <row r="17" spans="2:10" ht="200.4" customHeight="1">
      <c r="B17" s="184"/>
      <c r="C17" s="69"/>
      <c r="D17" s="564" t="s">
        <v>357</v>
      </c>
      <c r="E17" s="565" t="s">
        <v>1324</v>
      </c>
      <c r="F17" s="563"/>
      <c r="J17" s="561"/>
    </row>
    <row r="18" spans="2:10" ht="76.2" customHeight="1">
      <c r="B18" s="184"/>
      <c r="C18" s="69"/>
      <c r="D18" s="633" t="s">
        <v>358</v>
      </c>
      <c r="E18" s="565" t="s">
        <v>1325</v>
      </c>
      <c r="F18" s="563"/>
      <c r="J18" s="561"/>
    </row>
    <row r="19" spans="2:10" ht="107.4" customHeight="1">
      <c r="B19" s="184"/>
      <c r="C19" s="69"/>
      <c r="D19" s="564" t="s">
        <v>359</v>
      </c>
      <c r="E19" s="565" t="s">
        <v>1214</v>
      </c>
      <c r="F19" s="563"/>
      <c r="J19" s="561"/>
    </row>
    <row r="20" spans="2:10">
      <c r="B20" s="184"/>
      <c r="C20" s="69"/>
      <c r="D20" s="564" t="s">
        <v>360</v>
      </c>
      <c r="E20" s="565" t="s">
        <v>364</v>
      </c>
      <c r="F20" s="563"/>
      <c r="J20" s="561"/>
    </row>
    <row r="21" spans="2:10">
      <c r="B21" s="184"/>
      <c r="C21" s="69"/>
      <c r="D21" s="561"/>
      <c r="E21" s="562"/>
      <c r="F21" s="563"/>
      <c r="J21" s="561"/>
    </row>
    <row r="22" spans="2:10">
      <c r="B22" s="184"/>
      <c r="C22" s="179"/>
      <c r="D22" s="198"/>
      <c r="E22" s="69"/>
      <c r="F22" s="185"/>
    </row>
    <row r="23" spans="2:10">
      <c r="B23" s="184"/>
      <c r="C23" s="160" t="s">
        <v>156</v>
      </c>
      <c r="D23" s="160"/>
      <c r="E23" s="160"/>
      <c r="F23" s="185"/>
    </row>
    <row r="24" spans="2:10" ht="24.9" customHeight="1">
      <c r="B24" s="184"/>
      <c r="C24" s="197"/>
      <c r="D24" s="197"/>
      <c r="E24" s="69"/>
      <c r="F24" s="185"/>
    </row>
    <row r="25" spans="2:10">
      <c r="B25" s="184"/>
      <c r="C25" s="161"/>
      <c r="D25" s="199" t="s">
        <v>163</v>
      </c>
      <c r="E25" s="200"/>
      <c r="F25" s="185"/>
    </row>
    <row r="26" spans="2:10" ht="5.0999999999999996" customHeight="1">
      <c r="B26" s="184"/>
      <c r="C26" s="162"/>
      <c r="D26" s="82"/>
      <c r="E26" s="200"/>
      <c r="F26" s="185"/>
    </row>
    <row r="27" spans="2:10">
      <c r="B27" s="184"/>
      <c r="C27" s="163"/>
      <c r="D27" s="199" t="s">
        <v>169</v>
      </c>
      <c r="E27" s="200"/>
      <c r="F27" s="185"/>
    </row>
    <row r="28" spans="2:10" ht="5.0999999999999996" customHeight="1">
      <c r="B28" s="184"/>
      <c r="C28" s="162"/>
      <c r="D28" s="199"/>
      <c r="E28" s="200"/>
      <c r="F28" s="185"/>
    </row>
    <row r="29" spans="2:10" s="180" customFormat="1" ht="31.5" customHeight="1">
      <c r="B29" s="191"/>
      <c r="C29" s="164"/>
      <c r="D29" s="1028" t="s">
        <v>164</v>
      </c>
      <c r="E29" s="1029"/>
      <c r="F29" s="193"/>
    </row>
    <row r="30" spans="2:10" ht="15" customHeight="1" thickBot="1">
      <c r="B30" s="192"/>
      <c r="C30" s="201"/>
      <c r="D30" s="201"/>
      <c r="E30" s="202"/>
      <c r="F30" s="1020" t="s">
        <v>2040</v>
      </c>
    </row>
    <row r="31" spans="2:10" ht="15" customHeight="1">
      <c r="E31" s="82"/>
      <c r="F31" s="69"/>
    </row>
    <row r="32" spans="2:10" ht="15" customHeight="1">
      <c r="E32" s="82"/>
      <c r="F32" s="69"/>
    </row>
    <row r="33" spans="6:6">
      <c r="F33" s="69"/>
    </row>
    <row r="34" spans="6:6" ht="13.5" customHeight="1"/>
    <row r="35" spans="6:6" ht="15.75" customHeight="1"/>
    <row r="36" spans="6:6" ht="15" customHeight="1"/>
    <row r="37" spans="6:6" ht="12.75" customHeight="1"/>
    <row r="38" spans="6:6" ht="12.75" customHeight="1"/>
    <row r="39" spans="6:6" ht="12.75" customHeight="1"/>
  </sheetData>
  <sheetProtection algorithmName="SHA-512" hashValue="h3OKXDUwvwbIEngErhqO9lRQ35I/BOUMEnaKCij3WuYpASc64d7oZ/hbQgwZKLyuBV4pVFb6v+i5QC7quz3NPQ==" saltValue="bPpN9NQvit8FLkZ5VLXzBQ==" spinCount="100000" sheet="1" objects="1" scenarios="1"/>
  <customSheetViews>
    <customSheetView guid="{5E4DC421-887D-9843-8B54-CF861F76B668}" scale="150">
      <selection activeCell="C14" sqref="C14:H15"/>
      <pageMargins left="0.7" right="0.7" top="0.75" bottom="0.75" header="0.3" footer="0.3"/>
      <printOptions horizontalCentered="1"/>
      <pageSetup orientation="portrait"/>
      <headerFooter alignWithMargins="0"/>
    </customSheetView>
    <customSheetView guid="{7E5415B2-297C-4CDE-9A5E-CCA4F5662440}" scale="150" showPageBreaks="1" printArea="1" view="pageBreakPreview">
      <selection activeCell="C14" sqref="C14:H15"/>
      <pageMargins left="0.7" right="0.7" top="0.75" bottom="0.75" header="0.3" footer="0.3"/>
      <printOptions horizontalCentered="1"/>
      <pageSetup orientation="portrait"/>
      <headerFooter alignWithMargins="0"/>
    </customSheetView>
  </customSheetViews>
  <mergeCells count="1">
    <mergeCell ref="D29:E29"/>
  </mergeCells>
  <phoneticPr fontId="5" type="noConversion"/>
  <hyperlinks>
    <hyperlink ref="D11" location="INSTRUCTIONS!A1" display="Instructions"/>
    <hyperlink ref="D14" location="'1.) Name of School'!A1" display="1.) Name of School"/>
    <hyperlink ref="D15" location="'2.) Enrollment'!A1" display="2.) Enrollment"/>
    <hyperlink ref="D16" location="'3.) Staffing Plan'!A1" display="3.) Staffing Plan"/>
    <hyperlink ref="D17" location="'4.) Yearly Budget'!A1" display="4.) Yearly Budget"/>
    <hyperlink ref="D18" location="'5.) Balance Sheet'!A1" display="5.) Balance Sheet"/>
    <hyperlink ref="D19" location="'6.) Quarterly Report'!A1" display="6.) Quarterly Report"/>
    <hyperlink ref="D20" location="'7.) Annual Report Requirement'!A1" display="7.) Annual Report Requirement"/>
    <hyperlink ref="D12" location="'Funding by District'!A1" display="Funding by District"/>
  </hyperlinks>
  <printOptions horizontalCentered="1"/>
  <pageMargins left="0.7" right="0.7" top="0.85" bottom="0.75" header="0.3" footer="0.3"/>
  <pageSetup scale="77"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A1:AH1003"/>
  <sheetViews>
    <sheetView topLeftCell="A925" zoomScale="90" zoomScaleNormal="90" workbookViewId="0">
      <selection activeCell="I941" sqref="I941"/>
    </sheetView>
  </sheetViews>
  <sheetFormatPr defaultColWidth="9.109375" defaultRowHeight="15"/>
  <cols>
    <col min="1" max="1" width="9.109375" style="7"/>
    <col min="2" max="2" width="51.33203125" style="4" customWidth="1"/>
    <col min="3" max="3" width="11.5546875" style="4" customWidth="1"/>
    <col min="4" max="4" width="15.6640625" style="4" customWidth="1"/>
    <col min="5" max="5" width="17.33203125" style="4" customWidth="1"/>
    <col min="6" max="6" width="52.6640625" style="4" customWidth="1"/>
    <col min="7" max="8" width="15.6640625" style="4" customWidth="1"/>
    <col min="9" max="9" width="18.109375" style="4" customWidth="1"/>
    <col min="10" max="10" width="13.88671875" style="36" customWidth="1"/>
    <col min="11" max="11" width="27.5546875" style="22" customWidth="1"/>
    <col min="12" max="15" width="12.6640625" style="4" customWidth="1"/>
    <col min="16" max="16" width="13.88671875" style="4" customWidth="1"/>
    <col min="17" max="17" width="12.6640625" style="4" customWidth="1"/>
    <col min="18" max="18" width="12.6640625" customWidth="1"/>
    <col min="19" max="19" width="55.6640625" bestFit="1" customWidth="1"/>
    <col min="20" max="23" width="11.33203125" customWidth="1"/>
    <col min="24" max="24" width="14.6640625" bestFit="1" customWidth="1"/>
    <col min="25" max="25" width="16.6640625" bestFit="1" customWidth="1"/>
    <col min="26" max="29" width="11.33203125" bestFit="1" customWidth="1"/>
    <col min="30" max="30" width="8.88671875"/>
    <col min="31" max="31" width="17.6640625" customWidth="1"/>
    <col min="32" max="32" width="6.109375" bestFit="1" customWidth="1"/>
    <col min="33" max="34" width="8.88671875" customWidth="1"/>
    <col min="35" max="16384" width="9.109375" style="4"/>
  </cols>
  <sheetData>
    <row r="1" spans="1:34" ht="18">
      <c r="A1" s="24" t="s">
        <v>119</v>
      </c>
      <c r="L1"/>
      <c r="M1"/>
      <c r="N1"/>
      <c r="O1"/>
      <c r="P1"/>
      <c r="Q1"/>
    </row>
    <row r="2" spans="1:34" ht="18">
      <c r="A2" s="24"/>
      <c r="J2" s="22"/>
      <c r="L2"/>
      <c r="M2"/>
      <c r="N2"/>
      <c r="O2"/>
      <c r="P2"/>
      <c r="Q2"/>
    </row>
    <row r="3" spans="1:34" ht="31.2" thickBot="1">
      <c r="A3" s="24"/>
      <c r="J3" s="37" t="s">
        <v>134</v>
      </c>
      <c r="K3" s="38" t="s">
        <v>166</v>
      </c>
      <c r="L3"/>
      <c r="N3"/>
      <c r="O3"/>
      <c r="P3"/>
      <c r="Q3"/>
    </row>
    <row r="4" spans="1:34" ht="18.600000000000001" thickBot="1">
      <c r="A4" s="33" t="s">
        <v>141</v>
      </c>
      <c r="B4" s="34"/>
      <c r="L4"/>
      <c r="M4" s="1118" t="s">
        <v>1195</v>
      </c>
      <c r="N4" s="1119"/>
      <c r="O4" s="1120"/>
      <c r="P4"/>
      <c r="Q4"/>
    </row>
    <row r="5" spans="1:34" ht="18">
      <c r="A5" s="24"/>
      <c r="B5" s="4" t="s">
        <v>135</v>
      </c>
      <c r="E5" s="12" t="s">
        <v>136</v>
      </c>
      <c r="F5" s="13"/>
      <c r="G5" s="13"/>
      <c r="H5" s="14"/>
      <c r="I5" s="15" t="str">
        <f>UPPER('1.) Name of School'!C9)</f>
        <v/>
      </c>
      <c r="J5" s="38">
        <f>IF(I5="Select SCHOOL or MERGED EDCORP from drop-down list→",0,1)</f>
        <v>1</v>
      </c>
      <c r="L5"/>
      <c r="M5" s="788" t="s">
        <v>1191</v>
      </c>
      <c r="N5" s="783" t="s">
        <v>1192</v>
      </c>
      <c r="O5" s="789" t="s">
        <v>1193</v>
      </c>
      <c r="P5"/>
      <c r="Q5"/>
    </row>
    <row r="6" spans="1:34" ht="18">
      <c r="A6" s="25"/>
      <c r="B6" s="4" t="s">
        <v>137</v>
      </c>
      <c r="E6" s="12" t="s">
        <v>136</v>
      </c>
      <c r="F6" s="13"/>
      <c r="G6" s="13"/>
      <c r="H6" s="14"/>
      <c r="I6" s="15" t="str">
        <f>'1.) Name of School'!D13</f>
        <v>enter name</v>
      </c>
      <c r="J6" s="38">
        <f>IF(I6="enter name",0,1)</f>
        <v>0</v>
      </c>
      <c r="M6" s="784" t="s">
        <v>196</v>
      </c>
      <c r="N6" s="780">
        <f>COUNTIF('6.) Quarterly Report'!I6:I9,"&gt;0")</f>
        <v>0</v>
      </c>
      <c r="O6" s="785" t="b">
        <f>IF(N6&gt;0,1)</f>
        <v>0</v>
      </c>
      <c r="P6"/>
      <c r="Q6"/>
    </row>
    <row r="7" spans="1:34" ht="18">
      <c r="A7" s="25"/>
      <c r="B7" s="4" t="s">
        <v>138</v>
      </c>
      <c r="E7" s="12" t="s">
        <v>136</v>
      </c>
      <c r="F7" s="13"/>
      <c r="G7" s="13"/>
      <c r="H7" s="14"/>
      <c r="I7" s="15" t="str">
        <f>'1.) Name of School'!D14</f>
        <v>enter title</v>
      </c>
      <c r="J7" s="38">
        <f>IF(I7="enter title",0,1)</f>
        <v>0</v>
      </c>
      <c r="M7" s="784" t="s">
        <v>197</v>
      </c>
      <c r="N7" s="780">
        <f>COUNTIF('6.) Quarterly Report'!L6:L9,"&gt;0")</f>
        <v>0</v>
      </c>
      <c r="O7" s="785" t="b">
        <f>IF(N7&gt;0,2)</f>
        <v>0</v>
      </c>
      <c r="P7"/>
      <c r="Q7"/>
    </row>
    <row r="8" spans="1:34" ht="18">
      <c r="A8" s="25"/>
      <c r="B8" s="4" t="s">
        <v>139</v>
      </c>
      <c r="E8" s="12" t="s">
        <v>136</v>
      </c>
      <c r="F8" s="13"/>
      <c r="G8" s="13"/>
      <c r="H8" s="14"/>
      <c r="I8" s="15" t="str">
        <f>'1.) Name of School'!D15</f>
        <v>enter email address</v>
      </c>
      <c r="J8" s="38">
        <f>IF(I8="enter email address",0,1)</f>
        <v>0</v>
      </c>
      <c r="M8" s="784" t="s">
        <v>198</v>
      </c>
      <c r="N8" s="780">
        <f>COUNTIF('6.) Quarterly Report'!O6:O9,"&gt;0")</f>
        <v>0</v>
      </c>
      <c r="O8" s="785" t="b">
        <f>IF(N8&gt;0,3)</f>
        <v>0</v>
      </c>
      <c r="P8"/>
      <c r="Q8"/>
    </row>
    <row r="9" spans="1:34" ht="18.600000000000001" thickBot="1">
      <c r="A9" s="25"/>
      <c r="B9" s="4" t="s">
        <v>140</v>
      </c>
      <c r="E9" s="12" t="s">
        <v>136</v>
      </c>
      <c r="F9" s="13"/>
      <c r="G9" s="13"/>
      <c r="H9" s="14"/>
      <c r="I9" s="15" t="str">
        <f>'1.) Name of School'!D16</f>
        <v>enter phone number</v>
      </c>
      <c r="J9" s="38">
        <f>IF(I9="enter phone number",0,1)</f>
        <v>0</v>
      </c>
      <c r="M9" s="786" t="s">
        <v>199</v>
      </c>
      <c r="N9" s="782">
        <f>COUNTIF('6.) Quarterly Report'!R6:R9,"&gt;0")</f>
        <v>0</v>
      </c>
      <c r="O9" s="787" t="b">
        <f>IF(N9&gt;0,4)</f>
        <v>0</v>
      </c>
      <c r="P9"/>
      <c r="Q9"/>
    </row>
    <row r="10" spans="1:34" ht="18.600000000000001" thickBot="1">
      <c r="A10" s="24"/>
      <c r="E10"/>
      <c r="F10"/>
      <c r="G10"/>
      <c r="H10"/>
      <c r="I10"/>
      <c r="J10" s="38"/>
      <c r="L10"/>
      <c r="M10" s="790" t="s">
        <v>1194</v>
      </c>
      <c r="N10" s="791"/>
      <c r="O10" s="792">
        <f>MAX(O6:O9)</f>
        <v>0</v>
      </c>
      <c r="P10"/>
      <c r="Q10"/>
    </row>
    <row r="11" spans="1:34" ht="30.75" customHeight="1" thickBot="1">
      <c r="E11" s="32" t="s">
        <v>289</v>
      </c>
      <c r="J11" s="22"/>
      <c r="L11"/>
      <c r="M11" s="1115" t="s">
        <v>1196</v>
      </c>
      <c r="N11" s="1116"/>
      <c r="O11" s="1117"/>
      <c r="P11"/>
      <c r="Q11"/>
    </row>
    <row r="12" spans="1:34" ht="15.6" thickBot="1">
      <c r="A12" s="4"/>
      <c r="E12" s="12" t="s">
        <v>130</v>
      </c>
      <c r="F12" s="13"/>
      <c r="G12" s="13"/>
      <c r="H12" s="14"/>
      <c r="I12" s="15" t="str">
        <f>AcadYr1</f>
        <v>2020-21</v>
      </c>
      <c r="J12" s="36">
        <f>IF(I12=B15,0,1)</f>
        <v>1</v>
      </c>
      <c r="L12"/>
      <c r="M12" s="1121" t="str">
        <f>IF(QTR&gt;0,"QUARTER "&amp;QTR,"")</f>
        <v/>
      </c>
      <c r="N12" s="1122"/>
      <c r="O12" s="1123"/>
      <c r="P12"/>
      <c r="Q12"/>
    </row>
    <row r="13" spans="1:34" ht="15.6" thickBot="1">
      <c r="A13" s="35" t="s">
        <v>120</v>
      </c>
      <c r="L13"/>
      <c r="N13"/>
      <c r="O13"/>
      <c r="P13"/>
      <c r="Q13"/>
    </row>
    <row r="14" spans="1:34" s="6" customFormat="1">
      <c r="A14" s="7" t="s">
        <v>128</v>
      </c>
      <c r="B14" s="6" t="s">
        <v>127</v>
      </c>
      <c r="C14" s="5" t="s">
        <v>121</v>
      </c>
      <c r="E14" s="11" t="s">
        <v>129</v>
      </c>
      <c r="F14" s="9"/>
      <c r="G14" s="9"/>
      <c r="H14" s="9"/>
      <c r="I14" s="10"/>
      <c r="J14" s="38"/>
      <c r="K14" s="39"/>
      <c r="L14"/>
      <c r="M14" s="999" t="s">
        <v>1327</v>
      </c>
      <c r="N14" s="831"/>
      <c r="O14" s="831"/>
      <c r="P14" s="831"/>
      <c r="Q14" s="831"/>
      <c r="R14" s="1000"/>
      <c r="S14"/>
      <c r="T14"/>
      <c r="U14"/>
      <c r="V14"/>
      <c r="W14"/>
      <c r="X14"/>
      <c r="Y14"/>
      <c r="Z14"/>
      <c r="AA14"/>
      <c r="AB14"/>
      <c r="AC14"/>
      <c r="AD14"/>
      <c r="AE14"/>
      <c r="AF14"/>
      <c r="AG14"/>
      <c r="AH14"/>
    </row>
    <row r="15" spans="1:34" ht="15.6" thickBot="1">
      <c r="A15" s="4">
        <v>0</v>
      </c>
      <c r="B15" s="1" t="s">
        <v>1176</v>
      </c>
      <c r="C15" s="32" t="s">
        <v>1258</v>
      </c>
      <c r="E15" s="8" t="s">
        <v>125</v>
      </c>
      <c r="F15" s="8" t="s">
        <v>124</v>
      </c>
      <c r="G15" s="8" t="s">
        <v>126</v>
      </c>
      <c r="H15" s="8" t="s">
        <v>122</v>
      </c>
      <c r="I15" s="8" t="s">
        <v>123</v>
      </c>
      <c r="L15"/>
      <c r="M15" s="1001" t="s">
        <v>1231</v>
      </c>
      <c r="N15" s="1002"/>
      <c r="O15" s="1002"/>
      <c r="P15" s="1002"/>
      <c r="Q15" s="1002"/>
      <c r="R15" s="1002"/>
    </row>
    <row r="16" spans="1:34" ht="15.6" thickBot="1">
      <c r="A16" s="4">
        <v>1</v>
      </c>
      <c r="B16" s="1" t="str">
        <f t="shared" ref="B16:B24" si="0">C16&amp;"-"&amp;RIGHT(C17,2)</f>
        <v>2020-21</v>
      </c>
      <c r="C16" s="954">
        <v>2020</v>
      </c>
      <c r="E16" s="8" t="s">
        <v>103</v>
      </c>
      <c r="F16" s="8">
        <f>IFERROR(MATCH(AcadYr1,$B$16:$B$20,0),"")</f>
        <v>1</v>
      </c>
      <c r="G16" s="8" t="str">
        <f>IF(AcadYr1=B15,"",AcadYr1)</f>
        <v>2020-21</v>
      </c>
      <c r="H16" s="8">
        <f>IFERROR(VLOOKUP(F16,$A$16:$C$25,3),"")</f>
        <v>2020</v>
      </c>
      <c r="I16" s="8">
        <f>IFERROR(H16+1,"")</f>
        <v>2021</v>
      </c>
      <c r="L16"/>
      <c r="M16" s="1003" t="s">
        <v>1224</v>
      </c>
      <c r="N16" s="1002"/>
      <c r="O16" s="1002"/>
      <c r="P16" s="1002"/>
      <c r="Q16" s="1002"/>
      <c r="R16" s="1002"/>
    </row>
    <row r="17" spans="1:18">
      <c r="A17" s="4">
        <v>2</v>
      </c>
      <c r="B17" s="1" t="str">
        <f t="shared" si="0"/>
        <v>2021-22</v>
      </c>
      <c r="C17" s="3">
        <f t="shared" ref="C17:C25" si="1">C16+1</f>
        <v>2021</v>
      </c>
      <c r="E17" s="8" t="s">
        <v>104</v>
      </c>
      <c r="F17" s="8">
        <f>IFERROR(F16+1,"")</f>
        <v>2</v>
      </c>
      <c r="G17" s="8" t="str">
        <f>IFERROR(VLOOKUP(F17,$A$16:$C$25,2),"")</f>
        <v>2021-22</v>
      </c>
      <c r="H17" s="8">
        <f>IFERROR(VLOOKUP(F17,$A$16:$C$25,3),"")</f>
        <v>2021</v>
      </c>
      <c r="I17" s="8">
        <f>IFERROR(H17+1,"")</f>
        <v>2022</v>
      </c>
      <c r="L17"/>
      <c r="M17" s="1002"/>
      <c r="N17" s="1002"/>
      <c r="O17" s="1002"/>
      <c r="P17" s="1002"/>
      <c r="Q17" s="1002"/>
      <c r="R17" s="1002"/>
    </row>
    <row r="18" spans="1:18">
      <c r="A18" s="4">
        <v>3</v>
      </c>
      <c r="B18" s="1" t="str">
        <f t="shared" si="0"/>
        <v>2022-23</v>
      </c>
      <c r="C18" s="2">
        <f t="shared" si="1"/>
        <v>2022</v>
      </c>
      <c r="E18" s="8" t="s">
        <v>105</v>
      </c>
      <c r="F18" s="8">
        <f>IFERROR(F17+1,"")</f>
        <v>3</v>
      </c>
      <c r="G18" s="8" t="str">
        <f>IFERROR(VLOOKUP(F18,$A$16:$C$25,2),"")</f>
        <v>2022-23</v>
      </c>
      <c r="H18" s="8">
        <f>IFERROR(VLOOKUP(F18,$A$16:$C$25,3),"")</f>
        <v>2022</v>
      </c>
      <c r="I18" s="8">
        <f>IFERROR(H18+1,"")</f>
        <v>2023</v>
      </c>
      <c r="L18"/>
      <c r="M18" s="1002"/>
      <c r="N18" s="1002"/>
      <c r="O18" s="1002"/>
      <c r="P18" s="1002"/>
      <c r="Q18" s="1002"/>
      <c r="R18" s="1002"/>
    </row>
    <row r="19" spans="1:18">
      <c r="A19" s="4">
        <v>4</v>
      </c>
      <c r="B19" s="1" t="str">
        <f t="shared" si="0"/>
        <v>2023-24</v>
      </c>
      <c r="C19" s="2">
        <f t="shared" si="1"/>
        <v>2023</v>
      </c>
      <c r="E19" s="8" t="s">
        <v>106</v>
      </c>
      <c r="F19" s="8">
        <f>IFERROR(F18+1,"")</f>
        <v>4</v>
      </c>
      <c r="G19" s="8" t="str">
        <f>IFERROR(VLOOKUP(F19,$A$16:$C$25,2),"")</f>
        <v>2023-24</v>
      </c>
      <c r="H19" s="8">
        <f>IFERROR(VLOOKUP(F19,$A$16:$C$25,3),"")</f>
        <v>2023</v>
      </c>
      <c r="I19" s="8">
        <f>IFERROR(H19+1,"")</f>
        <v>2024</v>
      </c>
      <c r="L19"/>
      <c r="M19" s="1002"/>
      <c r="N19" s="1002"/>
      <c r="O19" s="1002"/>
      <c r="P19" s="1002"/>
      <c r="Q19" s="1002"/>
      <c r="R19" s="1002"/>
    </row>
    <row r="20" spans="1:18">
      <c r="A20" s="4">
        <v>5</v>
      </c>
      <c r="B20" s="1" t="str">
        <f t="shared" si="0"/>
        <v>2024-25</v>
      </c>
      <c r="C20" s="2">
        <f t="shared" si="1"/>
        <v>2024</v>
      </c>
      <c r="E20" s="8" t="s">
        <v>107</v>
      </c>
      <c r="F20" s="8">
        <f>IFERROR(F19+1,"")</f>
        <v>5</v>
      </c>
      <c r="G20" s="8" t="str">
        <f>IFERROR(VLOOKUP(F20,$A$16:$C$25,2),"")</f>
        <v>2024-25</v>
      </c>
      <c r="H20" s="8">
        <f>IFERROR(VLOOKUP(F20,$A$16:$C$25,3),"")</f>
        <v>2024</v>
      </c>
      <c r="I20" s="8">
        <f>IFERROR(H20+1,"")</f>
        <v>2025</v>
      </c>
      <c r="M20" s="1004"/>
      <c r="N20" s="1004"/>
      <c r="O20" s="1004"/>
      <c r="P20" s="1004"/>
      <c r="Q20" s="1004"/>
      <c r="R20" s="1002"/>
    </row>
    <row r="21" spans="1:18">
      <c r="A21" s="4">
        <v>6</v>
      </c>
      <c r="B21" s="1" t="str">
        <f t="shared" si="0"/>
        <v>2025-26</v>
      </c>
      <c r="C21" s="2">
        <f t="shared" si="1"/>
        <v>2025</v>
      </c>
      <c r="J21" s="40"/>
      <c r="L21"/>
      <c r="M21" s="1002"/>
      <c r="N21" s="1004"/>
      <c r="O21" s="1004"/>
      <c r="P21" s="1004"/>
      <c r="Q21" s="1004"/>
      <c r="R21" s="1002"/>
    </row>
    <row r="22" spans="1:18">
      <c r="A22" s="4">
        <v>7</v>
      </c>
      <c r="B22" s="1" t="str">
        <f t="shared" si="0"/>
        <v>2026-27</v>
      </c>
      <c r="C22" s="2">
        <f t="shared" si="1"/>
        <v>2026</v>
      </c>
      <c r="E22" s="17" t="s">
        <v>193</v>
      </c>
      <c r="F22" s="47"/>
      <c r="G22" s="47"/>
      <c r="H22" s="47"/>
      <c r="I22" s="23" t="str">
        <f>IF(INDEX(Table2[[#All],[YrOpen]],MATCH('1.) Name of School'!D11,Table2[[#All],[SCHOOLS]],0))=VALUE(LEFT(AcadYr1,4)),"Planning Year",IFERROR(LEFT(I12,4)-1&amp;"-"&amp;MID(I12,3,2),""))</f>
        <v>2019-20</v>
      </c>
      <c r="J22" s="40"/>
      <c r="L22"/>
      <c r="M22" s="1002"/>
      <c r="N22" s="1004"/>
      <c r="O22" s="1004"/>
      <c r="P22" s="1004"/>
      <c r="Q22" s="1004"/>
      <c r="R22" s="1002"/>
    </row>
    <row r="23" spans="1:18">
      <c r="A23" s="4">
        <v>8</v>
      </c>
      <c r="B23" s="1" t="str">
        <f t="shared" si="0"/>
        <v>2027-28</v>
      </c>
      <c r="C23" s="2">
        <f t="shared" si="1"/>
        <v>2027</v>
      </c>
      <c r="J23" s="40"/>
      <c r="L23"/>
      <c r="M23" s="1002"/>
      <c r="N23" s="1004"/>
      <c r="O23" s="1004"/>
      <c r="P23" s="1004"/>
      <c r="Q23" s="1004"/>
      <c r="R23" s="1002"/>
    </row>
    <row r="24" spans="1:18">
      <c r="A24" s="4">
        <v>9</v>
      </c>
      <c r="B24" s="1" t="str">
        <f t="shared" si="0"/>
        <v>2028-29</v>
      </c>
      <c r="C24" s="2">
        <f t="shared" si="1"/>
        <v>2028</v>
      </c>
      <c r="J24" s="40"/>
      <c r="L24"/>
      <c r="M24" s="1002"/>
      <c r="N24" s="1004"/>
      <c r="O24" s="1004"/>
      <c r="P24" s="1004"/>
      <c r="Q24" s="1004"/>
      <c r="R24" s="1002"/>
    </row>
    <row r="25" spans="1:18">
      <c r="A25" s="4">
        <v>10</v>
      </c>
      <c r="B25" s="1" t="str">
        <f>C25&amp;"-"&amp;RIGHT(C25+1,2)</f>
        <v>2029-30</v>
      </c>
      <c r="C25" s="2">
        <f t="shared" si="1"/>
        <v>2029</v>
      </c>
      <c r="J25" s="40"/>
      <c r="L25"/>
      <c r="M25" s="1002"/>
      <c r="N25" s="1004"/>
      <c r="O25" s="1004"/>
      <c r="P25" s="1004"/>
      <c r="Q25" s="1004"/>
      <c r="R25" s="1002"/>
    </row>
    <row r="26" spans="1:18">
      <c r="J26" s="40"/>
      <c r="L26"/>
      <c r="M26" s="1002"/>
      <c r="N26" s="1004"/>
      <c r="O26" s="1004"/>
      <c r="P26" s="1004"/>
      <c r="Q26" s="1004"/>
      <c r="R26" s="1002"/>
    </row>
    <row r="27" spans="1:18">
      <c r="J27" s="40"/>
      <c r="K27" s="30"/>
      <c r="L27"/>
      <c r="M27" s="1002"/>
      <c r="N27" s="1004"/>
      <c r="O27" s="1004"/>
      <c r="P27" s="1004"/>
      <c r="Q27" s="1004"/>
      <c r="R27" s="1002"/>
    </row>
    <row r="28" spans="1:18">
      <c r="A28" s="35" t="s">
        <v>191</v>
      </c>
      <c r="E28" s="178"/>
      <c r="F28" s="14"/>
      <c r="G28" s="235"/>
      <c r="H28" s="14"/>
      <c r="I28" s="15"/>
    </row>
    <row r="29" spans="1:18">
      <c r="A29" s="7" t="s">
        <v>128</v>
      </c>
      <c r="B29" s="4" t="s">
        <v>133</v>
      </c>
      <c r="E29" s="16"/>
    </row>
    <row r="30" spans="1:18">
      <c r="A30" s="7">
        <v>0</v>
      </c>
      <c r="B30" s="1" t="s">
        <v>1176</v>
      </c>
      <c r="E30"/>
      <c r="F30"/>
      <c r="G30"/>
      <c r="H30"/>
    </row>
    <row r="31" spans="1:18">
      <c r="A31" s="7">
        <v>1</v>
      </c>
      <c r="B31" s="4" t="s">
        <v>192</v>
      </c>
      <c r="E31"/>
      <c r="F31"/>
      <c r="G31"/>
      <c r="H31"/>
      <c r="I31"/>
    </row>
    <row r="32" spans="1:18">
      <c r="A32" s="7">
        <v>2</v>
      </c>
      <c r="B32" s="4" t="s">
        <v>192</v>
      </c>
      <c r="E32"/>
      <c r="F32"/>
      <c r="G32"/>
      <c r="H32"/>
      <c r="I32"/>
    </row>
    <row r="33" spans="1:16">
      <c r="C33"/>
    </row>
    <row r="35" spans="1:16">
      <c r="A35" s="35" t="s">
        <v>152</v>
      </c>
      <c r="E35" s="46" t="s">
        <v>153</v>
      </c>
      <c r="F35" s="47"/>
      <c r="G35" s="47"/>
      <c r="H35" s="47"/>
      <c r="I35" s="23" t="str">
        <f>MID('Funding by District'!$F$5,FIND(" 2",'Funding by District'!$F$5)+1,7)</f>
        <v>2020-21</v>
      </c>
    </row>
    <row r="36" spans="1:16">
      <c r="K36" s="30"/>
    </row>
    <row r="37" spans="1:16">
      <c r="A37" s="35" t="s">
        <v>142</v>
      </c>
      <c r="C37" s="1"/>
      <c r="K37" s="30"/>
    </row>
    <row r="38" spans="1:16">
      <c r="A38" s="7">
        <v>1</v>
      </c>
      <c r="B38" s="18" t="s">
        <v>370</v>
      </c>
      <c r="C38" s="19"/>
      <c r="D38" s="19"/>
      <c r="E38" s="19"/>
      <c r="F38" s="19"/>
      <c r="G38" s="19"/>
      <c r="H38" s="19"/>
      <c r="I38" s="20"/>
      <c r="K38" s="30"/>
      <c r="L38" s="22"/>
      <c r="M38" s="22"/>
      <c r="N38" s="22"/>
      <c r="O38" s="22"/>
      <c r="P38" s="22"/>
    </row>
    <row r="39" spans="1:16">
      <c r="A39" s="7">
        <v>2</v>
      </c>
      <c r="B39" s="18" t="s">
        <v>369</v>
      </c>
      <c r="C39" s="19"/>
      <c r="D39" s="19"/>
      <c r="E39" s="19"/>
      <c r="F39" s="19"/>
      <c r="G39" s="19"/>
      <c r="H39" s="19"/>
      <c r="I39" s="20"/>
      <c r="K39" s="30"/>
    </row>
    <row r="40" spans="1:16">
      <c r="A40" s="7">
        <v>3</v>
      </c>
      <c r="B40" s="229" t="s">
        <v>185</v>
      </c>
      <c r="C40" s="230"/>
      <c r="D40" s="230"/>
      <c r="E40" s="230"/>
      <c r="F40" s="230"/>
      <c r="G40" s="230"/>
      <c r="H40" s="230"/>
      <c r="I40" s="231"/>
    </row>
    <row r="42" spans="1:16">
      <c r="A42" s="35" t="s">
        <v>145</v>
      </c>
      <c r="E42" s="32" t="s">
        <v>1240</v>
      </c>
    </row>
    <row r="43" spans="1:16">
      <c r="A43" s="7">
        <v>0</v>
      </c>
      <c r="B43" s="1" t="s">
        <v>1177</v>
      </c>
      <c r="E43" s="859">
        <v>0</v>
      </c>
      <c r="F43" s="856" t="str">
        <f>IF(E43=2,"Budgets submitted to the Institute must be approved by the school board.
Please submit a request for an extension of the due date to charters@suny.edu.","")</f>
        <v/>
      </c>
    </row>
    <row r="44" spans="1:16">
      <c r="A44" s="7">
        <v>1</v>
      </c>
      <c r="B44" s="4" t="s">
        <v>146</v>
      </c>
      <c r="F44" s="858"/>
    </row>
    <row r="45" spans="1:16">
      <c r="A45" s="7">
        <v>2</v>
      </c>
      <c r="B45" s="4" t="s">
        <v>147</v>
      </c>
    </row>
    <row r="46" spans="1:16">
      <c r="A46" s="7">
        <v>3</v>
      </c>
      <c r="B46" s="4" t="s">
        <v>148</v>
      </c>
    </row>
    <row r="48" spans="1:16" ht="15.6" thickBot="1">
      <c r="A48" s="35" t="s">
        <v>143</v>
      </c>
    </row>
    <row r="49" spans="1:23" ht="15" customHeight="1">
      <c r="B49" s="45" t="s">
        <v>151</v>
      </c>
      <c r="D49"/>
      <c r="E49"/>
      <c r="F49"/>
      <c r="G49"/>
      <c r="H49"/>
      <c r="I49"/>
      <c r="K49"/>
      <c r="L49"/>
      <c r="M49"/>
      <c r="N49"/>
      <c r="O49"/>
      <c r="P49"/>
      <c r="Q49"/>
    </row>
    <row r="50" spans="1:23" ht="15.6" thickBot="1">
      <c r="B50" s="234" t="s">
        <v>149</v>
      </c>
      <c r="C50" s="1110" t="s">
        <v>188</v>
      </c>
      <c r="D50"/>
      <c r="E50"/>
      <c r="F50" s="485" t="s">
        <v>331</v>
      </c>
      <c r="G50"/>
      <c r="H50"/>
      <c r="I50"/>
      <c r="K50"/>
      <c r="L50" s="485" t="s">
        <v>332</v>
      </c>
      <c r="M50"/>
      <c r="N50"/>
      <c r="O50"/>
      <c r="P50"/>
      <c r="Q50"/>
      <c r="T50" s="485" t="s">
        <v>143</v>
      </c>
    </row>
    <row r="51" spans="1:23">
      <c r="B51" s="32"/>
      <c r="C51" s="1111"/>
      <c r="D51"/>
      <c r="E51" s="32" t="s">
        <v>333</v>
      </c>
      <c r="F51" s="618" t="s">
        <v>196</v>
      </c>
      <c r="G51" s="618" t="s">
        <v>197</v>
      </c>
      <c r="H51" s="618" t="s">
        <v>198</v>
      </c>
      <c r="I51" s="619" t="s">
        <v>199</v>
      </c>
      <c r="J51" s="826" t="s">
        <v>1203</v>
      </c>
      <c r="K51"/>
      <c r="L51" s="618" t="s">
        <v>196</v>
      </c>
      <c r="M51" s="618" t="s">
        <v>197</v>
      </c>
      <c r="N51" s="618" t="s">
        <v>198</v>
      </c>
      <c r="O51" s="619" t="s">
        <v>199</v>
      </c>
      <c r="P51" s="826" t="s">
        <v>1203</v>
      </c>
      <c r="Q51"/>
      <c r="T51" s="486" t="s">
        <v>196</v>
      </c>
      <c r="U51" s="486" t="s">
        <v>197</v>
      </c>
      <c r="V51" s="486" t="s">
        <v>198</v>
      </c>
      <c r="W51" s="487" t="s">
        <v>199</v>
      </c>
    </row>
    <row r="52" spans="1:23">
      <c r="A52" s="4">
        <v>1</v>
      </c>
      <c r="B52" s="477" t="str">
        <f>IF(OR('2.) Enrollment'!C22=$B$109,ISBLANK('2.) Enrollment'!C22)),"-",'2.) Enrollment'!C22)</f>
        <v>-</v>
      </c>
      <c r="C52" s="233">
        <f>IF(ISNA(MATCH(School,$M$15:$M$27,0)),1,0)*IFERROR(VLOOKUP($B52,'Funding by District'!$D$6:$F$685,3,FALSE),0)</f>
        <v>0</v>
      </c>
      <c r="D52"/>
      <c r="E52">
        <f>SUM(T52:W52)/4</f>
        <v>0</v>
      </c>
      <c r="F52" s="321">
        <f>$C52*'2.) Enrollment'!G22*'4.) Yearly Budget'!$J$17</f>
        <v>0</v>
      </c>
      <c r="G52" s="321">
        <f>$C52*'2.) Enrollment'!I22*'4.) Yearly Budget'!$M$17</f>
        <v>0</v>
      </c>
      <c r="H52" s="321">
        <f>$C52*'2.) Enrollment'!K22*'4.) Yearly Budget'!$P$17</f>
        <v>0</v>
      </c>
      <c r="I52" s="321">
        <f>$C52*'2.) Enrollment'!M22*'4.) Yearly Budget'!$S$17</f>
        <v>0</v>
      </c>
      <c r="J52" s="827">
        <f>SUM(F52:I52)</f>
        <v>0</v>
      </c>
      <c r="K52"/>
      <c r="L52" s="321">
        <f>$C52*'2.) Enrollment'!H22*'4.) Yearly Budget'!$K$17</f>
        <v>0</v>
      </c>
      <c r="M52" s="321">
        <f>$C52*'2.) Enrollment'!J22*'4.) Yearly Budget'!$N$17</f>
        <v>0</v>
      </c>
      <c r="N52" s="321">
        <f>$C52*'2.) Enrollment'!L22*'4.) Yearly Budget'!$Q$17</f>
        <v>0</v>
      </c>
      <c r="O52" s="321">
        <f>$C52*'2.) Enrollment'!N22*'4.) Yearly Budget'!$T$17</f>
        <v>0</v>
      </c>
      <c r="P52" s="827">
        <f>SUM(L52:O52)</f>
        <v>0</v>
      </c>
      <c r="Q52"/>
      <c r="R52">
        <f>SUM(IF(L52&gt;0,L52,F52)+IF(M52&gt;0,M52,G52)+IF(N52&gt;0,N52,H52)+IF(O52&gt;0,O52,I52))</f>
        <v>0</v>
      </c>
      <c r="T52">
        <f>IF(ISBLANK('2.) Enrollment'!H22)=TRUE,'2.) Enrollment'!G22,'2.) Enrollment'!H22)</f>
        <v>0</v>
      </c>
      <c r="U52">
        <f>IF(ISBLANK('2.) Enrollment'!J22)=TRUE,'2.) Enrollment'!I22,'2.) Enrollment'!J22)</f>
        <v>0</v>
      </c>
      <c r="V52">
        <f>IF(ISBLANK('2.) Enrollment'!L22)=TRUE,'2.) Enrollment'!K22,'2.) Enrollment'!L22)</f>
        <v>0</v>
      </c>
      <c r="W52">
        <f>IF(ISBLANK('2.) Enrollment'!N22)=TRUE,'2.) Enrollment'!M22,'2.) Enrollment'!N22)</f>
        <v>0</v>
      </c>
    </row>
    <row r="53" spans="1:23">
      <c r="A53" s="4">
        <v>2</v>
      </c>
      <c r="B53" s="477" t="str">
        <f>IF(OR('2.) Enrollment'!C23=$B$109,ISBLANK('2.) Enrollment'!C23)),"-",'2.) Enrollment'!C23)</f>
        <v>-</v>
      </c>
      <c r="C53" s="233">
        <f>IF(ISNA(MATCH(School,$M$15:$M$27,0)),1,0)*IFERROR(VLOOKUP($B53,'Funding by District'!$D$6:$F$685,3,FALSE),0)</f>
        <v>0</v>
      </c>
      <c r="D53"/>
      <c r="E53">
        <f t="shared" ref="E53:E101" si="2">SUM(T53:W53)/4</f>
        <v>0</v>
      </c>
      <c r="F53" s="321">
        <f>$C53*'2.) Enrollment'!G23*'4.) Yearly Budget'!$J$17</f>
        <v>0</v>
      </c>
      <c r="G53" s="321">
        <f>$C53*'2.) Enrollment'!I23*'4.) Yearly Budget'!$M$17</f>
        <v>0</v>
      </c>
      <c r="H53" s="321">
        <f>$C53*'2.) Enrollment'!K23*'4.) Yearly Budget'!$P$17</f>
        <v>0</v>
      </c>
      <c r="I53" s="321">
        <f>$C53*'2.) Enrollment'!M23*'4.) Yearly Budget'!$S$17</f>
        <v>0</v>
      </c>
      <c r="J53" s="827">
        <f t="shared" ref="J53:J101" si="3">SUM(F53:I53)</f>
        <v>0</v>
      </c>
      <c r="K53"/>
      <c r="L53" s="321">
        <f>$C53*'2.) Enrollment'!H23*'4.) Yearly Budget'!$K$17</f>
        <v>0</v>
      </c>
      <c r="M53" s="321">
        <f>$C53*'2.) Enrollment'!J23*'4.) Yearly Budget'!$N$17</f>
        <v>0</v>
      </c>
      <c r="N53" s="321">
        <f>$C53*'2.) Enrollment'!L23*'4.) Yearly Budget'!$Q$17</f>
        <v>0</v>
      </c>
      <c r="O53" s="321">
        <f>$C53*'2.) Enrollment'!N23*'4.) Yearly Budget'!$T$17</f>
        <v>0</v>
      </c>
      <c r="P53" s="827">
        <f t="shared" ref="P53:P101" si="4">SUM(L53:O53)</f>
        <v>0</v>
      </c>
      <c r="Q53"/>
      <c r="R53">
        <f t="shared" ref="R53:R101" si="5">SUM(IF(L53&gt;0,L53,F53)+IF(M53&gt;0,M53,G53)+IF(N53&gt;0,N53,H53)+IF(O53&gt;0,O53,I53))</f>
        <v>0</v>
      </c>
      <c r="T53">
        <f>IF(ISBLANK('2.) Enrollment'!H23)=TRUE,'2.) Enrollment'!G23,'2.) Enrollment'!H23)</f>
        <v>0</v>
      </c>
      <c r="U53">
        <f>IF(ISBLANK('2.) Enrollment'!J23)=TRUE,'2.) Enrollment'!I23,'2.) Enrollment'!J23)</f>
        <v>0</v>
      </c>
      <c r="V53">
        <f>IF(ISBLANK('2.) Enrollment'!L23)=TRUE,'2.) Enrollment'!K23,'2.) Enrollment'!L23)</f>
        <v>0</v>
      </c>
      <c r="W53">
        <f>IF(ISBLANK('2.) Enrollment'!N23)=TRUE,'2.) Enrollment'!M23,'2.) Enrollment'!N23)</f>
        <v>0</v>
      </c>
    </row>
    <row r="54" spans="1:23">
      <c r="A54" s="4">
        <v>3</v>
      </c>
      <c r="B54" s="477" t="str">
        <f>IF(OR('2.) Enrollment'!C24=$B$109,ISBLANK('2.) Enrollment'!C24)),"-",'2.) Enrollment'!C24)</f>
        <v>-</v>
      </c>
      <c r="C54" s="233">
        <f>IF(ISNA(MATCH(School,$M$15:$M$27,0)),1,0)*IFERROR(VLOOKUP($B54,'Funding by District'!$D$6:$F$685,3,FALSE),0)</f>
        <v>0</v>
      </c>
      <c r="D54"/>
      <c r="E54">
        <f t="shared" si="2"/>
        <v>0</v>
      </c>
      <c r="F54" s="321">
        <f>$C54*'2.) Enrollment'!G24*'4.) Yearly Budget'!$J$17</f>
        <v>0</v>
      </c>
      <c r="G54" s="321">
        <f>$C54*'2.) Enrollment'!I24*'4.) Yearly Budget'!$M$17</f>
        <v>0</v>
      </c>
      <c r="H54" s="321">
        <f>$C54*'2.) Enrollment'!K24*'4.) Yearly Budget'!$P$17</f>
        <v>0</v>
      </c>
      <c r="I54" s="321">
        <f>$C54*'2.) Enrollment'!M24*'4.) Yearly Budget'!$S$17</f>
        <v>0</v>
      </c>
      <c r="J54" s="827">
        <f t="shared" si="3"/>
        <v>0</v>
      </c>
      <c r="K54"/>
      <c r="L54" s="321">
        <f>$C54*'2.) Enrollment'!H24*'4.) Yearly Budget'!$K$17</f>
        <v>0</v>
      </c>
      <c r="M54" s="321">
        <f>$C54*'2.) Enrollment'!J24*'4.) Yearly Budget'!$N$17</f>
        <v>0</v>
      </c>
      <c r="N54" s="321">
        <f>$C54*'2.) Enrollment'!L24*'4.) Yearly Budget'!$Q$17</f>
        <v>0</v>
      </c>
      <c r="O54" s="321">
        <f>$C54*'2.) Enrollment'!N24*'4.) Yearly Budget'!$T$17</f>
        <v>0</v>
      </c>
      <c r="P54" s="827">
        <f t="shared" si="4"/>
        <v>0</v>
      </c>
      <c r="Q54"/>
      <c r="R54">
        <f t="shared" si="5"/>
        <v>0</v>
      </c>
      <c r="T54">
        <f>IF(ISBLANK('2.) Enrollment'!H24)=TRUE,'2.) Enrollment'!G24,'2.) Enrollment'!H24)</f>
        <v>0</v>
      </c>
      <c r="U54">
        <f>IF(ISBLANK('2.) Enrollment'!J24)=TRUE,'2.) Enrollment'!I24,'2.) Enrollment'!J24)</f>
        <v>0</v>
      </c>
      <c r="V54">
        <f>IF(ISBLANK('2.) Enrollment'!L24)=TRUE,'2.) Enrollment'!K24,'2.) Enrollment'!L24)</f>
        <v>0</v>
      </c>
      <c r="W54">
        <f>IF(ISBLANK('2.) Enrollment'!N24)=TRUE,'2.) Enrollment'!M24,'2.) Enrollment'!N24)</f>
        <v>0</v>
      </c>
    </row>
    <row r="55" spans="1:23">
      <c r="A55" s="4">
        <v>4</v>
      </c>
      <c r="B55" s="477" t="str">
        <f>IF(OR('2.) Enrollment'!C25=$B$109,ISBLANK('2.) Enrollment'!C25)),"-",'2.) Enrollment'!C25)</f>
        <v>-</v>
      </c>
      <c r="C55" s="233">
        <f>IF(ISNA(MATCH(School,$M$15:$M$27,0)),1,0)*IFERROR(VLOOKUP($B55,'Funding by District'!$D$6:$F$685,3,FALSE),0)</f>
        <v>0</v>
      </c>
      <c r="D55"/>
      <c r="E55">
        <f t="shared" si="2"/>
        <v>0</v>
      </c>
      <c r="F55" s="321">
        <f>$C55*'2.) Enrollment'!G25*'4.) Yearly Budget'!$J$17</f>
        <v>0</v>
      </c>
      <c r="G55" s="321">
        <f>$C55*'2.) Enrollment'!I25*'4.) Yearly Budget'!$M$17</f>
        <v>0</v>
      </c>
      <c r="H55" s="321">
        <f>$C55*'2.) Enrollment'!K25*'4.) Yearly Budget'!$P$17</f>
        <v>0</v>
      </c>
      <c r="I55" s="321">
        <f>$C55*'2.) Enrollment'!M25*'4.) Yearly Budget'!$S$17</f>
        <v>0</v>
      </c>
      <c r="J55" s="827">
        <f t="shared" si="3"/>
        <v>0</v>
      </c>
      <c r="K55"/>
      <c r="L55" s="321">
        <f>$C55*'2.) Enrollment'!H25*'4.) Yearly Budget'!$K$17</f>
        <v>0</v>
      </c>
      <c r="M55" s="321">
        <f>$C55*'2.) Enrollment'!J25*'4.) Yearly Budget'!$N$17</f>
        <v>0</v>
      </c>
      <c r="N55" s="321">
        <f>$C55*'2.) Enrollment'!L25*'4.) Yearly Budget'!$Q$17</f>
        <v>0</v>
      </c>
      <c r="O55" s="321">
        <f>$C55*'2.) Enrollment'!N25*'4.) Yearly Budget'!$T$17</f>
        <v>0</v>
      </c>
      <c r="P55" s="827">
        <f t="shared" si="4"/>
        <v>0</v>
      </c>
      <c r="Q55"/>
      <c r="R55">
        <f t="shared" si="5"/>
        <v>0</v>
      </c>
      <c r="T55">
        <f>IF(ISBLANK('2.) Enrollment'!H25)=TRUE,'2.) Enrollment'!G25,'2.) Enrollment'!H25)</f>
        <v>0</v>
      </c>
      <c r="U55">
        <f>IF(ISBLANK('2.) Enrollment'!J25)=TRUE,'2.) Enrollment'!I25,'2.) Enrollment'!J25)</f>
        <v>0</v>
      </c>
      <c r="V55">
        <f>IF(ISBLANK('2.) Enrollment'!L25)=TRUE,'2.) Enrollment'!K25,'2.) Enrollment'!L25)</f>
        <v>0</v>
      </c>
      <c r="W55">
        <f>IF(ISBLANK('2.) Enrollment'!N25)=TRUE,'2.) Enrollment'!M25,'2.) Enrollment'!N25)</f>
        <v>0</v>
      </c>
    </row>
    <row r="56" spans="1:23">
      <c r="A56" s="4">
        <v>5</v>
      </c>
      <c r="B56" s="477" t="str">
        <f>IF(OR('2.) Enrollment'!C26=$B$109,ISBLANK('2.) Enrollment'!C26)),"-",'2.) Enrollment'!C26)</f>
        <v>-</v>
      </c>
      <c r="C56" s="233">
        <f>IF(ISNA(MATCH(School,$M$15:$M$27,0)),1,0)*IFERROR(VLOOKUP($B56,'Funding by District'!$D$6:$F$685,3,FALSE),0)</f>
        <v>0</v>
      </c>
      <c r="D56"/>
      <c r="E56">
        <f t="shared" si="2"/>
        <v>0</v>
      </c>
      <c r="F56" s="321">
        <f>$C56*'2.) Enrollment'!G26*'4.) Yearly Budget'!$J$17</f>
        <v>0</v>
      </c>
      <c r="G56" s="321">
        <f>$C56*'2.) Enrollment'!I26*'4.) Yearly Budget'!$M$17</f>
        <v>0</v>
      </c>
      <c r="H56" s="321">
        <f>$C56*'2.) Enrollment'!K26*'4.) Yearly Budget'!$P$17</f>
        <v>0</v>
      </c>
      <c r="I56" s="321">
        <f>$C56*'2.) Enrollment'!M26*'4.) Yearly Budget'!$S$17</f>
        <v>0</v>
      </c>
      <c r="J56" s="827">
        <f t="shared" si="3"/>
        <v>0</v>
      </c>
      <c r="K56"/>
      <c r="L56" s="321">
        <f>$C56*'2.) Enrollment'!H26*'4.) Yearly Budget'!$K$17</f>
        <v>0</v>
      </c>
      <c r="M56" s="321">
        <f>$C56*'2.) Enrollment'!J26*'4.) Yearly Budget'!$N$17</f>
        <v>0</v>
      </c>
      <c r="N56" s="321">
        <f>$C56*'2.) Enrollment'!L26*'4.) Yearly Budget'!$Q$17</f>
        <v>0</v>
      </c>
      <c r="O56" s="321">
        <f>$C56*'2.) Enrollment'!N26*'4.) Yearly Budget'!$T$17</f>
        <v>0</v>
      </c>
      <c r="P56" s="827">
        <f t="shared" si="4"/>
        <v>0</v>
      </c>
      <c r="Q56"/>
      <c r="R56">
        <f t="shared" si="5"/>
        <v>0</v>
      </c>
      <c r="T56">
        <f>IF(ISBLANK('2.) Enrollment'!H26)=TRUE,'2.) Enrollment'!G26,'2.) Enrollment'!H26)</f>
        <v>0</v>
      </c>
      <c r="U56">
        <f>IF(ISBLANK('2.) Enrollment'!J26)=TRUE,'2.) Enrollment'!I26,'2.) Enrollment'!J26)</f>
        <v>0</v>
      </c>
      <c r="V56">
        <f>IF(ISBLANK('2.) Enrollment'!L26)=TRUE,'2.) Enrollment'!K26,'2.) Enrollment'!L26)</f>
        <v>0</v>
      </c>
      <c r="W56">
        <f>IF(ISBLANK('2.) Enrollment'!N26)=TRUE,'2.) Enrollment'!M26,'2.) Enrollment'!N26)</f>
        <v>0</v>
      </c>
    </row>
    <row r="57" spans="1:23">
      <c r="A57" s="4">
        <v>6</v>
      </c>
      <c r="B57" s="477" t="str">
        <f>IF(OR('2.) Enrollment'!C27=$B$109,ISBLANK('2.) Enrollment'!C27)),"-",'2.) Enrollment'!C27)</f>
        <v>-</v>
      </c>
      <c r="C57" s="233">
        <f>IF(ISNA(MATCH(School,$M$15:$M$27,0)),1,0)*IFERROR(VLOOKUP($B57,'Funding by District'!$D$6:$F$685,3,FALSE),0)</f>
        <v>0</v>
      </c>
      <c r="D57"/>
      <c r="E57">
        <f t="shared" si="2"/>
        <v>0</v>
      </c>
      <c r="F57" s="321">
        <f>$C57*'2.) Enrollment'!G27*'4.) Yearly Budget'!$J$17</f>
        <v>0</v>
      </c>
      <c r="G57" s="321">
        <f>$C57*'2.) Enrollment'!I27*'4.) Yearly Budget'!$M$17</f>
        <v>0</v>
      </c>
      <c r="H57" s="321">
        <f>$C57*'2.) Enrollment'!K27*'4.) Yearly Budget'!$P$17</f>
        <v>0</v>
      </c>
      <c r="I57" s="321">
        <f>$C57*'2.) Enrollment'!M27*'4.) Yearly Budget'!$S$17</f>
        <v>0</v>
      </c>
      <c r="J57" s="827">
        <f t="shared" si="3"/>
        <v>0</v>
      </c>
      <c r="K57"/>
      <c r="L57" s="321">
        <f>$C57*'2.) Enrollment'!H27*'4.) Yearly Budget'!$K$17</f>
        <v>0</v>
      </c>
      <c r="M57" s="321">
        <f>$C57*'2.) Enrollment'!J27*'4.) Yearly Budget'!$N$17</f>
        <v>0</v>
      </c>
      <c r="N57" s="321">
        <f>$C57*'2.) Enrollment'!L27*'4.) Yearly Budget'!$Q$17</f>
        <v>0</v>
      </c>
      <c r="O57" s="321">
        <f>$C57*'2.) Enrollment'!N27*'4.) Yearly Budget'!$T$17</f>
        <v>0</v>
      </c>
      <c r="P57" s="827">
        <f t="shared" si="4"/>
        <v>0</v>
      </c>
      <c r="Q57"/>
      <c r="R57">
        <f t="shared" si="5"/>
        <v>0</v>
      </c>
      <c r="T57">
        <f>IF(ISBLANK('2.) Enrollment'!H27)=TRUE,'2.) Enrollment'!G27,'2.) Enrollment'!H27)</f>
        <v>0</v>
      </c>
      <c r="U57">
        <f>IF(ISBLANK('2.) Enrollment'!J27)=TRUE,'2.) Enrollment'!I27,'2.) Enrollment'!J27)</f>
        <v>0</v>
      </c>
      <c r="V57">
        <f>IF(ISBLANK('2.) Enrollment'!L27)=TRUE,'2.) Enrollment'!K27,'2.) Enrollment'!L27)</f>
        <v>0</v>
      </c>
      <c r="W57">
        <f>IF(ISBLANK('2.) Enrollment'!N27)=TRUE,'2.) Enrollment'!M27,'2.) Enrollment'!N27)</f>
        <v>0</v>
      </c>
    </row>
    <row r="58" spans="1:23">
      <c r="A58" s="4">
        <v>7</v>
      </c>
      <c r="B58" s="477" t="str">
        <f>IF(OR('2.) Enrollment'!C28=$B$109,ISBLANK('2.) Enrollment'!C28)),"-",'2.) Enrollment'!C28)</f>
        <v>-</v>
      </c>
      <c r="C58" s="233">
        <f>IF(ISNA(MATCH(School,$M$15:$M$27,0)),1,0)*IFERROR(VLOOKUP($B58,'Funding by District'!$D$6:$F$685,3,FALSE),0)</f>
        <v>0</v>
      </c>
      <c r="D58"/>
      <c r="E58">
        <f t="shared" si="2"/>
        <v>0</v>
      </c>
      <c r="F58" s="321">
        <f>$C58*'2.) Enrollment'!G28*'4.) Yearly Budget'!$J$17</f>
        <v>0</v>
      </c>
      <c r="G58" s="321">
        <f>$C58*'2.) Enrollment'!I28*'4.) Yearly Budget'!$M$17</f>
        <v>0</v>
      </c>
      <c r="H58" s="321">
        <f>$C58*'2.) Enrollment'!K28*'4.) Yearly Budget'!$P$17</f>
        <v>0</v>
      </c>
      <c r="I58" s="321">
        <f>$C58*'2.) Enrollment'!M28*'4.) Yearly Budget'!$S$17</f>
        <v>0</v>
      </c>
      <c r="J58" s="827">
        <f t="shared" si="3"/>
        <v>0</v>
      </c>
      <c r="K58"/>
      <c r="L58" s="321">
        <f>$C58*'2.) Enrollment'!H28*'4.) Yearly Budget'!$K$17</f>
        <v>0</v>
      </c>
      <c r="M58" s="321">
        <f>$C58*'2.) Enrollment'!J28*'4.) Yearly Budget'!$N$17</f>
        <v>0</v>
      </c>
      <c r="N58" s="321">
        <f>$C58*'2.) Enrollment'!L28*'4.) Yearly Budget'!$Q$17</f>
        <v>0</v>
      </c>
      <c r="O58" s="321">
        <f>$C58*'2.) Enrollment'!N28*'4.) Yearly Budget'!$T$17</f>
        <v>0</v>
      </c>
      <c r="P58" s="827">
        <f t="shared" si="4"/>
        <v>0</v>
      </c>
      <c r="Q58"/>
      <c r="R58">
        <f t="shared" si="5"/>
        <v>0</v>
      </c>
      <c r="T58">
        <f>IF(ISBLANK('2.) Enrollment'!H28)=TRUE,'2.) Enrollment'!G28,'2.) Enrollment'!H28)</f>
        <v>0</v>
      </c>
      <c r="U58">
        <f>IF(ISBLANK('2.) Enrollment'!J28)=TRUE,'2.) Enrollment'!I28,'2.) Enrollment'!J28)</f>
        <v>0</v>
      </c>
      <c r="V58">
        <f>IF(ISBLANK('2.) Enrollment'!L28)=TRUE,'2.) Enrollment'!K28,'2.) Enrollment'!L28)</f>
        <v>0</v>
      </c>
      <c r="W58">
        <f>IF(ISBLANK('2.) Enrollment'!N28)=TRUE,'2.) Enrollment'!M28,'2.) Enrollment'!N28)</f>
        <v>0</v>
      </c>
    </row>
    <row r="59" spans="1:23">
      <c r="A59" s="4">
        <v>8</v>
      </c>
      <c r="B59" s="477" t="str">
        <f>IF(OR('2.) Enrollment'!C29=$B$109,ISBLANK('2.) Enrollment'!C29)),"-",'2.) Enrollment'!C29)</f>
        <v>-</v>
      </c>
      <c r="C59" s="233">
        <f>IF(ISNA(MATCH(School,$M$15:$M$27,0)),1,0)*IFERROR(VLOOKUP($B59,'Funding by District'!$D$6:$F$685,3,FALSE),0)</f>
        <v>0</v>
      </c>
      <c r="D59"/>
      <c r="E59">
        <f t="shared" si="2"/>
        <v>0</v>
      </c>
      <c r="F59" s="321">
        <f>$C59*'2.) Enrollment'!G29*'4.) Yearly Budget'!$J$17</f>
        <v>0</v>
      </c>
      <c r="G59" s="321">
        <f>$C59*'2.) Enrollment'!I29*'4.) Yearly Budget'!$M$17</f>
        <v>0</v>
      </c>
      <c r="H59" s="321">
        <f>$C59*'2.) Enrollment'!K29*'4.) Yearly Budget'!$P$17</f>
        <v>0</v>
      </c>
      <c r="I59" s="321">
        <f>$C59*'2.) Enrollment'!M29*'4.) Yearly Budget'!$S$17</f>
        <v>0</v>
      </c>
      <c r="J59" s="827">
        <f t="shared" si="3"/>
        <v>0</v>
      </c>
      <c r="K59"/>
      <c r="L59" s="321">
        <f>$C59*'2.) Enrollment'!H29*'4.) Yearly Budget'!$K$17</f>
        <v>0</v>
      </c>
      <c r="M59" s="321">
        <f>$C59*'2.) Enrollment'!J29*'4.) Yearly Budget'!$N$17</f>
        <v>0</v>
      </c>
      <c r="N59" s="321">
        <f>$C59*'2.) Enrollment'!L29*'4.) Yearly Budget'!$Q$17</f>
        <v>0</v>
      </c>
      <c r="O59" s="321">
        <f>$C59*'2.) Enrollment'!N29*'4.) Yearly Budget'!$T$17</f>
        <v>0</v>
      </c>
      <c r="P59" s="827">
        <f t="shared" si="4"/>
        <v>0</v>
      </c>
      <c r="Q59"/>
      <c r="R59">
        <f t="shared" si="5"/>
        <v>0</v>
      </c>
      <c r="T59">
        <f>IF(ISBLANK('2.) Enrollment'!H29)=TRUE,'2.) Enrollment'!G29,'2.) Enrollment'!H29)</f>
        <v>0</v>
      </c>
      <c r="U59">
        <f>IF(ISBLANK('2.) Enrollment'!J29)=TRUE,'2.) Enrollment'!I29,'2.) Enrollment'!J29)</f>
        <v>0</v>
      </c>
      <c r="V59">
        <f>IF(ISBLANK('2.) Enrollment'!L29)=TRUE,'2.) Enrollment'!K29,'2.) Enrollment'!L29)</f>
        <v>0</v>
      </c>
      <c r="W59">
        <f>IF(ISBLANK('2.) Enrollment'!N29)=TRUE,'2.) Enrollment'!M29,'2.) Enrollment'!N29)</f>
        <v>0</v>
      </c>
    </row>
    <row r="60" spans="1:23">
      <c r="A60" s="4">
        <v>9</v>
      </c>
      <c r="B60" s="477" t="str">
        <f>IF(OR('2.) Enrollment'!C30=$B$109,ISBLANK('2.) Enrollment'!C30)),"-",'2.) Enrollment'!C30)</f>
        <v>-</v>
      </c>
      <c r="C60" s="233">
        <f>IF(ISNA(MATCH(School,$M$15:$M$27,0)),1,0)*IFERROR(VLOOKUP($B60,'Funding by District'!$D$6:$F$685,3,FALSE),0)</f>
        <v>0</v>
      </c>
      <c r="D60"/>
      <c r="E60">
        <f t="shared" si="2"/>
        <v>0</v>
      </c>
      <c r="F60" s="321">
        <f>$C60*'2.) Enrollment'!G30*'4.) Yearly Budget'!$J$17</f>
        <v>0</v>
      </c>
      <c r="G60" s="321">
        <f>$C60*'2.) Enrollment'!I30*'4.) Yearly Budget'!$M$17</f>
        <v>0</v>
      </c>
      <c r="H60" s="321">
        <f>$C60*'2.) Enrollment'!K30*'4.) Yearly Budget'!$P$17</f>
        <v>0</v>
      </c>
      <c r="I60" s="321">
        <f>$C60*'2.) Enrollment'!M30*'4.) Yearly Budget'!$S$17</f>
        <v>0</v>
      </c>
      <c r="J60" s="827">
        <f t="shared" si="3"/>
        <v>0</v>
      </c>
      <c r="K60"/>
      <c r="L60" s="321">
        <f>$C60*'2.) Enrollment'!H30*'4.) Yearly Budget'!$K$17</f>
        <v>0</v>
      </c>
      <c r="M60" s="321">
        <f>$C60*'2.) Enrollment'!J30*'4.) Yearly Budget'!$N$17</f>
        <v>0</v>
      </c>
      <c r="N60" s="321">
        <f>$C60*'2.) Enrollment'!L30*'4.) Yearly Budget'!$Q$17</f>
        <v>0</v>
      </c>
      <c r="O60" s="321">
        <f>$C60*'2.) Enrollment'!N30*'4.) Yearly Budget'!$T$17</f>
        <v>0</v>
      </c>
      <c r="P60" s="827">
        <f t="shared" si="4"/>
        <v>0</v>
      </c>
      <c r="Q60"/>
      <c r="R60">
        <f t="shared" si="5"/>
        <v>0</v>
      </c>
      <c r="T60">
        <f>IF(ISBLANK('2.) Enrollment'!H30)=TRUE,'2.) Enrollment'!G30,'2.) Enrollment'!H30)</f>
        <v>0</v>
      </c>
      <c r="U60">
        <f>IF(ISBLANK('2.) Enrollment'!J30)=TRUE,'2.) Enrollment'!I30,'2.) Enrollment'!J30)</f>
        <v>0</v>
      </c>
      <c r="V60">
        <f>IF(ISBLANK('2.) Enrollment'!L30)=TRUE,'2.) Enrollment'!K30,'2.) Enrollment'!L30)</f>
        <v>0</v>
      </c>
      <c r="W60">
        <f>IF(ISBLANK('2.) Enrollment'!N30)=TRUE,'2.) Enrollment'!M30,'2.) Enrollment'!N30)</f>
        <v>0</v>
      </c>
    </row>
    <row r="61" spans="1:23">
      <c r="A61" s="4">
        <v>10</v>
      </c>
      <c r="B61" s="477" t="str">
        <f>IF(OR('2.) Enrollment'!C31=$B$109,ISBLANK('2.) Enrollment'!C31)),"-",'2.) Enrollment'!C31)</f>
        <v>-</v>
      </c>
      <c r="C61" s="233">
        <f>IF(ISNA(MATCH(School,$M$15:$M$27,0)),1,0)*IFERROR(VLOOKUP($B61,'Funding by District'!$D$6:$F$685,3,FALSE),0)</f>
        <v>0</v>
      </c>
      <c r="D61"/>
      <c r="E61">
        <f t="shared" si="2"/>
        <v>0</v>
      </c>
      <c r="F61" s="321">
        <f>$C61*'2.) Enrollment'!G31*'4.) Yearly Budget'!$J$17</f>
        <v>0</v>
      </c>
      <c r="G61" s="321">
        <f>$C61*'2.) Enrollment'!I31*'4.) Yearly Budget'!$M$17</f>
        <v>0</v>
      </c>
      <c r="H61" s="321">
        <f>$C61*'2.) Enrollment'!K31*'4.) Yearly Budget'!$P$17</f>
        <v>0</v>
      </c>
      <c r="I61" s="321">
        <f>$C61*'2.) Enrollment'!M31*'4.) Yearly Budget'!$S$17</f>
        <v>0</v>
      </c>
      <c r="J61" s="827">
        <f t="shared" si="3"/>
        <v>0</v>
      </c>
      <c r="K61"/>
      <c r="L61" s="321">
        <f>$C61*'2.) Enrollment'!H31*'4.) Yearly Budget'!$K$17</f>
        <v>0</v>
      </c>
      <c r="M61" s="321">
        <f>$C61*'2.) Enrollment'!J31*'4.) Yearly Budget'!$N$17</f>
        <v>0</v>
      </c>
      <c r="N61" s="321">
        <f>$C61*'2.) Enrollment'!L31*'4.) Yearly Budget'!$Q$17</f>
        <v>0</v>
      </c>
      <c r="O61" s="321">
        <f>$C61*'2.) Enrollment'!N31*'4.) Yearly Budget'!$T$17</f>
        <v>0</v>
      </c>
      <c r="P61" s="827">
        <f t="shared" si="4"/>
        <v>0</v>
      </c>
      <c r="Q61"/>
      <c r="R61">
        <f t="shared" si="5"/>
        <v>0</v>
      </c>
      <c r="T61">
        <f>IF(ISBLANK('2.) Enrollment'!H31)=TRUE,'2.) Enrollment'!G31,'2.) Enrollment'!H31)</f>
        <v>0</v>
      </c>
      <c r="U61">
        <f>IF(ISBLANK('2.) Enrollment'!J31)=TRUE,'2.) Enrollment'!I31,'2.) Enrollment'!J31)</f>
        <v>0</v>
      </c>
      <c r="V61">
        <f>IF(ISBLANK('2.) Enrollment'!L31)=TRUE,'2.) Enrollment'!K31,'2.) Enrollment'!L31)</f>
        <v>0</v>
      </c>
      <c r="W61">
        <f>IF(ISBLANK('2.) Enrollment'!N31)=TRUE,'2.) Enrollment'!M31,'2.) Enrollment'!N31)</f>
        <v>0</v>
      </c>
    </row>
    <row r="62" spans="1:23">
      <c r="A62" s="4">
        <v>11</v>
      </c>
      <c r="B62" s="477" t="str">
        <f>IF(OR('2.) Enrollment'!C32=$B$109,ISBLANK('2.) Enrollment'!C32)),"-",'2.) Enrollment'!C32)</f>
        <v>-</v>
      </c>
      <c r="C62" s="233">
        <f>IF(ISNA(MATCH(School,$M$15:$M$27,0)),1,0)*IFERROR(VLOOKUP($B62,'Funding by District'!$D$6:$F$685,3,FALSE),0)</f>
        <v>0</v>
      </c>
      <c r="D62"/>
      <c r="E62">
        <f t="shared" si="2"/>
        <v>0</v>
      </c>
      <c r="F62" s="321">
        <f>$C62*'2.) Enrollment'!G32*'4.) Yearly Budget'!$J$17</f>
        <v>0</v>
      </c>
      <c r="G62" s="321">
        <f>$C62*'2.) Enrollment'!I32*'4.) Yearly Budget'!$M$17</f>
        <v>0</v>
      </c>
      <c r="H62" s="321">
        <f>$C62*'2.) Enrollment'!K32*'4.) Yearly Budget'!$P$17</f>
        <v>0</v>
      </c>
      <c r="I62" s="321">
        <f>$C62*'2.) Enrollment'!M32*'4.) Yearly Budget'!$S$17</f>
        <v>0</v>
      </c>
      <c r="J62" s="827">
        <f t="shared" si="3"/>
        <v>0</v>
      </c>
      <c r="K62"/>
      <c r="L62" s="321">
        <f>$C62*'2.) Enrollment'!H32*'4.) Yearly Budget'!$K$17</f>
        <v>0</v>
      </c>
      <c r="M62" s="321">
        <f>$C62*'2.) Enrollment'!J32*'4.) Yearly Budget'!$N$17</f>
        <v>0</v>
      </c>
      <c r="N62" s="321">
        <f>$C62*'2.) Enrollment'!L32*'4.) Yearly Budget'!$Q$17</f>
        <v>0</v>
      </c>
      <c r="O62" s="321">
        <f>$C62*'2.) Enrollment'!N32*'4.) Yearly Budget'!$T$17</f>
        <v>0</v>
      </c>
      <c r="P62" s="827">
        <f t="shared" si="4"/>
        <v>0</v>
      </c>
      <c r="Q62"/>
      <c r="R62">
        <f t="shared" si="5"/>
        <v>0</v>
      </c>
      <c r="T62">
        <f>IF(ISBLANK('2.) Enrollment'!H32)=TRUE,'2.) Enrollment'!G32,'2.) Enrollment'!H32)</f>
        <v>0</v>
      </c>
      <c r="U62">
        <f>IF(ISBLANK('2.) Enrollment'!J32)=TRUE,'2.) Enrollment'!I32,'2.) Enrollment'!J32)</f>
        <v>0</v>
      </c>
      <c r="V62">
        <f>IF(ISBLANK('2.) Enrollment'!L32)=TRUE,'2.) Enrollment'!K32,'2.) Enrollment'!L32)</f>
        <v>0</v>
      </c>
      <c r="W62">
        <f>IF(ISBLANK('2.) Enrollment'!N32)=TRUE,'2.) Enrollment'!M32,'2.) Enrollment'!N32)</f>
        <v>0</v>
      </c>
    </row>
    <row r="63" spans="1:23">
      <c r="A63" s="4">
        <v>12</v>
      </c>
      <c r="B63" s="477" t="str">
        <f>IF(OR('2.) Enrollment'!C33=$B$109,ISBLANK('2.) Enrollment'!C33)),"-",'2.) Enrollment'!C33)</f>
        <v>-</v>
      </c>
      <c r="C63" s="233">
        <f>IF(ISNA(MATCH(School,$M$15:$M$27,0)),1,0)*IFERROR(VLOOKUP($B63,'Funding by District'!$D$6:$F$685,3,FALSE),0)</f>
        <v>0</v>
      </c>
      <c r="D63"/>
      <c r="E63">
        <f t="shared" si="2"/>
        <v>0</v>
      </c>
      <c r="F63" s="321">
        <f>$C63*'2.) Enrollment'!G33*'4.) Yearly Budget'!$J$17</f>
        <v>0</v>
      </c>
      <c r="G63" s="321">
        <f>$C63*'2.) Enrollment'!I33*'4.) Yearly Budget'!$M$17</f>
        <v>0</v>
      </c>
      <c r="H63" s="321">
        <f>$C63*'2.) Enrollment'!K33*'4.) Yearly Budget'!$P$17</f>
        <v>0</v>
      </c>
      <c r="I63" s="321">
        <f>$C63*'2.) Enrollment'!M33*'4.) Yearly Budget'!$S$17</f>
        <v>0</v>
      </c>
      <c r="J63" s="827">
        <f t="shared" si="3"/>
        <v>0</v>
      </c>
      <c r="K63"/>
      <c r="L63" s="321">
        <f>$C63*'2.) Enrollment'!H33*'4.) Yearly Budget'!$K$17</f>
        <v>0</v>
      </c>
      <c r="M63" s="321">
        <f>$C63*'2.) Enrollment'!J33*'4.) Yearly Budget'!$N$17</f>
        <v>0</v>
      </c>
      <c r="N63" s="321">
        <f>$C63*'2.) Enrollment'!L33*'4.) Yearly Budget'!$Q$17</f>
        <v>0</v>
      </c>
      <c r="O63" s="321">
        <f>$C63*'2.) Enrollment'!N33*'4.) Yearly Budget'!$T$17</f>
        <v>0</v>
      </c>
      <c r="P63" s="827">
        <f t="shared" si="4"/>
        <v>0</v>
      </c>
      <c r="Q63"/>
      <c r="R63">
        <f t="shared" si="5"/>
        <v>0</v>
      </c>
      <c r="T63">
        <f>IF(ISBLANK('2.) Enrollment'!H33)=TRUE,'2.) Enrollment'!G33,'2.) Enrollment'!H33)</f>
        <v>0</v>
      </c>
      <c r="U63">
        <f>IF(ISBLANK('2.) Enrollment'!J33)=TRUE,'2.) Enrollment'!I33,'2.) Enrollment'!J33)</f>
        <v>0</v>
      </c>
      <c r="V63">
        <f>IF(ISBLANK('2.) Enrollment'!L33)=TRUE,'2.) Enrollment'!K33,'2.) Enrollment'!L33)</f>
        <v>0</v>
      </c>
      <c r="W63">
        <f>IF(ISBLANK('2.) Enrollment'!N33)=TRUE,'2.) Enrollment'!M33,'2.) Enrollment'!N33)</f>
        <v>0</v>
      </c>
    </row>
    <row r="64" spans="1:23">
      <c r="A64" s="4">
        <v>13</v>
      </c>
      <c r="B64" s="477" t="str">
        <f>IF(OR('2.) Enrollment'!C34=$B$109,ISBLANK('2.) Enrollment'!C34)),"-",'2.) Enrollment'!C34)</f>
        <v>-</v>
      </c>
      <c r="C64" s="233">
        <f>IF(ISNA(MATCH(School,$M$15:$M$27,0)),1,0)*IFERROR(VLOOKUP($B64,'Funding by District'!$D$6:$F$685,3,FALSE),0)</f>
        <v>0</v>
      </c>
      <c r="D64"/>
      <c r="E64">
        <f t="shared" si="2"/>
        <v>0</v>
      </c>
      <c r="F64" s="321">
        <f>$C64*'2.) Enrollment'!G34*'4.) Yearly Budget'!$J$17</f>
        <v>0</v>
      </c>
      <c r="G64" s="321">
        <f>$C64*'2.) Enrollment'!I34*'4.) Yearly Budget'!$M$17</f>
        <v>0</v>
      </c>
      <c r="H64" s="321">
        <f>$C64*'2.) Enrollment'!K34*'4.) Yearly Budget'!$P$17</f>
        <v>0</v>
      </c>
      <c r="I64" s="321">
        <f>$C64*'2.) Enrollment'!M34*'4.) Yearly Budget'!$S$17</f>
        <v>0</v>
      </c>
      <c r="J64" s="827">
        <f t="shared" si="3"/>
        <v>0</v>
      </c>
      <c r="K64"/>
      <c r="L64" s="321">
        <f>$C64*'2.) Enrollment'!H34*'4.) Yearly Budget'!$K$17</f>
        <v>0</v>
      </c>
      <c r="M64" s="321">
        <f>$C64*'2.) Enrollment'!J34*'4.) Yearly Budget'!$N$17</f>
        <v>0</v>
      </c>
      <c r="N64" s="321">
        <f>$C64*'2.) Enrollment'!L34*'4.) Yearly Budget'!$Q$17</f>
        <v>0</v>
      </c>
      <c r="O64" s="321">
        <f>$C64*'2.) Enrollment'!N34*'4.) Yearly Budget'!$T$17</f>
        <v>0</v>
      </c>
      <c r="P64" s="827">
        <f t="shared" si="4"/>
        <v>0</v>
      </c>
      <c r="Q64"/>
      <c r="R64">
        <f t="shared" si="5"/>
        <v>0</v>
      </c>
      <c r="T64">
        <f>IF(ISBLANK('2.) Enrollment'!H34)=TRUE,'2.) Enrollment'!G34,'2.) Enrollment'!H34)</f>
        <v>0</v>
      </c>
      <c r="U64">
        <f>IF(ISBLANK('2.) Enrollment'!J34)=TRUE,'2.) Enrollment'!I34,'2.) Enrollment'!J34)</f>
        <v>0</v>
      </c>
      <c r="V64">
        <f>IF(ISBLANK('2.) Enrollment'!L34)=TRUE,'2.) Enrollment'!K34,'2.) Enrollment'!L34)</f>
        <v>0</v>
      </c>
      <c r="W64">
        <f>IF(ISBLANK('2.) Enrollment'!N34)=TRUE,'2.) Enrollment'!M34,'2.) Enrollment'!N34)</f>
        <v>0</v>
      </c>
    </row>
    <row r="65" spans="1:23">
      <c r="A65" s="4">
        <v>14</v>
      </c>
      <c r="B65" s="477" t="str">
        <f>IF(OR('2.) Enrollment'!C35=$B$109,ISBLANK('2.) Enrollment'!C35)),"-",'2.) Enrollment'!C35)</f>
        <v>-</v>
      </c>
      <c r="C65" s="233">
        <f>IF(ISNA(MATCH(School,$M$15:$M$27,0)),1,0)*IFERROR(VLOOKUP($B65,'Funding by District'!$D$6:$F$685,3,FALSE),0)</f>
        <v>0</v>
      </c>
      <c r="D65"/>
      <c r="E65">
        <f t="shared" si="2"/>
        <v>0</v>
      </c>
      <c r="F65" s="321">
        <f>$C65*'2.) Enrollment'!G35*'4.) Yearly Budget'!$J$17</f>
        <v>0</v>
      </c>
      <c r="G65" s="321">
        <f>$C65*'2.) Enrollment'!I35*'4.) Yearly Budget'!$M$17</f>
        <v>0</v>
      </c>
      <c r="H65" s="321">
        <f>$C65*'2.) Enrollment'!K35*'4.) Yearly Budget'!$P$17</f>
        <v>0</v>
      </c>
      <c r="I65" s="321">
        <f>$C65*'2.) Enrollment'!M35*'4.) Yearly Budget'!$S$17</f>
        <v>0</v>
      </c>
      <c r="J65" s="827">
        <f t="shared" si="3"/>
        <v>0</v>
      </c>
      <c r="K65"/>
      <c r="L65" s="321">
        <f>$C65*'2.) Enrollment'!H35*'4.) Yearly Budget'!$K$17</f>
        <v>0</v>
      </c>
      <c r="M65" s="321">
        <f>$C65*'2.) Enrollment'!J35*'4.) Yearly Budget'!$N$17</f>
        <v>0</v>
      </c>
      <c r="N65" s="321">
        <f>$C65*'2.) Enrollment'!L35*'4.) Yearly Budget'!$Q$17</f>
        <v>0</v>
      </c>
      <c r="O65" s="321">
        <f>$C65*'2.) Enrollment'!N35*'4.) Yearly Budget'!$T$17</f>
        <v>0</v>
      </c>
      <c r="P65" s="827">
        <f t="shared" si="4"/>
        <v>0</v>
      </c>
      <c r="Q65"/>
      <c r="R65">
        <f t="shared" si="5"/>
        <v>0</v>
      </c>
      <c r="T65">
        <f>IF(ISBLANK('2.) Enrollment'!H35)=TRUE,'2.) Enrollment'!G35,'2.) Enrollment'!H35)</f>
        <v>0</v>
      </c>
      <c r="U65">
        <f>IF(ISBLANK('2.) Enrollment'!J35)=TRUE,'2.) Enrollment'!I35,'2.) Enrollment'!J35)</f>
        <v>0</v>
      </c>
      <c r="V65">
        <f>IF(ISBLANK('2.) Enrollment'!L35)=TRUE,'2.) Enrollment'!K35,'2.) Enrollment'!L35)</f>
        <v>0</v>
      </c>
      <c r="W65">
        <f>IF(ISBLANK('2.) Enrollment'!N35)=TRUE,'2.) Enrollment'!M35,'2.) Enrollment'!N35)</f>
        <v>0</v>
      </c>
    </row>
    <row r="66" spans="1:23" ht="15.6" thickBot="1">
      <c r="A66" s="213">
        <v>15</v>
      </c>
      <c r="B66" s="483" t="str">
        <f>IF(OR('2.) Enrollment'!C36=$B$109,ISBLANK('2.) Enrollment'!C36)),"-",'2.) Enrollment'!C36)</f>
        <v>-</v>
      </c>
      <c r="C66" s="233">
        <f>IF(ISNA(MATCH(School,$M$15:$M$27,0)),1,0)*IFERROR(VLOOKUP($B66,'Funding by District'!$D$6:$F$685,3,FALSE),0)</f>
        <v>0</v>
      </c>
      <c r="D66" s="489"/>
      <c r="E66" s="617">
        <f t="shared" si="2"/>
        <v>0</v>
      </c>
      <c r="F66" s="616">
        <f>$C66*'2.) Enrollment'!G36*'4.) Yearly Budget'!$J$17</f>
        <v>0</v>
      </c>
      <c r="G66" s="616">
        <f>$C66*'2.) Enrollment'!I36*'4.) Yearly Budget'!$M$17</f>
        <v>0</v>
      </c>
      <c r="H66" s="616">
        <f>$C66*'2.) Enrollment'!K36*'4.) Yearly Budget'!$P$17</f>
        <v>0</v>
      </c>
      <c r="I66" s="616">
        <f>$C66*'2.) Enrollment'!M36*'4.) Yearly Budget'!$S$17</f>
        <v>0</v>
      </c>
      <c r="J66" s="828">
        <f t="shared" si="3"/>
        <v>0</v>
      </c>
      <c r="K66" s="617"/>
      <c r="L66" s="616">
        <f>$C66*'2.) Enrollment'!H36*'4.) Yearly Budget'!$K$17</f>
        <v>0</v>
      </c>
      <c r="M66" s="616">
        <f>$C66*'2.) Enrollment'!J36*'4.) Yearly Budget'!$N$17</f>
        <v>0</v>
      </c>
      <c r="N66" s="616">
        <f>$C66*'2.) Enrollment'!L36*'4.) Yearly Budget'!$Q$17</f>
        <v>0</v>
      </c>
      <c r="O66" s="616">
        <f>$C66*'2.) Enrollment'!N36*'4.) Yearly Budget'!$T$17</f>
        <v>0</v>
      </c>
      <c r="P66" s="828">
        <f t="shared" si="4"/>
        <v>0</v>
      </c>
      <c r="Q66" s="617"/>
      <c r="R66">
        <f t="shared" si="5"/>
        <v>0</v>
      </c>
      <c r="S66" s="617"/>
      <c r="T66" s="617">
        <f>IF(ISBLANK('2.) Enrollment'!H36)=TRUE,'2.) Enrollment'!G36,'2.) Enrollment'!H36)</f>
        <v>0</v>
      </c>
      <c r="U66" s="617">
        <f>IF(ISBLANK('2.) Enrollment'!J36)=TRUE,'2.) Enrollment'!I36,'2.) Enrollment'!J36)</f>
        <v>0</v>
      </c>
      <c r="V66" s="617">
        <f>IF(ISBLANK('2.) Enrollment'!L36)=TRUE,'2.) Enrollment'!K36,'2.) Enrollment'!L36)</f>
        <v>0</v>
      </c>
      <c r="W66" s="617">
        <f>IF(ISBLANK('2.) Enrollment'!N36)=TRUE,'2.) Enrollment'!M36,'2.) Enrollment'!N36)</f>
        <v>0</v>
      </c>
    </row>
    <row r="67" spans="1:23">
      <c r="A67" s="4">
        <v>16</v>
      </c>
      <c r="B67" s="482" t="str">
        <f>IF(OR('2.) Enrollment'!C37=$B$109,ISBLANK('2.) Enrollment'!C37)),"-",'2.) Enrollment'!C37)</f>
        <v>-</v>
      </c>
      <c r="C67" s="233">
        <f>IF(ISNA(MATCH(School,$M$15:$M$27,0)),1,0)*IFERROR(VLOOKUP($B67,'Funding by District'!$D$6:$F$685,3,FALSE),0)</f>
        <v>0</v>
      </c>
      <c r="D67"/>
      <c r="E67">
        <f t="shared" si="2"/>
        <v>0</v>
      </c>
      <c r="F67" s="321">
        <f>$C67*'2.) Enrollment'!G37*'4.) Yearly Budget'!$J$17</f>
        <v>0</v>
      </c>
      <c r="G67" s="321">
        <f>$C67*'2.) Enrollment'!I37*'4.) Yearly Budget'!$M$17</f>
        <v>0</v>
      </c>
      <c r="H67" s="321">
        <f>$C67*'2.) Enrollment'!K37*'4.) Yearly Budget'!$P$17</f>
        <v>0</v>
      </c>
      <c r="I67" s="321">
        <f>$C67*'2.) Enrollment'!M37*'4.) Yearly Budget'!$S$17</f>
        <v>0</v>
      </c>
      <c r="J67" s="827">
        <f t="shared" si="3"/>
        <v>0</v>
      </c>
      <c r="K67" s="831"/>
      <c r="L67" s="829">
        <f>$C67*'2.) Enrollment'!H37*'4.) Yearly Budget'!$K$17</f>
        <v>0</v>
      </c>
      <c r="M67" s="829">
        <f>$C67*'2.) Enrollment'!J37*'4.) Yearly Budget'!$N$17</f>
        <v>0</v>
      </c>
      <c r="N67" s="829">
        <f>$C67*'2.) Enrollment'!L37*'4.) Yearly Budget'!$Q$17</f>
        <v>0</v>
      </c>
      <c r="O67" s="829">
        <f>$C67*'2.) Enrollment'!N37*'4.) Yearly Budget'!$T$17</f>
        <v>0</v>
      </c>
      <c r="P67" s="830">
        <f t="shared" si="4"/>
        <v>0</v>
      </c>
      <c r="Q67"/>
      <c r="R67">
        <f t="shared" si="5"/>
        <v>0</v>
      </c>
      <c r="T67">
        <f>IF(ISBLANK('2.) Enrollment'!H37)=TRUE,'2.) Enrollment'!G37,'2.) Enrollment'!H37)</f>
        <v>0</v>
      </c>
      <c r="U67">
        <f>IF(ISBLANK('2.) Enrollment'!J37)=TRUE,'2.) Enrollment'!I37,'2.) Enrollment'!J37)</f>
        <v>0</v>
      </c>
      <c r="V67">
        <f>IF(ISBLANK('2.) Enrollment'!L37)=TRUE,'2.) Enrollment'!K37,'2.) Enrollment'!L37)</f>
        <v>0</v>
      </c>
      <c r="W67">
        <f>IF(ISBLANK('2.) Enrollment'!N37)=TRUE,'2.) Enrollment'!M37,'2.) Enrollment'!N37)</f>
        <v>0</v>
      </c>
    </row>
    <row r="68" spans="1:23">
      <c r="A68" s="4">
        <v>17</v>
      </c>
      <c r="B68" s="477" t="str">
        <f>IF(OR('2.) Enrollment'!C38=$B$109,ISBLANK('2.) Enrollment'!C38)),"-",'2.) Enrollment'!C38)</f>
        <v>-</v>
      </c>
      <c r="C68" s="233">
        <f>IF(ISNA(MATCH(School,$M$15:$M$27,0)),1,0)*IFERROR(VLOOKUP($B68,'Funding by District'!$D$6:$F$685,3,FALSE),0)</f>
        <v>0</v>
      </c>
      <c r="D68"/>
      <c r="E68">
        <f t="shared" si="2"/>
        <v>0</v>
      </c>
      <c r="F68" s="321">
        <f>$C68*'2.) Enrollment'!G38*'4.) Yearly Budget'!$J$17</f>
        <v>0</v>
      </c>
      <c r="G68" s="321">
        <f>$C68*'2.) Enrollment'!I38*'4.) Yearly Budget'!$M$17</f>
        <v>0</v>
      </c>
      <c r="H68" s="321">
        <f>$C68*'2.) Enrollment'!K38*'4.) Yearly Budget'!$P$17</f>
        <v>0</v>
      </c>
      <c r="I68" s="321">
        <f>$C68*'2.) Enrollment'!M38*'4.) Yearly Budget'!$S$17</f>
        <v>0</v>
      </c>
      <c r="J68" s="827">
        <f t="shared" si="3"/>
        <v>0</v>
      </c>
      <c r="K68"/>
      <c r="L68" s="321">
        <f>$C68*'2.) Enrollment'!H38*'4.) Yearly Budget'!$K$17</f>
        <v>0</v>
      </c>
      <c r="M68" s="321">
        <f>$C68*'2.) Enrollment'!J38*'4.) Yearly Budget'!$N$17</f>
        <v>0</v>
      </c>
      <c r="N68" s="321">
        <f>$C68*'2.) Enrollment'!L38*'4.) Yearly Budget'!$Q$17</f>
        <v>0</v>
      </c>
      <c r="O68" s="321">
        <f>$C68*'2.) Enrollment'!N38*'4.) Yearly Budget'!$T$17</f>
        <v>0</v>
      </c>
      <c r="P68" s="827">
        <f t="shared" si="4"/>
        <v>0</v>
      </c>
      <c r="Q68"/>
      <c r="R68">
        <f t="shared" si="5"/>
        <v>0</v>
      </c>
      <c r="T68">
        <f>IF(ISBLANK('2.) Enrollment'!H38)=TRUE,'2.) Enrollment'!G38,'2.) Enrollment'!H38)</f>
        <v>0</v>
      </c>
      <c r="U68">
        <f>IF(ISBLANK('2.) Enrollment'!J38)=TRUE,'2.) Enrollment'!I38,'2.) Enrollment'!J38)</f>
        <v>0</v>
      </c>
      <c r="V68">
        <f>IF(ISBLANK('2.) Enrollment'!L38)=TRUE,'2.) Enrollment'!K38,'2.) Enrollment'!L38)</f>
        <v>0</v>
      </c>
      <c r="W68">
        <f>IF(ISBLANK('2.) Enrollment'!N38)=TRUE,'2.) Enrollment'!M38,'2.) Enrollment'!N38)</f>
        <v>0</v>
      </c>
    </row>
    <row r="69" spans="1:23">
      <c r="A69" s="4">
        <v>18</v>
      </c>
      <c r="B69" s="477" t="str">
        <f>IF(OR('2.) Enrollment'!C39=$B$109,ISBLANK('2.) Enrollment'!C39)),"-",'2.) Enrollment'!C39)</f>
        <v>-</v>
      </c>
      <c r="C69" s="233">
        <f>IF(ISNA(MATCH(School,$M$15:$M$27,0)),1,0)*IFERROR(VLOOKUP($B69,'Funding by District'!$D$6:$F$685,3,FALSE),0)</f>
        <v>0</v>
      </c>
      <c r="D69"/>
      <c r="E69">
        <f t="shared" si="2"/>
        <v>0</v>
      </c>
      <c r="F69" s="321">
        <f>$C69*'2.) Enrollment'!G39*'4.) Yearly Budget'!$J$17</f>
        <v>0</v>
      </c>
      <c r="G69" s="321">
        <f>$C69*'2.) Enrollment'!I39*'4.) Yearly Budget'!$M$17</f>
        <v>0</v>
      </c>
      <c r="H69" s="321">
        <f>$C69*'2.) Enrollment'!K39*'4.) Yearly Budget'!$P$17</f>
        <v>0</v>
      </c>
      <c r="I69" s="321">
        <f>$C69*'2.) Enrollment'!M39*'4.) Yearly Budget'!$S$17</f>
        <v>0</v>
      </c>
      <c r="J69" s="827">
        <f t="shared" si="3"/>
        <v>0</v>
      </c>
      <c r="K69"/>
      <c r="L69" s="321">
        <f>$C69*'2.) Enrollment'!H39*'4.) Yearly Budget'!$K$17</f>
        <v>0</v>
      </c>
      <c r="M69" s="321">
        <f>$C69*'2.) Enrollment'!J39*'4.) Yearly Budget'!$N$17</f>
        <v>0</v>
      </c>
      <c r="N69" s="321">
        <f>$C69*'2.) Enrollment'!L39*'4.) Yearly Budget'!$Q$17</f>
        <v>0</v>
      </c>
      <c r="O69" s="321">
        <f>$C69*'2.) Enrollment'!N39*'4.) Yearly Budget'!$T$17</f>
        <v>0</v>
      </c>
      <c r="P69" s="827">
        <f t="shared" si="4"/>
        <v>0</v>
      </c>
      <c r="Q69"/>
      <c r="R69">
        <f t="shared" si="5"/>
        <v>0</v>
      </c>
      <c r="T69">
        <f>IF(ISBLANK('2.) Enrollment'!H39)=TRUE,'2.) Enrollment'!G39,'2.) Enrollment'!H39)</f>
        <v>0</v>
      </c>
      <c r="U69">
        <f>IF(ISBLANK('2.) Enrollment'!J39)=TRUE,'2.) Enrollment'!I39,'2.) Enrollment'!J39)</f>
        <v>0</v>
      </c>
      <c r="V69">
        <f>IF(ISBLANK('2.) Enrollment'!L39)=TRUE,'2.) Enrollment'!K39,'2.) Enrollment'!L39)</f>
        <v>0</v>
      </c>
      <c r="W69">
        <f>IF(ISBLANK('2.) Enrollment'!N39)=TRUE,'2.) Enrollment'!M39,'2.) Enrollment'!N39)</f>
        <v>0</v>
      </c>
    </row>
    <row r="70" spans="1:23">
      <c r="A70" s="4">
        <v>19</v>
      </c>
      <c r="B70" s="477" t="str">
        <f>IF(OR('2.) Enrollment'!C40=$B$109,ISBLANK('2.) Enrollment'!C40)),"-",'2.) Enrollment'!C40)</f>
        <v>-</v>
      </c>
      <c r="C70" s="233">
        <f>IF(ISNA(MATCH(School,$M$15:$M$27,0)),1,0)*IFERROR(VLOOKUP($B70,'Funding by District'!$D$6:$F$685,3,FALSE),0)</f>
        <v>0</v>
      </c>
      <c r="D70"/>
      <c r="E70">
        <f t="shared" si="2"/>
        <v>0</v>
      </c>
      <c r="F70" s="321">
        <f>$C70*'2.) Enrollment'!G40*'4.) Yearly Budget'!$J$17</f>
        <v>0</v>
      </c>
      <c r="G70" s="321">
        <f>$C70*'2.) Enrollment'!I40*'4.) Yearly Budget'!$M$17</f>
        <v>0</v>
      </c>
      <c r="H70" s="321">
        <f>$C70*'2.) Enrollment'!K40*'4.) Yearly Budget'!$P$17</f>
        <v>0</v>
      </c>
      <c r="I70" s="321">
        <f>$C70*'2.) Enrollment'!M40*'4.) Yearly Budget'!$S$17</f>
        <v>0</v>
      </c>
      <c r="J70" s="827">
        <f t="shared" si="3"/>
        <v>0</v>
      </c>
      <c r="K70"/>
      <c r="L70" s="321">
        <f>$C70*'2.) Enrollment'!H40*'4.) Yearly Budget'!$K$17</f>
        <v>0</v>
      </c>
      <c r="M70" s="321">
        <f>$C70*'2.) Enrollment'!J40*'4.) Yearly Budget'!$N$17</f>
        <v>0</v>
      </c>
      <c r="N70" s="321">
        <f>$C70*'2.) Enrollment'!L40*'4.) Yearly Budget'!$Q$17</f>
        <v>0</v>
      </c>
      <c r="O70" s="321">
        <f>$C70*'2.) Enrollment'!N40*'4.) Yearly Budget'!$T$17</f>
        <v>0</v>
      </c>
      <c r="P70" s="827">
        <f t="shared" si="4"/>
        <v>0</v>
      </c>
      <c r="Q70"/>
      <c r="R70">
        <f t="shared" si="5"/>
        <v>0</v>
      </c>
      <c r="T70">
        <f>IF(ISBLANK('2.) Enrollment'!H40)=TRUE,'2.) Enrollment'!G40,'2.) Enrollment'!H40)</f>
        <v>0</v>
      </c>
      <c r="U70">
        <f>IF(ISBLANK('2.) Enrollment'!J40)=TRUE,'2.) Enrollment'!I40,'2.) Enrollment'!J40)</f>
        <v>0</v>
      </c>
      <c r="V70">
        <f>IF(ISBLANK('2.) Enrollment'!L40)=TRUE,'2.) Enrollment'!K40,'2.) Enrollment'!L40)</f>
        <v>0</v>
      </c>
      <c r="W70">
        <f>IF(ISBLANK('2.) Enrollment'!N40)=TRUE,'2.) Enrollment'!M40,'2.) Enrollment'!N40)</f>
        <v>0</v>
      </c>
    </row>
    <row r="71" spans="1:23">
      <c r="A71" s="4">
        <v>20</v>
      </c>
      <c r="B71" s="477" t="str">
        <f>IF(OR('2.) Enrollment'!C41=$B$109,ISBLANK('2.) Enrollment'!C41)),"-",'2.) Enrollment'!C41)</f>
        <v>-</v>
      </c>
      <c r="C71" s="233">
        <f>IF(ISNA(MATCH(School,$M$15:$M$27,0)),1,0)*IFERROR(VLOOKUP($B71,'Funding by District'!$D$6:$F$685,3,FALSE),0)</f>
        <v>0</v>
      </c>
      <c r="D71"/>
      <c r="E71">
        <f t="shared" si="2"/>
        <v>0</v>
      </c>
      <c r="F71" s="321">
        <f>$C71*'2.) Enrollment'!G41*'4.) Yearly Budget'!$J$17</f>
        <v>0</v>
      </c>
      <c r="G71" s="321">
        <f>$C71*'2.) Enrollment'!I41*'4.) Yearly Budget'!$M$17</f>
        <v>0</v>
      </c>
      <c r="H71" s="321">
        <f>$C71*'2.) Enrollment'!K41*'4.) Yearly Budget'!$P$17</f>
        <v>0</v>
      </c>
      <c r="I71" s="321">
        <f>$C71*'2.) Enrollment'!M41*'4.) Yearly Budget'!$S$17</f>
        <v>0</v>
      </c>
      <c r="J71" s="827">
        <f t="shared" si="3"/>
        <v>0</v>
      </c>
      <c r="K71"/>
      <c r="L71" s="321">
        <f>$C71*'2.) Enrollment'!H41*'4.) Yearly Budget'!$K$17</f>
        <v>0</v>
      </c>
      <c r="M71" s="321">
        <f>$C71*'2.) Enrollment'!J41*'4.) Yearly Budget'!$N$17</f>
        <v>0</v>
      </c>
      <c r="N71" s="321">
        <f>$C71*'2.) Enrollment'!L41*'4.) Yearly Budget'!$Q$17</f>
        <v>0</v>
      </c>
      <c r="O71" s="321">
        <f>$C71*'2.) Enrollment'!N41*'4.) Yearly Budget'!$T$17</f>
        <v>0</v>
      </c>
      <c r="P71" s="827">
        <f t="shared" si="4"/>
        <v>0</v>
      </c>
      <c r="Q71"/>
      <c r="R71">
        <f t="shared" si="5"/>
        <v>0</v>
      </c>
      <c r="T71">
        <f>IF(ISBLANK('2.) Enrollment'!H41)=TRUE,'2.) Enrollment'!G41,'2.) Enrollment'!H41)</f>
        <v>0</v>
      </c>
      <c r="U71">
        <f>IF(ISBLANK('2.) Enrollment'!J41)=TRUE,'2.) Enrollment'!I41,'2.) Enrollment'!J41)</f>
        <v>0</v>
      </c>
      <c r="V71">
        <f>IF(ISBLANK('2.) Enrollment'!L41)=TRUE,'2.) Enrollment'!K41,'2.) Enrollment'!L41)</f>
        <v>0</v>
      </c>
      <c r="W71">
        <f>IF(ISBLANK('2.) Enrollment'!N41)=TRUE,'2.) Enrollment'!M41,'2.) Enrollment'!N41)</f>
        <v>0</v>
      </c>
    </row>
    <row r="72" spans="1:23">
      <c r="A72" s="4">
        <v>21</v>
      </c>
      <c r="B72" s="477" t="str">
        <f>IF(OR('2.) Enrollment'!C42=$B$109,ISBLANK('2.) Enrollment'!C42)),"-",'2.) Enrollment'!C42)</f>
        <v>-</v>
      </c>
      <c r="C72" s="233">
        <f>IF(ISNA(MATCH(School,$M$15:$M$27,0)),1,0)*IFERROR(VLOOKUP($B72,'Funding by District'!$D$6:$F$685,3,FALSE),0)</f>
        <v>0</v>
      </c>
      <c r="D72"/>
      <c r="E72">
        <f t="shared" si="2"/>
        <v>0</v>
      </c>
      <c r="F72" s="321">
        <f>$C72*'2.) Enrollment'!G42*'4.) Yearly Budget'!$J$17</f>
        <v>0</v>
      </c>
      <c r="G72" s="321">
        <f>$C72*'2.) Enrollment'!I42*'4.) Yearly Budget'!$M$17</f>
        <v>0</v>
      </c>
      <c r="H72" s="321">
        <f>$C72*'2.) Enrollment'!K42*'4.) Yearly Budget'!$P$17</f>
        <v>0</v>
      </c>
      <c r="I72" s="321">
        <f>$C72*'2.) Enrollment'!M42*'4.) Yearly Budget'!$S$17</f>
        <v>0</v>
      </c>
      <c r="J72" s="827">
        <f t="shared" si="3"/>
        <v>0</v>
      </c>
      <c r="K72"/>
      <c r="L72" s="321">
        <f>$C72*'2.) Enrollment'!H42*'4.) Yearly Budget'!$K$17</f>
        <v>0</v>
      </c>
      <c r="M72" s="321">
        <f>$C72*'2.) Enrollment'!J42*'4.) Yearly Budget'!$N$17</f>
        <v>0</v>
      </c>
      <c r="N72" s="321">
        <f>$C72*'2.) Enrollment'!L42*'4.) Yearly Budget'!$Q$17</f>
        <v>0</v>
      </c>
      <c r="O72" s="321">
        <f>$C72*'2.) Enrollment'!N42*'4.) Yearly Budget'!$T$17</f>
        <v>0</v>
      </c>
      <c r="P72" s="827">
        <f t="shared" si="4"/>
        <v>0</v>
      </c>
      <c r="Q72"/>
      <c r="R72">
        <f t="shared" si="5"/>
        <v>0</v>
      </c>
      <c r="T72">
        <f>IF(ISBLANK('2.) Enrollment'!H42)=TRUE,'2.) Enrollment'!G42,'2.) Enrollment'!H42)</f>
        <v>0</v>
      </c>
      <c r="U72">
        <f>IF(ISBLANK('2.) Enrollment'!J42)=TRUE,'2.) Enrollment'!I42,'2.) Enrollment'!J42)</f>
        <v>0</v>
      </c>
      <c r="V72">
        <f>IF(ISBLANK('2.) Enrollment'!L42)=TRUE,'2.) Enrollment'!K42,'2.) Enrollment'!L42)</f>
        <v>0</v>
      </c>
      <c r="W72">
        <f>IF(ISBLANK('2.) Enrollment'!N42)=TRUE,'2.) Enrollment'!M42,'2.) Enrollment'!N42)</f>
        <v>0</v>
      </c>
    </row>
    <row r="73" spans="1:23">
      <c r="A73" s="4">
        <v>22</v>
      </c>
      <c r="B73" s="477" t="str">
        <f>IF(OR('2.) Enrollment'!C43=$B$109,ISBLANK('2.) Enrollment'!C43)),"-",'2.) Enrollment'!C43)</f>
        <v>-</v>
      </c>
      <c r="C73" s="233">
        <f>IF(ISNA(MATCH(School,$M$15:$M$27,0)),1,0)*IFERROR(VLOOKUP($B73,'Funding by District'!$D$6:$F$685,3,FALSE),0)</f>
        <v>0</v>
      </c>
      <c r="D73"/>
      <c r="E73">
        <f t="shared" si="2"/>
        <v>0</v>
      </c>
      <c r="F73" s="321">
        <f>$C73*'2.) Enrollment'!G43*'4.) Yearly Budget'!$J$17</f>
        <v>0</v>
      </c>
      <c r="G73" s="321">
        <f>$C73*'2.) Enrollment'!I43*'4.) Yearly Budget'!$M$17</f>
        <v>0</v>
      </c>
      <c r="H73" s="321">
        <f>$C73*'2.) Enrollment'!K43*'4.) Yearly Budget'!$P$17</f>
        <v>0</v>
      </c>
      <c r="I73" s="321">
        <f>$C73*'2.) Enrollment'!M43*'4.) Yearly Budget'!$S$17</f>
        <v>0</v>
      </c>
      <c r="J73" s="827">
        <f t="shared" si="3"/>
        <v>0</v>
      </c>
      <c r="K73"/>
      <c r="L73" s="321">
        <f>$C73*'2.) Enrollment'!H43*'4.) Yearly Budget'!$K$17</f>
        <v>0</v>
      </c>
      <c r="M73" s="321">
        <f>$C73*'2.) Enrollment'!J43*'4.) Yearly Budget'!$N$17</f>
        <v>0</v>
      </c>
      <c r="N73" s="321">
        <f>$C73*'2.) Enrollment'!L43*'4.) Yearly Budget'!$Q$17</f>
        <v>0</v>
      </c>
      <c r="O73" s="321">
        <f>$C73*'2.) Enrollment'!N43*'4.) Yearly Budget'!$T$17</f>
        <v>0</v>
      </c>
      <c r="P73" s="827">
        <f t="shared" si="4"/>
        <v>0</v>
      </c>
      <c r="Q73"/>
      <c r="R73">
        <f t="shared" si="5"/>
        <v>0</v>
      </c>
      <c r="T73">
        <f>IF(ISBLANK('2.) Enrollment'!H43)=TRUE,'2.) Enrollment'!G43,'2.) Enrollment'!H43)</f>
        <v>0</v>
      </c>
      <c r="U73">
        <f>IF(ISBLANK('2.) Enrollment'!J43)=TRUE,'2.) Enrollment'!I43,'2.) Enrollment'!J43)</f>
        <v>0</v>
      </c>
      <c r="V73">
        <f>IF(ISBLANK('2.) Enrollment'!L43)=TRUE,'2.) Enrollment'!K43,'2.) Enrollment'!L43)</f>
        <v>0</v>
      </c>
      <c r="W73">
        <f>IF(ISBLANK('2.) Enrollment'!N43)=TRUE,'2.) Enrollment'!M43,'2.) Enrollment'!N43)</f>
        <v>0</v>
      </c>
    </row>
    <row r="74" spans="1:23">
      <c r="A74" s="4">
        <v>23</v>
      </c>
      <c r="B74" s="477" t="str">
        <f>IF(OR('2.) Enrollment'!C44=$B$109,ISBLANK('2.) Enrollment'!C44)),"-",'2.) Enrollment'!C44)</f>
        <v>-</v>
      </c>
      <c r="C74" s="233">
        <f>IF(ISNA(MATCH(School,$M$15:$M$27,0)),1,0)*IFERROR(VLOOKUP($B74,'Funding by District'!$D$6:$F$685,3,FALSE),0)</f>
        <v>0</v>
      </c>
      <c r="D74"/>
      <c r="E74">
        <f t="shared" si="2"/>
        <v>0</v>
      </c>
      <c r="F74" s="321">
        <f>$C74*'2.) Enrollment'!G44*'4.) Yearly Budget'!$J$17</f>
        <v>0</v>
      </c>
      <c r="G74" s="321">
        <f>$C74*'2.) Enrollment'!I44*'4.) Yearly Budget'!$M$17</f>
        <v>0</v>
      </c>
      <c r="H74" s="321">
        <f>$C74*'2.) Enrollment'!K44*'4.) Yearly Budget'!$P$17</f>
        <v>0</v>
      </c>
      <c r="I74" s="321">
        <f>$C74*'2.) Enrollment'!M44*'4.) Yearly Budget'!$S$17</f>
        <v>0</v>
      </c>
      <c r="J74" s="827">
        <f t="shared" si="3"/>
        <v>0</v>
      </c>
      <c r="K74"/>
      <c r="L74" s="321">
        <f>$C74*'2.) Enrollment'!H44*'4.) Yearly Budget'!$K$17</f>
        <v>0</v>
      </c>
      <c r="M74" s="321">
        <f>$C74*'2.) Enrollment'!J44*'4.) Yearly Budget'!$N$17</f>
        <v>0</v>
      </c>
      <c r="N74" s="321">
        <f>$C74*'2.) Enrollment'!L44*'4.) Yearly Budget'!$Q$17</f>
        <v>0</v>
      </c>
      <c r="O74" s="321">
        <f>$C74*'2.) Enrollment'!N44*'4.) Yearly Budget'!$T$17</f>
        <v>0</v>
      </c>
      <c r="P74" s="827">
        <f t="shared" si="4"/>
        <v>0</v>
      </c>
      <c r="Q74"/>
      <c r="R74">
        <f t="shared" si="5"/>
        <v>0</v>
      </c>
      <c r="T74">
        <f>IF(ISBLANK('2.) Enrollment'!H44)=TRUE,'2.) Enrollment'!G44,'2.) Enrollment'!H44)</f>
        <v>0</v>
      </c>
      <c r="U74">
        <f>IF(ISBLANK('2.) Enrollment'!J44)=TRUE,'2.) Enrollment'!I44,'2.) Enrollment'!J44)</f>
        <v>0</v>
      </c>
      <c r="V74">
        <f>IF(ISBLANK('2.) Enrollment'!L44)=TRUE,'2.) Enrollment'!K44,'2.) Enrollment'!L44)</f>
        <v>0</v>
      </c>
      <c r="W74">
        <f>IF(ISBLANK('2.) Enrollment'!N44)=TRUE,'2.) Enrollment'!M44,'2.) Enrollment'!N44)</f>
        <v>0</v>
      </c>
    </row>
    <row r="75" spans="1:23">
      <c r="A75" s="4">
        <v>24</v>
      </c>
      <c r="B75" s="477" t="str">
        <f>IF(OR('2.) Enrollment'!C45=$B$109,ISBLANK('2.) Enrollment'!C45)),"-",'2.) Enrollment'!C45)</f>
        <v>-</v>
      </c>
      <c r="C75" s="233">
        <f>IF(ISNA(MATCH(School,$M$15:$M$27,0)),1,0)*IFERROR(VLOOKUP($B75,'Funding by District'!$D$6:$F$685,3,FALSE),0)</f>
        <v>0</v>
      </c>
      <c r="D75"/>
      <c r="E75">
        <f t="shared" si="2"/>
        <v>0</v>
      </c>
      <c r="F75" s="321">
        <f>$C75*'2.) Enrollment'!G45*'4.) Yearly Budget'!$J$17</f>
        <v>0</v>
      </c>
      <c r="G75" s="321">
        <f>$C75*'2.) Enrollment'!I45*'4.) Yearly Budget'!$M$17</f>
        <v>0</v>
      </c>
      <c r="H75" s="321">
        <f>$C75*'2.) Enrollment'!K45*'4.) Yearly Budget'!$P$17</f>
        <v>0</v>
      </c>
      <c r="I75" s="321">
        <f>$C75*'2.) Enrollment'!M45*'4.) Yearly Budget'!$S$17</f>
        <v>0</v>
      </c>
      <c r="J75" s="827">
        <f t="shared" si="3"/>
        <v>0</v>
      </c>
      <c r="K75"/>
      <c r="L75" s="321">
        <f>$C75*'2.) Enrollment'!H45*'4.) Yearly Budget'!$K$17</f>
        <v>0</v>
      </c>
      <c r="M75" s="321">
        <f>$C75*'2.) Enrollment'!J45*'4.) Yearly Budget'!$N$17</f>
        <v>0</v>
      </c>
      <c r="N75" s="321">
        <f>$C75*'2.) Enrollment'!L45*'4.) Yearly Budget'!$Q$17</f>
        <v>0</v>
      </c>
      <c r="O75" s="321">
        <f>$C75*'2.) Enrollment'!N45*'4.) Yearly Budget'!$T$17</f>
        <v>0</v>
      </c>
      <c r="P75" s="827">
        <f t="shared" si="4"/>
        <v>0</v>
      </c>
      <c r="Q75"/>
      <c r="R75">
        <f t="shared" si="5"/>
        <v>0</v>
      </c>
      <c r="T75">
        <f>IF(ISBLANK('2.) Enrollment'!H45)=TRUE,'2.) Enrollment'!G45,'2.) Enrollment'!H45)</f>
        <v>0</v>
      </c>
      <c r="U75">
        <f>IF(ISBLANK('2.) Enrollment'!J45)=TRUE,'2.) Enrollment'!I45,'2.) Enrollment'!J45)</f>
        <v>0</v>
      </c>
      <c r="V75">
        <f>IF(ISBLANK('2.) Enrollment'!L45)=TRUE,'2.) Enrollment'!K45,'2.) Enrollment'!L45)</f>
        <v>0</v>
      </c>
      <c r="W75">
        <f>IF(ISBLANK('2.) Enrollment'!N45)=TRUE,'2.) Enrollment'!M45,'2.) Enrollment'!N45)</f>
        <v>0</v>
      </c>
    </row>
    <row r="76" spans="1:23">
      <c r="A76" s="4">
        <v>25</v>
      </c>
      <c r="B76" s="477" t="str">
        <f>IF(OR('2.) Enrollment'!C46=$B$109,ISBLANK('2.) Enrollment'!C46)),"-",'2.) Enrollment'!C46)</f>
        <v>-</v>
      </c>
      <c r="C76" s="233">
        <f>IF(ISNA(MATCH(School,$M$15:$M$27,0)),1,0)*IFERROR(VLOOKUP($B76,'Funding by District'!$D$6:$F$685,3,FALSE),0)</f>
        <v>0</v>
      </c>
      <c r="D76"/>
      <c r="E76">
        <f t="shared" si="2"/>
        <v>0</v>
      </c>
      <c r="F76" s="321">
        <f>$C76*'2.) Enrollment'!G46*'4.) Yearly Budget'!$J$17</f>
        <v>0</v>
      </c>
      <c r="G76" s="321">
        <f>$C76*'2.) Enrollment'!I46*'4.) Yearly Budget'!$M$17</f>
        <v>0</v>
      </c>
      <c r="H76" s="321">
        <f>$C76*'2.) Enrollment'!K46*'4.) Yearly Budget'!$P$17</f>
        <v>0</v>
      </c>
      <c r="I76" s="321">
        <f>$C76*'2.) Enrollment'!M46*'4.) Yearly Budget'!$S$17</f>
        <v>0</v>
      </c>
      <c r="J76" s="827">
        <f t="shared" si="3"/>
        <v>0</v>
      </c>
      <c r="K76"/>
      <c r="L76" s="321">
        <f>$C76*'2.) Enrollment'!H46*'4.) Yearly Budget'!$K$17</f>
        <v>0</v>
      </c>
      <c r="M76" s="321">
        <f>$C76*'2.) Enrollment'!J46*'4.) Yearly Budget'!$N$17</f>
        <v>0</v>
      </c>
      <c r="N76" s="321">
        <f>$C76*'2.) Enrollment'!L46*'4.) Yearly Budget'!$Q$17</f>
        <v>0</v>
      </c>
      <c r="O76" s="321">
        <f>$C76*'2.) Enrollment'!N46*'4.) Yearly Budget'!$T$17</f>
        <v>0</v>
      </c>
      <c r="P76" s="827">
        <f t="shared" si="4"/>
        <v>0</v>
      </c>
      <c r="Q76"/>
      <c r="R76">
        <f t="shared" si="5"/>
        <v>0</v>
      </c>
      <c r="T76">
        <f>IF(ISBLANK('2.) Enrollment'!H46)=TRUE,'2.) Enrollment'!G46,'2.) Enrollment'!H46)</f>
        <v>0</v>
      </c>
      <c r="U76">
        <f>IF(ISBLANK('2.) Enrollment'!J46)=TRUE,'2.) Enrollment'!I46,'2.) Enrollment'!J46)</f>
        <v>0</v>
      </c>
      <c r="V76">
        <f>IF(ISBLANK('2.) Enrollment'!L46)=TRUE,'2.) Enrollment'!K46,'2.) Enrollment'!L46)</f>
        <v>0</v>
      </c>
      <c r="W76">
        <f>IF(ISBLANK('2.) Enrollment'!N46)=TRUE,'2.) Enrollment'!M46,'2.) Enrollment'!N46)</f>
        <v>0</v>
      </c>
    </row>
    <row r="77" spans="1:23">
      <c r="A77" s="4">
        <v>26</v>
      </c>
      <c r="B77" s="477" t="str">
        <f>IF(OR('2.) Enrollment'!C47=$B$109,ISBLANK('2.) Enrollment'!C47)),"-",'2.) Enrollment'!C47)</f>
        <v>-</v>
      </c>
      <c r="C77" s="233">
        <f>IF(ISNA(MATCH(School,$M$15:$M$27,0)),1,0)*IFERROR(VLOOKUP($B77,'Funding by District'!$D$6:$F$685,3,FALSE),0)</f>
        <v>0</v>
      </c>
      <c r="D77"/>
      <c r="E77">
        <f t="shared" si="2"/>
        <v>0</v>
      </c>
      <c r="F77" s="321">
        <f>$C77*'2.) Enrollment'!G47*'4.) Yearly Budget'!$J$17</f>
        <v>0</v>
      </c>
      <c r="G77" s="321">
        <f>$C77*'2.) Enrollment'!I47*'4.) Yearly Budget'!$M$17</f>
        <v>0</v>
      </c>
      <c r="H77" s="321">
        <f>$C77*'2.) Enrollment'!K47*'4.) Yearly Budget'!$P$17</f>
        <v>0</v>
      </c>
      <c r="I77" s="321">
        <f>$C77*'2.) Enrollment'!M47*'4.) Yearly Budget'!$S$17</f>
        <v>0</v>
      </c>
      <c r="J77" s="827">
        <f t="shared" si="3"/>
        <v>0</v>
      </c>
      <c r="K77"/>
      <c r="L77" s="321">
        <f>$C77*'2.) Enrollment'!H47*'4.) Yearly Budget'!$K$17</f>
        <v>0</v>
      </c>
      <c r="M77" s="321">
        <f>$C77*'2.) Enrollment'!J47*'4.) Yearly Budget'!$N$17</f>
        <v>0</v>
      </c>
      <c r="N77" s="321">
        <f>$C77*'2.) Enrollment'!L47*'4.) Yearly Budget'!$Q$17</f>
        <v>0</v>
      </c>
      <c r="O77" s="321">
        <f>$C77*'2.) Enrollment'!N47*'4.) Yearly Budget'!$T$17</f>
        <v>0</v>
      </c>
      <c r="P77" s="827">
        <f t="shared" si="4"/>
        <v>0</v>
      </c>
      <c r="Q77"/>
      <c r="R77">
        <f t="shared" si="5"/>
        <v>0</v>
      </c>
      <c r="T77">
        <f>IF(ISBLANK('2.) Enrollment'!H47)=TRUE,'2.) Enrollment'!G47,'2.) Enrollment'!H47)</f>
        <v>0</v>
      </c>
      <c r="U77">
        <f>IF(ISBLANK('2.) Enrollment'!J47)=TRUE,'2.) Enrollment'!I47,'2.) Enrollment'!J47)</f>
        <v>0</v>
      </c>
      <c r="V77">
        <f>IF(ISBLANK('2.) Enrollment'!L47)=TRUE,'2.) Enrollment'!K47,'2.) Enrollment'!L47)</f>
        <v>0</v>
      </c>
      <c r="W77">
        <f>IF(ISBLANK('2.) Enrollment'!N47)=TRUE,'2.) Enrollment'!M47,'2.) Enrollment'!N47)</f>
        <v>0</v>
      </c>
    </row>
    <row r="78" spans="1:23">
      <c r="A78" s="4">
        <v>27</v>
      </c>
      <c r="B78" s="477" t="str">
        <f>IF(OR('2.) Enrollment'!C48=$B$109,ISBLANK('2.) Enrollment'!C48)),"-",'2.) Enrollment'!C48)</f>
        <v>-</v>
      </c>
      <c r="C78" s="233">
        <f>IF(ISNA(MATCH(School,$M$15:$M$27,0)),1,0)*IFERROR(VLOOKUP($B78,'Funding by District'!$D$6:$F$685,3,FALSE),0)</f>
        <v>0</v>
      </c>
      <c r="D78"/>
      <c r="E78">
        <f t="shared" si="2"/>
        <v>0</v>
      </c>
      <c r="F78" s="321">
        <f>$C78*'2.) Enrollment'!G48*'4.) Yearly Budget'!$J$17</f>
        <v>0</v>
      </c>
      <c r="G78" s="321">
        <f>$C78*'2.) Enrollment'!I48*'4.) Yearly Budget'!$M$17</f>
        <v>0</v>
      </c>
      <c r="H78" s="321">
        <f>$C78*'2.) Enrollment'!K48*'4.) Yearly Budget'!$P$17</f>
        <v>0</v>
      </c>
      <c r="I78" s="321">
        <f>$C78*'2.) Enrollment'!M48*'4.) Yearly Budget'!$S$17</f>
        <v>0</v>
      </c>
      <c r="J78" s="827">
        <f t="shared" si="3"/>
        <v>0</v>
      </c>
      <c r="K78"/>
      <c r="L78" s="321">
        <f>$C78*'2.) Enrollment'!H48*'4.) Yearly Budget'!$K$17</f>
        <v>0</v>
      </c>
      <c r="M78" s="321">
        <f>$C78*'2.) Enrollment'!J48*'4.) Yearly Budget'!$N$17</f>
        <v>0</v>
      </c>
      <c r="N78" s="321">
        <f>$C78*'2.) Enrollment'!L48*'4.) Yearly Budget'!$Q$17</f>
        <v>0</v>
      </c>
      <c r="O78" s="321">
        <f>$C78*'2.) Enrollment'!N48*'4.) Yearly Budget'!$T$17</f>
        <v>0</v>
      </c>
      <c r="P78" s="827">
        <f t="shared" si="4"/>
        <v>0</v>
      </c>
      <c r="Q78"/>
      <c r="R78">
        <f t="shared" si="5"/>
        <v>0</v>
      </c>
      <c r="T78">
        <f>IF(ISBLANK('2.) Enrollment'!H48)=TRUE,'2.) Enrollment'!G48,'2.) Enrollment'!H48)</f>
        <v>0</v>
      </c>
      <c r="U78">
        <f>IF(ISBLANK('2.) Enrollment'!J48)=TRUE,'2.) Enrollment'!I48,'2.) Enrollment'!J48)</f>
        <v>0</v>
      </c>
      <c r="V78">
        <f>IF(ISBLANK('2.) Enrollment'!L48)=TRUE,'2.) Enrollment'!K48,'2.) Enrollment'!L48)</f>
        <v>0</v>
      </c>
      <c r="W78">
        <f>IF(ISBLANK('2.) Enrollment'!N48)=TRUE,'2.) Enrollment'!M48,'2.) Enrollment'!N48)</f>
        <v>0</v>
      </c>
    </row>
    <row r="79" spans="1:23">
      <c r="A79" s="4">
        <v>28</v>
      </c>
      <c r="B79" s="477" t="str">
        <f>IF(OR('2.) Enrollment'!C49=$B$109,ISBLANK('2.) Enrollment'!C49)),"-",'2.) Enrollment'!C49)</f>
        <v>-</v>
      </c>
      <c r="C79" s="233">
        <f>IF(ISNA(MATCH(School,$M$15:$M$27,0)),1,0)*IFERROR(VLOOKUP($B79,'Funding by District'!$D$6:$F$685,3,FALSE),0)</f>
        <v>0</v>
      </c>
      <c r="D79"/>
      <c r="E79">
        <f t="shared" si="2"/>
        <v>0</v>
      </c>
      <c r="F79" s="321">
        <f>$C79*'2.) Enrollment'!G49*'4.) Yearly Budget'!$J$17</f>
        <v>0</v>
      </c>
      <c r="G79" s="321">
        <f>$C79*'2.) Enrollment'!I49*'4.) Yearly Budget'!$M$17</f>
        <v>0</v>
      </c>
      <c r="H79" s="321">
        <f>$C79*'2.) Enrollment'!K49*'4.) Yearly Budget'!$P$17</f>
        <v>0</v>
      </c>
      <c r="I79" s="321">
        <f>$C79*'2.) Enrollment'!M49*'4.) Yearly Budget'!$S$17</f>
        <v>0</v>
      </c>
      <c r="J79" s="827">
        <f t="shared" si="3"/>
        <v>0</v>
      </c>
      <c r="K79"/>
      <c r="L79" s="321">
        <f>$C79*'2.) Enrollment'!H49*'4.) Yearly Budget'!$K$17</f>
        <v>0</v>
      </c>
      <c r="M79" s="321">
        <f>$C79*'2.) Enrollment'!J49*'4.) Yearly Budget'!$N$17</f>
        <v>0</v>
      </c>
      <c r="N79" s="321">
        <f>$C79*'2.) Enrollment'!L49*'4.) Yearly Budget'!$Q$17</f>
        <v>0</v>
      </c>
      <c r="O79" s="321">
        <f>$C79*'2.) Enrollment'!N49*'4.) Yearly Budget'!$T$17</f>
        <v>0</v>
      </c>
      <c r="P79" s="827">
        <f t="shared" si="4"/>
        <v>0</v>
      </c>
      <c r="Q79"/>
      <c r="R79">
        <f t="shared" si="5"/>
        <v>0</v>
      </c>
      <c r="T79">
        <f>IF(ISBLANK('2.) Enrollment'!H49)=TRUE,'2.) Enrollment'!G49,'2.) Enrollment'!H49)</f>
        <v>0</v>
      </c>
      <c r="U79">
        <f>IF(ISBLANK('2.) Enrollment'!J49)=TRUE,'2.) Enrollment'!I49,'2.) Enrollment'!J49)</f>
        <v>0</v>
      </c>
      <c r="V79">
        <f>IF(ISBLANK('2.) Enrollment'!L49)=TRUE,'2.) Enrollment'!K49,'2.) Enrollment'!L49)</f>
        <v>0</v>
      </c>
      <c r="W79">
        <f>IF(ISBLANK('2.) Enrollment'!N49)=TRUE,'2.) Enrollment'!M49,'2.) Enrollment'!N49)</f>
        <v>0</v>
      </c>
    </row>
    <row r="80" spans="1:23">
      <c r="A80" s="4">
        <v>29</v>
      </c>
      <c r="B80" s="477" t="str">
        <f>IF(OR('2.) Enrollment'!C50=$B$109,ISBLANK('2.) Enrollment'!C50)),"-",'2.) Enrollment'!C50)</f>
        <v>-</v>
      </c>
      <c r="C80" s="233">
        <f>IF(ISNA(MATCH(School,$M$15:$M$27,0)),1,0)*IFERROR(VLOOKUP($B80,'Funding by District'!$D$6:$F$685,3,FALSE),0)</f>
        <v>0</v>
      </c>
      <c r="D80"/>
      <c r="E80">
        <f t="shared" si="2"/>
        <v>0</v>
      </c>
      <c r="F80" s="321">
        <f>$C80*'2.) Enrollment'!G50*'4.) Yearly Budget'!$J$17</f>
        <v>0</v>
      </c>
      <c r="G80" s="321">
        <f>$C80*'2.) Enrollment'!I50*'4.) Yearly Budget'!$M$17</f>
        <v>0</v>
      </c>
      <c r="H80" s="321">
        <f>$C80*'2.) Enrollment'!K50*'4.) Yearly Budget'!$P$17</f>
        <v>0</v>
      </c>
      <c r="I80" s="321">
        <f>$C80*'2.) Enrollment'!M50*'4.) Yearly Budget'!$S$17</f>
        <v>0</v>
      </c>
      <c r="J80" s="827">
        <f t="shared" si="3"/>
        <v>0</v>
      </c>
      <c r="K80"/>
      <c r="L80" s="321">
        <f>$C80*'2.) Enrollment'!H50*'4.) Yearly Budget'!$K$17</f>
        <v>0</v>
      </c>
      <c r="M80" s="321">
        <f>$C80*'2.) Enrollment'!J50*'4.) Yearly Budget'!$N$17</f>
        <v>0</v>
      </c>
      <c r="N80" s="321">
        <f>$C80*'2.) Enrollment'!L50*'4.) Yearly Budget'!$Q$17</f>
        <v>0</v>
      </c>
      <c r="O80" s="321">
        <f>$C80*'2.) Enrollment'!N50*'4.) Yearly Budget'!$T$17</f>
        <v>0</v>
      </c>
      <c r="P80" s="827">
        <f t="shared" si="4"/>
        <v>0</v>
      </c>
      <c r="Q80"/>
      <c r="R80">
        <f t="shared" si="5"/>
        <v>0</v>
      </c>
      <c r="T80">
        <f>IF(ISBLANK('2.) Enrollment'!H50)=TRUE,'2.) Enrollment'!G50,'2.) Enrollment'!H50)</f>
        <v>0</v>
      </c>
      <c r="U80">
        <f>IF(ISBLANK('2.) Enrollment'!J50)=TRUE,'2.) Enrollment'!I50,'2.) Enrollment'!J50)</f>
        <v>0</v>
      </c>
      <c r="V80">
        <f>IF(ISBLANK('2.) Enrollment'!L50)=TRUE,'2.) Enrollment'!K50,'2.) Enrollment'!L50)</f>
        <v>0</v>
      </c>
      <c r="W80">
        <f>IF(ISBLANK('2.) Enrollment'!N50)=TRUE,'2.) Enrollment'!M50,'2.) Enrollment'!N50)</f>
        <v>0</v>
      </c>
    </row>
    <row r="81" spans="1:23">
      <c r="A81" s="4">
        <v>30</v>
      </c>
      <c r="B81" s="477" t="str">
        <f>IF(OR('2.) Enrollment'!C51=$B$109,ISBLANK('2.) Enrollment'!C51)),"-",'2.) Enrollment'!C51)</f>
        <v>-</v>
      </c>
      <c r="C81" s="233">
        <f>IF(ISNA(MATCH(School,$M$15:$M$27,0)),1,0)*IFERROR(VLOOKUP($B81,'Funding by District'!$D$6:$F$685,3,FALSE),0)</f>
        <v>0</v>
      </c>
      <c r="D81"/>
      <c r="E81">
        <f t="shared" si="2"/>
        <v>0</v>
      </c>
      <c r="F81" s="321">
        <f>$C81*'2.) Enrollment'!G51*'4.) Yearly Budget'!$J$17</f>
        <v>0</v>
      </c>
      <c r="G81" s="321">
        <f>$C81*'2.) Enrollment'!I51*'4.) Yearly Budget'!$M$17</f>
        <v>0</v>
      </c>
      <c r="H81" s="321">
        <f>$C81*'2.) Enrollment'!K51*'4.) Yearly Budget'!$P$17</f>
        <v>0</v>
      </c>
      <c r="I81" s="321">
        <f>$C81*'2.) Enrollment'!M51*'4.) Yearly Budget'!$S$17</f>
        <v>0</v>
      </c>
      <c r="J81" s="827">
        <f t="shared" si="3"/>
        <v>0</v>
      </c>
      <c r="K81"/>
      <c r="L81" s="321">
        <f>$C81*'2.) Enrollment'!H51*'4.) Yearly Budget'!$K$17</f>
        <v>0</v>
      </c>
      <c r="M81" s="321">
        <f>$C81*'2.) Enrollment'!J51*'4.) Yearly Budget'!$N$17</f>
        <v>0</v>
      </c>
      <c r="N81" s="321">
        <f>$C81*'2.) Enrollment'!L51*'4.) Yearly Budget'!$Q$17</f>
        <v>0</v>
      </c>
      <c r="O81" s="321">
        <f>$C81*'2.) Enrollment'!N51*'4.) Yearly Budget'!$T$17</f>
        <v>0</v>
      </c>
      <c r="P81" s="827">
        <f t="shared" si="4"/>
        <v>0</v>
      </c>
      <c r="Q81"/>
      <c r="R81">
        <f t="shared" si="5"/>
        <v>0</v>
      </c>
      <c r="T81">
        <f>IF(ISBLANK('2.) Enrollment'!H51)=TRUE,'2.) Enrollment'!G51,'2.) Enrollment'!H51)</f>
        <v>0</v>
      </c>
      <c r="U81">
        <f>IF(ISBLANK('2.) Enrollment'!J51)=TRUE,'2.) Enrollment'!I51,'2.) Enrollment'!J51)</f>
        <v>0</v>
      </c>
      <c r="V81">
        <f>IF(ISBLANK('2.) Enrollment'!L51)=TRUE,'2.) Enrollment'!K51,'2.) Enrollment'!L51)</f>
        <v>0</v>
      </c>
      <c r="W81">
        <f>IF(ISBLANK('2.) Enrollment'!N51)=TRUE,'2.) Enrollment'!M51,'2.) Enrollment'!N51)</f>
        <v>0</v>
      </c>
    </row>
    <row r="82" spans="1:23">
      <c r="A82" s="4">
        <v>31</v>
      </c>
      <c r="B82" s="477" t="str">
        <f>IF(OR('2.) Enrollment'!C52=$B$109,ISBLANK('2.) Enrollment'!C52)),"-",'2.) Enrollment'!C52)</f>
        <v>-</v>
      </c>
      <c r="C82" s="233">
        <f>IF(ISNA(MATCH(School,$M$15:$M$27,0)),1,0)*IFERROR(VLOOKUP($B82,'Funding by District'!$D$6:$F$685,3,FALSE),0)</f>
        <v>0</v>
      </c>
      <c r="D82"/>
      <c r="E82">
        <f t="shared" si="2"/>
        <v>0</v>
      </c>
      <c r="F82" s="321">
        <f>$C82*'2.) Enrollment'!G52*'4.) Yearly Budget'!$J$17</f>
        <v>0</v>
      </c>
      <c r="G82" s="321">
        <f>$C82*'2.) Enrollment'!I52*'4.) Yearly Budget'!$M$17</f>
        <v>0</v>
      </c>
      <c r="H82" s="321">
        <f>$C82*'2.) Enrollment'!K52*'4.) Yearly Budget'!$P$17</f>
        <v>0</v>
      </c>
      <c r="I82" s="321">
        <f>$C82*'2.) Enrollment'!M52*'4.) Yearly Budget'!$S$17</f>
        <v>0</v>
      </c>
      <c r="J82" s="827">
        <f t="shared" si="3"/>
        <v>0</v>
      </c>
      <c r="K82"/>
      <c r="L82" s="321">
        <f>$C82*'2.) Enrollment'!H52*'4.) Yearly Budget'!$K$17</f>
        <v>0</v>
      </c>
      <c r="M82" s="321">
        <f>$C82*'2.) Enrollment'!J52*'4.) Yearly Budget'!$N$17</f>
        <v>0</v>
      </c>
      <c r="N82" s="321">
        <f>$C82*'2.) Enrollment'!L52*'4.) Yearly Budget'!$Q$17</f>
        <v>0</v>
      </c>
      <c r="O82" s="321">
        <f>$C82*'2.) Enrollment'!N52*'4.) Yearly Budget'!$T$17</f>
        <v>0</v>
      </c>
      <c r="P82" s="827">
        <f t="shared" si="4"/>
        <v>0</v>
      </c>
      <c r="Q82"/>
      <c r="R82">
        <f t="shared" si="5"/>
        <v>0</v>
      </c>
      <c r="T82">
        <f>IF(ISBLANK('2.) Enrollment'!H52)=TRUE,'2.) Enrollment'!G52,'2.) Enrollment'!H52)</f>
        <v>0</v>
      </c>
      <c r="U82">
        <f>IF(ISBLANK('2.) Enrollment'!J52)=TRUE,'2.) Enrollment'!I52,'2.) Enrollment'!J52)</f>
        <v>0</v>
      </c>
      <c r="V82">
        <f>IF(ISBLANK('2.) Enrollment'!L52)=TRUE,'2.) Enrollment'!K52,'2.) Enrollment'!L52)</f>
        <v>0</v>
      </c>
      <c r="W82">
        <f>IF(ISBLANK('2.) Enrollment'!N52)=TRUE,'2.) Enrollment'!M52,'2.) Enrollment'!N52)</f>
        <v>0</v>
      </c>
    </row>
    <row r="83" spans="1:23">
      <c r="A83" s="4">
        <v>32</v>
      </c>
      <c r="B83" s="477" t="str">
        <f>IF(OR('2.) Enrollment'!C53=$B$109,ISBLANK('2.) Enrollment'!C53)),"-",'2.) Enrollment'!C53)</f>
        <v>-</v>
      </c>
      <c r="C83" s="233">
        <f>IF(ISNA(MATCH(School,$M$15:$M$27,0)),1,0)*IFERROR(VLOOKUP($B83,'Funding by District'!$D$6:$F$685,3,FALSE),0)</f>
        <v>0</v>
      </c>
      <c r="D83"/>
      <c r="E83">
        <f t="shared" si="2"/>
        <v>0</v>
      </c>
      <c r="F83" s="321">
        <f>$C83*'2.) Enrollment'!G53*'4.) Yearly Budget'!$J$17</f>
        <v>0</v>
      </c>
      <c r="G83" s="321">
        <f>$C83*'2.) Enrollment'!I53*'4.) Yearly Budget'!$M$17</f>
        <v>0</v>
      </c>
      <c r="H83" s="321">
        <f>$C83*'2.) Enrollment'!K53*'4.) Yearly Budget'!$P$17</f>
        <v>0</v>
      </c>
      <c r="I83" s="321">
        <f>$C83*'2.) Enrollment'!M53*'4.) Yearly Budget'!$S$17</f>
        <v>0</v>
      </c>
      <c r="J83" s="827">
        <f t="shared" si="3"/>
        <v>0</v>
      </c>
      <c r="K83"/>
      <c r="L83" s="321">
        <f>$C83*'2.) Enrollment'!H53*'4.) Yearly Budget'!$K$17</f>
        <v>0</v>
      </c>
      <c r="M83" s="321">
        <f>$C83*'2.) Enrollment'!J53*'4.) Yearly Budget'!$N$17</f>
        <v>0</v>
      </c>
      <c r="N83" s="321">
        <f>$C83*'2.) Enrollment'!L53*'4.) Yearly Budget'!$Q$17</f>
        <v>0</v>
      </c>
      <c r="O83" s="321">
        <f>$C83*'2.) Enrollment'!N53*'4.) Yearly Budget'!$T$17</f>
        <v>0</v>
      </c>
      <c r="P83" s="827">
        <f t="shared" si="4"/>
        <v>0</v>
      </c>
      <c r="Q83"/>
      <c r="R83">
        <f t="shared" si="5"/>
        <v>0</v>
      </c>
      <c r="T83">
        <f>IF(ISBLANK('2.) Enrollment'!H53)=TRUE,'2.) Enrollment'!G53,'2.) Enrollment'!H53)</f>
        <v>0</v>
      </c>
      <c r="U83">
        <f>IF(ISBLANK('2.) Enrollment'!J53)=TRUE,'2.) Enrollment'!I53,'2.) Enrollment'!J53)</f>
        <v>0</v>
      </c>
      <c r="V83">
        <f>IF(ISBLANK('2.) Enrollment'!L53)=TRUE,'2.) Enrollment'!K53,'2.) Enrollment'!L53)</f>
        <v>0</v>
      </c>
      <c r="W83">
        <f>IF(ISBLANK('2.) Enrollment'!N53)=TRUE,'2.) Enrollment'!M53,'2.) Enrollment'!N53)</f>
        <v>0</v>
      </c>
    </row>
    <row r="84" spans="1:23">
      <c r="A84" s="4">
        <v>33</v>
      </c>
      <c r="B84" s="477" t="str">
        <f>IF(OR('2.) Enrollment'!C54=$B$109,ISBLANK('2.) Enrollment'!C54)),"-",'2.) Enrollment'!C54)</f>
        <v>-</v>
      </c>
      <c r="C84" s="233">
        <f>IF(ISNA(MATCH(School,$M$15:$M$27,0)),1,0)*IFERROR(VLOOKUP($B84,'Funding by District'!$D$6:$F$685,3,FALSE),0)</f>
        <v>0</v>
      </c>
      <c r="D84"/>
      <c r="E84">
        <f t="shared" si="2"/>
        <v>0</v>
      </c>
      <c r="F84" s="321">
        <f>$C84*'2.) Enrollment'!G54*'4.) Yearly Budget'!$J$17</f>
        <v>0</v>
      </c>
      <c r="G84" s="321">
        <f>$C84*'2.) Enrollment'!I54*'4.) Yearly Budget'!$M$17</f>
        <v>0</v>
      </c>
      <c r="H84" s="321">
        <f>$C84*'2.) Enrollment'!K54*'4.) Yearly Budget'!$P$17</f>
        <v>0</v>
      </c>
      <c r="I84" s="321">
        <f>$C84*'2.) Enrollment'!M54*'4.) Yearly Budget'!$S$17</f>
        <v>0</v>
      </c>
      <c r="J84" s="827">
        <f t="shared" si="3"/>
        <v>0</v>
      </c>
      <c r="K84"/>
      <c r="L84" s="321">
        <f>$C84*'2.) Enrollment'!H54*'4.) Yearly Budget'!$K$17</f>
        <v>0</v>
      </c>
      <c r="M84" s="321">
        <f>$C84*'2.) Enrollment'!J54*'4.) Yearly Budget'!$N$17</f>
        <v>0</v>
      </c>
      <c r="N84" s="321">
        <f>$C84*'2.) Enrollment'!L54*'4.) Yearly Budget'!$Q$17</f>
        <v>0</v>
      </c>
      <c r="O84" s="321">
        <f>$C84*'2.) Enrollment'!N54*'4.) Yearly Budget'!$T$17</f>
        <v>0</v>
      </c>
      <c r="P84" s="827">
        <f t="shared" si="4"/>
        <v>0</v>
      </c>
      <c r="Q84"/>
      <c r="R84">
        <f t="shared" si="5"/>
        <v>0</v>
      </c>
      <c r="T84">
        <f>IF(ISBLANK('2.) Enrollment'!H54)=TRUE,'2.) Enrollment'!G54,'2.) Enrollment'!H54)</f>
        <v>0</v>
      </c>
      <c r="U84">
        <f>IF(ISBLANK('2.) Enrollment'!J54)=TRUE,'2.) Enrollment'!I54,'2.) Enrollment'!J54)</f>
        <v>0</v>
      </c>
      <c r="V84">
        <f>IF(ISBLANK('2.) Enrollment'!L54)=TRUE,'2.) Enrollment'!K54,'2.) Enrollment'!L54)</f>
        <v>0</v>
      </c>
      <c r="W84">
        <f>IF(ISBLANK('2.) Enrollment'!N54)=TRUE,'2.) Enrollment'!M54,'2.) Enrollment'!N54)</f>
        <v>0</v>
      </c>
    </row>
    <row r="85" spans="1:23">
      <c r="A85" s="4">
        <v>34</v>
      </c>
      <c r="B85" s="477" t="str">
        <f>IF(OR('2.) Enrollment'!C55=$B$109,ISBLANK('2.) Enrollment'!C55)),"-",'2.) Enrollment'!C55)</f>
        <v>-</v>
      </c>
      <c r="C85" s="233">
        <f>IF(ISNA(MATCH(School,$M$15:$M$27,0)),1,0)*IFERROR(VLOOKUP($B85,'Funding by District'!$D$6:$F$685,3,FALSE),0)</f>
        <v>0</v>
      </c>
      <c r="D85"/>
      <c r="E85">
        <f t="shared" si="2"/>
        <v>0</v>
      </c>
      <c r="F85" s="321">
        <f>$C85*'2.) Enrollment'!G55*'4.) Yearly Budget'!$J$17</f>
        <v>0</v>
      </c>
      <c r="G85" s="321">
        <f>$C85*'2.) Enrollment'!I55*'4.) Yearly Budget'!$M$17</f>
        <v>0</v>
      </c>
      <c r="H85" s="321">
        <f>$C85*'2.) Enrollment'!K55*'4.) Yearly Budget'!$P$17</f>
        <v>0</v>
      </c>
      <c r="I85" s="321">
        <f>$C85*'2.) Enrollment'!M55*'4.) Yearly Budget'!$S$17</f>
        <v>0</v>
      </c>
      <c r="J85" s="827">
        <f t="shared" si="3"/>
        <v>0</v>
      </c>
      <c r="K85"/>
      <c r="L85" s="321">
        <f>$C85*'2.) Enrollment'!H55*'4.) Yearly Budget'!$K$17</f>
        <v>0</v>
      </c>
      <c r="M85" s="321">
        <f>$C85*'2.) Enrollment'!J55*'4.) Yearly Budget'!$N$17</f>
        <v>0</v>
      </c>
      <c r="N85" s="321">
        <f>$C85*'2.) Enrollment'!L55*'4.) Yearly Budget'!$Q$17</f>
        <v>0</v>
      </c>
      <c r="O85" s="321">
        <f>$C85*'2.) Enrollment'!N55*'4.) Yearly Budget'!$T$17</f>
        <v>0</v>
      </c>
      <c r="P85" s="827">
        <f t="shared" si="4"/>
        <v>0</v>
      </c>
      <c r="Q85"/>
      <c r="R85">
        <f t="shared" si="5"/>
        <v>0</v>
      </c>
      <c r="T85">
        <f>IF(ISBLANK('2.) Enrollment'!H55)=TRUE,'2.) Enrollment'!G55,'2.) Enrollment'!H55)</f>
        <v>0</v>
      </c>
      <c r="U85">
        <f>IF(ISBLANK('2.) Enrollment'!J55)=TRUE,'2.) Enrollment'!I55,'2.) Enrollment'!J55)</f>
        <v>0</v>
      </c>
      <c r="V85">
        <f>IF(ISBLANK('2.) Enrollment'!L55)=TRUE,'2.) Enrollment'!K55,'2.) Enrollment'!L55)</f>
        <v>0</v>
      </c>
      <c r="W85">
        <f>IF(ISBLANK('2.) Enrollment'!N55)=TRUE,'2.) Enrollment'!M55,'2.) Enrollment'!N55)</f>
        <v>0</v>
      </c>
    </row>
    <row r="86" spans="1:23">
      <c r="A86" s="4">
        <v>35</v>
      </c>
      <c r="B86" s="477" t="str">
        <f>IF(OR('2.) Enrollment'!C56=$B$109,ISBLANK('2.) Enrollment'!C56)),"-",'2.) Enrollment'!C56)</f>
        <v>-</v>
      </c>
      <c r="C86" s="233">
        <f>IF(ISNA(MATCH(School,$M$15:$M$27,0)),1,0)*IFERROR(VLOOKUP($B86,'Funding by District'!$D$6:$F$685,3,FALSE),0)</f>
        <v>0</v>
      </c>
      <c r="D86"/>
      <c r="E86">
        <f t="shared" si="2"/>
        <v>0</v>
      </c>
      <c r="F86" s="321">
        <f>$C86*'2.) Enrollment'!G56*'4.) Yearly Budget'!$J$17</f>
        <v>0</v>
      </c>
      <c r="G86" s="321">
        <f>$C86*'2.) Enrollment'!I56*'4.) Yearly Budget'!$M$17</f>
        <v>0</v>
      </c>
      <c r="H86" s="321">
        <f>$C86*'2.) Enrollment'!K56*'4.) Yearly Budget'!$P$17</f>
        <v>0</v>
      </c>
      <c r="I86" s="321">
        <f>$C86*'2.) Enrollment'!M56*'4.) Yearly Budget'!$S$17</f>
        <v>0</v>
      </c>
      <c r="J86" s="827">
        <f t="shared" si="3"/>
        <v>0</v>
      </c>
      <c r="K86"/>
      <c r="L86" s="321">
        <f>$C86*'2.) Enrollment'!H56*'4.) Yearly Budget'!$K$17</f>
        <v>0</v>
      </c>
      <c r="M86" s="321">
        <f>$C86*'2.) Enrollment'!J56*'4.) Yearly Budget'!$N$17</f>
        <v>0</v>
      </c>
      <c r="N86" s="321">
        <f>$C86*'2.) Enrollment'!L56*'4.) Yearly Budget'!$Q$17</f>
        <v>0</v>
      </c>
      <c r="O86" s="321">
        <f>$C86*'2.) Enrollment'!N56*'4.) Yearly Budget'!$T$17</f>
        <v>0</v>
      </c>
      <c r="P86" s="827">
        <f t="shared" si="4"/>
        <v>0</v>
      </c>
      <c r="Q86"/>
      <c r="R86">
        <f t="shared" si="5"/>
        <v>0</v>
      </c>
      <c r="T86">
        <f>IF(ISBLANK('2.) Enrollment'!H56)=TRUE,'2.) Enrollment'!G56,'2.) Enrollment'!H56)</f>
        <v>0</v>
      </c>
      <c r="U86">
        <f>IF(ISBLANK('2.) Enrollment'!J56)=TRUE,'2.) Enrollment'!I56,'2.) Enrollment'!J56)</f>
        <v>0</v>
      </c>
      <c r="V86">
        <f>IF(ISBLANK('2.) Enrollment'!L56)=TRUE,'2.) Enrollment'!K56,'2.) Enrollment'!L56)</f>
        <v>0</v>
      </c>
      <c r="W86">
        <f>IF(ISBLANK('2.) Enrollment'!N56)=TRUE,'2.) Enrollment'!M56,'2.) Enrollment'!N56)</f>
        <v>0</v>
      </c>
    </row>
    <row r="87" spans="1:23">
      <c r="A87" s="4">
        <v>36</v>
      </c>
      <c r="B87" s="477" t="str">
        <f>IF(OR('2.) Enrollment'!C57=$B$109,ISBLANK('2.) Enrollment'!C57)),"-",'2.) Enrollment'!C57)</f>
        <v>-</v>
      </c>
      <c r="C87" s="233">
        <f>IF(ISNA(MATCH(School,$M$15:$M$27,0)),1,0)*IFERROR(VLOOKUP($B87,'Funding by District'!$D$6:$F$685,3,FALSE),0)</f>
        <v>0</v>
      </c>
      <c r="D87"/>
      <c r="E87">
        <f t="shared" si="2"/>
        <v>0</v>
      </c>
      <c r="F87" s="321">
        <f>$C87*'2.) Enrollment'!G57*'4.) Yearly Budget'!$J$17</f>
        <v>0</v>
      </c>
      <c r="G87" s="321">
        <f>$C87*'2.) Enrollment'!I57*'4.) Yearly Budget'!$M$17</f>
        <v>0</v>
      </c>
      <c r="H87" s="321">
        <f>$C87*'2.) Enrollment'!K57*'4.) Yearly Budget'!$P$17</f>
        <v>0</v>
      </c>
      <c r="I87" s="321">
        <f>$C87*'2.) Enrollment'!M57*'4.) Yearly Budget'!$S$17</f>
        <v>0</v>
      </c>
      <c r="J87" s="827">
        <f t="shared" si="3"/>
        <v>0</v>
      </c>
      <c r="K87"/>
      <c r="L87" s="321">
        <f>$C87*'2.) Enrollment'!H57*'4.) Yearly Budget'!$K$17</f>
        <v>0</v>
      </c>
      <c r="M87" s="321">
        <f>$C87*'2.) Enrollment'!J57*'4.) Yearly Budget'!$N$17</f>
        <v>0</v>
      </c>
      <c r="N87" s="321">
        <f>$C87*'2.) Enrollment'!L57*'4.) Yearly Budget'!$Q$17</f>
        <v>0</v>
      </c>
      <c r="O87" s="321">
        <f>$C87*'2.) Enrollment'!N57*'4.) Yearly Budget'!$T$17</f>
        <v>0</v>
      </c>
      <c r="P87" s="827">
        <f t="shared" si="4"/>
        <v>0</v>
      </c>
      <c r="Q87"/>
      <c r="R87">
        <f t="shared" si="5"/>
        <v>0</v>
      </c>
      <c r="T87">
        <f>IF(ISBLANK('2.) Enrollment'!H57)=TRUE,'2.) Enrollment'!G57,'2.) Enrollment'!H57)</f>
        <v>0</v>
      </c>
      <c r="U87">
        <f>IF(ISBLANK('2.) Enrollment'!J57)=TRUE,'2.) Enrollment'!I57,'2.) Enrollment'!J57)</f>
        <v>0</v>
      </c>
      <c r="V87">
        <f>IF(ISBLANK('2.) Enrollment'!L57)=TRUE,'2.) Enrollment'!K57,'2.) Enrollment'!L57)</f>
        <v>0</v>
      </c>
      <c r="W87">
        <f>IF(ISBLANK('2.) Enrollment'!N57)=TRUE,'2.) Enrollment'!M57,'2.) Enrollment'!N57)</f>
        <v>0</v>
      </c>
    </row>
    <row r="88" spans="1:23">
      <c r="A88" s="4">
        <v>37</v>
      </c>
      <c r="B88" s="477" t="str">
        <f>IF(OR('2.) Enrollment'!C58=$B$109,ISBLANK('2.) Enrollment'!C58)),"-",'2.) Enrollment'!C58)</f>
        <v>-</v>
      </c>
      <c r="C88" s="233">
        <f>IF(ISNA(MATCH(School,$M$15:$M$27,0)),1,0)*IFERROR(VLOOKUP($B88,'Funding by District'!$D$6:$F$685,3,FALSE),0)</f>
        <v>0</v>
      </c>
      <c r="D88"/>
      <c r="E88">
        <f t="shared" si="2"/>
        <v>0</v>
      </c>
      <c r="F88" s="321">
        <f>$C88*'2.) Enrollment'!G58*'4.) Yearly Budget'!$J$17</f>
        <v>0</v>
      </c>
      <c r="G88" s="321">
        <f>$C88*'2.) Enrollment'!I58*'4.) Yearly Budget'!$M$17</f>
        <v>0</v>
      </c>
      <c r="H88" s="321">
        <f>$C88*'2.) Enrollment'!K58*'4.) Yearly Budget'!$P$17</f>
        <v>0</v>
      </c>
      <c r="I88" s="321">
        <f>$C88*'2.) Enrollment'!M58*'4.) Yearly Budget'!$S$17</f>
        <v>0</v>
      </c>
      <c r="J88" s="827">
        <f t="shared" si="3"/>
        <v>0</v>
      </c>
      <c r="K88"/>
      <c r="L88" s="321">
        <f>$C88*'2.) Enrollment'!H58*'4.) Yearly Budget'!$K$17</f>
        <v>0</v>
      </c>
      <c r="M88" s="321">
        <f>$C88*'2.) Enrollment'!J58*'4.) Yearly Budget'!$N$17</f>
        <v>0</v>
      </c>
      <c r="N88" s="321">
        <f>$C88*'2.) Enrollment'!L58*'4.) Yearly Budget'!$Q$17</f>
        <v>0</v>
      </c>
      <c r="O88" s="321">
        <f>$C88*'2.) Enrollment'!N58*'4.) Yearly Budget'!$T$17</f>
        <v>0</v>
      </c>
      <c r="P88" s="827">
        <f t="shared" si="4"/>
        <v>0</v>
      </c>
      <c r="Q88"/>
      <c r="R88">
        <f t="shared" si="5"/>
        <v>0</v>
      </c>
      <c r="T88">
        <f>IF(ISBLANK('2.) Enrollment'!H58)=TRUE,'2.) Enrollment'!G58,'2.) Enrollment'!H58)</f>
        <v>0</v>
      </c>
      <c r="U88">
        <f>IF(ISBLANK('2.) Enrollment'!J58)=TRUE,'2.) Enrollment'!I58,'2.) Enrollment'!J58)</f>
        <v>0</v>
      </c>
      <c r="V88">
        <f>IF(ISBLANK('2.) Enrollment'!L58)=TRUE,'2.) Enrollment'!K58,'2.) Enrollment'!L58)</f>
        <v>0</v>
      </c>
      <c r="W88">
        <f>IF(ISBLANK('2.) Enrollment'!N58)=TRUE,'2.) Enrollment'!M58,'2.) Enrollment'!N58)</f>
        <v>0</v>
      </c>
    </row>
    <row r="89" spans="1:23">
      <c r="A89" s="4">
        <v>38</v>
      </c>
      <c r="B89" s="477" t="str">
        <f>IF(OR('2.) Enrollment'!C59=$B$109,ISBLANK('2.) Enrollment'!C59)),"-",'2.) Enrollment'!C59)</f>
        <v>-</v>
      </c>
      <c r="C89" s="233">
        <f>IF(ISNA(MATCH(School,$M$15:$M$27,0)),1,0)*IFERROR(VLOOKUP($B89,'Funding by District'!$D$6:$F$685,3,FALSE),0)</f>
        <v>0</v>
      </c>
      <c r="D89"/>
      <c r="E89">
        <f t="shared" si="2"/>
        <v>0</v>
      </c>
      <c r="F89" s="321">
        <f>$C89*'2.) Enrollment'!G59*'4.) Yearly Budget'!$J$17</f>
        <v>0</v>
      </c>
      <c r="G89" s="321">
        <f>$C89*'2.) Enrollment'!I59*'4.) Yearly Budget'!$M$17</f>
        <v>0</v>
      </c>
      <c r="H89" s="321">
        <f>$C89*'2.) Enrollment'!K59*'4.) Yearly Budget'!$P$17</f>
        <v>0</v>
      </c>
      <c r="I89" s="321">
        <f>$C89*'2.) Enrollment'!M59*'4.) Yearly Budget'!$S$17</f>
        <v>0</v>
      </c>
      <c r="J89" s="827">
        <f t="shared" si="3"/>
        <v>0</v>
      </c>
      <c r="K89"/>
      <c r="L89" s="321">
        <f>$C89*'2.) Enrollment'!H59*'4.) Yearly Budget'!$K$17</f>
        <v>0</v>
      </c>
      <c r="M89" s="321">
        <f>$C89*'2.) Enrollment'!J59*'4.) Yearly Budget'!$N$17</f>
        <v>0</v>
      </c>
      <c r="N89" s="321">
        <f>$C89*'2.) Enrollment'!L59*'4.) Yearly Budget'!$Q$17</f>
        <v>0</v>
      </c>
      <c r="O89" s="321">
        <f>$C89*'2.) Enrollment'!N59*'4.) Yearly Budget'!$T$17</f>
        <v>0</v>
      </c>
      <c r="P89" s="827">
        <f t="shared" si="4"/>
        <v>0</v>
      </c>
      <c r="Q89"/>
      <c r="R89">
        <f t="shared" si="5"/>
        <v>0</v>
      </c>
      <c r="T89">
        <f>IF(ISBLANK('2.) Enrollment'!H59)=TRUE,'2.) Enrollment'!G59,'2.) Enrollment'!H59)</f>
        <v>0</v>
      </c>
      <c r="U89">
        <f>IF(ISBLANK('2.) Enrollment'!J59)=TRUE,'2.) Enrollment'!I59,'2.) Enrollment'!J59)</f>
        <v>0</v>
      </c>
      <c r="V89">
        <f>IF(ISBLANK('2.) Enrollment'!L59)=TRUE,'2.) Enrollment'!K59,'2.) Enrollment'!L59)</f>
        <v>0</v>
      </c>
      <c r="W89">
        <f>IF(ISBLANK('2.) Enrollment'!N59)=TRUE,'2.) Enrollment'!M59,'2.) Enrollment'!N59)</f>
        <v>0</v>
      </c>
    </row>
    <row r="90" spans="1:23">
      <c r="A90" s="4">
        <v>39</v>
      </c>
      <c r="B90" s="477" t="str">
        <f>IF(OR('2.) Enrollment'!C60=$B$109,ISBLANK('2.) Enrollment'!C60)),"-",'2.) Enrollment'!C60)</f>
        <v>-</v>
      </c>
      <c r="C90" s="233">
        <f>IF(ISNA(MATCH(School,$M$15:$M$27,0)),1,0)*IFERROR(VLOOKUP($B90,'Funding by District'!$D$6:$F$685,3,FALSE),0)</f>
        <v>0</v>
      </c>
      <c r="D90"/>
      <c r="E90">
        <f t="shared" si="2"/>
        <v>0</v>
      </c>
      <c r="F90" s="321">
        <f>$C90*'2.) Enrollment'!G60*'4.) Yearly Budget'!$J$17</f>
        <v>0</v>
      </c>
      <c r="G90" s="321">
        <f>$C90*'2.) Enrollment'!I60*'4.) Yearly Budget'!$M$17</f>
        <v>0</v>
      </c>
      <c r="H90" s="321">
        <f>$C90*'2.) Enrollment'!K60*'4.) Yearly Budget'!$P$17</f>
        <v>0</v>
      </c>
      <c r="I90" s="321">
        <f>$C90*'2.) Enrollment'!M60*'4.) Yearly Budget'!$S$17</f>
        <v>0</v>
      </c>
      <c r="J90" s="827">
        <f t="shared" si="3"/>
        <v>0</v>
      </c>
      <c r="K90"/>
      <c r="L90" s="321">
        <f>$C90*'2.) Enrollment'!H60*'4.) Yearly Budget'!$K$17</f>
        <v>0</v>
      </c>
      <c r="M90" s="321">
        <f>$C90*'2.) Enrollment'!J60*'4.) Yearly Budget'!$N$17</f>
        <v>0</v>
      </c>
      <c r="N90" s="321">
        <f>$C90*'2.) Enrollment'!L60*'4.) Yearly Budget'!$Q$17</f>
        <v>0</v>
      </c>
      <c r="O90" s="321">
        <f>$C90*'2.) Enrollment'!N60*'4.) Yearly Budget'!$T$17</f>
        <v>0</v>
      </c>
      <c r="P90" s="827">
        <f t="shared" si="4"/>
        <v>0</v>
      </c>
      <c r="Q90"/>
      <c r="R90">
        <f t="shared" si="5"/>
        <v>0</v>
      </c>
      <c r="T90">
        <f>IF(ISBLANK('2.) Enrollment'!H60)=TRUE,'2.) Enrollment'!G60,'2.) Enrollment'!H60)</f>
        <v>0</v>
      </c>
      <c r="U90">
        <f>IF(ISBLANK('2.) Enrollment'!J60)=TRUE,'2.) Enrollment'!I60,'2.) Enrollment'!J60)</f>
        <v>0</v>
      </c>
      <c r="V90">
        <f>IF(ISBLANK('2.) Enrollment'!L60)=TRUE,'2.) Enrollment'!K60,'2.) Enrollment'!L60)</f>
        <v>0</v>
      </c>
      <c r="W90">
        <f>IF(ISBLANK('2.) Enrollment'!N60)=TRUE,'2.) Enrollment'!M60,'2.) Enrollment'!N60)</f>
        <v>0</v>
      </c>
    </row>
    <row r="91" spans="1:23">
      <c r="A91" s="4">
        <v>40</v>
      </c>
      <c r="B91" s="477" t="str">
        <f>IF(OR('2.) Enrollment'!C61=$B$109,ISBLANK('2.) Enrollment'!C61)),"-",'2.) Enrollment'!C61)</f>
        <v>-</v>
      </c>
      <c r="C91" s="233">
        <f>IF(ISNA(MATCH(School,$M$15:$M$27,0)),1,0)*IFERROR(VLOOKUP($B91,'Funding by District'!$D$6:$F$685,3,FALSE),0)</f>
        <v>0</v>
      </c>
      <c r="D91"/>
      <c r="E91">
        <f t="shared" si="2"/>
        <v>0</v>
      </c>
      <c r="F91" s="321">
        <f>$C91*'2.) Enrollment'!G61*'4.) Yearly Budget'!$J$17</f>
        <v>0</v>
      </c>
      <c r="G91" s="321">
        <f>$C91*'2.) Enrollment'!I61*'4.) Yearly Budget'!$M$17</f>
        <v>0</v>
      </c>
      <c r="H91" s="321">
        <f>$C91*'2.) Enrollment'!K61*'4.) Yearly Budget'!$P$17</f>
        <v>0</v>
      </c>
      <c r="I91" s="321">
        <f>$C91*'2.) Enrollment'!M61*'4.) Yearly Budget'!$S$17</f>
        <v>0</v>
      </c>
      <c r="J91" s="827">
        <f t="shared" si="3"/>
        <v>0</v>
      </c>
      <c r="K91"/>
      <c r="L91" s="321">
        <f>$C91*'2.) Enrollment'!H61*'4.) Yearly Budget'!$K$17</f>
        <v>0</v>
      </c>
      <c r="M91" s="321">
        <f>$C91*'2.) Enrollment'!J61*'4.) Yearly Budget'!$N$17</f>
        <v>0</v>
      </c>
      <c r="N91" s="321">
        <f>$C91*'2.) Enrollment'!L61*'4.) Yearly Budget'!$Q$17</f>
        <v>0</v>
      </c>
      <c r="O91" s="321">
        <f>$C91*'2.) Enrollment'!N61*'4.) Yearly Budget'!$T$17</f>
        <v>0</v>
      </c>
      <c r="P91" s="827">
        <f t="shared" si="4"/>
        <v>0</v>
      </c>
      <c r="Q91"/>
      <c r="R91">
        <f t="shared" si="5"/>
        <v>0</v>
      </c>
      <c r="T91">
        <f>IF(ISBLANK('2.) Enrollment'!H61)=TRUE,'2.) Enrollment'!G61,'2.) Enrollment'!H61)</f>
        <v>0</v>
      </c>
      <c r="U91">
        <f>IF(ISBLANK('2.) Enrollment'!J61)=TRUE,'2.) Enrollment'!I61,'2.) Enrollment'!J61)</f>
        <v>0</v>
      </c>
      <c r="V91">
        <f>IF(ISBLANK('2.) Enrollment'!L61)=TRUE,'2.) Enrollment'!K61,'2.) Enrollment'!L61)</f>
        <v>0</v>
      </c>
      <c r="W91">
        <f>IF(ISBLANK('2.) Enrollment'!N61)=TRUE,'2.) Enrollment'!M61,'2.) Enrollment'!N61)</f>
        <v>0</v>
      </c>
    </row>
    <row r="92" spans="1:23">
      <c r="A92" s="4">
        <v>41</v>
      </c>
      <c r="B92" s="477" t="str">
        <f>IF(OR('2.) Enrollment'!C62=$B$109,ISBLANK('2.) Enrollment'!C62)),"-",'2.) Enrollment'!C62)</f>
        <v>-</v>
      </c>
      <c r="C92" s="233">
        <f>IF(ISNA(MATCH(School,$M$15:$M$27,0)),1,0)*IFERROR(VLOOKUP($B92,'Funding by District'!$D$6:$F$685,3,FALSE),0)</f>
        <v>0</v>
      </c>
      <c r="D92"/>
      <c r="E92">
        <f t="shared" si="2"/>
        <v>0</v>
      </c>
      <c r="F92" s="321">
        <f>$C92*'2.) Enrollment'!G62*'4.) Yearly Budget'!$J$17</f>
        <v>0</v>
      </c>
      <c r="G92" s="321">
        <f>$C92*'2.) Enrollment'!I62*'4.) Yearly Budget'!$M$17</f>
        <v>0</v>
      </c>
      <c r="H92" s="321">
        <f>$C92*'2.) Enrollment'!K62*'4.) Yearly Budget'!$P$17</f>
        <v>0</v>
      </c>
      <c r="I92" s="321">
        <f>$C92*'2.) Enrollment'!M62*'4.) Yearly Budget'!$S$17</f>
        <v>0</v>
      </c>
      <c r="J92" s="827">
        <f t="shared" si="3"/>
        <v>0</v>
      </c>
      <c r="K92"/>
      <c r="L92" s="321">
        <f>$C92*'2.) Enrollment'!H62*'4.) Yearly Budget'!$K$17</f>
        <v>0</v>
      </c>
      <c r="M92" s="321">
        <f>$C92*'2.) Enrollment'!J62*'4.) Yearly Budget'!$N$17</f>
        <v>0</v>
      </c>
      <c r="N92" s="321">
        <f>$C92*'2.) Enrollment'!L62*'4.) Yearly Budget'!$Q$17</f>
        <v>0</v>
      </c>
      <c r="O92" s="321">
        <f>$C92*'2.) Enrollment'!N62*'4.) Yearly Budget'!$T$17</f>
        <v>0</v>
      </c>
      <c r="P92" s="827">
        <f t="shared" si="4"/>
        <v>0</v>
      </c>
      <c r="Q92"/>
      <c r="R92">
        <f t="shared" si="5"/>
        <v>0</v>
      </c>
      <c r="T92">
        <f>IF(ISBLANK('2.) Enrollment'!H62)=TRUE,'2.) Enrollment'!G62,'2.) Enrollment'!H62)</f>
        <v>0</v>
      </c>
      <c r="U92">
        <f>IF(ISBLANK('2.) Enrollment'!J62)=TRUE,'2.) Enrollment'!I62,'2.) Enrollment'!J62)</f>
        <v>0</v>
      </c>
      <c r="V92">
        <f>IF(ISBLANK('2.) Enrollment'!L62)=TRUE,'2.) Enrollment'!K62,'2.) Enrollment'!L62)</f>
        <v>0</v>
      </c>
      <c r="W92">
        <f>IF(ISBLANK('2.) Enrollment'!N62)=TRUE,'2.) Enrollment'!M62,'2.) Enrollment'!N62)</f>
        <v>0</v>
      </c>
    </row>
    <row r="93" spans="1:23">
      <c r="A93" s="4">
        <v>42</v>
      </c>
      <c r="B93" s="477" t="str">
        <f>IF(OR('2.) Enrollment'!C63=$B$109,ISBLANK('2.) Enrollment'!C63)),"-",'2.) Enrollment'!C63)</f>
        <v>-</v>
      </c>
      <c r="C93" s="233">
        <f>IF(ISNA(MATCH(School,$M$15:$M$27,0)),1,0)*IFERROR(VLOOKUP($B93,'Funding by District'!$D$6:$F$685,3,FALSE),0)</f>
        <v>0</v>
      </c>
      <c r="D93"/>
      <c r="E93">
        <f t="shared" si="2"/>
        <v>0</v>
      </c>
      <c r="F93" s="321">
        <f>$C93*'2.) Enrollment'!G63*'4.) Yearly Budget'!$J$17</f>
        <v>0</v>
      </c>
      <c r="G93" s="321">
        <f>$C93*'2.) Enrollment'!I63*'4.) Yearly Budget'!$M$17</f>
        <v>0</v>
      </c>
      <c r="H93" s="321">
        <f>$C93*'2.) Enrollment'!K63*'4.) Yearly Budget'!$P$17</f>
        <v>0</v>
      </c>
      <c r="I93" s="321">
        <f>$C93*'2.) Enrollment'!M63*'4.) Yearly Budget'!$S$17</f>
        <v>0</v>
      </c>
      <c r="J93" s="827">
        <f t="shared" si="3"/>
        <v>0</v>
      </c>
      <c r="K93"/>
      <c r="L93" s="321">
        <f>$C93*'2.) Enrollment'!H63*'4.) Yearly Budget'!$K$17</f>
        <v>0</v>
      </c>
      <c r="M93" s="321">
        <f>$C93*'2.) Enrollment'!J63*'4.) Yearly Budget'!$N$17</f>
        <v>0</v>
      </c>
      <c r="N93" s="321">
        <f>$C93*'2.) Enrollment'!L63*'4.) Yearly Budget'!$Q$17</f>
        <v>0</v>
      </c>
      <c r="O93" s="321">
        <f>$C93*'2.) Enrollment'!N63*'4.) Yearly Budget'!$T$17</f>
        <v>0</v>
      </c>
      <c r="P93" s="827">
        <f t="shared" si="4"/>
        <v>0</v>
      </c>
      <c r="Q93"/>
      <c r="R93">
        <f t="shared" si="5"/>
        <v>0</v>
      </c>
      <c r="T93">
        <f>IF(ISBLANK('2.) Enrollment'!H63)=TRUE,'2.) Enrollment'!G63,'2.) Enrollment'!H63)</f>
        <v>0</v>
      </c>
      <c r="U93">
        <f>IF(ISBLANK('2.) Enrollment'!J63)=TRUE,'2.) Enrollment'!I63,'2.) Enrollment'!J63)</f>
        <v>0</v>
      </c>
      <c r="V93">
        <f>IF(ISBLANK('2.) Enrollment'!L63)=TRUE,'2.) Enrollment'!K63,'2.) Enrollment'!L63)</f>
        <v>0</v>
      </c>
      <c r="W93">
        <f>IF(ISBLANK('2.) Enrollment'!N63)=TRUE,'2.) Enrollment'!M63,'2.) Enrollment'!N63)</f>
        <v>0</v>
      </c>
    </row>
    <row r="94" spans="1:23">
      <c r="A94" s="4">
        <v>43</v>
      </c>
      <c r="B94" s="477" t="str">
        <f>IF(OR('2.) Enrollment'!C64=$B$109,ISBLANK('2.) Enrollment'!C64)),"-",'2.) Enrollment'!C64)</f>
        <v>-</v>
      </c>
      <c r="C94" s="233">
        <f>IF(ISNA(MATCH(School,$M$15:$M$27,0)),1,0)*IFERROR(VLOOKUP($B94,'Funding by District'!$D$6:$F$685,3,FALSE),0)</f>
        <v>0</v>
      </c>
      <c r="D94"/>
      <c r="E94">
        <f t="shared" si="2"/>
        <v>0</v>
      </c>
      <c r="F94" s="321">
        <f>$C94*'2.) Enrollment'!G64*'4.) Yearly Budget'!$J$17</f>
        <v>0</v>
      </c>
      <c r="G94" s="321">
        <f>$C94*'2.) Enrollment'!I64*'4.) Yearly Budget'!$M$17</f>
        <v>0</v>
      </c>
      <c r="H94" s="321">
        <f>$C94*'2.) Enrollment'!K64*'4.) Yearly Budget'!$P$17</f>
        <v>0</v>
      </c>
      <c r="I94" s="321">
        <f>$C94*'2.) Enrollment'!M64*'4.) Yearly Budget'!$S$17</f>
        <v>0</v>
      </c>
      <c r="J94" s="827">
        <f t="shared" si="3"/>
        <v>0</v>
      </c>
      <c r="K94"/>
      <c r="L94" s="321">
        <f>$C94*'2.) Enrollment'!H64*'4.) Yearly Budget'!$K$17</f>
        <v>0</v>
      </c>
      <c r="M94" s="321">
        <f>$C94*'2.) Enrollment'!J64*'4.) Yearly Budget'!$N$17</f>
        <v>0</v>
      </c>
      <c r="N94" s="321">
        <f>$C94*'2.) Enrollment'!L64*'4.) Yearly Budget'!$Q$17</f>
        <v>0</v>
      </c>
      <c r="O94" s="321">
        <f>$C94*'2.) Enrollment'!N64*'4.) Yearly Budget'!$T$17</f>
        <v>0</v>
      </c>
      <c r="P94" s="827">
        <f t="shared" si="4"/>
        <v>0</v>
      </c>
      <c r="Q94"/>
      <c r="R94">
        <f t="shared" si="5"/>
        <v>0</v>
      </c>
      <c r="T94">
        <f>IF(ISBLANK('2.) Enrollment'!H64)=TRUE,'2.) Enrollment'!G64,'2.) Enrollment'!H64)</f>
        <v>0</v>
      </c>
      <c r="U94">
        <f>IF(ISBLANK('2.) Enrollment'!J64)=TRUE,'2.) Enrollment'!I64,'2.) Enrollment'!J64)</f>
        <v>0</v>
      </c>
      <c r="V94">
        <f>IF(ISBLANK('2.) Enrollment'!L64)=TRUE,'2.) Enrollment'!K64,'2.) Enrollment'!L64)</f>
        <v>0</v>
      </c>
      <c r="W94">
        <f>IF(ISBLANK('2.) Enrollment'!N64)=TRUE,'2.) Enrollment'!M64,'2.) Enrollment'!N64)</f>
        <v>0</v>
      </c>
    </row>
    <row r="95" spans="1:23">
      <c r="A95" s="4">
        <v>44</v>
      </c>
      <c r="B95" s="477" t="str">
        <f>IF(OR('2.) Enrollment'!C65=$B$109,ISBLANK('2.) Enrollment'!C65)),"-",'2.) Enrollment'!C65)</f>
        <v>-</v>
      </c>
      <c r="C95" s="233">
        <f>IF(ISNA(MATCH(School,$M$15:$M$27,0)),1,0)*IFERROR(VLOOKUP($B95,'Funding by District'!$D$6:$F$685,3,FALSE),0)</f>
        <v>0</v>
      </c>
      <c r="D95"/>
      <c r="E95">
        <f t="shared" si="2"/>
        <v>0</v>
      </c>
      <c r="F95" s="321">
        <f>$C95*'2.) Enrollment'!G65*'4.) Yearly Budget'!$J$17</f>
        <v>0</v>
      </c>
      <c r="G95" s="321">
        <f>$C95*'2.) Enrollment'!I65*'4.) Yearly Budget'!$M$17</f>
        <v>0</v>
      </c>
      <c r="H95" s="321">
        <f>$C95*'2.) Enrollment'!K65*'4.) Yearly Budget'!$P$17</f>
        <v>0</v>
      </c>
      <c r="I95" s="321">
        <f>$C95*'2.) Enrollment'!M65*'4.) Yearly Budget'!$S$17</f>
        <v>0</v>
      </c>
      <c r="J95" s="827">
        <f t="shared" si="3"/>
        <v>0</v>
      </c>
      <c r="K95"/>
      <c r="L95" s="321">
        <f>$C95*'2.) Enrollment'!H65*'4.) Yearly Budget'!$K$17</f>
        <v>0</v>
      </c>
      <c r="M95" s="321">
        <f>$C95*'2.) Enrollment'!J65*'4.) Yearly Budget'!$N$17</f>
        <v>0</v>
      </c>
      <c r="N95" s="321">
        <f>$C95*'2.) Enrollment'!L65*'4.) Yearly Budget'!$Q$17</f>
        <v>0</v>
      </c>
      <c r="O95" s="321">
        <f>$C95*'2.) Enrollment'!N65*'4.) Yearly Budget'!$T$17</f>
        <v>0</v>
      </c>
      <c r="P95" s="827">
        <f t="shared" si="4"/>
        <v>0</v>
      </c>
      <c r="Q95"/>
      <c r="R95">
        <f t="shared" si="5"/>
        <v>0</v>
      </c>
      <c r="T95">
        <f>IF(ISBLANK('2.) Enrollment'!H65)=TRUE,'2.) Enrollment'!G65,'2.) Enrollment'!H65)</f>
        <v>0</v>
      </c>
      <c r="U95">
        <f>IF(ISBLANK('2.) Enrollment'!J65)=TRUE,'2.) Enrollment'!I65,'2.) Enrollment'!J65)</f>
        <v>0</v>
      </c>
      <c r="V95">
        <f>IF(ISBLANK('2.) Enrollment'!L65)=TRUE,'2.) Enrollment'!K65,'2.) Enrollment'!L65)</f>
        <v>0</v>
      </c>
      <c r="W95">
        <f>IF(ISBLANK('2.) Enrollment'!N65)=TRUE,'2.) Enrollment'!M65,'2.) Enrollment'!N65)</f>
        <v>0</v>
      </c>
    </row>
    <row r="96" spans="1:23">
      <c r="A96" s="4">
        <v>45</v>
      </c>
      <c r="B96" s="477" t="str">
        <f>IF(OR('2.) Enrollment'!C66=$B$109,ISBLANK('2.) Enrollment'!C66)),"-",'2.) Enrollment'!C66)</f>
        <v>-</v>
      </c>
      <c r="C96" s="233">
        <f>IF(ISNA(MATCH(School,$M$15:$M$27,0)),1,0)*IFERROR(VLOOKUP($B96,'Funding by District'!$D$6:$F$685,3,FALSE),0)</f>
        <v>0</v>
      </c>
      <c r="D96"/>
      <c r="E96">
        <f t="shared" si="2"/>
        <v>0</v>
      </c>
      <c r="F96" s="321">
        <f>$C96*'2.) Enrollment'!G66*'4.) Yearly Budget'!$J$17</f>
        <v>0</v>
      </c>
      <c r="G96" s="321">
        <f>$C96*'2.) Enrollment'!I66*'4.) Yearly Budget'!$M$17</f>
        <v>0</v>
      </c>
      <c r="H96" s="321">
        <f>$C96*'2.) Enrollment'!K66*'4.) Yearly Budget'!$P$17</f>
        <v>0</v>
      </c>
      <c r="I96" s="321">
        <f>$C96*'2.) Enrollment'!M66*'4.) Yearly Budget'!$S$17</f>
        <v>0</v>
      </c>
      <c r="J96" s="827">
        <f t="shared" si="3"/>
        <v>0</v>
      </c>
      <c r="K96"/>
      <c r="L96" s="321">
        <f>$C96*'2.) Enrollment'!H66*'4.) Yearly Budget'!$K$17</f>
        <v>0</v>
      </c>
      <c r="M96" s="321">
        <f>$C96*'2.) Enrollment'!J66*'4.) Yearly Budget'!$N$17</f>
        <v>0</v>
      </c>
      <c r="N96" s="321">
        <f>$C96*'2.) Enrollment'!L66*'4.) Yearly Budget'!$Q$17</f>
        <v>0</v>
      </c>
      <c r="O96" s="321">
        <f>$C96*'2.) Enrollment'!N66*'4.) Yearly Budget'!$T$17</f>
        <v>0</v>
      </c>
      <c r="P96" s="827">
        <f t="shared" si="4"/>
        <v>0</v>
      </c>
      <c r="Q96"/>
      <c r="R96">
        <f t="shared" si="5"/>
        <v>0</v>
      </c>
      <c r="T96">
        <f>IF(ISBLANK('2.) Enrollment'!H66)=TRUE,'2.) Enrollment'!G66,'2.) Enrollment'!H66)</f>
        <v>0</v>
      </c>
      <c r="U96">
        <f>IF(ISBLANK('2.) Enrollment'!J66)=TRUE,'2.) Enrollment'!I66,'2.) Enrollment'!J66)</f>
        <v>0</v>
      </c>
      <c r="V96">
        <f>IF(ISBLANK('2.) Enrollment'!L66)=TRUE,'2.) Enrollment'!K66,'2.) Enrollment'!L66)</f>
        <v>0</v>
      </c>
      <c r="W96">
        <f>IF(ISBLANK('2.) Enrollment'!N66)=TRUE,'2.) Enrollment'!M66,'2.) Enrollment'!N66)</f>
        <v>0</v>
      </c>
    </row>
    <row r="97" spans="1:34">
      <c r="A97" s="4">
        <v>46</v>
      </c>
      <c r="B97" s="477" t="str">
        <f>IF(OR('2.) Enrollment'!C67=$B$109,ISBLANK('2.) Enrollment'!C67)),"-",'2.) Enrollment'!C67)</f>
        <v>-</v>
      </c>
      <c r="C97" s="233">
        <f>IF(ISNA(MATCH(School,$M$15:$M$27,0)),1,0)*IFERROR(VLOOKUP($B97,'Funding by District'!$D$6:$F$685,3,FALSE),0)</f>
        <v>0</v>
      </c>
      <c r="D97"/>
      <c r="E97">
        <f t="shared" si="2"/>
        <v>0</v>
      </c>
      <c r="F97" s="321">
        <f>$C97*'2.) Enrollment'!G67*'4.) Yearly Budget'!$J$17</f>
        <v>0</v>
      </c>
      <c r="G97" s="321">
        <f>$C97*'2.) Enrollment'!I67*'4.) Yearly Budget'!$M$17</f>
        <v>0</v>
      </c>
      <c r="H97" s="321">
        <f>$C97*'2.) Enrollment'!K67*'4.) Yearly Budget'!$P$17</f>
        <v>0</v>
      </c>
      <c r="I97" s="321">
        <f>$C97*'2.) Enrollment'!M67*'4.) Yearly Budget'!$S$17</f>
        <v>0</v>
      </c>
      <c r="J97" s="827">
        <f t="shared" si="3"/>
        <v>0</v>
      </c>
      <c r="K97"/>
      <c r="L97" s="321">
        <f>$C97*'2.) Enrollment'!H67*'4.) Yearly Budget'!$K$17</f>
        <v>0</v>
      </c>
      <c r="M97" s="321">
        <f>$C97*'2.) Enrollment'!J67*'4.) Yearly Budget'!$N$17</f>
        <v>0</v>
      </c>
      <c r="N97" s="321">
        <f>$C97*'2.) Enrollment'!L67*'4.) Yearly Budget'!$Q$17</f>
        <v>0</v>
      </c>
      <c r="O97" s="321">
        <f>$C97*'2.) Enrollment'!N67*'4.) Yearly Budget'!$T$17</f>
        <v>0</v>
      </c>
      <c r="P97" s="827">
        <f t="shared" si="4"/>
        <v>0</v>
      </c>
      <c r="Q97"/>
      <c r="R97">
        <f t="shared" si="5"/>
        <v>0</v>
      </c>
      <c r="T97">
        <f>IF(ISBLANK('2.) Enrollment'!H67)=TRUE,'2.) Enrollment'!G67,'2.) Enrollment'!H67)</f>
        <v>0</v>
      </c>
      <c r="U97">
        <f>IF(ISBLANK('2.) Enrollment'!J67)=TRUE,'2.) Enrollment'!I67,'2.) Enrollment'!J67)</f>
        <v>0</v>
      </c>
      <c r="V97">
        <f>IF(ISBLANK('2.) Enrollment'!L67)=TRUE,'2.) Enrollment'!K67,'2.) Enrollment'!L67)</f>
        <v>0</v>
      </c>
      <c r="W97">
        <f>IF(ISBLANK('2.) Enrollment'!N67)=TRUE,'2.) Enrollment'!M67,'2.) Enrollment'!N67)</f>
        <v>0</v>
      </c>
    </row>
    <row r="98" spans="1:34">
      <c r="A98" s="4">
        <v>47</v>
      </c>
      <c r="B98" s="477" t="str">
        <f>IF(OR('2.) Enrollment'!C68=$B$109,ISBLANK('2.) Enrollment'!C68)),"-",'2.) Enrollment'!C68)</f>
        <v>-</v>
      </c>
      <c r="C98" s="233">
        <f>IF(ISNA(MATCH(School,$M$15:$M$27,0)),1,0)*IFERROR(VLOOKUP($B98,'Funding by District'!$D$6:$F$685,3,FALSE),0)</f>
        <v>0</v>
      </c>
      <c r="D98"/>
      <c r="E98">
        <f t="shared" si="2"/>
        <v>0</v>
      </c>
      <c r="F98" s="321">
        <f>$C98*'2.) Enrollment'!G68*'4.) Yearly Budget'!$J$17</f>
        <v>0</v>
      </c>
      <c r="G98" s="321">
        <f>$C98*'2.) Enrollment'!I68*'4.) Yearly Budget'!$M$17</f>
        <v>0</v>
      </c>
      <c r="H98" s="321">
        <f>$C98*'2.) Enrollment'!K68*'4.) Yearly Budget'!$P$17</f>
        <v>0</v>
      </c>
      <c r="I98" s="321">
        <f>$C98*'2.) Enrollment'!M68*'4.) Yearly Budget'!$S$17</f>
        <v>0</v>
      </c>
      <c r="J98" s="827">
        <f t="shared" si="3"/>
        <v>0</v>
      </c>
      <c r="K98"/>
      <c r="L98" s="321">
        <f>$C98*'2.) Enrollment'!H68*'4.) Yearly Budget'!$K$17</f>
        <v>0</v>
      </c>
      <c r="M98" s="321">
        <f>$C98*'2.) Enrollment'!J68*'4.) Yearly Budget'!$N$17</f>
        <v>0</v>
      </c>
      <c r="N98" s="321">
        <f>$C98*'2.) Enrollment'!L68*'4.) Yearly Budget'!$Q$17</f>
        <v>0</v>
      </c>
      <c r="O98" s="321">
        <f>$C98*'2.) Enrollment'!N68*'4.) Yearly Budget'!$T$17</f>
        <v>0</v>
      </c>
      <c r="P98" s="827">
        <f t="shared" si="4"/>
        <v>0</v>
      </c>
      <c r="Q98"/>
      <c r="R98">
        <f t="shared" si="5"/>
        <v>0</v>
      </c>
      <c r="T98">
        <f>IF(ISBLANK('2.) Enrollment'!H68)=TRUE,'2.) Enrollment'!G68,'2.) Enrollment'!H68)</f>
        <v>0</v>
      </c>
      <c r="U98">
        <f>IF(ISBLANK('2.) Enrollment'!J68)=TRUE,'2.) Enrollment'!I68,'2.) Enrollment'!J68)</f>
        <v>0</v>
      </c>
      <c r="V98">
        <f>IF(ISBLANK('2.) Enrollment'!L68)=TRUE,'2.) Enrollment'!K68,'2.) Enrollment'!L68)</f>
        <v>0</v>
      </c>
      <c r="W98">
        <f>IF(ISBLANK('2.) Enrollment'!N68)=TRUE,'2.) Enrollment'!M68,'2.) Enrollment'!N68)</f>
        <v>0</v>
      </c>
    </row>
    <row r="99" spans="1:34">
      <c r="A99" s="4">
        <v>48</v>
      </c>
      <c r="B99" s="477" t="str">
        <f>IF(OR('2.) Enrollment'!C69=$B$109,ISBLANK('2.) Enrollment'!C69)),"-",'2.) Enrollment'!C69)</f>
        <v>-</v>
      </c>
      <c r="C99" s="233">
        <f>IF(ISNA(MATCH(School,$M$15:$M$27,0)),1,0)*IFERROR(VLOOKUP($B99,'Funding by District'!$D$6:$F$685,3,FALSE),0)</f>
        <v>0</v>
      </c>
      <c r="D99"/>
      <c r="E99">
        <f t="shared" si="2"/>
        <v>0</v>
      </c>
      <c r="F99" s="321">
        <f>$C99*'2.) Enrollment'!G69*'4.) Yearly Budget'!$J$17</f>
        <v>0</v>
      </c>
      <c r="G99" s="321">
        <f>$C99*'2.) Enrollment'!I69*'4.) Yearly Budget'!$M$17</f>
        <v>0</v>
      </c>
      <c r="H99" s="321">
        <f>$C99*'2.) Enrollment'!K69*'4.) Yearly Budget'!$P$17</f>
        <v>0</v>
      </c>
      <c r="I99" s="321">
        <f>$C99*'2.) Enrollment'!M69*'4.) Yearly Budget'!$S$17</f>
        <v>0</v>
      </c>
      <c r="J99" s="827">
        <f t="shared" si="3"/>
        <v>0</v>
      </c>
      <c r="K99"/>
      <c r="L99" s="321">
        <f>$C99*'2.) Enrollment'!H69*'4.) Yearly Budget'!$K$17</f>
        <v>0</v>
      </c>
      <c r="M99" s="321">
        <f>$C99*'2.) Enrollment'!J69*'4.) Yearly Budget'!$N$17</f>
        <v>0</v>
      </c>
      <c r="N99" s="321">
        <f>$C99*'2.) Enrollment'!L69*'4.) Yearly Budget'!$Q$17</f>
        <v>0</v>
      </c>
      <c r="O99" s="321">
        <f>$C99*'2.) Enrollment'!N69*'4.) Yearly Budget'!$T$17</f>
        <v>0</v>
      </c>
      <c r="P99" s="827">
        <f t="shared" si="4"/>
        <v>0</v>
      </c>
      <c r="Q99"/>
      <c r="R99">
        <f t="shared" si="5"/>
        <v>0</v>
      </c>
      <c r="T99">
        <f>IF(ISBLANK('2.) Enrollment'!H69)=TRUE,'2.) Enrollment'!G69,'2.) Enrollment'!H69)</f>
        <v>0</v>
      </c>
      <c r="U99">
        <f>IF(ISBLANK('2.) Enrollment'!J69)=TRUE,'2.) Enrollment'!I69,'2.) Enrollment'!J69)</f>
        <v>0</v>
      </c>
      <c r="V99">
        <f>IF(ISBLANK('2.) Enrollment'!L69)=TRUE,'2.) Enrollment'!K69,'2.) Enrollment'!L69)</f>
        <v>0</v>
      </c>
      <c r="W99">
        <f>IF(ISBLANK('2.) Enrollment'!N69)=TRUE,'2.) Enrollment'!M69,'2.) Enrollment'!N69)</f>
        <v>0</v>
      </c>
    </row>
    <row r="100" spans="1:34">
      <c r="A100" s="4">
        <v>49</v>
      </c>
      <c r="B100" s="477" t="str">
        <f>IF(OR('2.) Enrollment'!C70=$B$109,ISBLANK('2.) Enrollment'!C70)),"-",'2.) Enrollment'!C70)</f>
        <v>-</v>
      </c>
      <c r="C100" s="233">
        <f>IF(ISNA(MATCH(School,$M$15:$M$27,0)),1,0)*IFERROR(VLOOKUP($B100,'Funding by District'!$D$6:$F$685,3,FALSE),0)</f>
        <v>0</v>
      </c>
      <c r="D100"/>
      <c r="E100">
        <f t="shared" si="2"/>
        <v>0</v>
      </c>
      <c r="F100" s="321">
        <f>$C100*'2.) Enrollment'!G70*'4.) Yearly Budget'!$J$17</f>
        <v>0</v>
      </c>
      <c r="G100" s="321">
        <f>$C100*'2.) Enrollment'!I70*'4.) Yearly Budget'!$M$17</f>
        <v>0</v>
      </c>
      <c r="H100" s="321">
        <f>$C100*'2.) Enrollment'!K70*'4.) Yearly Budget'!$P$17</f>
        <v>0</v>
      </c>
      <c r="I100" s="321">
        <f>$C100*'2.) Enrollment'!M70*'4.) Yearly Budget'!$S$17</f>
        <v>0</v>
      </c>
      <c r="J100" s="827">
        <f t="shared" si="3"/>
        <v>0</v>
      </c>
      <c r="K100"/>
      <c r="L100" s="321">
        <f>$C100*'2.) Enrollment'!H70*'4.) Yearly Budget'!$K$17</f>
        <v>0</v>
      </c>
      <c r="M100" s="321">
        <f>$C100*'2.) Enrollment'!J70*'4.) Yearly Budget'!$N$17</f>
        <v>0</v>
      </c>
      <c r="N100" s="321">
        <f>$C100*'2.) Enrollment'!L70*'4.) Yearly Budget'!$Q$17</f>
        <v>0</v>
      </c>
      <c r="O100" s="321">
        <f>$C100*'2.) Enrollment'!N70*'4.) Yearly Budget'!$T$17</f>
        <v>0</v>
      </c>
      <c r="P100" s="827">
        <f t="shared" si="4"/>
        <v>0</v>
      </c>
      <c r="Q100"/>
      <c r="R100">
        <f t="shared" si="5"/>
        <v>0</v>
      </c>
      <c r="T100">
        <f>IF(ISBLANK('2.) Enrollment'!H70)=TRUE,'2.) Enrollment'!G70,'2.) Enrollment'!H70)</f>
        <v>0</v>
      </c>
      <c r="U100">
        <f>IF(ISBLANK('2.) Enrollment'!J70)=TRUE,'2.) Enrollment'!I70,'2.) Enrollment'!J70)</f>
        <v>0</v>
      </c>
      <c r="V100">
        <f>IF(ISBLANK('2.) Enrollment'!L70)=TRUE,'2.) Enrollment'!K70,'2.) Enrollment'!L70)</f>
        <v>0</v>
      </c>
      <c r="W100">
        <f>IF(ISBLANK('2.) Enrollment'!N70)=TRUE,'2.) Enrollment'!M70,'2.) Enrollment'!N70)</f>
        <v>0</v>
      </c>
    </row>
    <row r="101" spans="1:34" ht="15.6" thickBot="1">
      <c r="A101" s="4">
        <v>50</v>
      </c>
      <c r="B101" s="477" t="str">
        <f>IF(OR('2.) Enrollment'!C71=$B$109,ISBLANK('2.) Enrollment'!C71)),"-",'2.) Enrollment'!C71)</f>
        <v>-</v>
      </c>
      <c r="C101" s="233">
        <f>IF(ISNA(MATCH(School,$M$15:$M$27,0)),1,0)*IFERROR(VLOOKUP($B101,'Funding by District'!$D$6:$F$685,3,FALSE),0)</f>
        <v>0</v>
      </c>
      <c r="D101"/>
      <c r="E101">
        <f t="shared" si="2"/>
        <v>0</v>
      </c>
      <c r="F101" s="321">
        <f>$C101*'2.) Enrollment'!G71*'4.) Yearly Budget'!$J$17</f>
        <v>0</v>
      </c>
      <c r="G101" s="321">
        <f>$C101*'2.) Enrollment'!I71*'4.) Yearly Budget'!$M$17</f>
        <v>0</v>
      </c>
      <c r="H101" s="321">
        <f>$C101*'2.) Enrollment'!K71*'4.) Yearly Budget'!$P$17</f>
        <v>0</v>
      </c>
      <c r="I101" s="321">
        <f>$C101*'2.) Enrollment'!M71*'4.) Yearly Budget'!$S$17</f>
        <v>0</v>
      </c>
      <c r="J101" s="827">
        <f t="shared" si="3"/>
        <v>0</v>
      </c>
      <c r="L101" s="321">
        <f>$C101*'2.) Enrollment'!H71*'4.) Yearly Budget'!$K$17</f>
        <v>0</v>
      </c>
      <c r="M101" s="321">
        <f>$C101*'2.) Enrollment'!J71*'4.) Yearly Budget'!$N$17</f>
        <v>0</v>
      </c>
      <c r="N101" s="321">
        <f>$C101*'2.) Enrollment'!L71*'4.) Yearly Budget'!$Q$17</f>
        <v>0</v>
      </c>
      <c r="O101" s="321">
        <f>$C101*'2.) Enrollment'!N71*'4.) Yearly Budget'!$T$17</f>
        <v>0</v>
      </c>
      <c r="P101" s="827">
        <f t="shared" si="4"/>
        <v>0</v>
      </c>
      <c r="Q101"/>
      <c r="R101">
        <f t="shared" si="5"/>
        <v>0</v>
      </c>
      <c r="T101">
        <f>IF(ISBLANK('2.) Enrollment'!H71)=TRUE,'2.) Enrollment'!G71,'2.) Enrollment'!H71)</f>
        <v>0</v>
      </c>
      <c r="U101">
        <f>IF(ISBLANK('2.) Enrollment'!J71)=TRUE,'2.) Enrollment'!I71,'2.) Enrollment'!J71)</f>
        <v>0</v>
      </c>
      <c r="V101">
        <f>IF(ISBLANK('2.) Enrollment'!L71)=TRUE,'2.) Enrollment'!K71,'2.) Enrollment'!L71)</f>
        <v>0</v>
      </c>
      <c r="W101">
        <f>IF(ISBLANK('2.) Enrollment'!N71)=TRUE,'2.) Enrollment'!M71,'2.) Enrollment'!N71)</f>
        <v>0</v>
      </c>
    </row>
    <row r="102" spans="1:34" s="42" customFormat="1">
      <c r="A102" s="41"/>
      <c r="B102" s="44" t="s">
        <v>294</v>
      </c>
      <c r="C102" s="43">
        <f>SUM(C67:C101)</f>
        <v>0</v>
      </c>
      <c r="D102"/>
      <c r="E102"/>
      <c r="F102"/>
      <c r="G102"/>
      <c r="H102" s="328" t="s">
        <v>299</v>
      </c>
      <c r="I102" s="329" t="s">
        <v>144</v>
      </c>
      <c r="J102" s="330" t="s">
        <v>302</v>
      </c>
      <c r="K102" s="1112" t="s">
        <v>300</v>
      </c>
      <c r="L102"/>
      <c r="M102"/>
      <c r="N102" s="321"/>
      <c r="O102" s="321"/>
      <c r="P102"/>
      <c r="Q102"/>
      <c r="R102"/>
      <c r="S102"/>
      <c r="T102"/>
      <c r="U102"/>
      <c r="V102"/>
      <c r="W102"/>
      <c r="X102"/>
      <c r="Y102"/>
      <c r="Z102"/>
      <c r="AA102"/>
      <c r="AB102"/>
      <c r="AC102"/>
      <c r="AD102"/>
      <c r="AE102"/>
      <c r="AF102"/>
      <c r="AG102"/>
      <c r="AH102"/>
    </row>
    <row r="103" spans="1:34" s="42" customFormat="1">
      <c r="A103" s="41"/>
      <c r="B103" s="44" t="s">
        <v>150</v>
      </c>
      <c r="C103" s="323">
        <f>IFERROR(SUMPRODUCT(C52:C101,L52:L101)/SUM(L52:L101),0)</f>
        <v>0</v>
      </c>
      <c r="D103"/>
      <c r="E103" s="338"/>
      <c r="F103"/>
      <c r="G103" s="322" t="s">
        <v>196</v>
      </c>
      <c r="H103" s="331">
        <f>IF('4.) Yearly Budget'!K18&lt;&gt;0,'4.) Yearly Budget'!K33,'4.) Yearly Budget'!J33)</f>
        <v>0</v>
      </c>
      <c r="I103" s="332">
        <f>IF('4.) Yearly Budget'!K163&lt;&gt;0,'4.) Yearly Budget'!K178,'4.) Yearly Budget'!J178)</f>
        <v>0</v>
      </c>
      <c r="J103" s="339" t="b">
        <f>OR(AND(H103&lt;&gt;0,I103&lt;&gt;0),AND(H103=0,I103=0))</f>
        <v>1</v>
      </c>
      <c r="K103" s="1113"/>
      <c r="L103"/>
      <c r="M103"/>
      <c r="N103" s="321"/>
      <c r="O103" s="321"/>
      <c r="P103"/>
      <c r="Q103"/>
      <c r="R103">
        <f>SUM(R52:R102)</f>
        <v>0</v>
      </c>
      <c r="S103"/>
      <c r="T103"/>
      <c r="U103"/>
      <c r="V103"/>
      <c r="W103"/>
      <c r="X103"/>
      <c r="Y103"/>
      <c r="Z103"/>
      <c r="AA103"/>
      <c r="AB103"/>
      <c r="AC103"/>
      <c r="AD103"/>
      <c r="AE103"/>
      <c r="AF103"/>
      <c r="AG103"/>
      <c r="AH103"/>
    </row>
    <row r="104" spans="1:34">
      <c r="B104" s="17" t="s">
        <v>295</v>
      </c>
      <c r="C104" s="324">
        <f>COUNTIF(E67:E101,"&lt;&gt;0")</f>
        <v>0</v>
      </c>
      <c r="D104"/>
      <c r="E104" s="17" t="s">
        <v>297</v>
      </c>
      <c r="F104" s="325"/>
      <c r="G104" s="322" t="s">
        <v>197</v>
      </c>
      <c r="H104" s="331">
        <f>IF('4.) Yearly Budget'!N18&lt;&gt;0,'4.) Yearly Budget'!N33,'4.) Yearly Budget'!M33)</f>
        <v>0</v>
      </c>
      <c r="I104" s="332">
        <f>IF('4.) Yearly Budget'!N163&lt;&gt;0,'4.) Yearly Budget'!N178,'4.) Yearly Budget'!M178)</f>
        <v>0</v>
      </c>
      <c r="J104" s="339" t="b">
        <f>OR(AND(H104&lt;&gt;0,I104&lt;&gt;0),AND(H104=0,I104=0))</f>
        <v>1</v>
      </c>
      <c r="K104" s="1113"/>
      <c r="L104"/>
      <c r="M104"/>
      <c r="N104" s="321"/>
      <c r="O104" s="321"/>
      <c r="P104"/>
      <c r="Q104"/>
    </row>
    <row r="105" spans="1:34">
      <c r="B105" s="17" t="s">
        <v>296</v>
      </c>
      <c r="C105" s="324">
        <f>SUM(IF('4.) Yearly Budget'!K$179&lt;&gt;0,'4.) Yearly Budget'!K178,'4.) Yearly Budget'!J178)+IF('4.) Yearly Budget'!N$179&lt;&gt;0,'4.) Yearly Budget'!N178,'4.) Yearly Budget'!M178)+IF('4.) Yearly Budget'!Q$179&lt;&gt;0,'4.) Yearly Budget'!Q178,'4.) Yearly Budget'!P178)+IF('4.) Yearly Budget'!T$179&lt;&gt;0,'4.) Yearly Budget'!T178,'4.) Yearly Budget'!S178))/4</f>
        <v>0</v>
      </c>
      <c r="E105" s="21" t="s">
        <v>298</v>
      </c>
      <c r="F105" s="326">
        <f>IFERROR(SUMPRODUCT(C67:C101,E67:E101)/SUM(E67:E101),0)</f>
        <v>0</v>
      </c>
      <c r="G105" s="322" t="s">
        <v>198</v>
      </c>
      <c r="H105" s="331">
        <f>IF('4.) Yearly Budget'!Q18&lt;&gt;0,'4.) Yearly Budget'!Q33,'4.) Yearly Budget'!P33)</f>
        <v>0</v>
      </c>
      <c r="I105" s="332">
        <f>IF('4.) Yearly Budget'!Q163&lt;&gt;0,'4.) Yearly Budget'!Q178,'4.) Yearly Budget'!P178)</f>
        <v>0</v>
      </c>
      <c r="J105" s="339" t="b">
        <f>OR(AND(H105&lt;&gt;0,I105&lt;&gt;0),AND(H105=0,I105=0))</f>
        <v>1</v>
      </c>
      <c r="K105" s="1113"/>
      <c r="L105"/>
      <c r="M105"/>
      <c r="N105" s="321"/>
      <c r="O105" s="321"/>
      <c r="P105"/>
      <c r="Q105"/>
    </row>
    <row r="106" spans="1:34">
      <c r="E106" s="628"/>
      <c r="F106" s="326">
        <f>IFERROR(SUMPRODUCT(C52:C101,E52:E101)/SUM(E52:E101),0)</f>
        <v>0</v>
      </c>
      <c r="G106" s="322" t="s">
        <v>199</v>
      </c>
      <c r="H106" s="333">
        <f>IF('4.) Yearly Budget'!T18&lt;&gt;0,'4.) Yearly Budget'!T33,'4.) Yearly Budget'!S33)</f>
        <v>0</v>
      </c>
      <c r="I106" s="334">
        <f>IF('4.) Yearly Budget'!T163&lt;&gt;0,'4.) Yearly Budget'!T178,'4.) Yearly Budget'!S178)</f>
        <v>0</v>
      </c>
      <c r="J106" s="339" t="b">
        <f>OR(AND(H106&lt;&gt;0,I106&lt;&gt;0),AND(H106=0,I106=0))</f>
        <v>1</v>
      </c>
      <c r="K106" s="1113"/>
      <c r="L106"/>
      <c r="M106"/>
      <c r="N106" s="321"/>
      <c r="O106" s="321"/>
      <c r="P106"/>
      <c r="Q106"/>
    </row>
    <row r="107" spans="1:34" ht="15.6" thickBot="1">
      <c r="A107" s="35" t="s">
        <v>172</v>
      </c>
      <c r="G107" s="327" t="s">
        <v>301</v>
      </c>
      <c r="H107" s="335">
        <f>SUM(H103:H106)</f>
        <v>0</v>
      </c>
      <c r="I107" s="336">
        <f>SUM(I103:I106)/4</f>
        <v>0</v>
      </c>
      <c r="J107" s="337">
        <f>COUNTIF(J103:J106,"TRUE")</f>
        <v>4</v>
      </c>
      <c r="K107" s="1114"/>
      <c r="L107"/>
      <c r="N107" s="321"/>
      <c r="O107" s="321"/>
      <c r="P107"/>
      <c r="Q107"/>
    </row>
    <row r="108" spans="1:34" ht="15.6" thickBot="1">
      <c r="A108" s="35"/>
      <c r="B108" s="203" t="s">
        <v>170</v>
      </c>
      <c r="C108" s="205" t="s">
        <v>171</v>
      </c>
      <c r="F108" s="226" t="s">
        <v>175</v>
      </c>
      <c r="G108" s="227"/>
      <c r="H108" s="227"/>
      <c r="I108" s="227"/>
      <c r="J108" s="228"/>
      <c r="N108" s="321"/>
      <c r="O108" s="321"/>
    </row>
    <row r="109" spans="1:34">
      <c r="B109" s="215" t="s">
        <v>1178</v>
      </c>
      <c r="C109" s="216"/>
      <c r="D109" s="4" t="s">
        <v>176</v>
      </c>
      <c r="F109" s="208" t="s">
        <v>173</v>
      </c>
      <c r="G109" s="209"/>
      <c r="H109" s="209"/>
      <c r="I109" s="22"/>
      <c r="J109" s="210"/>
      <c r="N109" s="321"/>
      <c r="O109" s="321"/>
    </row>
    <row r="110" spans="1:34" ht="15.6" thickBot="1">
      <c r="B110" s="204" t="str">
        <f t="array" ref="B110:B789" ca="1">IF(ROW('Funding by District'!$D$6:$D$685)-ROW($D$6)+1&gt;COUNT(C110:C789),"",
    INDEX('Funding by District'!$D:$D,SMALL(C110:C789,ROW(INDIRECT("1:"&amp;ROWS('Funding by District'!$D$6:$D$685))))))</f>
        <v>ADDISON CSD</v>
      </c>
      <c r="C110" s="206">
        <f>IF(COUNTIF(CONTROL!$B$52:$B$101,'Funding by District'!D6)&gt;=1,"",ROW()-104)</f>
        <v>6</v>
      </c>
      <c r="D110" s="4" t="s">
        <v>178</v>
      </c>
      <c r="F110" s="211" t="s">
        <v>174</v>
      </c>
      <c r="G110" s="212"/>
      <c r="H110" s="212"/>
      <c r="I110" s="213"/>
      <c r="J110" s="214"/>
      <c r="N110" s="321"/>
      <c r="O110" s="321"/>
    </row>
    <row r="111" spans="1:34">
      <c r="B111" s="204" t="str">
        <f ca="1"/>
        <v>ADIRONDACK CSD</v>
      </c>
      <c r="C111" s="206">
        <f>IF(COUNTIF(CONTROL!$B$52:$B$101,'Funding by District'!D7)&gt;=1,"",ROW()-104)</f>
        <v>7</v>
      </c>
      <c r="D111" s="4" t="s">
        <v>177</v>
      </c>
      <c r="F111" s="217" t="s">
        <v>179</v>
      </c>
      <c r="G111" s="218"/>
      <c r="H111" s="207"/>
      <c r="I111" s="207"/>
      <c r="J111" s="219"/>
      <c r="N111" s="321"/>
      <c r="O111" s="321"/>
    </row>
    <row r="112" spans="1:34">
      <c r="B112" s="204" t="str">
        <f ca="1"/>
        <v>AFTON CSD</v>
      </c>
      <c r="C112" s="206">
        <f>IF(COUNTIF(CONTROL!$B$52:$B$101,'Funding by District'!D8)&gt;=1,"",ROW()-104)</f>
        <v>8</v>
      </c>
      <c r="D112" s="4" t="s">
        <v>180</v>
      </c>
      <c r="F112" s="220" t="s">
        <v>181</v>
      </c>
      <c r="G112" s="209"/>
      <c r="H112" s="22"/>
      <c r="I112" s="22"/>
      <c r="J112" s="221"/>
      <c r="N112" s="321"/>
      <c r="O112" s="321"/>
    </row>
    <row r="113" spans="2:15">
      <c r="B113" s="204" t="str">
        <f ca="1"/>
        <v>AKRON CSD</v>
      </c>
      <c r="C113" s="206">
        <f>IF(COUNTIF(CONTROL!$B$52:$B$101,'Funding by District'!D9)&gt;=1,"",ROW()-104)</f>
        <v>9</v>
      </c>
      <c r="F113" s="220" t="s">
        <v>183</v>
      </c>
      <c r="G113" s="209"/>
      <c r="H113" s="22"/>
      <c r="I113" s="22"/>
      <c r="J113" s="221"/>
      <c r="N113" s="321"/>
      <c r="O113" s="321"/>
    </row>
    <row r="114" spans="2:15" ht="16.8">
      <c r="B114" s="204" t="str">
        <f ca="1"/>
        <v>ALBANY CITY SD</v>
      </c>
      <c r="C114" s="206">
        <f>IF(COUNTIF(CONTROL!$B$52:$B$101,'Funding by District'!D10)&gt;=1,"",ROW()-104)</f>
        <v>10</v>
      </c>
      <c r="F114" s="220" t="s">
        <v>184</v>
      </c>
      <c r="G114" s="209"/>
      <c r="H114" s="22"/>
      <c r="I114" s="22"/>
      <c r="J114" s="221"/>
      <c r="K114" s="224"/>
      <c r="N114" s="321"/>
      <c r="O114" s="321"/>
    </row>
    <row r="115" spans="2:15">
      <c r="B115" s="204" t="str">
        <f ca="1"/>
        <v>ALBION CSD</v>
      </c>
      <c r="C115" s="206">
        <f>IF(COUNTIF(CONTROL!$B$52:$B$101,'Funding by District'!D11)&gt;=1,"",ROW()-104)</f>
        <v>11</v>
      </c>
      <c r="F115" s="220" t="s">
        <v>182</v>
      </c>
      <c r="G115" s="209"/>
      <c r="H115" s="22"/>
      <c r="I115" s="22"/>
      <c r="J115" s="221"/>
      <c r="K115" s="225"/>
      <c r="N115" s="321"/>
      <c r="O115" s="321"/>
    </row>
    <row r="116" spans="2:15" ht="15.6" thickBot="1">
      <c r="B116" s="204" t="str">
        <f ca="1"/>
        <v>ALDEN CSD</v>
      </c>
      <c r="C116" s="206">
        <f>IF(COUNTIF(CONTROL!$B$52:$B$101,'Funding by District'!D12)&gt;=1,"",ROW()-104)</f>
        <v>12</v>
      </c>
      <c r="D116" s="4" t="s">
        <v>180</v>
      </c>
      <c r="F116" s="222" t="s">
        <v>187</v>
      </c>
      <c r="G116" s="232" t="s">
        <v>186</v>
      </c>
      <c r="H116" s="213"/>
      <c r="I116" s="213"/>
      <c r="J116" s="223"/>
      <c r="K116" s="225"/>
      <c r="N116" s="321"/>
      <c r="O116" s="321"/>
    </row>
    <row r="117" spans="2:15">
      <c r="B117" s="204" t="str">
        <f ca="1"/>
        <v>ALEXANDER CSD</v>
      </c>
      <c r="C117" s="206">
        <f>IF(COUNTIF(CONTROL!$B$52:$B$101,'Funding by District'!D13)&gt;=1,"",ROW()-104)</f>
        <v>13</v>
      </c>
      <c r="F117" s="48"/>
      <c r="G117" s="48"/>
      <c r="N117" s="321"/>
      <c r="O117" s="321"/>
    </row>
    <row r="118" spans="2:15">
      <c r="B118" s="204" t="str">
        <f ca="1"/>
        <v>ALEXANDRIA CSD</v>
      </c>
      <c r="C118" s="206">
        <f>IF(COUNTIF(CONTROL!$B$52:$B$101,'Funding by District'!D14)&gt;=1,"",ROW()-104)</f>
        <v>14</v>
      </c>
      <c r="F118" s="48"/>
      <c r="G118" s="48"/>
      <c r="N118" s="321"/>
      <c r="O118" s="321"/>
    </row>
    <row r="119" spans="2:15">
      <c r="B119" s="204" t="str">
        <f ca="1"/>
        <v>ALFRED-ALMOND CSD</v>
      </c>
      <c r="C119" s="206">
        <f>IF(COUNTIF(CONTROL!$B$52:$B$101,'Funding by District'!D15)&gt;=1,"",ROW()-104)</f>
        <v>15</v>
      </c>
      <c r="F119" s="48"/>
      <c r="G119" s="48"/>
      <c r="N119" s="321"/>
      <c r="O119" s="321"/>
    </row>
    <row r="120" spans="2:15">
      <c r="B120" s="204" t="str">
        <f ca="1"/>
        <v>ALLEGANY-LIMESTONE CSD</v>
      </c>
      <c r="C120" s="206">
        <f>IF(COUNTIF(CONTROL!$B$52:$B$101,'Funding by District'!D16)&gt;=1,"",ROW()-104)</f>
        <v>16</v>
      </c>
      <c r="F120" s="48"/>
      <c r="G120" s="48"/>
      <c r="N120" s="321"/>
      <c r="O120" s="321"/>
    </row>
    <row r="121" spans="2:15">
      <c r="B121" s="204" t="str">
        <f ca="1"/>
        <v>ALTMAR-PARISH-WILLIAMSTOWN CSD</v>
      </c>
      <c r="C121" s="206">
        <f>IF(COUNTIF(CONTROL!$B$52:$B$101,'Funding by District'!D17)&gt;=1,"",ROW()-104)</f>
        <v>17</v>
      </c>
      <c r="F121" s="48"/>
      <c r="G121" s="48"/>
      <c r="N121" s="321"/>
      <c r="O121" s="321"/>
    </row>
    <row r="122" spans="2:15">
      <c r="B122" s="204" t="str">
        <f ca="1"/>
        <v>AMAGANSETT UFSD</v>
      </c>
      <c r="C122" s="206">
        <f>IF(COUNTIF(CONTROL!$B$52:$B$101,'Funding by District'!D18)&gt;=1,"",ROW()-104)</f>
        <v>18</v>
      </c>
      <c r="F122" s="48"/>
      <c r="G122" s="48"/>
      <c r="N122" s="321"/>
      <c r="O122" s="321"/>
    </row>
    <row r="123" spans="2:15">
      <c r="B123" s="204" t="str">
        <f ca="1"/>
        <v>AMHERST CSD</v>
      </c>
      <c r="C123" s="206">
        <f>IF(COUNTIF(CONTROL!$B$52:$B$101,'Funding by District'!D19)&gt;=1,"",ROW()-104)</f>
        <v>19</v>
      </c>
      <c r="F123" s="48"/>
      <c r="G123" s="48"/>
      <c r="N123" s="321"/>
      <c r="O123" s="321"/>
    </row>
    <row r="124" spans="2:15">
      <c r="B124" s="204" t="str">
        <f ca="1"/>
        <v>AMITYVILLE UFSD</v>
      </c>
      <c r="C124" s="206">
        <f>IF(COUNTIF(CONTROL!$B$52:$B$101,'Funding by District'!D20)&gt;=1,"",ROW()-104)</f>
        <v>20</v>
      </c>
      <c r="F124" s="48"/>
      <c r="G124" s="48"/>
      <c r="N124" s="321"/>
      <c r="O124" s="321"/>
    </row>
    <row r="125" spans="2:15">
      <c r="B125" s="204" t="str">
        <f ca="1"/>
        <v>AMSTERDAM CITY SD</v>
      </c>
      <c r="C125" s="206">
        <f>IF(COUNTIF(CONTROL!$B$52:$B$101,'Funding by District'!D21)&gt;=1,"",ROW()-104)</f>
        <v>21</v>
      </c>
      <c r="F125" s="48"/>
      <c r="G125" s="48"/>
      <c r="N125" s="321"/>
      <c r="O125" s="321"/>
    </row>
    <row r="126" spans="2:15">
      <c r="B126" s="204" t="str">
        <f ca="1"/>
        <v>ANDES CSD</v>
      </c>
      <c r="C126" s="206">
        <f>IF(COUNTIF(CONTROL!$B$52:$B$101,'Funding by District'!D22)&gt;=1,"",ROW()-104)</f>
        <v>22</v>
      </c>
      <c r="F126" s="48"/>
      <c r="G126" s="48"/>
      <c r="N126" s="321"/>
      <c r="O126" s="321"/>
    </row>
    <row r="127" spans="2:15">
      <c r="B127" s="204" t="str">
        <f ca="1"/>
        <v>ANDOVER CSD</v>
      </c>
      <c r="C127" s="206">
        <f>IF(COUNTIF(CONTROL!$B$52:$B$101,'Funding by District'!D23)&gt;=1,"",ROW()-104)</f>
        <v>23</v>
      </c>
      <c r="F127" s="48"/>
      <c r="G127" s="48"/>
      <c r="N127" s="321"/>
      <c r="O127" s="321"/>
    </row>
    <row r="128" spans="2:15">
      <c r="B128" s="204" t="str">
        <f ca="1"/>
        <v>ARDSLEY UFSD</v>
      </c>
      <c r="C128" s="206">
        <f>IF(COUNTIF(CONTROL!$B$52:$B$101,'Funding by District'!D24)&gt;=1,"",ROW()-104)</f>
        <v>24</v>
      </c>
      <c r="F128" s="48"/>
      <c r="G128" s="48"/>
      <c r="N128" s="321"/>
      <c r="O128" s="321"/>
    </row>
    <row r="129" spans="2:15">
      <c r="B129" s="204" t="str">
        <f ca="1"/>
        <v>ARGYLE CSD</v>
      </c>
      <c r="C129" s="206">
        <f>IF(COUNTIF(CONTROL!$B$52:$B$101,'Funding by District'!D25)&gt;=1,"",ROW()-104)</f>
        <v>25</v>
      </c>
      <c r="F129" s="48"/>
      <c r="G129" s="48"/>
      <c r="N129" s="321"/>
      <c r="O129" s="321"/>
    </row>
    <row r="130" spans="2:15">
      <c r="B130" s="204" t="str">
        <f ca="1"/>
        <v>ARKPORT CSD</v>
      </c>
      <c r="C130" s="206">
        <f>IF(COUNTIF(CONTROL!$B$52:$B$101,'Funding by District'!D26)&gt;=1,"",ROW()-104)</f>
        <v>26</v>
      </c>
      <c r="F130" s="48"/>
      <c r="G130" s="48"/>
      <c r="N130" s="321"/>
      <c r="O130" s="321"/>
    </row>
    <row r="131" spans="2:15">
      <c r="B131" s="204" t="str">
        <f ca="1"/>
        <v>ARLINGTON CSD</v>
      </c>
      <c r="C131" s="206">
        <f>IF(COUNTIF(CONTROL!$B$52:$B$101,'Funding by District'!D27)&gt;=1,"",ROW()-104)</f>
        <v>27</v>
      </c>
      <c r="F131" s="48"/>
      <c r="G131" s="48"/>
      <c r="N131" s="321"/>
      <c r="O131" s="321"/>
    </row>
    <row r="132" spans="2:15">
      <c r="B132" s="204" t="str">
        <f ca="1"/>
        <v>ATTICA CSD</v>
      </c>
      <c r="C132" s="206">
        <f>IF(COUNTIF(CONTROL!$B$52:$B$101,'Funding by District'!D28)&gt;=1,"",ROW()-104)</f>
        <v>28</v>
      </c>
      <c r="F132" s="48"/>
      <c r="G132" s="48"/>
      <c r="N132" s="321"/>
      <c r="O132" s="321"/>
    </row>
    <row r="133" spans="2:15">
      <c r="B133" s="204" t="str">
        <f ca="1"/>
        <v>AUBURN CITY SD</v>
      </c>
      <c r="C133" s="206">
        <f>IF(COUNTIF(CONTROL!$B$52:$B$101,'Funding by District'!D29)&gt;=1,"",ROW()-104)</f>
        <v>29</v>
      </c>
      <c r="F133" s="48"/>
      <c r="G133" s="48"/>
      <c r="N133" s="321"/>
      <c r="O133" s="321"/>
    </row>
    <row r="134" spans="2:15">
      <c r="B134" s="204" t="str">
        <f ca="1"/>
        <v>AUSABLE VALLEY CSD</v>
      </c>
      <c r="C134" s="206">
        <f>IF(COUNTIF(CONTROL!$B$52:$B$101,'Funding by District'!D30)&gt;=1,"",ROW()-104)</f>
        <v>30</v>
      </c>
      <c r="F134" s="48"/>
      <c r="G134" s="48"/>
      <c r="N134" s="321"/>
      <c r="O134" s="321"/>
    </row>
    <row r="135" spans="2:15">
      <c r="B135" s="204" t="str">
        <f ca="1"/>
        <v>AVERILL PARK CSD</v>
      </c>
      <c r="C135" s="206">
        <f>IF(COUNTIF(CONTROL!$B$52:$B$101,'Funding by District'!D31)&gt;=1,"",ROW()-104)</f>
        <v>31</v>
      </c>
      <c r="F135" s="48"/>
      <c r="G135" s="48"/>
      <c r="N135" s="321"/>
      <c r="O135" s="321"/>
    </row>
    <row r="136" spans="2:15">
      <c r="B136" s="204" t="str">
        <f ca="1"/>
        <v>AVOCA CSD</v>
      </c>
      <c r="C136" s="206">
        <f>IF(COUNTIF(CONTROL!$B$52:$B$101,'Funding by District'!D32)&gt;=1,"",ROW()-104)</f>
        <v>32</v>
      </c>
      <c r="F136" s="48"/>
      <c r="G136" s="48"/>
      <c r="N136" s="321"/>
      <c r="O136" s="321"/>
    </row>
    <row r="137" spans="2:15">
      <c r="B137" s="204" t="str">
        <f ca="1"/>
        <v>AVON CSD</v>
      </c>
      <c r="C137" s="206">
        <f>IF(COUNTIF(CONTROL!$B$52:$B$101,'Funding by District'!D33)&gt;=1,"",ROW()-104)</f>
        <v>33</v>
      </c>
      <c r="F137" s="48"/>
      <c r="G137" s="48"/>
      <c r="N137" s="321"/>
      <c r="O137" s="321"/>
    </row>
    <row r="138" spans="2:15">
      <c r="B138" s="204" t="str">
        <f ca="1"/>
        <v>BABYLON UFSD</v>
      </c>
      <c r="C138" s="206">
        <f>IF(COUNTIF(CONTROL!$B$52:$B$101,'Funding by District'!D34)&gt;=1,"",ROW()-104)</f>
        <v>34</v>
      </c>
      <c r="F138" s="48"/>
      <c r="G138" s="48"/>
      <c r="N138" s="321"/>
      <c r="O138" s="321"/>
    </row>
    <row r="139" spans="2:15">
      <c r="B139" s="204" t="str">
        <f ca="1"/>
        <v>BAINBRIDGE-GUILFORD CSD</v>
      </c>
      <c r="C139" s="206">
        <f>IF(COUNTIF(CONTROL!$B$52:$B$101,'Funding by District'!D35)&gt;=1,"",ROW()-104)</f>
        <v>35</v>
      </c>
      <c r="F139" s="48"/>
      <c r="G139" s="48"/>
      <c r="N139" s="321"/>
      <c r="O139" s="321"/>
    </row>
    <row r="140" spans="2:15">
      <c r="B140" s="204" t="str">
        <f ca="1"/>
        <v>BALDWIN UFSD</v>
      </c>
      <c r="C140" s="206">
        <f>IF(COUNTIF(CONTROL!$B$52:$B$101,'Funding by District'!D36)&gt;=1,"",ROW()-104)</f>
        <v>36</v>
      </c>
      <c r="F140" s="48"/>
      <c r="G140" s="48"/>
      <c r="N140" s="321"/>
      <c r="O140" s="321"/>
    </row>
    <row r="141" spans="2:15">
      <c r="B141" s="204" t="str">
        <f ca="1"/>
        <v>BALDWINSVILLE CSD</v>
      </c>
      <c r="C141" s="206">
        <f>IF(COUNTIF(CONTROL!$B$52:$B$101,'Funding by District'!D37)&gt;=1,"",ROW()-104)</f>
        <v>37</v>
      </c>
      <c r="F141" s="48"/>
      <c r="G141" s="48"/>
      <c r="N141" s="321"/>
      <c r="O141" s="321"/>
    </row>
    <row r="142" spans="2:15">
      <c r="B142" s="204" t="str">
        <f ca="1"/>
        <v>BALLSTON SPA CSD</v>
      </c>
      <c r="C142" s="206">
        <f>IF(COUNTIF(CONTROL!$B$52:$B$101,'Funding by District'!D38)&gt;=1,"",ROW()-104)</f>
        <v>38</v>
      </c>
      <c r="F142" s="48"/>
      <c r="G142" s="48"/>
      <c r="N142" s="321"/>
      <c r="O142" s="321"/>
    </row>
    <row r="143" spans="2:15">
      <c r="B143" s="204" t="str">
        <f ca="1"/>
        <v>BARKER CSD</v>
      </c>
      <c r="C143" s="206">
        <f>IF(COUNTIF(CONTROL!$B$52:$B$101,'Funding by District'!D39)&gt;=1,"",ROW()-104)</f>
        <v>39</v>
      </c>
      <c r="F143" s="48"/>
      <c r="G143" s="48"/>
      <c r="N143" s="321"/>
      <c r="O143" s="321"/>
    </row>
    <row r="144" spans="2:15">
      <c r="B144" s="204" t="str">
        <f ca="1"/>
        <v>BATAVIA CITY SD</v>
      </c>
      <c r="C144" s="206">
        <f>IF(COUNTIF(CONTROL!$B$52:$B$101,'Funding by District'!D40)&gt;=1,"",ROW()-104)</f>
        <v>40</v>
      </c>
      <c r="F144" s="48"/>
      <c r="G144" s="48"/>
      <c r="N144" s="321"/>
      <c r="O144" s="321"/>
    </row>
    <row r="145" spans="2:15">
      <c r="B145" s="204" t="str">
        <f ca="1"/>
        <v>BATH CSD</v>
      </c>
      <c r="C145" s="206">
        <f>IF(COUNTIF(CONTROL!$B$52:$B$101,'Funding by District'!D41)&gt;=1,"",ROW()-104)</f>
        <v>41</v>
      </c>
      <c r="F145" s="48"/>
      <c r="G145" s="48"/>
      <c r="N145" s="321"/>
      <c r="O145" s="321"/>
    </row>
    <row r="146" spans="2:15">
      <c r="B146" s="204" t="str">
        <f ca="1"/>
        <v>BAY SHORE UFSD</v>
      </c>
      <c r="C146" s="206">
        <f>IF(COUNTIF(CONTROL!$B$52:$B$101,'Funding by District'!D42)&gt;=1,"",ROW()-104)</f>
        <v>42</v>
      </c>
      <c r="F146" s="48"/>
      <c r="G146" s="48"/>
      <c r="N146" s="321"/>
      <c r="O146" s="321"/>
    </row>
    <row r="147" spans="2:15">
      <c r="B147" s="204" t="str">
        <f ca="1"/>
        <v>BAYPORT-BLUE POINT UFSD</v>
      </c>
      <c r="C147" s="206">
        <f>IF(COUNTIF(CONTROL!$B$52:$B$101,'Funding by District'!D43)&gt;=1,"",ROW()-104)</f>
        <v>43</v>
      </c>
      <c r="F147" s="48"/>
      <c r="G147" s="48"/>
      <c r="N147" s="321"/>
      <c r="O147" s="321"/>
    </row>
    <row r="148" spans="2:15">
      <c r="B148" s="204" t="str">
        <f ca="1"/>
        <v>BEACON CITY SD</v>
      </c>
      <c r="C148" s="206">
        <f>IF(COUNTIF(CONTROL!$B$52:$B$101,'Funding by District'!D44)&gt;=1,"",ROW()-104)</f>
        <v>44</v>
      </c>
      <c r="F148" s="48"/>
      <c r="G148" s="48"/>
      <c r="N148" s="321"/>
      <c r="O148" s="321"/>
    </row>
    <row r="149" spans="2:15">
      <c r="B149" s="204" t="str">
        <f ca="1"/>
        <v>BEAVER RIVER CSD</v>
      </c>
      <c r="C149" s="206">
        <f>IF(COUNTIF(CONTROL!$B$52:$B$101,'Funding by District'!D45)&gt;=1,"",ROW()-104)</f>
        <v>45</v>
      </c>
      <c r="F149" s="48"/>
      <c r="G149" s="48"/>
      <c r="N149" s="321"/>
      <c r="O149" s="321"/>
    </row>
    <row r="150" spans="2:15">
      <c r="B150" s="204" t="str">
        <f ca="1"/>
        <v>BEDFORD CSD</v>
      </c>
      <c r="C150" s="206">
        <f>IF(COUNTIF(CONTROL!$B$52:$B$101,'Funding by District'!D46)&gt;=1,"",ROW()-104)</f>
        <v>46</v>
      </c>
      <c r="F150" s="48"/>
      <c r="G150" s="48"/>
      <c r="N150" s="321"/>
      <c r="O150" s="321"/>
    </row>
    <row r="151" spans="2:15">
      <c r="B151" s="204" t="str">
        <f ca="1"/>
        <v>BEEKMANTOWN CSD</v>
      </c>
      <c r="C151" s="206">
        <f>IF(COUNTIF(CONTROL!$B$52:$B$101,'Funding by District'!D47)&gt;=1,"",ROW()-104)</f>
        <v>47</v>
      </c>
      <c r="F151" s="48"/>
      <c r="G151" s="48"/>
      <c r="N151" s="321"/>
      <c r="O151" s="321"/>
    </row>
    <row r="152" spans="2:15">
      <c r="B152" s="204" t="str">
        <f ca="1"/>
        <v>BELFAST CSD</v>
      </c>
      <c r="C152" s="206">
        <f>IF(COUNTIF(CONTROL!$B$52:$B$101,'Funding by District'!D48)&gt;=1,"",ROW()-104)</f>
        <v>48</v>
      </c>
      <c r="F152" s="48"/>
      <c r="G152" s="48"/>
      <c r="N152" s="321"/>
      <c r="O152" s="321"/>
    </row>
    <row r="153" spans="2:15">
      <c r="B153" s="204" t="str">
        <f ca="1"/>
        <v>BELLEVILLE HENDERSON CSD</v>
      </c>
      <c r="C153" s="206">
        <f>IF(COUNTIF(CONTROL!$B$52:$B$101,'Funding by District'!D49)&gt;=1,"",ROW()-104)</f>
        <v>49</v>
      </c>
      <c r="F153" s="48"/>
      <c r="G153" s="48"/>
      <c r="N153" s="321"/>
      <c r="O153" s="321"/>
    </row>
    <row r="154" spans="2:15">
      <c r="B154" s="204" t="str">
        <f ca="1"/>
        <v>BELLMORE UFSD</v>
      </c>
      <c r="C154" s="206">
        <f>IF(COUNTIF(CONTROL!$B$52:$B$101,'Funding by District'!D50)&gt;=1,"",ROW()-104)</f>
        <v>50</v>
      </c>
      <c r="F154" s="48"/>
      <c r="G154" s="48"/>
      <c r="N154" s="321"/>
      <c r="O154" s="321"/>
    </row>
    <row r="155" spans="2:15">
      <c r="B155" s="204" t="str">
        <f ca="1"/>
        <v>BELLMORE-MERRICK CENTRAL HS DISTRICT</v>
      </c>
      <c r="C155" s="206">
        <f>IF(COUNTIF(CONTROL!$B$52:$B$101,'Funding by District'!D51)&gt;=1,"",ROW()-104)</f>
        <v>51</v>
      </c>
      <c r="F155" s="48"/>
      <c r="G155" s="48"/>
      <c r="N155" s="321"/>
      <c r="O155" s="321"/>
    </row>
    <row r="156" spans="2:15">
      <c r="B156" s="204" t="str">
        <f ca="1"/>
        <v>BEMUS POINT CSD</v>
      </c>
      <c r="C156" s="206">
        <f>IF(COUNTIF(CONTROL!$B$52:$B$101,'Funding by District'!D52)&gt;=1,"",ROW()-104)</f>
        <v>52</v>
      </c>
      <c r="F156" s="48"/>
      <c r="G156" s="48"/>
      <c r="N156" s="321"/>
      <c r="O156" s="321"/>
    </row>
    <row r="157" spans="2:15">
      <c r="B157" s="204" t="str">
        <f ca="1"/>
        <v>BERLIN CSD</v>
      </c>
      <c r="C157" s="206">
        <f>IF(COUNTIF(CONTROL!$B$52:$B$101,'Funding by District'!D53)&gt;=1,"",ROW()-104)</f>
        <v>53</v>
      </c>
      <c r="F157" s="48"/>
      <c r="G157" s="48"/>
      <c r="N157" s="321"/>
      <c r="O157" s="321"/>
    </row>
    <row r="158" spans="2:15">
      <c r="B158" s="204" t="str">
        <f ca="1"/>
        <v>BERNE-KNOX-WESTERLO CSD</v>
      </c>
      <c r="C158" s="206">
        <f>IF(COUNTIF(CONTROL!$B$52:$B$101,'Funding by District'!D54)&gt;=1,"",ROW()-104)</f>
        <v>54</v>
      </c>
      <c r="F158" s="48"/>
      <c r="G158" s="48"/>
      <c r="N158" s="321"/>
      <c r="O158" s="321"/>
    </row>
    <row r="159" spans="2:15">
      <c r="B159" s="204" t="str">
        <f ca="1"/>
        <v>BETHLEHEM CSD</v>
      </c>
      <c r="C159" s="206">
        <f>IF(COUNTIF(CONTROL!$B$52:$B$101,'Funding by District'!D55)&gt;=1,"",ROW()-104)</f>
        <v>55</v>
      </c>
      <c r="F159" s="48"/>
      <c r="G159" s="48"/>
      <c r="N159" s="321"/>
      <c r="O159" s="321"/>
    </row>
    <row r="160" spans="2:15">
      <c r="B160" s="204" t="str">
        <f ca="1"/>
        <v>BETHPAGE UFSD</v>
      </c>
      <c r="C160" s="206">
        <f>IF(COUNTIF(CONTROL!$B$52:$B$101,'Funding by District'!D56)&gt;=1,"",ROW()-104)</f>
        <v>56</v>
      </c>
      <c r="F160" s="48"/>
      <c r="G160" s="48"/>
      <c r="N160" s="321"/>
      <c r="O160" s="321"/>
    </row>
    <row r="161" spans="2:15">
      <c r="B161" s="204" t="str">
        <f ca="1"/>
        <v>BINGHAMTON CITY SD</v>
      </c>
      <c r="C161" s="206">
        <f>IF(COUNTIF(CONTROL!$B$52:$B$101,'Funding by District'!D57)&gt;=1,"",ROW()-104)</f>
        <v>57</v>
      </c>
      <c r="F161" s="48"/>
      <c r="G161" s="48"/>
      <c r="N161" s="321"/>
      <c r="O161" s="321"/>
    </row>
    <row r="162" spans="2:15">
      <c r="B162" s="204" t="str">
        <f ca="1"/>
        <v>BLIND BROOK-RYE UFSD</v>
      </c>
      <c r="C162" s="206">
        <f>IF(COUNTIF(CONTROL!$B$52:$B$101,'Funding by District'!D58)&gt;=1,"",ROW()-104)</f>
        <v>58</v>
      </c>
      <c r="F162" s="48"/>
      <c r="G162" s="48"/>
      <c r="N162" s="321"/>
      <c r="O162" s="321"/>
    </row>
    <row r="163" spans="2:15">
      <c r="B163" s="204" t="str">
        <f ca="1"/>
        <v>BOLIVAR-RICHBURG CSD</v>
      </c>
      <c r="C163" s="206">
        <f>IF(COUNTIF(CONTROL!$B$52:$B$101,'Funding by District'!D59)&gt;=1,"",ROW()-104)</f>
        <v>59</v>
      </c>
      <c r="F163" s="48"/>
      <c r="G163" s="48"/>
      <c r="N163" s="321"/>
      <c r="O163" s="321"/>
    </row>
    <row r="164" spans="2:15">
      <c r="B164" s="204" t="str">
        <f ca="1"/>
        <v>BOLTON CSD</v>
      </c>
      <c r="C164" s="206">
        <f>IF(COUNTIF(CONTROL!$B$52:$B$101,'Funding by District'!D60)&gt;=1,"",ROW()-104)</f>
        <v>60</v>
      </c>
      <c r="F164" s="48"/>
      <c r="G164" s="48"/>
      <c r="N164" s="321"/>
      <c r="O164" s="321"/>
    </row>
    <row r="165" spans="2:15">
      <c r="B165" s="204" t="str">
        <f ca="1"/>
        <v xml:space="preserve">BOQUET VALLEY </v>
      </c>
      <c r="C165" s="206">
        <f>IF(COUNTIF(CONTROL!$B$52:$B$101,'Funding by District'!D61)&gt;=1,"",ROW()-104)</f>
        <v>61</v>
      </c>
      <c r="F165" s="48"/>
      <c r="G165" s="48"/>
      <c r="N165" s="321"/>
      <c r="O165" s="321"/>
    </row>
    <row r="166" spans="2:15">
      <c r="B166" s="204" t="str">
        <f ca="1"/>
        <v>BRADFORD CSD</v>
      </c>
      <c r="C166" s="206">
        <f>IF(COUNTIF(CONTROL!$B$52:$B$101,'Funding by District'!D62)&gt;=1,"",ROW()-104)</f>
        <v>62</v>
      </c>
      <c r="F166" s="48"/>
      <c r="G166" s="48"/>
      <c r="N166" s="321"/>
      <c r="O166" s="321"/>
    </row>
    <row r="167" spans="2:15">
      <c r="B167" s="204" t="str">
        <f ca="1"/>
        <v>BRASHER FALLS CSD</v>
      </c>
      <c r="C167" s="206">
        <f>IF(COUNTIF(CONTROL!$B$52:$B$101,'Funding by District'!D63)&gt;=1,"",ROW()-104)</f>
        <v>63</v>
      </c>
      <c r="F167" s="48"/>
      <c r="G167" s="48"/>
      <c r="N167" s="321"/>
      <c r="O167" s="321"/>
    </row>
    <row r="168" spans="2:15">
      <c r="B168" s="204" t="str">
        <f ca="1"/>
        <v>BRENTWOOD UFSD</v>
      </c>
      <c r="C168" s="206">
        <f>IF(COUNTIF(CONTROL!$B$52:$B$101,'Funding by District'!D64)&gt;=1,"",ROW()-104)</f>
        <v>64</v>
      </c>
      <c r="F168" s="48"/>
      <c r="G168" s="48"/>
      <c r="N168" s="321"/>
      <c r="O168" s="321"/>
    </row>
    <row r="169" spans="2:15">
      <c r="B169" s="204" t="str">
        <f ca="1"/>
        <v>BREWSTER CSD</v>
      </c>
      <c r="C169" s="206">
        <f>IF(COUNTIF(CONTROL!$B$52:$B$101,'Funding by District'!D65)&gt;=1,"",ROW()-104)</f>
        <v>65</v>
      </c>
      <c r="F169" s="48"/>
      <c r="G169" s="48"/>
      <c r="N169" s="321"/>
      <c r="O169" s="321"/>
    </row>
    <row r="170" spans="2:15">
      <c r="B170" s="204" t="str">
        <f ca="1"/>
        <v>BRIARCLIFF MANOR UFSD</v>
      </c>
      <c r="C170" s="206">
        <f>IF(COUNTIF(CONTROL!$B$52:$B$101,'Funding by District'!D66)&gt;=1,"",ROW()-104)</f>
        <v>66</v>
      </c>
      <c r="F170" s="48"/>
      <c r="G170" s="48"/>
      <c r="N170" s="321"/>
      <c r="O170" s="321"/>
    </row>
    <row r="171" spans="2:15">
      <c r="B171" s="204" t="str">
        <f ca="1"/>
        <v>BRIDGEHAMPTON UFSD</v>
      </c>
      <c r="C171" s="206">
        <f>IF(COUNTIF(CONTROL!$B$52:$B$101,'Funding by District'!D67)&gt;=1,"",ROW()-104)</f>
        <v>67</v>
      </c>
      <c r="F171" s="48"/>
      <c r="G171" s="48"/>
      <c r="N171" s="321"/>
      <c r="O171" s="321"/>
    </row>
    <row r="172" spans="2:15">
      <c r="B172" s="204" t="str">
        <f ca="1"/>
        <v>BRIGHTON CSD</v>
      </c>
      <c r="C172" s="206">
        <f>IF(COUNTIF(CONTROL!$B$52:$B$101,'Funding by District'!D68)&gt;=1,"",ROW()-104)</f>
        <v>68</v>
      </c>
      <c r="F172" s="48"/>
      <c r="G172" s="48"/>
      <c r="N172" s="321"/>
      <c r="O172" s="321"/>
    </row>
    <row r="173" spans="2:15">
      <c r="B173" s="204" t="str">
        <f ca="1"/>
        <v>BROADALBIN-PERTH CSD</v>
      </c>
      <c r="C173" s="206">
        <f>IF(COUNTIF(CONTROL!$B$52:$B$101,'Funding by District'!D69)&gt;=1,"",ROW()-104)</f>
        <v>69</v>
      </c>
      <c r="F173" s="48"/>
      <c r="G173" s="48"/>
      <c r="N173" s="321"/>
      <c r="O173" s="321"/>
    </row>
    <row r="174" spans="2:15">
      <c r="B174" s="204" t="str">
        <f ca="1"/>
        <v>BROCKPORT CSD</v>
      </c>
      <c r="C174" s="206">
        <f>IF(COUNTIF(CONTROL!$B$52:$B$101,'Funding by District'!D70)&gt;=1,"",ROW()-104)</f>
        <v>70</v>
      </c>
      <c r="F174" s="48"/>
      <c r="G174" s="48"/>
      <c r="N174" s="321"/>
      <c r="O174" s="321"/>
    </row>
    <row r="175" spans="2:15">
      <c r="B175" s="204" t="str">
        <f ca="1"/>
        <v>BROCTON CSD</v>
      </c>
      <c r="C175" s="206">
        <f>IF(COUNTIF(CONTROL!$B$52:$B$101,'Funding by District'!D71)&gt;=1,"",ROW()-104)</f>
        <v>71</v>
      </c>
      <c r="F175" s="48"/>
      <c r="G175" s="48"/>
      <c r="N175" s="321"/>
      <c r="O175" s="321"/>
    </row>
    <row r="176" spans="2:15">
      <c r="B176" s="204" t="str">
        <f ca="1"/>
        <v>BRONXVILLE UFSD</v>
      </c>
      <c r="C176" s="206">
        <f>IF(COUNTIF(CONTROL!$B$52:$B$101,'Funding by District'!D72)&gt;=1,"",ROW()-104)</f>
        <v>72</v>
      </c>
      <c r="F176" s="48"/>
      <c r="G176" s="48"/>
      <c r="N176" s="321"/>
      <c r="O176" s="321"/>
    </row>
    <row r="177" spans="2:15">
      <c r="B177" s="204" t="str">
        <f ca="1"/>
        <v>BROOKFIELD CSD</v>
      </c>
      <c r="C177" s="206">
        <f>IF(COUNTIF(CONTROL!$B$52:$B$101,'Funding by District'!D73)&gt;=1,"",ROW()-104)</f>
        <v>73</v>
      </c>
      <c r="F177" s="48"/>
      <c r="G177" s="48"/>
      <c r="N177" s="321"/>
      <c r="O177" s="321"/>
    </row>
    <row r="178" spans="2:15">
      <c r="B178" s="204" t="str">
        <f ca="1"/>
        <v>BROOKHAVEN-COMSEWOGUE UFSD</v>
      </c>
      <c r="C178" s="206">
        <f>IF(COUNTIF(CONTROL!$B$52:$B$101,'Funding by District'!D74)&gt;=1,"",ROW()-104)</f>
        <v>74</v>
      </c>
      <c r="F178" s="48"/>
      <c r="G178" s="48"/>
      <c r="N178" s="321"/>
      <c r="O178" s="321"/>
    </row>
    <row r="179" spans="2:15">
      <c r="B179" s="204" t="str">
        <f ca="1"/>
        <v>BRUNSWICK CSD (BRITTONKILL)</v>
      </c>
      <c r="C179" s="206">
        <f>IF(COUNTIF(CONTROL!$B$52:$B$101,'Funding by District'!D75)&gt;=1,"",ROW()-104)</f>
        <v>75</v>
      </c>
      <c r="F179" s="48"/>
      <c r="G179" s="48"/>
      <c r="N179" s="321"/>
      <c r="O179" s="321"/>
    </row>
    <row r="180" spans="2:15">
      <c r="B180" s="204" t="str">
        <f ca="1"/>
        <v>BRUSHTON-MOIRA CSD</v>
      </c>
      <c r="C180" s="206">
        <f>IF(COUNTIF(CONTROL!$B$52:$B$101,'Funding by District'!D76)&gt;=1,"",ROW()-104)</f>
        <v>76</v>
      </c>
      <c r="F180" s="48"/>
      <c r="G180" s="48"/>
      <c r="N180" s="321"/>
      <c r="O180" s="321"/>
    </row>
    <row r="181" spans="2:15">
      <c r="B181" s="204" t="str">
        <f ca="1"/>
        <v>BUFFALO CITY SD</v>
      </c>
      <c r="C181" s="206">
        <f>IF(COUNTIF(CONTROL!$B$52:$B$101,'Funding by District'!D77)&gt;=1,"",ROW()-104)</f>
        <v>77</v>
      </c>
      <c r="F181" s="48"/>
      <c r="G181" s="48"/>
      <c r="N181" s="321"/>
      <c r="O181" s="321"/>
    </row>
    <row r="182" spans="2:15">
      <c r="B182" s="204" t="str">
        <f ca="1"/>
        <v>BURNT HILLS-BALLSTON LAKE CSD</v>
      </c>
      <c r="C182" s="206">
        <f>IF(COUNTIF(CONTROL!$B$52:$B$101,'Funding by District'!D78)&gt;=1,"",ROW()-104)</f>
        <v>78</v>
      </c>
      <c r="F182" s="48"/>
      <c r="G182" s="48"/>
      <c r="N182" s="321"/>
      <c r="O182" s="321"/>
    </row>
    <row r="183" spans="2:15">
      <c r="B183" s="204" t="str">
        <f ca="1"/>
        <v>BYRAM HILLS CSD</v>
      </c>
      <c r="C183" s="206">
        <f>IF(COUNTIF(CONTROL!$B$52:$B$101,'Funding by District'!D79)&gt;=1,"",ROW()-104)</f>
        <v>79</v>
      </c>
      <c r="F183" s="48"/>
      <c r="G183" s="48"/>
      <c r="N183" s="321"/>
      <c r="O183" s="321"/>
    </row>
    <row r="184" spans="2:15">
      <c r="B184" s="204" t="str">
        <f ca="1"/>
        <v>BYRON-BERGEN CSD</v>
      </c>
      <c r="C184" s="206">
        <f>IF(COUNTIF(CONTROL!$B$52:$B$101,'Funding by District'!D80)&gt;=1,"",ROW()-104)</f>
        <v>80</v>
      </c>
      <c r="F184" s="48"/>
      <c r="G184" s="48"/>
      <c r="N184" s="321"/>
      <c r="O184" s="321"/>
    </row>
    <row r="185" spans="2:15">
      <c r="B185" s="204" t="str">
        <f ca="1"/>
        <v>CAIRO-DURHAM CSD</v>
      </c>
      <c r="C185" s="206">
        <f>IF(COUNTIF(CONTROL!$B$52:$B$101,'Funding by District'!D81)&gt;=1,"",ROW()-104)</f>
        <v>81</v>
      </c>
      <c r="F185" s="48"/>
      <c r="G185" s="48"/>
      <c r="N185" s="321"/>
      <c r="O185" s="321"/>
    </row>
    <row r="186" spans="2:15">
      <c r="B186" s="204" t="str">
        <f ca="1"/>
        <v>CALEDONIA-MUMFORD CSD</v>
      </c>
      <c r="C186" s="206">
        <f>IF(COUNTIF(CONTROL!$B$52:$B$101,'Funding by District'!D82)&gt;=1,"",ROW()-104)</f>
        <v>82</v>
      </c>
      <c r="F186" s="48"/>
      <c r="G186" s="48"/>
      <c r="N186" s="321"/>
      <c r="O186" s="321"/>
    </row>
    <row r="187" spans="2:15">
      <c r="B187" s="204" t="str">
        <f ca="1"/>
        <v>CAMBRIDGE CSD</v>
      </c>
      <c r="C187" s="206">
        <f>IF(COUNTIF(CONTROL!$B$52:$B$101,'Funding by District'!D83)&gt;=1,"",ROW()-104)</f>
        <v>83</v>
      </c>
      <c r="F187" s="48"/>
      <c r="G187" s="48"/>
      <c r="N187" s="321"/>
      <c r="O187" s="321"/>
    </row>
    <row r="188" spans="2:15">
      <c r="B188" s="204" t="str">
        <f ca="1"/>
        <v>CAMDEN CSD</v>
      </c>
      <c r="C188" s="206">
        <f>IF(COUNTIF(CONTROL!$B$52:$B$101,'Funding by District'!D84)&gt;=1,"",ROW()-104)</f>
        <v>84</v>
      </c>
      <c r="F188" s="48"/>
      <c r="G188" s="48"/>
      <c r="N188" s="321"/>
      <c r="O188" s="321"/>
    </row>
    <row r="189" spans="2:15">
      <c r="B189" s="204" t="str">
        <f ca="1"/>
        <v>CAMPBELL-SAVONA CSD</v>
      </c>
      <c r="C189" s="206">
        <f>IF(COUNTIF(CONTROL!$B$52:$B$101,'Funding by District'!D85)&gt;=1,"",ROW()-104)</f>
        <v>85</v>
      </c>
      <c r="F189" s="48"/>
      <c r="G189" s="48"/>
      <c r="N189" s="321"/>
      <c r="O189" s="321"/>
    </row>
    <row r="190" spans="2:15">
      <c r="B190" s="204" t="str">
        <f ca="1"/>
        <v>CANAJOHARIE CSD</v>
      </c>
      <c r="C190" s="206">
        <f>IF(COUNTIF(CONTROL!$B$52:$B$101,'Funding by District'!D86)&gt;=1,"",ROW()-104)</f>
        <v>86</v>
      </c>
      <c r="F190" s="48"/>
      <c r="G190" s="48"/>
      <c r="N190" s="321"/>
      <c r="O190" s="321"/>
    </row>
    <row r="191" spans="2:15">
      <c r="B191" s="204" t="str">
        <f ca="1"/>
        <v>CANANDAIGUA CITY SD</v>
      </c>
      <c r="C191" s="206">
        <f>IF(COUNTIF(CONTROL!$B$52:$B$101,'Funding by District'!D87)&gt;=1,"",ROW()-104)</f>
        <v>87</v>
      </c>
      <c r="F191" s="48"/>
      <c r="G191" s="48"/>
      <c r="N191" s="321"/>
      <c r="O191" s="321"/>
    </row>
    <row r="192" spans="2:15">
      <c r="B192" s="204" t="str">
        <f ca="1"/>
        <v>CANASERAGA CSD</v>
      </c>
      <c r="C192" s="206">
        <f>IF(COUNTIF(CONTROL!$B$52:$B$101,'Funding by District'!D88)&gt;=1,"",ROW()-104)</f>
        <v>88</v>
      </c>
      <c r="F192" s="48"/>
      <c r="G192" s="48"/>
      <c r="N192" s="321"/>
      <c r="O192" s="321"/>
    </row>
    <row r="193" spans="2:15">
      <c r="B193" s="204" t="str">
        <f ca="1"/>
        <v>CANASTOTA CSD</v>
      </c>
      <c r="C193" s="206">
        <f>IF(COUNTIF(CONTROL!$B$52:$B$101,'Funding by District'!D89)&gt;=1,"",ROW()-104)</f>
        <v>89</v>
      </c>
      <c r="F193" s="48"/>
      <c r="G193" s="48"/>
      <c r="N193" s="321"/>
      <c r="O193" s="321"/>
    </row>
    <row r="194" spans="2:15">
      <c r="B194" s="204" t="str">
        <f ca="1"/>
        <v>CANDOR CSD</v>
      </c>
      <c r="C194" s="206">
        <f>IF(COUNTIF(CONTROL!$B$52:$B$101,'Funding by District'!D90)&gt;=1,"",ROW()-104)</f>
        <v>90</v>
      </c>
      <c r="F194" s="48"/>
      <c r="G194" s="48"/>
      <c r="N194" s="321"/>
      <c r="O194" s="321"/>
    </row>
    <row r="195" spans="2:15">
      <c r="B195" s="204" t="str">
        <f ca="1"/>
        <v>CANISTEO-GREENWOOD CSD</v>
      </c>
      <c r="C195" s="206">
        <f>IF(COUNTIF(CONTROL!$B$52:$B$101,'Funding by District'!D91)&gt;=1,"",ROW()-104)</f>
        <v>91</v>
      </c>
      <c r="F195" s="48"/>
      <c r="G195" s="48"/>
      <c r="N195" s="321"/>
      <c r="O195" s="321"/>
    </row>
    <row r="196" spans="2:15">
      <c r="B196" s="204" t="str">
        <f ca="1"/>
        <v>CANTON CSD</v>
      </c>
      <c r="C196" s="206">
        <f>IF(COUNTIF(CONTROL!$B$52:$B$101,'Funding by District'!D92)&gt;=1,"",ROW()-104)</f>
        <v>92</v>
      </c>
      <c r="F196" s="48"/>
      <c r="G196" s="48"/>
      <c r="N196" s="321"/>
      <c r="O196" s="321"/>
    </row>
    <row r="197" spans="2:15">
      <c r="B197" s="204" t="str">
        <f ca="1"/>
        <v>CARLE PLACE UFSD</v>
      </c>
      <c r="C197" s="206">
        <f>IF(COUNTIF(CONTROL!$B$52:$B$101,'Funding by District'!D93)&gt;=1,"",ROW()-104)</f>
        <v>93</v>
      </c>
      <c r="F197" s="48"/>
      <c r="G197" s="48"/>
      <c r="N197" s="321"/>
      <c r="O197" s="321"/>
    </row>
    <row r="198" spans="2:15">
      <c r="B198" s="204" t="str">
        <f ca="1"/>
        <v>CARMEL CSD</v>
      </c>
      <c r="C198" s="206">
        <f>IF(COUNTIF(CONTROL!$B$52:$B$101,'Funding by District'!D94)&gt;=1,"",ROW()-104)</f>
        <v>94</v>
      </c>
      <c r="F198" s="48"/>
      <c r="G198" s="48"/>
      <c r="N198" s="321"/>
      <c r="O198" s="321"/>
    </row>
    <row r="199" spans="2:15">
      <c r="B199" s="204" t="str">
        <f ca="1"/>
        <v>CARTHAGE CSD</v>
      </c>
      <c r="C199" s="206">
        <f>IF(COUNTIF(CONTROL!$B$52:$B$101,'Funding by District'!D95)&gt;=1,"",ROW()-104)</f>
        <v>95</v>
      </c>
      <c r="F199" s="48"/>
      <c r="G199" s="48"/>
      <c r="N199" s="321"/>
      <c r="O199" s="321"/>
    </row>
    <row r="200" spans="2:15">
      <c r="B200" s="204" t="str">
        <f ca="1"/>
        <v>CASSADAGA VALLEY CSD</v>
      </c>
      <c r="C200" s="206">
        <f>IF(COUNTIF(CONTROL!$B$52:$B$101,'Funding by District'!D96)&gt;=1,"",ROW()-104)</f>
        <v>96</v>
      </c>
      <c r="F200" s="48"/>
      <c r="G200" s="48"/>
      <c r="N200" s="321"/>
      <c r="O200" s="321"/>
    </row>
    <row r="201" spans="2:15">
      <c r="B201" s="204" t="str">
        <f ca="1"/>
        <v>CATO-MERIDIAN CSD</v>
      </c>
      <c r="C201" s="206">
        <f>IF(COUNTIF(CONTROL!$B$52:$B$101,'Funding by District'!D97)&gt;=1,"",ROW()-104)</f>
        <v>97</v>
      </c>
      <c r="F201" s="48"/>
      <c r="G201" s="48"/>
      <c r="N201" s="321"/>
      <c r="O201" s="321"/>
    </row>
    <row r="202" spans="2:15">
      <c r="B202" s="204" t="str">
        <f ca="1"/>
        <v>CATSKILL CSD</v>
      </c>
      <c r="C202" s="206">
        <f>IF(COUNTIF(CONTROL!$B$52:$B$101,'Funding by District'!D98)&gt;=1,"",ROW()-104)</f>
        <v>98</v>
      </c>
      <c r="F202" s="48"/>
      <c r="G202" s="48"/>
      <c r="N202" s="321"/>
      <c r="O202" s="321"/>
    </row>
    <row r="203" spans="2:15">
      <c r="B203" s="204" t="str">
        <f ca="1"/>
        <v>CATTARAUGUS-LITTLE VALLEY CSD</v>
      </c>
      <c r="C203" s="206">
        <f>IF(COUNTIF(CONTROL!$B$52:$B$101,'Funding by District'!D99)&gt;=1,"",ROW()-104)</f>
        <v>99</v>
      </c>
      <c r="F203" s="48"/>
      <c r="G203" s="48"/>
      <c r="N203" s="321"/>
      <c r="O203" s="321"/>
    </row>
    <row r="204" spans="2:15">
      <c r="B204" s="204" t="str">
        <f ca="1"/>
        <v>CAZENOVIA CSD</v>
      </c>
      <c r="C204" s="206">
        <f>IF(COUNTIF(CONTROL!$B$52:$B$101,'Funding by District'!D100)&gt;=1,"",ROW()-104)</f>
        <v>100</v>
      </c>
      <c r="F204" s="48"/>
      <c r="G204" s="48"/>
      <c r="N204" s="321"/>
      <c r="O204" s="321"/>
    </row>
    <row r="205" spans="2:15">
      <c r="B205" s="204" t="str">
        <f ca="1"/>
        <v>CENTER MORICHES UFSD</v>
      </c>
      <c r="C205" s="206">
        <f>IF(COUNTIF(CONTROL!$B$52:$B$101,'Funding by District'!D101)&gt;=1,"",ROW()-104)</f>
        <v>101</v>
      </c>
      <c r="F205" s="48"/>
      <c r="G205" s="48"/>
      <c r="N205" s="321"/>
      <c r="O205" s="321"/>
    </row>
    <row r="206" spans="2:15">
      <c r="B206" s="204" t="str">
        <f ca="1"/>
        <v>CENTRAL ISLIP UFSD</v>
      </c>
      <c r="C206" s="206">
        <f>IF(COUNTIF(CONTROL!$B$52:$B$101,'Funding by District'!D102)&gt;=1,"",ROW()-104)</f>
        <v>102</v>
      </c>
      <c r="F206" s="48"/>
      <c r="G206" s="48"/>
      <c r="N206" s="321"/>
      <c r="O206" s="321"/>
    </row>
    <row r="207" spans="2:15">
      <c r="B207" s="204" t="str">
        <f ca="1"/>
        <v>CENTRAL SQUARE CSD</v>
      </c>
      <c r="C207" s="206">
        <f>IF(COUNTIF(CONTROL!$B$52:$B$101,'Funding by District'!D103)&gt;=1,"",ROW()-104)</f>
        <v>103</v>
      </c>
      <c r="F207" s="48"/>
      <c r="G207" s="48"/>
      <c r="N207" s="321"/>
      <c r="O207" s="321"/>
    </row>
    <row r="208" spans="2:15">
      <c r="B208" s="204" t="str">
        <f ca="1"/>
        <v>CENTRAL VALLEY CSD AT ILION-MOHAWK</v>
      </c>
      <c r="C208" s="206">
        <f>IF(COUNTIF(CONTROL!$B$52:$B$101,'Funding by District'!D104)&gt;=1,"",ROW()-104)</f>
        <v>104</v>
      </c>
      <c r="F208" s="48"/>
      <c r="G208" s="48"/>
      <c r="N208" s="321"/>
      <c r="O208" s="321"/>
    </row>
    <row r="209" spans="2:15">
      <c r="B209" s="204" t="str">
        <f ca="1"/>
        <v>CHAPPAQUA CSD</v>
      </c>
      <c r="C209" s="206">
        <f>IF(COUNTIF(CONTROL!$B$52:$B$101,'Funding by District'!D105)&gt;=1,"",ROW()-104)</f>
        <v>105</v>
      </c>
      <c r="F209" s="48"/>
      <c r="G209" s="48"/>
      <c r="N209" s="321"/>
      <c r="O209" s="321"/>
    </row>
    <row r="210" spans="2:15">
      <c r="B210" s="204" t="str">
        <f ca="1"/>
        <v>CHARLOTTE VALLEY CSD</v>
      </c>
      <c r="C210" s="206">
        <f>IF(COUNTIF(CONTROL!$B$52:$B$101,'Funding by District'!D106)&gt;=1,"",ROW()-104)</f>
        <v>106</v>
      </c>
      <c r="F210" s="48"/>
      <c r="G210" s="48"/>
      <c r="N210" s="321"/>
      <c r="O210" s="321"/>
    </row>
    <row r="211" spans="2:15">
      <c r="B211" s="204" t="str">
        <f ca="1"/>
        <v>CHATEAUGAY CSD</v>
      </c>
      <c r="C211" s="206">
        <f>IF(COUNTIF(CONTROL!$B$52:$B$101,'Funding by District'!D107)&gt;=1,"",ROW()-104)</f>
        <v>107</v>
      </c>
      <c r="F211" s="48"/>
      <c r="G211" s="48"/>
      <c r="N211" s="321"/>
      <c r="O211" s="321"/>
    </row>
    <row r="212" spans="2:15">
      <c r="B212" s="204" t="str">
        <f ca="1"/>
        <v>CHATHAM CSD</v>
      </c>
      <c r="C212" s="206">
        <f>IF(COUNTIF(CONTROL!$B$52:$B$101,'Funding by District'!D108)&gt;=1,"",ROW()-104)</f>
        <v>108</v>
      </c>
      <c r="F212" s="48"/>
      <c r="G212" s="48"/>
      <c r="N212" s="321"/>
      <c r="O212" s="321"/>
    </row>
    <row r="213" spans="2:15">
      <c r="B213" s="204" t="str">
        <f ca="1"/>
        <v>CHAUTAUQUA LAKE CSD</v>
      </c>
      <c r="C213" s="206">
        <f>IF(COUNTIF(CONTROL!$B$52:$B$101,'Funding by District'!D109)&gt;=1,"",ROW()-104)</f>
        <v>109</v>
      </c>
      <c r="F213" s="48"/>
      <c r="G213" s="48"/>
      <c r="N213" s="321"/>
      <c r="O213" s="321"/>
    </row>
    <row r="214" spans="2:15">
      <c r="B214" s="204" t="str">
        <f ca="1"/>
        <v>CHAZY UFSD</v>
      </c>
      <c r="C214" s="206">
        <f>IF(COUNTIF(CONTROL!$B$52:$B$101,'Funding by District'!D110)&gt;=1,"",ROW()-104)</f>
        <v>110</v>
      </c>
      <c r="F214" s="48"/>
      <c r="G214" s="48"/>
      <c r="N214" s="321"/>
      <c r="O214" s="321"/>
    </row>
    <row r="215" spans="2:15">
      <c r="B215" s="204" t="str">
        <f ca="1"/>
        <v>CHEEKTOWAGA CSD</v>
      </c>
      <c r="C215" s="206">
        <f>IF(COUNTIF(CONTROL!$B$52:$B$101,'Funding by District'!D111)&gt;=1,"",ROW()-104)</f>
        <v>111</v>
      </c>
      <c r="F215" s="48"/>
      <c r="G215" s="48"/>
      <c r="N215" s="321"/>
      <c r="O215" s="321"/>
    </row>
    <row r="216" spans="2:15">
      <c r="B216" s="204" t="str">
        <f ca="1"/>
        <v>CHEEKTOWAGA-MARYVALE UFSD</v>
      </c>
      <c r="C216" s="206">
        <f>IF(COUNTIF(CONTROL!$B$52:$B$101,'Funding by District'!D112)&gt;=1,"",ROW()-104)</f>
        <v>112</v>
      </c>
      <c r="F216" s="48"/>
      <c r="G216" s="48"/>
      <c r="N216" s="321"/>
      <c r="O216" s="321"/>
    </row>
    <row r="217" spans="2:15">
      <c r="B217" s="204" t="str">
        <f ca="1"/>
        <v>CHEEKTOWAGA-SLOAN UFSD</v>
      </c>
      <c r="C217" s="206">
        <f>IF(COUNTIF(CONTROL!$B$52:$B$101,'Funding by District'!D113)&gt;=1,"",ROW()-104)</f>
        <v>113</v>
      </c>
      <c r="F217" s="48"/>
      <c r="G217" s="48"/>
      <c r="N217" s="321"/>
      <c r="O217" s="321"/>
    </row>
    <row r="218" spans="2:15">
      <c r="B218" s="204" t="str">
        <f ca="1"/>
        <v>CHENANGO FORKS CSD</v>
      </c>
      <c r="C218" s="206">
        <f>IF(COUNTIF(CONTROL!$B$52:$B$101,'Funding by District'!D114)&gt;=1,"",ROW()-104)</f>
        <v>114</v>
      </c>
      <c r="F218" s="48"/>
      <c r="G218" s="48"/>
      <c r="N218" s="321"/>
      <c r="O218" s="321"/>
    </row>
    <row r="219" spans="2:15">
      <c r="B219" s="204" t="str">
        <f ca="1"/>
        <v>CHENANGO VALLEY CSD</v>
      </c>
      <c r="C219" s="206">
        <f>IF(COUNTIF(CONTROL!$B$52:$B$101,'Funding by District'!D115)&gt;=1,"",ROW()-104)</f>
        <v>115</v>
      </c>
      <c r="F219" s="48"/>
      <c r="G219" s="48"/>
      <c r="N219" s="321"/>
      <c r="O219" s="321"/>
    </row>
    <row r="220" spans="2:15">
      <c r="B220" s="204" t="str">
        <f ca="1"/>
        <v>CHERRY VALLEY-SPRINGFIELD CSD</v>
      </c>
      <c r="C220" s="206">
        <f>IF(COUNTIF(CONTROL!$B$52:$B$101,'Funding by District'!D116)&gt;=1,"",ROW()-104)</f>
        <v>116</v>
      </c>
      <c r="F220" s="48"/>
      <c r="G220" s="48"/>
      <c r="N220" s="321"/>
      <c r="O220" s="321"/>
    </row>
    <row r="221" spans="2:15">
      <c r="B221" s="204" t="str">
        <f ca="1"/>
        <v>CHESTER UFSD</v>
      </c>
      <c r="C221" s="206">
        <f>IF(COUNTIF(CONTROL!$B$52:$B$101,'Funding by District'!D117)&gt;=1,"",ROW()-104)</f>
        <v>117</v>
      </c>
      <c r="F221" s="48"/>
      <c r="G221" s="48"/>
      <c r="N221" s="321"/>
      <c r="O221" s="321"/>
    </row>
    <row r="222" spans="2:15">
      <c r="B222" s="204" t="str">
        <f ca="1"/>
        <v>CHITTENANGO CSD</v>
      </c>
      <c r="C222" s="206">
        <f>IF(COUNTIF(CONTROL!$B$52:$B$101,'Funding by District'!D118)&gt;=1,"",ROW()-104)</f>
        <v>118</v>
      </c>
      <c r="F222" s="48"/>
      <c r="G222" s="48"/>
      <c r="N222" s="321"/>
      <c r="O222" s="321"/>
    </row>
    <row r="223" spans="2:15">
      <c r="B223" s="204" t="str">
        <f ca="1"/>
        <v>CHURCHVILLE-CHILI CSD</v>
      </c>
      <c r="C223" s="206">
        <f>IF(COUNTIF(CONTROL!$B$52:$B$101,'Funding by District'!D119)&gt;=1,"",ROW()-104)</f>
        <v>119</v>
      </c>
      <c r="F223" s="48"/>
      <c r="G223" s="48"/>
      <c r="N223" s="321"/>
      <c r="O223" s="321"/>
    </row>
    <row r="224" spans="2:15">
      <c r="B224" s="204" t="str">
        <f ca="1"/>
        <v>CINCINNATUS CSD</v>
      </c>
      <c r="C224" s="206">
        <f>IF(COUNTIF(CONTROL!$B$52:$B$101,'Funding by District'!D120)&gt;=1,"",ROW()-104)</f>
        <v>120</v>
      </c>
      <c r="F224" s="48"/>
      <c r="G224" s="48"/>
      <c r="N224" s="321"/>
      <c r="O224" s="321"/>
    </row>
    <row r="225" spans="2:15">
      <c r="B225" s="204" t="str">
        <f ca="1"/>
        <v>CLARENCE CSD</v>
      </c>
      <c r="C225" s="206">
        <f>IF(COUNTIF(CONTROL!$B$52:$B$101,'Funding by District'!D121)&gt;=1,"",ROW()-104)</f>
        <v>121</v>
      </c>
      <c r="F225" s="48"/>
      <c r="G225" s="48"/>
      <c r="N225" s="321"/>
      <c r="O225" s="321"/>
    </row>
    <row r="226" spans="2:15">
      <c r="B226" s="204" t="str">
        <f ca="1"/>
        <v>CLARKSTOWN CSD</v>
      </c>
      <c r="C226" s="206">
        <f>IF(COUNTIF(CONTROL!$B$52:$B$101,'Funding by District'!D122)&gt;=1,"",ROW()-104)</f>
        <v>122</v>
      </c>
      <c r="F226" s="48"/>
      <c r="G226" s="48"/>
      <c r="N226" s="321"/>
      <c r="O226" s="321"/>
    </row>
    <row r="227" spans="2:15">
      <c r="B227" s="204" t="str">
        <f ca="1"/>
        <v>CLEVELAND HILL UFSD</v>
      </c>
      <c r="C227" s="206">
        <f>IF(COUNTIF(CONTROL!$B$52:$B$101,'Funding by District'!D123)&gt;=1,"",ROW()-104)</f>
        <v>123</v>
      </c>
      <c r="F227" s="48"/>
      <c r="G227" s="48"/>
      <c r="N227" s="321"/>
      <c r="O227" s="321"/>
    </row>
    <row r="228" spans="2:15">
      <c r="B228" s="204" t="str">
        <f ca="1"/>
        <v>CLIFTON-FINE CSD</v>
      </c>
      <c r="C228" s="206">
        <f>IF(COUNTIF(CONTROL!$B$52:$B$101,'Funding by District'!D124)&gt;=1,"",ROW()-104)</f>
        <v>124</v>
      </c>
      <c r="F228" s="48"/>
      <c r="G228" s="48"/>
      <c r="N228" s="321"/>
      <c r="O228" s="321"/>
    </row>
    <row r="229" spans="2:15">
      <c r="B229" s="204" t="str">
        <f ca="1"/>
        <v>CLINTON CSD</v>
      </c>
      <c r="C229" s="206">
        <f>IF(COUNTIF(CONTROL!$B$52:$B$101,'Funding by District'!D125)&gt;=1,"",ROW()-104)</f>
        <v>125</v>
      </c>
      <c r="F229" s="48"/>
      <c r="G229" s="48"/>
      <c r="N229" s="321"/>
      <c r="O229" s="321"/>
    </row>
    <row r="230" spans="2:15">
      <c r="B230" s="204" t="str">
        <f ca="1"/>
        <v>CLYDE-SAVANNAH CSD</v>
      </c>
      <c r="C230" s="206">
        <f>IF(COUNTIF(CONTROL!$B$52:$B$101,'Funding by District'!D126)&gt;=1,"",ROW()-104)</f>
        <v>126</v>
      </c>
      <c r="F230" s="48"/>
      <c r="G230" s="48"/>
      <c r="N230" s="321"/>
      <c r="O230" s="321"/>
    </row>
    <row r="231" spans="2:15">
      <c r="B231" s="204" t="str">
        <f ca="1"/>
        <v>CLYMER CSD</v>
      </c>
      <c r="C231" s="206">
        <f>IF(COUNTIF(CONTROL!$B$52:$B$101,'Funding by District'!D127)&gt;=1,"",ROW()-104)</f>
        <v>127</v>
      </c>
      <c r="F231" s="48"/>
      <c r="G231" s="48"/>
      <c r="N231" s="321"/>
      <c r="O231" s="321"/>
    </row>
    <row r="232" spans="2:15">
      <c r="B232" s="204" t="str">
        <f ca="1"/>
        <v>COBLESKILL-RICHMONDVILLE CSD</v>
      </c>
      <c r="C232" s="206">
        <f>IF(COUNTIF(CONTROL!$B$52:$B$101,'Funding by District'!D128)&gt;=1,"",ROW()-104)</f>
        <v>128</v>
      </c>
      <c r="F232" s="48"/>
      <c r="G232" s="48"/>
      <c r="N232" s="321"/>
      <c r="O232" s="321"/>
    </row>
    <row r="233" spans="2:15">
      <c r="B233" s="204" t="str">
        <f ca="1"/>
        <v>COHOES CITY SD</v>
      </c>
      <c r="C233" s="206">
        <f>IF(COUNTIF(CONTROL!$B$52:$B$101,'Funding by District'!D129)&gt;=1,"",ROW()-104)</f>
        <v>129</v>
      </c>
      <c r="F233" s="48"/>
      <c r="G233" s="48"/>
      <c r="N233" s="321"/>
      <c r="O233" s="321"/>
    </row>
    <row r="234" spans="2:15">
      <c r="B234" s="204" t="str">
        <f ca="1"/>
        <v>COLD SPRING HARBOR CSD</v>
      </c>
      <c r="C234" s="206">
        <f>IF(COUNTIF(CONTROL!$B$52:$B$101,'Funding by District'!D130)&gt;=1,"",ROW()-104)</f>
        <v>130</v>
      </c>
      <c r="F234" s="48"/>
      <c r="G234" s="48"/>
      <c r="N234" s="321"/>
      <c r="O234" s="321"/>
    </row>
    <row r="235" spans="2:15">
      <c r="B235" s="204" t="str">
        <f ca="1"/>
        <v>COLTON-PIERREPONT CSD</v>
      </c>
      <c r="C235" s="206">
        <f>IF(COUNTIF(CONTROL!$B$52:$B$101,'Funding by District'!D131)&gt;=1,"",ROW()-104)</f>
        <v>131</v>
      </c>
      <c r="F235" s="48"/>
      <c r="G235" s="48"/>
      <c r="N235" s="321"/>
      <c r="O235" s="321"/>
    </row>
    <row r="236" spans="2:15">
      <c r="B236" s="204" t="str">
        <f ca="1"/>
        <v>COMMACK UFSD</v>
      </c>
      <c r="C236" s="206">
        <f>IF(COUNTIF(CONTROL!$B$52:$B$101,'Funding by District'!D132)&gt;=1,"",ROW()-104)</f>
        <v>132</v>
      </c>
      <c r="F236" s="48"/>
      <c r="G236" s="48"/>
      <c r="N236" s="321"/>
      <c r="O236" s="321"/>
    </row>
    <row r="237" spans="2:15">
      <c r="B237" s="204" t="str">
        <f ca="1"/>
        <v>CONNETQUOT CSD</v>
      </c>
      <c r="C237" s="206">
        <f>IF(COUNTIF(CONTROL!$B$52:$B$101,'Funding by District'!D133)&gt;=1,"",ROW()-104)</f>
        <v>133</v>
      </c>
      <c r="F237" s="48"/>
      <c r="G237" s="48"/>
      <c r="N237" s="321"/>
      <c r="O237" s="321"/>
    </row>
    <row r="238" spans="2:15">
      <c r="B238" s="204" t="str">
        <f ca="1"/>
        <v>COOPERSTOWN CSD</v>
      </c>
      <c r="C238" s="206">
        <f>IF(COUNTIF(CONTROL!$B$52:$B$101,'Funding by District'!D134)&gt;=1,"",ROW()-104)</f>
        <v>134</v>
      </c>
      <c r="F238" s="48"/>
      <c r="G238" s="48"/>
      <c r="N238" s="321"/>
      <c r="O238" s="321"/>
    </row>
    <row r="239" spans="2:15">
      <c r="B239" s="204" t="str">
        <f ca="1"/>
        <v>COPENHAGEN CSD</v>
      </c>
      <c r="C239" s="206">
        <f>IF(COUNTIF(CONTROL!$B$52:$B$101,'Funding by District'!D135)&gt;=1,"",ROW()-104)</f>
        <v>135</v>
      </c>
      <c r="F239" s="48"/>
      <c r="G239" s="48"/>
      <c r="N239" s="321"/>
      <c r="O239" s="321"/>
    </row>
    <row r="240" spans="2:15">
      <c r="B240" s="204" t="str">
        <f ca="1"/>
        <v>COPIAGUE UFSD</v>
      </c>
      <c r="C240" s="206">
        <f>IF(COUNTIF(CONTROL!$B$52:$B$101,'Funding by District'!D136)&gt;=1,"",ROW()-104)</f>
        <v>136</v>
      </c>
      <c r="F240" s="48"/>
      <c r="G240" s="48"/>
      <c r="N240" s="321"/>
      <c r="O240" s="321"/>
    </row>
    <row r="241" spans="2:15">
      <c r="B241" s="204" t="str">
        <f ca="1"/>
        <v>CORINTH CSD</v>
      </c>
      <c r="C241" s="206">
        <f>IF(COUNTIF(CONTROL!$B$52:$B$101,'Funding by District'!D137)&gt;=1,"",ROW()-104)</f>
        <v>137</v>
      </c>
      <c r="F241" s="48"/>
      <c r="G241" s="48"/>
      <c r="N241" s="321"/>
      <c r="O241" s="321"/>
    </row>
    <row r="242" spans="2:15">
      <c r="B242" s="204" t="str">
        <f ca="1"/>
        <v>CORNING CITY SD</v>
      </c>
      <c r="C242" s="206">
        <f>IF(COUNTIF(CONTROL!$B$52:$B$101,'Funding by District'!D138)&gt;=1,"",ROW()-104)</f>
        <v>138</v>
      </c>
      <c r="F242" s="48"/>
      <c r="G242" s="48"/>
      <c r="N242" s="321"/>
      <c r="O242" s="321"/>
    </row>
    <row r="243" spans="2:15">
      <c r="B243" s="204" t="str">
        <f ca="1"/>
        <v>CORNWALL CSD</v>
      </c>
      <c r="C243" s="206">
        <f>IF(COUNTIF(CONTROL!$B$52:$B$101,'Funding by District'!D139)&gt;=1,"",ROW()-104)</f>
        <v>139</v>
      </c>
      <c r="F243" s="48"/>
      <c r="G243" s="48"/>
      <c r="N243" s="321"/>
      <c r="O243" s="321"/>
    </row>
    <row r="244" spans="2:15">
      <c r="B244" s="204" t="str">
        <f ca="1"/>
        <v>CORTLAND CITY SD</v>
      </c>
      <c r="C244" s="206">
        <f>IF(COUNTIF(CONTROL!$B$52:$B$101,'Funding by District'!D140)&gt;=1,"",ROW()-104)</f>
        <v>140</v>
      </c>
      <c r="F244" s="48"/>
      <c r="G244" s="48"/>
      <c r="N244" s="321"/>
      <c r="O244" s="321"/>
    </row>
    <row r="245" spans="2:15">
      <c r="B245" s="204" t="str">
        <f ca="1"/>
        <v>COXSACKIE-ATHENS CSD</v>
      </c>
      <c r="C245" s="206">
        <f>IF(COUNTIF(CONTROL!$B$52:$B$101,'Funding by District'!D141)&gt;=1,"",ROW()-104)</f>
        <v>141</v>
      </c>
      <c r="F245" s="48"/>
      <c r="G245" s="48"/>
      <c r="N245" s="321"/>
      <c r="O245" s="321"/>
    </row>
    <row r="246" spans="2:15">
      <c r="B246" s="204" t="str">
        <f ca="1"/>
        <v>CROTON-HARMON UFSD</v>
      </c>
      <c r="C246" s="206">
        <f>IF(COUNTIF(CONTROL!$B$52:$B$101,'Funding by District'!D142)&gt;=1,"",ROW()-104)</f>
        <v>142</v>
      </c>
      <c r="F246" s="48"/>
      <c r="G246" s="48"/>
      <c r="N246" s="321"/>
      <c r="O246" s="321"/>
    </row>
    <row r="247" spans="2:15">
      <c r="B247" s="204" t="str">
        <f ca="1"/>
        <v>CROWN POINT CSD</v>
      </c>
      <c r="C247" s="206">
        <f>IF(COUNTIF(CONTROL!$B$52:$B$101,'Funding by District'!D143)&gt;=1,"",ROW()-104)</f>
        <v>143</v>
      </c>
      <c r="F247" s="48"/>
      <c r="G247" s="48"/>
      <c r="N247" s="321"/>
      <c r="O247" s="321"/>
    </row>
    <row r="248" spans="2:15">
      <c r="B248" s="204" t="str">
        <f ca="1"/>
        <v>CUBA-RUSHFORD CSD</v>
      </c>
      <c r="C248" s="206">
        <f>IF(COUNTIF(CONTROL!$B$52:$B$101,'Funding by District'!D144)&gt;=1,"",ROW()-104)</f>
        <v>144</v>
      </c>
      <c r="F248" s="48"/>
      <c r="G248" s="48"/>
      <c r="N248" s="321"/>
      <c r="O248" s="321"/>
    </row>
    <row r="249" spans="2:15">
      <c r="B249" s="204" t="str">
        <f ca="1"/>
        <v>DALTON-NUNDA CSD (KESHEQUA)</v>
      </c>
      <c r="C249" s="206">
        <f>IF(COUNTIF(CONTROL!$B$52:$B$101,'Funding by District'!D145)&gt;=1,"",ROW()-104)</f>
        <v>145</v>
      </c>
      <c r="F249" s="48"/>
      <c r="G249" s="48"/>
      <c r="N249" s="321"/>
      <c r="O249" s="321"/>
    </row>
    <row r="250" spans="2:15">
      <c r="B250" s="204" t="str">
        <f ca="1"/>
        <v>DANSVILLE CSD</v>
      </c>
      <c r="C250" s="206">
        <f>IF(COUNTIF(CONTROL!$B$52:$B$101,'Funding by District'!D146)&gt;=1,"",ROW()-104)</f>
        <v>146</v>
      </c>
      <c r="F250" s="48"/>
      <c r="G250" s="48"/>
      <c r="N250" s="321"/>
      <c r="O250" s="321"/>
    </row>
    <row r="251" spans="2:15">
      <c r="B251" s="204" t="str">
        <f ca="1"/>
        <v>DEER PARK UFSD</v>
      </c>
      <c r="C251" s="206">
        <f>IF(COUNTIF(CONTROL!$B$52:$B$101,'Funding by District'!D147)&gt;=1,"",ROW()-104)</f>
        <v>147</v>
      </c>
      <c r="F251" s="48"/>
      <c r="G251" s="48"/>
      <c r="N251" s="321"/>
      <c r="O251" s="321"/>
    </row>
    <row r="252" spans="2:15">
      <c r="B252" s="204" t="str">
        <f ca="1"/>
        <v>DELAWARE ACADEMY CSD AT DELHI</v>
      </c>
      <c r="C252" s="206">
        <f>IF(COUNTIF(CONTROL!$B$52:$B$101,'Funding by District'!D148)&gt;=1,"",ROW()-104)</f>
        <v>148</v>
      </c>
      <c r="F252" s="48"/>
      <c r="G252" s="48"/>
      <c r="N252" s="321"/>
      <c r="O252" s="321"/>
    </row>
    <row r="253" spans="2:15">
      <c r="B253" s="204" t="str">
        <f ca="1"/>
        <v>DEPEW UFSD</v>
      </c>
      <c r="C253" s="206">
        <f>IF(COUNTIF(CONTROL!$B$52:$B$101,'Funding by District'!D149)&gt;=1,"",ROW()-104)</f>
        <v>149</v>
      </c>
      <c r="F253" s="48"/>
      <c r="G253" s="48"/>
      <c r="N253" s="321"/>
      <c r="O253" s="321"/>
    </row>
    <row r="254" spans="2:15">
      <c r="B254" s="204" t="str">
        <f ca="1"/>
        <v>DEPOSIT CSD</v>
      </c>
      <c r="C254" s="206">
        <f>IF(COUNTIF(CONTROL!$B$52:$B$101,'Funding by District'!D150)&gt;=1,"",ROW()-104)</f>
        <v>150</v>
      </c>
      <c r="F254" s="48"/>
      <c r="G254" s="48"/>
      <c r="N254" s="321"/>
      <c r="O254" s="321"/>
    </row>
    <row r="255" spans="2:15">
      <c r="B255" s="204" t="str">
        <f ca="1"/>
        <v>DERUYTER CSD</v>
      </c>
      <c r="C255" s="206">
        <f>IF(COUNTIF(CONTROL!$B$52:$B$101,'Funding by District'!D151)&gt;=1,"",ROW()-104)</f>
        <v>151</v>
      </c>
      <c r="F255" s="48"/>
      <c r="G255" s="48"/>
      <c r="N255" s="321"/>
      <c r="O255" s="321"/>
    </row>
    <row r="256" spans="2:15">
      <c r="B256" s="204" t="str">
        <f ca="1"/>
        <v>DOBBS FERRY UFSD</v>
      </c>
      <c r="C256" s="206">
        <f>IF(COUNTIF(CONTROL!$B$52:$B$101,'Funding by District'!D152)&gt;=1,"",ROW()-104)</f>
        <v>152</v>
      </c>
      <c r="F256" s="48"/>
      <c r="G256" s="48"/>
      <c r="N256" s="321"/>
      <c r="O256" s="321"/>
    </row>
    <row r="257" spans="2:15">
      <c r="B257" s="204" t="str">
        <f ca="1"/>
        <v>DOLGEVILLE CSD</v>
      </c>
      <c r="C257" s="206">
        <f>IF(COUNTIF(CONTROL!$B$52:$B$101,'Funding by District'!D153)&gt;=1,"",ROW()-104)</f>
        <v>153</v>
      </c>
      <c r="F257" s="48"/>
      <c r="G257" s="48"/>
      <c r="N257" s="321"/>
      <c r="O257" s="321"/>
    </row>
    <row r="258" spans="2:15">
      <c r="B258" s="204" t="str">
        <f ca="1"/>
        <v>DOVER UFSD</v>
      </c>
      <c r="C258" s="206">
        <f>IF(COUNTIF(CONTROL!$B$52:$B$101,'Funding by District'!D154)&gt;=1,"",ROW()-104)</f>
        <v>154</v>
      </c>
      <c r="F258" s="48"/>
      <c r="G258" s="48"/>
      <c r="N258" s="321"/>
      <c r="O258" s="321"/>
    </row>
    <row r="259" spans="2:15">
      <c r="B259" s="204" t="str">
        <f ca="1"/>
        <v>DOWNSVILLE CSD</v>
      </c>
      <c r="C259" s="206">
        <f>IF(COUNTIF(CONTROL!$B$52:$B$101,'Funding by District'!D155)&gt;=1,"",ROW()-104)</f>
        <v>155</v>
      </c>
      <c r="F259" s="48"/>
      <c r="G259" s="48"/>
      <c r="N259" s="321"/>
      <c r="O259" s="321"/>
    </row>
    <row r="260" spans="2:15">
      <c r="B260" s="204" t="str">
        <f ca="1"/>
        <v>DRYDEN CSD</v>
      </c>
      <c r="C260" s="206">
        <f>IF(COUNTIF(CONTROL!$B$52:$B$101,'Funding by District'!D156)&gt;=1,"",ROW()-104)</f>
        <v>156</v>
      </c>
      <c r="F260" s="48"/>
      <c r="G260" s="48"/>
      <c r="N260" s="321"/>
      <c r="O260" s="321"/>
    </row>
    <row r="261" spans="2:15">
      <c r="B261" s="204" t="str">
        <f ca="1"/>
        <v>DUANESBURG CSD</v>
      </c>
      <c r="C261" s="206">
        <f>IF(COUNTIF(CONTROL!$B$52:$B$101,'Funding by District'!D157)&gt;=1,"",ROW()-104)</f>
        <v>157</v>
      </c>
      <c r="F261" s="48"/>
      <c r="G261" s="48"/>
      <c r="N261" s="321"/>
      <c r="O261" s="321"/>
    </row>
    <row r="262" spans="2:15">
      <c r="B262" s="204" t="str">
        <f ca="1"/>
        <v>DUNDEE CSD</v>
      </c>
      <c r="C262" s="206">
        <f>IF(COUNTIF(CONTROL!$B$52:$B$101,'Funding by District'!D158)&gt;=1,"",ROW()-104)</f>
        <v>158</v>
      </c>
      <c r="F262" s="48"/>
      <c r="G262" s="48"/>
      <c r="N262" s="321"/>
      <c r="O262" s="321"/>
    </row>
    <row r="263" spans="2:15">
      <c r="B263" s="204" t="str">
        <f ca="1"/>
        <v>DUNKIRK CITY SD</v>
      </c>
      <c r="C263" s="206">
        <f>IF(COUNTIF(CONTROL!$B$52:$B$101,'Funding by District'!D159)&gt;=1,"",ROW()-104)</f>
        <v>159</v>
      </c>
      <c r="F263" s="48"/>
      <c r="G263" s="48"/>
      <c r="N263" s="321"/>
      <c r="O263" s="321"/>
    </row>
    <row r="264" spans="2:15">
      <c r="B264" s="204" t="str">
        <f ca="1"/>
        <v>EAST AURORA UFSD</v>
      </c>
      <c r="C264" s="206">
        <f>IF(COUNTIF(CONTROL!$B$52:$B$101,'Funding by District'!D160)&gt;=1,"",ROW()-104)</f>
        <v>160</v>
      </c>
      <c r="F264" s="48"/>
      <c r="G264" s="48"/>
      <c r="N264" s="321"/>
      <c r="O264" s="321"/>
    </row>
    <row r="265" spans="2:15">
      <c r="B265" s="204" t="str">
        <f ca="1"/>
        <v>EAST BLOOMFIELD CSD</v>
      </c>
      <c r="C265" s="206">
        <f>IF(COUNTIF(CONTROL!$B$52:$B$101,'Funding by District'!D161)&gt;=1,"",ROW()-104)</f>
        <v>161</v>
      </c>
      <c r="F265" s="48"/>
      <c r="G265" s="48"/>
      <c r="N265" s="321"/>
      <c r="O265" s="321"/>
    </row>
    <row r="266" spans="2:15">
      <c r="B266" s="204" t="str">
        <f ca="1"/>
        <v>EAST GREENBUSH CSD</v>
      </c>
      <c r="C266" s="206">
        <f>IF(COUNTIF(CONTROL!$B$52:$B$101,'Funding by District'!D162)&gt;=1,"",ROW()-104)</f>
        <v>162</v>
      </c>
      <c r="F266" s="48"/>
      <c r="G266" s="48"/>
      <c r="N266" s="321"/>
      <c r="O266" s="321"/>
    </row>
    <row r="267" spans="2:15">
      <c r="B267" s="204" t="str">
        <f ca="1"/>
        <v>EAST HAMPTON UFSD</v>
      </c>
      <c r="C267" s="206">
        <f>IF(COUNTIF(CONTROL!$B$52:$B$101,'Funding by District'!D163)&gt;=1,"",ROW()-104)</f>
        <v>163</v>
      </c>
      <c r="F267" s="48"/>
      <c r="G267" s="48"/>
      <c r="N267" s="321"/>
      <c r="O267" s="321"/>
    </row>
    <row r="268" spans="2:15">
      <c r="B268" s="204" t="str">
        <f ca="1"/>
        <v>EAST IRONDEQUOIT CSD</v>
      </c>
      <c r="C268" s="206">
        <f>IF(COUNTIF(CONTROL!$B$52:$B$101,'Funding by District'!D164)&gt;=1,"",ROW()-104)</f>
        <v>164</v>
      </c>
      <c r="F268" s="48"/>
      <c r="G268" s="48"/>
      <c r="N268" s="321"/>
      <c r="O268" s="321"/>
    </row>
    <row r="269" spans="2:15">
      <c r="B269" s="204" t="str">
        <f ca="1"/>
        <v>EAST ISLIP UFSD</v>
      </c>
      <c r="C269" s="206">
        <f>IF(COUNTIF(CONTROL!$B$52:$B$101,'Funding by District'!D165)&gt;=1,"",ROW()-104)</f>
        <v>165</v>
      </c>
      <c r="F269" s="48"/>
      <c r="G269" s="48"/>
      <c r="N269" s="321"/>
      <c r="O269" s="321"/>
    </row>
    <row r="270" spans="2:15">
      <c r="B270" s="204" t="str">
        <f ca="1"/>
        <v>EAST MEADOW UFSD</v>
      </c>
      <c r="C270" s="206">
        <f>IF(COUNTIF(CONTROL!$B$52:$B$101,'Funding by District'!D166)&gt;=1,"",ROW()-104)</f>
        <v>166</v>
      </c>
      <c r="F270" s="48"/>
      <c r="G270" s="48"/>
      <c r="N270" s="321"/>
      <c r="O270" s="321"/>
    </row>
    <row r="271" spans="2:15">
      <c r="B271" s="204" t="str">
        <f ca="1"/>
        <v>EAST MORICHES UFSD</v>
      </c>
      <c r="C271" s="206">
        <f>IF(COUNTIF(CONTROL!$B$52:$B$101,'Funding by District'!D167)&gt;=1,"",ROW()-104)</f>
        <v>167</v>
      </c>
      <c r="F271" s="48"/>
      <c r="G271" s="48"/>
      <c r="N271" s="321"/>
      <c r="O271" s="321"/>
    </row>
    <row r="272" spans="2:15">
      <c r="B272" s="204" t="str">
        <f ca="1"/>
        <v>EAST QUOGUE UFSD</v>
      </c>
      <c r="C272" s="206">
        <f>IF(COUNTIF(CONTROL!$B$52:$B$101,'Funding by District'!D168)&gt;=1,"",ROW()-104)</f>
        <v>168</v>
      </c>
      <c r="F272" s="48"/>
      <c r="G272" s="48"/>
      <c r="N272" s="321"/>
      <c r="O272" s="321"/>
    </row>
    <row r="273" spans="2:15">
      <c r="B273" s="204" t="str">
        <f ca="1"/>
        <v>EAST RAMAPO CSD (SPRING VALLEY)</v>
      </c>
      <c r="C273" s="206">
        <f>IF(COUNTIF(CONTROL!$B$52:$B$101,'Funding by District'!D169)&gt;=1,"",ROW()-104)</f>
        <v>169</v>
      </c>
      <c r="F273" s="48"/>
      <c r="G273" s="48"/>
      <c r="N273" s="321"/>
      <c r="O273" s="321"/>
    </row>
    <row r="274" spans="2:15">
      <c r="B274" s="204" t="str">
        <f ca="1"/>
        <v>EAST ROCHESTER UFSD</v>
      </c>
      <c r="C274" s="206">
        <f>IF(COUNTIF(CONTROL!$B$52:$B$101,'Funding by District'!D170)&gt;=1,"",ROW()-104)</f>
        <v>170</v>
      </c>
      <c r="F274" s="48"/>
      <c r="G274" s="48"/>
      <c r="N274" s="321"/>
      <c r="O274" s="321"/>
    </row>
    <row r="275" spans="2:15">
      <c r="B275" s="204" t="str">
        <f ca="1"/>
        <v>EAST ROCKAWAY UFSD</v>
      </c>
      <c r="C275" s="206">
        <f>IF(COUNTIF(CONTROL!$B$52:$B$101,'Funding by District'!D171)&gt;=1,"",ROW()-104)</f>
        <v>171</v>
      </c>
      <c r="F275" s="48"/>
      <c r="G275" s="48"/>
      <c r="N275" s="321"/>
      <c r="O275" s="321"/>
    </row>
    <row r="276" spans="2:15">
      <c r="B276" s="204" t="str">
        <f ca="1"/>
        <v>EAST SYRACUSE-MINOA CSD</v>
      </c>
      <c r="C276" s="206">
        <f>IF(COUNTIF(CONTROL!$B$52:$B$101,'Funding by District'!D172)&gt;=1,"",ROW()-104)</f>
        <v>172</v>
      </c>
      <c r="F276" s="48"/>
      <c r="G276" s="48"/>
      <c r="N276" s="321"/>
      <c r="O276" s="321"/>
    </row>
    <row r="277" spans="2:15">
      <c r="B277" s="204" t="str">
        <f ca="1"/>
        <v>EAST WILLISTON UFSD</v>
      </c>
      <c r="C277" s="206">
        <f>IF(COUNTIF(CONTROL!$B$52:$B$101,'Funding by District'!D173)&gt;=1,"",ROW()-104)</f>
        <v>173</v>
      </c>
      <c r="F277" s="48"/>
      <c r="G277" s="48"/>
      <c r="N277" s="321"/>
      <c r="O277" s="321"/>
    </row>
    <row r="278" spans="2:15">
      <c r="B278" s="204" t="str">
        <f ca="1"/>
        <v>EASTCHESTER UFSD</v>
      </c>
      <c r="C278" s="206">
        <f>IF(COUNTIF(CONTROL!$B$52:$B$101,'Funding by District'!D174)&gt;=1,"",ROW()-104)</f>
        <v>174</v>
      </c>
      <c r="F278" s="48"/>
      <c r="G278" s="48"/>
      <c r="N278" s="321"/>
      <c r="O278" s="321"/>
    </row>
    <row r="279" spans="2:15">
      <c r="B279" s="204" t="str">
        <f ca="1"/>
        <v>EASTPORT-SOUTH MANOR CSD</v>
      </c>
      <c r="C279" s="206">
        <f>IF(COUNTIF(CONTROL!$B$52:$B$101,'Funding by District'!D175)&gt;=1,"",ROW()-104)</f>
        <v>175</v>
      </c>
      <c r="F279" s="48"/>
      <c r="G279" s="48"/>
      <c r="N279" s="321"/>
      <c r="O279" s="321"/>
    </row>
    <row r="280" spans="2:15">
      <c r="B280" s="204" t="str">
        <f ca="1"/>
        <v>EDEN CSD</v>
      </c>
      <c r="C280" s="206">
        <f>IF(COUNTIF(CONTROL!$B$52:$B$101,'Funding by District'!D176)&gt;=1,"",ROW()-104)</f>
        <v>176</v>
      </c>
      <c r="F280" s="48"/>
      <c r="G280" s="48"/>
      <c r="N280" s="321"/>
      <c r="O280" s="321"/>
    </row>
    <row r="281" spans="2:15">
      <c r="B281" s="204" t="str">
        <f ca="1"/>
        <v>EDGEMONT UFSD</v>
      </c>
      <c r="C281" s="206">
        <f>IF(COUNTIF(CONTROL!$B$52:$B$101,'Funding by District'!D177)&gt;=1,"",ROW()-104)</f>
        <v>177</v>
      </c>
      <c r="F281" s="48"/>
      <c r="G281" s="48"/>
      <c r="N281" s="321"/>
      <c r="O281" s="321"/>
    </row>
    <row r="282" spans="2:15">
      <c r="B282" s="204" t="str">
        <f ca="1"/>
        <v>EDINBURG COMMON SD</v>
      </c>
      <c r="C282" s="206">
        <f>IF(COUNTIF(CONTROL!$B$52:$B$101,'Funding by District'!D178)&gt;=1,"",ROW()-104)</f>
        <v>178</v>
      </c>
      <c r="F282" s="48"/>
      <c r="G282" s="48"/>
      <c r="N282" s="321"/>
      <c r="O282" s="321"/>
    </row>
    <row r="283" spans="2:15">
      <c r="B283" s="204" t="str">
        <f ca="1"/>
        <v>EDMESTON CSD</v>
      </c>
      <c r="C283" s="206">
        <f>IF(COUNTIF(CONTROL!$B$52:$B$101,'Funding by District'!D179)&gt;=1,"",ROW()-104)</f>
        <v>179</v>
      </c>
      <c r="F283" s="48"/>
      <c r="G283" s="48"/>
      <c r="N283" s="321"/>
      <c r="O283" s="321"/>
    </row>
    <row r="284" spans="2:15">
      <c r="B284" s="204" t="str">
        <f ca="1"/>
        <v>EDWARDS-KNOX CSD</v>
      </c>
      <c r="C284" s="206">
        <f>IF(COUNTIF(CONTROL!$B$52:$B$101,'Funding by District'!D180)&gt;=1,"",ROW()-104)</f>
        <v>180</v>
      </c>
      <c r="F284" s="48"/>
      <c r="G284" s="48"/>
      <c r="N284" s="321"/>
      <c r="O284" s="321"/>
    </row>
    <row r="285" spans="2:15">
      <c r="B285" s="204" t="str">
        <f ca="1"/>
        <v>ELBA CSD</v>
      </c>
      <c r="C285" s="206">
        <f>IF(COUNTIF(CONTROL!$B$52:$B$101,'Funding by District'!D181)&gt;=1,"",ROW()-104)</f>
        <v>181</v>
      </c>
      <c r="F285" s="48"/>
      <c r="G285" s="48"/>
      <c r="N285" s="321"/>
      <c r="O285" s="321"/>
    </row>
    <row r="286" spans="2:15">
      <c r="B286" s="204" t="str">
        <f ca="1"/>
        <v>ELDRED CSD</v>
      </c>
      <c r="C286" s="206">
        <f>IF(COUNTIF(CONTROL!$B$52:$B$101,'Funding by District'!D182)&gt;=1,"",ROW()-104)</f>
        <v>182</v>
      </c>
      <c r="F286" s="48"/>
      <c r="G286" s="48"/>
      <c r="N286" s="321"/>
      <c r="O286" s="321"/>
    </row>
    <row r="287" spans="2:15">
      <c r="B287" s="204" t="str">
        <f ca="1"/>
        <v>ELIZABETHTOWN-LEWIS CSD</v>
      </c>
      <c r="C287" s="206">
        <f>IF(COUNTIF(CONTROL!$B$52:$B$101,'Funding by District'!D183)&gt;=1,"",ROW()-104)</f>
        <v>183</v>
      </c>
      <c r="F287" s="48"/>
      <c r="G287" s="48"/>
      <c r="N287" s="321"/>
      <c r="O287" s="321"/>
    </row>
    <row r="288" spans="2:15">
      <c r="B288" s="204" t="str">
        <f ca="1"/>
        <v>ELLENVILLE CSD</v>
      </c>
      <c r="C288" s="206">
        <f>IF(COUNTIF(CONTROL!$B$52:$B$101,'Funding by District'!D184)&gt;=1,"",ROW()-104)</f>
        <v>184</v>
      </c>
      <c r="F288" s="48"/>
      <c r="G288" s="48"/>
      <c r="N288" s="321"/>
      <c r="O288" s="321"/>
    </row>
    <row r="289" spans="2:15">
      <c r="B289" s="204" t="str">
        <f ca="1"/>
        <v>ELLICOTTVILLE CSD</v>
      </c>
      <c r="C289" s="206">
        <f>IF(COUNTIF(CONTROL!$B$52:$B$101,'Funding by District'!D185)&gt;=1,"",ROW()-104)</f>
        <v>185</v>
      </c>
      <c r="F289" s="48"/>
      <c r="G289" s="48"/>
      <c r="N289" s="321"/>
      <c r="O289" s="321"/>
    </row>
    <row r="290" spans="2:15">
      <c r="B290" s="204" t="str">
        <f ca="1"/>
        <v>ELMIRA CITY SD</v>
      </c>
      <c r="C290" s="206">
        <f>IF(COUNTIF(CONTROL!$B$52:$B$101,'Funding by District'!D186)&gt;=1,"",ROW()-104)</f>
        <v>186</v>
      </c>
      <c r="F290" s="48"/>
      <c r="G290" s="48"/>
      <c r="N290" s="321"/>
      <c r="O290" s="321"/>
    </row>
    <row r="291" spans="2:15">
      <c r="B291" s="204" t="str">
        <f ca="1"/>
        <v>ELMIRA HEIGHTS CSD</v>
      </c>
      <c r="C291" s="206">
        <f>IF(COUNTIF(CONTROL!$B$52:$B$101,'Funding by District'!D187)&gt;=1,"",ROW()-104)</f>
        <v>187</v>
      </c>
      <c r="F291" s="48"/>
      <c r="G291" s="48"/>
      <c r="N291" s="321"/>
      <c r="O291" s="321"/>
    </row>
    <row r="292" spans="2:15">
      <c r="B292" s="204" t="str">
        <f ca="1"/>
        <v>ELMONT UFSD</v>
      </c>
      <c r="C292" s="206">
        <f>IF(COUNTIF(CONTROL!$B$52:$B$101,'Funding by District'!D188)&gt;=1,"",ROW()-104)</f>
        <v>188</v>
      </c>
      <c r="F292" s="48"/>
      <c r="G292" s="48"/>
      <c r="N292" s="321"/>
      <c r="O292" s="321"/>
    </row>
    <row r="293" spans="2:15">
      <c r="B293" s="204" t="str">
        <f ca="1"/>
        <v>ELMSFORD UFSD</v>
      </c>
      <c r="C293" s="206">
        <f>IF(COUNTIF(CONTROL!$B$52:$B$101,'Funding by District'!D189)&gt;=1,"",ROW()-104)</f>
        <v>189</v>
      </c>
      <c r="F293" s="48"/>
      <c r="G293" s="48"/>
      <c r="N293" s="321"/>
      <c r="O293" s="321"/>
    </row>
    <row r="294" spans="2:15">
      <c r="B294" s="204" t="str">
        <f ca="1"/>
        <v>ELWOOD UFSD</v>
      </c>
      <c r="C294" s="206">
        <f>IF(COUNTIF(CONTROL!$B$52:$B$101,'Funding by District'!D190)&gt;=1,"",ROW()-104)</f>
        <v>190</v>
      </c>
      <c r="F294" s="48"/>
      <c r="G294" s="48"/>
      <c r="N294" s="321"/>
      <c r="O294" s="321"/>
    </row>
    <row r="295" spans="2:15">
      <c r="B295" s="204" t="str">
        <f ca="1"/>
        <v>EVANS-BRANT CSD (LAKE SHORE)</v>
      </c>
      <c r="C295" s="206">
        <f>IF(COUNTIF(CONTROL!$B$52:$B$101,'Funding by District'!D191)&gt;=1,"",ROW()-104)</f>
        <v>191</v>
      </c>
      <c r="F295" s="48"/>
      <c r="G295" s="48"/>
      <c r="N295" s="321"/>
      <c r="O295" s="321"/>
    </row>
    <row r="296" spans="2:15">
      <c r="B296" s="204" t="str">
        <f ca="1"/>
        <v>FABIUS-POMPEY CSD</v>
      </c>
      <c r="C296" s="206">
        <f>IF(COUNTIF(CONTROL!$B$52:$B$101,'Funding by District'!D192)&gt;=1,"",ROW()-104)</f>
        <v>192</v>
      </c>
      <c r="F296" s="48"/>
      <c r="G296" s="48"/>
      <c r="N296" s="321"/>
      <c r="O296" s="321"/>
    </row>
    <row r="297" spans="2:15">
      <c r="B297" s="204" t="str">
        <f ca="1"/>
        <v>FAIRPORT CSD</v>
      </c>
      <c r="C297" s="206">
        <f>IF(COUNTIF(CONTROL!$B$52:$B$101,'Funding by District'!D193)&gt;=1,"",ROW()-104)</f>
        <v>193</v>
      </c>
      <c r="F297" s="48"/>
      <c r="G297" s="48"/>
      <c r="N297" s="321"/>
      <c r="O297" s="321"/>
    </row>
    <row r="298" spans="2:15">
      <c r="B298" s="204" t="str">
        <f ca="1"/>
        <v>FALCONER CSD</v>
      </c>
      <c r="C298" s="206">
        <f>IF(COUNTIF(CONTROL!$B$52:$B$101,'Funding by District'!D194)&gt;=1,"",ROW()-104)</f>
        <v>194</v>
      </c>
      <c r="F298" s="48"/>
      <c r="G298" s="48"/>
      <c r="N298" s="321"/>
      <c r="O298" s="321"/>
    </row>
    <row r="299" spans="2:15">
      <c r="B299" s="204" t="str">
        <f ca="1"/>
        <v>FALLSBURG CSD</v>
      </c>
      <c r="C299" s="206">
        <f>IF(COUNTIF(CONTROL!$B$52:$B$101,'Funding by District'!D195)&gt;=1,"",ROW()-104)</f>
        <v>195</v>
      </c>
      <c r="F299" s="48"/>
      <c r="G299" s="48"/>
      <c r="N299" s="321"/>
      <c r="O299" s="321"/>
    </row>
    <row r="300" spans="2:15">
      <c r="B300" s="204" t="str">
        <f ca="1"/>
        <v>FARMINGDALE UFSD</v>
      </c>
      <c r="C300" s="206">
        <f>IF(COUNTIF(CONTROL!$B$52:$B$101,'Funding by District'!D196)&gt;=1,"",ROW()-104)</f>
        <v>196</v>
      </c>
      <c r="F300" s="48"/>
      <c r="G300" s="48"/>
      <c r="N300" s="321"/>
      <c r="O300" s="321"/>
    </row>
    <row r="301" spans="2:15">
      <c r="B301" s="204" t="str">
        <f ca="1"/>
        <v>FAYETTEVILLE-MANLIUS CSD</v>
      </c>
      <c r="C301" s="206">
        <f>IF(COUNTIF(CONTROL!$B$52:$B$101,'Funding by District'!D197)&gt;=1,"",ROW()-104)</f>
        <v>197</v>
      </c>
      <c r="F301" s="48"/>
      <c r="G301" s="48"/>
      <c r="N301" s="321"/>
      <c r="O301" s="321"/>
    </row>
    <row r="302" spans="2:15">
      <c r="B302" s="204" t="str">
        <f ca="1"/>
        <v>FILLMORE CSD</v>
      </c>
      <c r="C302" s="206">
        <f>IF(COUNTIF(CONTROL!$B$52:$B$101,'Funding by District'!D198)&gt;=1,"",ROW()-104)</f>
        <v>198</v>
      </c>
      <c r="F302" s="48"/>
      <c r="G302" s="48"/>
      <c r="N302" s="321"/>
      <c r="O302" s="321"/>
    </row>
    <row r="303" spans="2:15">
      <c r="B303" s="204" t="str">
        <f ca="1"/>
        <v>FIRE ISLAND UFSD</v>
      </c>
      <c r="C303" s="206">
        <f>IF(COUNTIF(CONTROL!$B$52:$B$101,'Funding by District'!D199)&gt;=1,"",ROW()-104)</f>
        <v>199</v>
      </c>
      <c r="G303" s="48"/>
      <c r="N303" s="321"/>
      <c r="O303" s="321"/>
    </row>
    <row r="304" spans="2:15">
      <c r="B304" s="204" t="str">
        <f ca="1"/>
        <v>FISHERS ISLAND UFSD</v>
      </c>
      <c r="C304" s="206">
        <f>IF(COUNTIF(CONTROL!$B$52:$B$101,'Funding by District'!D200)&gt;=1,"",ROW()-104)</f>
        <v>200</v>
      </c>
      <c r="G304" s="48"/>
      <c r="N304" s="321"/>
      <c r="O304" s="321"/>
    </row>
    <row r="305" spans="2:15">
      <c r="B305" s="204" t="str">
        <f ca="1"/>
        <v>FLORAL PARK-BELLEROSE UFSD</v>
      </c>
      <c r="C305" s="206">
        <f>IF(COUNTIF(CONTROL!$B$52:$B$101,'Funding by District'!D201)&gt;=1,"",ROW()-104)</f>
        <v>201</v>
      </c>
      <c r="G305" s="48"/>
      <c r="N305" s="321"/>
      <c r="O305" s="321"/>
    </row>
    <row r="306" spans="2:15">
      <c r="B306" s="204" t="str">
        <f ca="1"/>
        <v>FLORIDA UFSD</v>
      </c>
      <c r="C306" s="206">
        <f>IF(COUNTIF(CONTROL!$B$52:$B$101,'Funding by District'!D202)&gt;=1,"",ROW()-104)</f>
        <v>202</v>
      </c>
      <c r="G306" s="48"/>
      <c r="N306" s="321"/>
      <c r="O306" s="321"/>
    </row>
    <row r="307" spans="2:15">
      <c r="B307" s="204" t="str">
        <f ca="1"/>
        <v>FONDA-FULTONVILLE CSD</v>
      </c>
      <c r="C307" s="206">
        <f>IF(COUNTIF(CONTROL!$B$52:$B$101,'Funding by District'!D203)&gt;=1,"",ROW()-104)</f>
        <v>203</v>
      </c>
      <c r="G307" s="48"/>
      <c r="N307" s="321"/>
      <c r="O307" s="321"/>
    </row>
    <row r="308" spans="2:15">
      <c r="B308" s="204" t="str">
        <f ca="1"/>
        <v>FORESTVILLE CSD</v>
      </c>
      <c r="C308" s="206">
        <f>IF(COUNTIF(CONTROL!$B$52:$B$101,'Funding by District'!D204)&gt;=1,"",ROW()-104)</f>
        <v>204</v>
      </c>
      <c r="G308" s="48"/>
      <c r="N308" s="321"/>
      <c r="O308" s="321"/>
    </row>
    <row r="309" spans="2:15">
      <c r="B309" s="204" t="str">
        <f ca="1"/>
        <v>FORT ANN CSD</v>
      </c>
      <c r="C309" s="206">
        <f>IF(COUNTIF(CONTROL!$B$52:$B$101,'Funding by District'!D205)&gt;=1,"",ROW()-104)</f>
        <v>205</v>
      </c>
      <c r="G309" s="48"/>
      <c r="N309" s="321"/>
      <c r="O309" s="321"/>
    </row>
    <row r="310" spans="2:15">
      <c r="B310" s="204" t="str">
        <f ca="1"/>
        <v>FORT EDWARD UFSD</v>
      </c>
      <c r="C310" s="206">
        <f>IF(COUNTIF(CONTROL!$B$52:$B$101,'Funding by District'!D206)&gt;=1,"",ROW()-104)</f>
        <v>206</v>
      </c>
      <c r="G310" s="48"/>
      <c r="N310" s="321"/>
      <c r="O310" s="321"/>
    </row>
    <row r="311" spans="2:15">
      <c r="B311" s="204" t="str">
        <f ca="1"/>
        <v>FORT PLAIN CSD</v>
      </c>
      <c r="C311" s="206">
        <f>IF(COUNTIF(CONTROL!$B$52:$B$101,'Funding by District'!D207)&gt;=1,"",ROW()-104)</f>
        <v>207</v>
      </c>
      <c r="G311" s="48"/>
      <c r="N311" s="321"/>
      <c r="O311" s="321"/>
    </row>
    <row r="312" spans="2:15">
      <c r="B312" s="204" t="str">
        <f ca="1"/>
        <v>FRANKFORT-SCHUYLER CSD</v>
      </c>
      <c r="C312" s="206">
        <f>IF(COUNTIF(CONTROL!$B$52:$B$101,'Funding by District'!D208)&gt;=1,"",ROW()-104)</f>
        <v>208</v>
      </c>
      <c r="G312" s="48"/>
      <c r="N312" s="321"/>
      <c r="O312" s="321"/>
    </row>
    <row r="313" spans="2:15">
      <c r="B313" s="204" t="str">
        <f ca="1"/>
        <v>FRANKLIN CSD</v>
      </c>
      <c r="C313" s="206">
        <f>IF(COUNTIF(CONTROL!$B$52:$B$101,'Funding by District'!D209)&gt;=1,"",ROW()-104)</f>
        <v>209</v>
      </c>
      <c r="G313" s="48"/>
      <c r="N313" s="321"/>
      <c r="O313" s="321"/>
    </row>
    <row r="314" spans="2:15">
      <c r="B314" s="204" t="str">
        <f ca="1"/>
        <v>FRANKLIN SQUARE UFSD</v>
      </c>
      <c r="C314" s="206">
        <f>IF(COUNTIF(CONTROL!$B$52:$B$101,'Funding by District'!D210)&gt;=1,"",ROW()-104)</f>
        <v>210</v>
      </c>
      <c r="G314" s="48"/>
      <c r="N314" s="321"/>
      <c r="O314" s="321"/>
    </row>
    <row r="315" spans="2:15">
      <c r="B315" s="204" t="str">
        <f ca="1"/>
        <v>FRANKLINVILLE CSD</v>
      </c>
      <c r="C315" s="206">
        <f>IF(COUNTIF(CONTROL!$B$52:$B$101,'Funding by District'!D211)&gt;=1,"",ROW()-104)</f>
        <v>211</v>
      </c>
      <c r="G315" s="48"/>
      <c r="N315" s="321"/>
      <c r="O315" s="321"/>
    </row>
    <row r="316" spans="2:15">
      <c r="B316" s="204" t="str">
        <f ca="1"/>
        <v>FREDONIA CSD</v>
      </c>
      <c r="C316" s="206">
        <f>IF(COUNTIF(CONTROL!$B$52:$B$101,'Funding by District'!D212)&gt;=1,"",ROW()-104)</f>
        <v>212</v>
      </c>
      <c r="G316" s="48"/>
      <c r="N316" s="321"/>
      <c r="O316" s="321"/>
    </row>
    <row r="317" spans="2:15">
      <c r="B317" s="204" t="str">
        <f ca="1"/>
        <v>FREEPORT UFSD</v>
      </c>
      <c r="C317" s="206">
        <f>IF(COUNTIF(CONTROL!$B$52:$B$101,'Funding by District'!D213)&gt;=1,"",ROW()-104)</f>
        <v>213</v>
      </c>
      <c r="G317" s="48"/>
      <c r="N317" s="321"/>
      <c r="O317" s="321"/>
    </row>
    <row r="318" spans="2:15">
      <c r="B318" s="204" t="str">
        <f ca="1"/>
        <v>FREWSBURG CSD</v>
      </c>
      <c r="C318" s="206">
        <f>IF(COUNTIF(CONTROL!$B$52:$B$101,'Funding by District'!D214)&gt;=1,"",ROW()-104)</f>
        <v>214</v>
      </c>
      <c r="G318" s="48"/>
      <c r="N318" s="321"/>
      <c r="O318" s="321"/>
    </row>
    <row r="319" spans="2:15">
      <c r="B319" s="204" t="str">
        <f ca="1"/>
        <v>FRIENDSHIP CSD</v>
      </c>
      <c r="C319" s="206">
        <f>IF(COUNTIF(CONTROL!$B$52:$B$101,'Funding by District'!D215)&gt;=1,"",ROW()-104)</f>
        <v>215</v>
      </c>
      <c r="G319" s="48"/>
      <c r="N319" s="321"/>
      <c r="O319" s="321"/>
    </row>
    <row r="320" spans="2:15">
      <c r="B320" s="204" t="str">
        <f ca="1"/>
        <v>FRONTIER CSD</v>
      </c>
      <c r="C320" s="206">
        <f>IF(COUNTIF(CONTROL!$B$52:$B$101,'Funding by District'!D216)&gt;=1,"",ROW()-104)</f>
        <v>216</v>
      </c>
      <c r="G320" s="48"/>
      <c r="N320" s="321"/>
      <c r="O320" s="321"/>
    </row>
    <row r="321" spans="2:15">
      <c r="B321" s="204" t="str">
        <f ca="1"/>
        <v>FULTON CITY SD</v>
      </c>
      <c r="C321" s="206">
        <f>IF(COUNTIF(CONTROL!$B$52:$B$101,'Funding by District'!D217)&gt;=1,"",ROW()-104)</f>
        <v>217</v>
      </c>
      <c r="G321" s="48"/>
      <c r="N321" s="321"/>
      <c r="O321" s="321"/>
    </row>
    <row r="322" spans="2:15">
      <c r="B322" s="204" t="str">
        <f ca="1"/>
        <v>GALWAY CSD</v>
      </c>
      <c r="C322" s="206">
        <f>IF(COUNTIF(CONTROL!$B$52:$B$101,'Funding by District'!D218)&gt;=1,"",ROW()-104)</f>
        <v>218</v>
      </c>
      <c r="G322" s="48"/>
      <c r="N322" s="321"/>
      <c r="O322" s="321"/>
    </row>
    <row r="323" spans="2:15">
      <c r="B323" s="204" t="str">
        <f ca="1"/>
        <v>GANANDA CSD</v>
      </c>
      <c r="C323" s="206">
        <f>IF(COUNTIF(CONTROL!$B$52:$B$101,'Funding by District'!D219)&gt;=1,"",ROW()-104)</f>
        <v>219</v>
      </c>
      <c r="G323" s="48"/>
      <c r="N323" s="321"/>
      <c r="O323" s="321"/>
    </row>
    <row r="324" spans="2:15">
      <c r="B324" s="204" t="str">
        <f ca="1"/>
        <v>GARDEN CITY UFSD</v>
      </c>
      <c r="C324" s="206">
        <f>IF(COUNTIF(CONTROL!$B$52:$B$101,'Funding by District'!D220)&gt;=1,"",ROW()-104)</f>
        <v>220</v>
      </c>
      <c r="G324" s="48"/>
      <c r="N324" s="321"/>
      <c r="O324" s="321"/>
    </row>
    <row r="325" spans="2:15">
      <c r="B325" s="204" t="str">
        <f ca="1"/>
        <v>GARRISON UFSD</v>
      </c>
      <c r="C325" s="206">
        <f>IF(COUNTIF(CONTROL!$B$52:$B$101,'Funding by District'!D221)&gt;=1,"",ROW()-104)</f>
        <v>221</v>
      </c>
      <c r="G325" s="48"/>
      <c r="N325" s="321"/>
      <c r="O325" s="321"/>
    </row>
    <row r="326" spans="2:15">
      <c r="B326" s="204" t="str">
        <f ca="1"/>
        <v>GATES-CHILI CSD</v>
      </c>
      <c r="C326" s="206">
        <f>IF(COUNTIF(CONTROL!$B$52:$B$101,'Funding by District'!D222)&gt;=1,"",ROW()-104)</f>
        <v>222</v>
      </c>
      <c r="G326" s="48"/>
      <c r="N326" s="321"/>
      <c r="O326" s="321"/>
    </row>
    <row r="327" spans="2:15">
      <c r="B327" s="204" t="str">
        <f ca="1"/>
        <v>GENERAL BROWN CSD</v>
      </c>
      <c r="C327" s="206">
        <f>IF(COUNTIF(CONTROL!$B$52:$B$101,'Funding by District'!D223)&gt;=1,"",ROW()-104)</f>
        <v>223</v>
      </c>
      <c r="G327" s="48"/>
      <c r="N327" s="321"/>
      <c r="O327" s="321"/>
    </row>
    <row r="328" spans="2:15">
      <c r="B328" s="204" t="str">
        <f ca="1"/>
        <v>GENESEE VALLEY CSD</v>
      </c>
      <c r="C328" s="206">
        <f>IF(COUNTIF(CONTROL!$B$52:$B$101,'Funding by District'!D224)&gt;=1,"",ROW()-104)</f>
        <v>224</v>
      </c>
      <c r="G328" s="48"/>
      <c r="N328" s="321"/>
      <c r="O328" s="321"/>
    </row>
    <row r="329" spans="2:15">
      <c r="B329" s="204" t="str">
        <f ca="1"/>
        <v>GENESEO CSD</v>
      </c>
      <c r="C329" s="206">
        <f>IF(COUNTIF(CONTROL!$B$52:$B$101,'Funding by District'!D225)&gt;=1,"",ROW()-104)</f>
        <v>225</v>
      </c>
      <c r="G329" s="48"/>
      <c r="N329" s="321"/>
      <c r="O329" s="321"/>
    </row>
    <row r="330" spans="2:15">
      <c r="B330" s="204" t="str">
        <f ca="1"/>
        <v>GENEVA CITY SD</v>
      </c>
      <c r="C330" s="206">
        <f>IF(COUNTIF(CONTROL!$B$52:$B$101,'Funding by District'!D226)&gt;=1,"",ROW()-104)</f>
        <v>226</v>
      </c>
      <c r="G330" s="48"/>
      <c r="N330" s="321"/>
      <c r="O330" s="321"/>
    </row>
    <row r="331" spans="2:15">
      <c r="B331" s="204" t="str">
        <f ca="1"/>
        <v>GEORGETOWN-SOUTH OTSELIC CSD</v>
      </c>
      <c r="C331" s="206">
        <f>IF(COUNTIF(CONTROL!$B$52:$B$101,'Funding by District'!D227)&gt;=1,"",ROW()-104)</f>
        <v>227</v>
      </c>
      <c r="G331" s="48"/>
      <c r="N331" s="321"/>
      <c r="O331" s="321"/>
    </row>
    <row r="332" spans="2:15">
      <c r="B332" s="204" t="str">
        <f ca="1"/>
        <v>GERMANTOWN CSD</v>
      </c>
      <c r="C332" s="206">
        <f>IF(COUNTIF(CONTROL!$B$52:$B$101,'Funding by District'!D228)&gt;=1,"",ROW()-104)</f>
        <v>228</v>
      </c>
      <c r="G332" s="48"/>
      <c r="N332" s="321"/>
      <c r="O332" s="321"/>
    </row>
    <row r="333" spans="2:15">
      <c r="B333" s="204" t="str">
        <f ca="1"/>
        <v>GILBERTSVILLE-MOUNT UPTON CSD</v>
      </c>
      <c r="C333" s="206">
        <f>IF(COUNTIF(CONTROL!$B$52:$B$101,'Funding by District'!D229)&gt;=1,"",ROW()-104)</f>
        <v>229</v>
      </c>
      <c r="G333" s="48"/>
      <c r="N333" s="321"/>
      <c r="O333" s="321"/>
    </row>
    <row r="334" spans="2:15">
      <c r="B334" s="204" t="str">
        <f ca="1"/>
        <v>GILBOA-CONESVILLE CSD</v>
      </c>
      <c r="C334" s="206">
        <f>IF(COUNTIF(CONTROL!$B$52:$B$101,'Funding by District'!D230)&gt;=1,"",ROW()-104)</f>
        <v>230</v>
      </c>
      <c r="G334" s="48"/>
      <c r="N334" s="321"/>
      <c r="O334" s="321"/>
    </row>
    <row r="335" spans="2:15">
      <c r="B335" s="204" t="str">
        <f ca="1"/>
        <v>GLEN COVE CITY SD</v>
      </c>
      <c r="C335" s="206">
        <f>IF(COUNTIF(CONTROL!$B$52:$B$101,'Funding by District'!D231)&gt;=1,"",ROW()-104)</f>
        <v>231</v>
      </c>
      <c r="G335" s="48"/>
      <c r="N335" s="321"/>
      <c r="O335" s="321"/>
    </row>
    <row r="336" spans="2:15">
      <c r="B336" s="204" t="str">
        <f ca="1"/>
        <v>GLENS FALLS CITY SD</v>
      </c>
      <c r="C336" s="206">
        <f>IF(COUNTIF(CONTROL!$B$52:$B$101,'Funding by District'!D232)&gt;=1,"",ROW()-104)</f>
        <v>232</v>
      </c>
      <c r="G336" s="48"/>
      <c r="N336" s="321"/>
      <c r="O336" s="321"/>
    </row>
    <row r="337" spans="2:15">
      <c r="B337" s="204" t="str">
        <f ca="1"/>
        <v>GLENS FALLS COMN SD</v>
      </c>
      <c r="C337" s="206">
        <f>IF(COUNTIF(CONTROL!$B$52:$B$101,'Funding by District'!D233)&gt;=1,"",ROW()-104)</f>
        <v>233</v>
      </c>
      <c r="G337" s="48"/>
      <c r="N337" s="321"/>
      <c r="O337" s="321"/>
    </row>
    <row r="338" spans="2:15">
      <c r="B338" s="204" t="str">
        <f ca="1"/>
        <v>GLOVERSVILLE CITY SD</v>
      </c>
      <c r="C338" s="206">
        <f>IF(COUNTIF(CONTROL!$B$52:$B$101,'Funding by District'!D234)&gt;=1,"",ROW()-104)</f>
        <v>234</v>
      </c>
      <c r="G338" s="48"/>
      <c r="N338" s="321"/>
      <c r="O338" s="321"/>
    </row>
    <row r="339" spans="2:15">
      <c r="B339" s="204" t="str">
        <f ca="1"/>
        <v>GORHAM-MIDDLESEX CSD (MARCUS WHITMAN</v>
      </c>
      <c r="C339" s="206">
        <f>IF(COUNTIF(CONTROL!$B$52:$B$101,'Funding by District'!D235)&gt;=1,"",ROW()-104)</f>
        <v>235</v>
      </c>
      <c r="G339" s="48"/>
      <c r="N339" s="321"/>
      <c r="O339" s="321"/>
    </row>
    <row r="340" spans="2:15">
      <c r="B340" s="204" t="str">
        <f ca="1"/>
        <v>GOSHEN CSD</v>
      </c>
      <c r="C340" s="206">
        <f>IF(COUNTIF(CONTROL!$B$52:$B$101,'Funding by District'!D236)&gt;=1,"",ROW()-104)</f>
        <v>236</v>
      </c>
      <c r="G340" s="48"/>
      <c r="N340" s="321"/>
      <c r="O340" s="321"/>
    </row>
    <row r="341" spans="2:15">
      <c r="B341" s="204" t="str">
        <f ca="1"/>
        <v>GOUVERNEUR CSD</v>
      </c>
      <c r="C341" s="206">
        <f>IF(COUNTIF(CONTROL!$B$52:$B$101,'Funding by District'!D237)&gt;=1,"",ROW()-104)</f>
        <v>237</v>
      </c>
      <c r="G341" s="48"/>
      <c r="N341" s="321"/>
      <c r="O341" s="321"/>
    </row>
    <row r="342" spans="2:15">
      <c r="B342" s="204" t="str">
        <f ca="1"/>
        <v>GOWANDA CSD</v>
      </c>
      <c r="C342" s="206">
        <f>IF(COUNTIF(CONTROL!$B$52:$B$101,'Funding by District'!D238)&gt;=1,"",ROW()-104)</f>
        <v>238</v>
      </c>
      <c r="G342" s="48"/>
      <c r="N342" s="321"/>
      <c r="O342" s="321"/>
    </row>
    <row r="343" spans="2:15">
      <c r="B343" s="204" t="str">
        <f ca="1"/>
        <v>GRAND ISLAND CSD</v>
      </c>
      <c r="C343" s="206">
        <f>IF(COUNTIF(CONTROL!$B$52:$B$101,'Funding by District'!D239)&gt;=1,"",ROW()-104)</f>
        <v>239</v>
      </c>
      <c r="G343" s="48"/>
      <c r="N343" s="321"/>
      <c r="O343" s="321"/>
    </row>
    <row r="344" spans="2:15">
      <c r="B344" s="204" t="str">
        <f ca="1"/>
        <v>GRANVILLE CSD</v>
      </c>
      <c r="C344" s="206">
        <f>IF(COUNTIF(CONTROL!$B$52:$B$101,'Funding by District'!D240)&gt;=1,"",ROW()-104)</f>
        <v>240</v>
      </c>
      <c r="G344" s="48"/>
      <c r="N344" s="321"/>
      <c r="O344" s="321"/>
    </row>
    <row r="345" spans="2:15">
      <c r="B345" s="204" t="str">
        <f ca="1"/>
        <v>GREAT NECK UFSD</v>
      </c>
      <c r="C345" s="206">
        <f>IF(COUNTIF(CONTROL!$B$52:$B$101,'Funding by District'!D241)&gt;=1,"",ROW()-104)</f>
        <v>241</v>
      </c>
      <c r="G345" s="48"/>
      <c r="N345" s="321"/>
      <c r="O345" s="321"/>
    </row>
    <row r="346" spans="2:15">
      <c r="B346" s="204" t="str">
        <f ca="1"/>
        <v>GREECE CSD</v>
      </c>
      <c r="C346" s="206">
        <f>IF(COUNTIF(CONTROL!$B$52:$B$101,'Funding by District'!D242)&gt;=1,"",ROW()-104)</f>
        <v>242</v>
      </c>
      <c r="G346" s="48"/>
      <c r="N346" s="321"/>
      <c r="O346" s="321"/>
    </row>
    <row r="347" spans="2:15">
      <c r="B347" s="204" t="str">
        <f ca="1"/>
        <v>GREEN ISLAND UFSD</v>
      </c>
      <c r="C347" s="206">
        <f>IF(COUNTIF(CONTROL!$B$52:$B$101,'Funding by District'!D243)&gt;=1,"",ROW()-104)</f>
        <v>243</v>
      </c>
      <c r="G347" s="48"/>
      <c r="N347" s="321"/>
      <c r="O347" s="321"/>
    </row>
    <row r="348" spans="2:15">
      <c r="B348" s="204" t="str">
        <f ca="1"/>
        <v>GREENBURGH CSD</v>
      </c>
      <c r="C348" s="206">
        <f>IF(COUNTIF(CONTROL!$B$52:$B$101,'Funding by District'!D244)&gt;=1,"",ROW()-104)</f>
        <v>244</v>
      </c>
      <c r="G348" s="48"/>
      <c r="N348" s="321"/>
      <c r="O348" s="321"/>
    </row>
    <row r="349" spans="2:15">
      <c r="B349" s="204" t="str">
        <f ca="1"/>
        <v>GREENE CSD</v>
      </c>
      <c r="C349" s="206">
        <f>IF(COUNTIF(CONTROL!$B$52:$B$101,'Funding by District'!D245)&gt;=1,"",ROW()-104)</f>
        <v>245</v>
      </c>
      <c r="G349" s="48"/>
      <c r="N349" s="321"/>
      <c r="O349" s="321"/>
    </row>
    <row r="350" spans="2:15">
      <c r="B350" s="204" t="str">
        <f ca="1"/>
        <v>GREENPORT UFSD</v>
      </c>
      <c r="C350" s="206">
        <f>IF(COUNTIF(CONTROL!$B$52:$B$101,'Funding by District'!D246)&gt;=1,"",ROW()-104)</f>
        <v>246</v>
      </c>
      <c r="G350" s="48"/>
      <c r="N350" s="321"/>
      <c r="O350" s="321"/>
    </row>
    <row r="351" spans="2:15">
      <c r="B351" s="204" t="str">
        <f ca="1"/>
        <v>GREENVILLE CSD</v>
      </c>
      <c r="C351" s="206">
        <f>IF(COUNTIF(CONTROL!$B$52:$B$101,'Funding by District'!D247)&gt;=1,"",ROW()-104)</f>
        <v>247</v>
      </c>
      <c r="G351" s="48"/>
      <c r="N351" s="321"/>
      <c r="O351" s="321"/>
    </row>
    <row r="352" spans="2:15">
      <c r="B352" s="204" t="str">
        <f ca="1"/>
        <v>GREENWICH CSD</v>
      </c>
      <c r="C352" s="206">
        <f>IF(COUNTIF(CONTROL!$B$52:$B$101,'Funding by District'!D248)&gt;=1,"",ROW()-104)</f>
        <v>248</v>
      </c>
      <c r="G352" s="48"/>
      <c r="N352" s="321"/>
      <c r="O352" s="321"/>
    </row>
    <row r="353" spans="2:15">
      <c r="B353" s="204" t="str">
        <f ca="1"/>
        <v>GREENWOOD LAKE UFSD</v>
      </c>
      <c r="C353" s="206">
        <f>IF(COUNTIF(CONTROL!$B$52:$B$101,'Funding by District'!D249)&gt;=1,"",ROW()-104)</f>
        <v>249</v>
      </c>
      <c r="G353" s="48"/>
      <c r="N353" s="321"/>
      <c r="O353" s="321"/>
    </row>
    <row r="354" spans="2:15">
      <c r="B354" s="204" t="str">
        <f ca="1"/>
        <v>GROTON CSD</v>
      </c>
      <c r="C354" s="206">
        <f>IF(COUNTIF(CONTROL!$B$52:$B$101,'Funding by District'!D250)&gt;=1,"",ROW()-104)</f>
        <v>250</v>
      </c>
      <c r="G354" s="48"/>
      <c r="N354" s="321"/>
      <c r="O354" s="321"/>
    </row>
    <row r="355" spans="2:15">
      <c r="B355" s="204" t="str">
        <f ca="1"/>
        <v>GUILDERLAND CSD</v>
      </c>
      <c r="C355" s="206">
        <f>IF(COUNTIF(CONTROL!$B$52:$B$101,'Funding by District'!D251)&gt;=1,"",ROW()-104)</f>
        <v>251</v>
      </c>
      <c r="G355" s="48"/>
      <c r="N355" s="321"/>
      <c r="O355" s="321"/>
    </row>
    <row r="356" spans="2:15">
      <c r="B356" s="204" t="str">
        <f ca="1"/>
        <v>HADLEY-LUZERNE CSD</v>
      </c>
      <c r="C356" s="206">
        <f>IF(COUNTIF(CONTROL!$B$52:$B$101,'Funding by District'!D252)&gt;=1,"",ROW()-104)</f>
        <v>252</v>
      </c>
      <c r="G356" s="48"/>
      <c r="N356" s="321"/>
      <c r="O356" s="321"/>
    </row>
    <row r="357" spans="2:15">
      <c r="B357" s="204" t="str">
        <f ca="1"/>
        <v>HALDANE CSD</v>
      </c>
      <c r="C357" s="206">
        <f>IF(COUNTIF(CONTROL!$B$52:$B$101,'Funding by District'!D253)&gt;=1,"",ROW()-104)</f>
        <v>253</v>
      </c>
      <c r="G357" s="48"/>
      <c r="N357" s="321"/>
      <c r="O357" s="321"/>
    </row>
    <row r="358" spans="2:15">
      <c r="B358" s="204" t="str">
        <f ca="1"/>
        <v>HALF HOLLOW HILLS CSD</v>
      </c>
      <c r="C358" s="206">
        <f>IF(COUNTIF(CONTROL!$B$52:$B$101,'Funding by District'!D254)&gt;=1,"",ROW()-104)</f>
        <v>254</v>
      </c>
      <c r="G358" s="48"/>
      <c r="N358" s="321"/>
      <c r="O358" s="321"/>
    </row>
    <row r="359" spans="2:15">
      <c r="B359" s="204" t="str">
        <f ca="1"/>
        <v>HAMBURG CSD</v>
      </c>
      <c r="C359" s="206">
        <f>IF(COUNTIF(CONTROL!$B$52:$B$101,'Funding by District'!D255)&gt;=1,"",ROW()-104)</f>
        <v>255</v>
      </c>
      <c r="G359" s="48"/>
      <c r="N359" s="321"/>
      <c r="O359" s="321"/>
    </row>
    <row r="360" spans="2:15">
      <c r="B360" s="204" t="str">
        <f ca="1"/>
        <v>HAMILTON CSD</v>
      </c>
      <c r="C360" s="206">
        <f>IF(COUNTIF(CONTROL!$B$52:$B$101,'Funding by District'!D256)&gt;=1,"",ROW()-104)</f>
        <v>256</v>
      </c>
      <c r="G360" s="48"/>
      <c r="N360" s="321"/>
      <c r="O360" s="321"/>
    </row>
    <row r="361" spans="2:15">
      <c r="B361" s="204" t="str">
        <f ca="1"/>
        <v>HAMMOND CSD</v>
      </c>
      <c r="C361" s="206">
        <f>IF(COUNTIF(CONTROL!$B$52:$B$101,'Funding by District'!D257)&gt;=1,"",ROW()-104)</f>
        <v>257</v>
      </c>
      <c r="G361" s="48"/>
      <c r="N361" s="321"/>
      <c r="O361" s="321"/>
    </row>
    <row r="362" spans="2:15">
      <c r="B362" s="204" t="str">
        <f ca="1"/>
        <v>HAMMONDSPORT CSD</v>
      </c>
      <c r="C362" s="206">
        <f>IF(COUNTIF(CONTROL!$B$52:$B$101,'Funding by District'!D258)&gt;=1,"",ROW()-104)</f>
        <v>258</v>
      </c>
      <c r="G362" s="48"/>
      <c r="N362" s="321"/>
      <c r="O362" s="321"/>
    </row>
    <row r="363" spans="2:15">
      <c r="B363" s="204" t="str">
        <f ca="1"/>
        <v>HAMPTON BAYS UFSD</v>
      </c>
      <c r="C363" s="206">
        <f>IF(COUNTIF(CONTROL!$B$52:$B$101,'Funding by District'!D259)&gt;=1,"",ROW()-104)</f>
        <v>259</v>
      </c>
      <c r="G363" s="48"/>
      <c r="N363" s="321"/>
      <c r="O363" s="321"/>
    </row>
    <row r="364" spans="2:15">
      <c r="B364" s="204" t="str">
        <f ca="1"/>
        <v>HANCOCK CSD</v>
      </c>
      <c r="C364" s="206">
        <f>IF(COUNTIF(CONTROL!$B$52:$B$101,'Funding by District'!D260)&gt;=1,"",ROW()-104)</f>
        <v>260</v>
      </c>
      <c r="G364" s="48"/>
      <c r="N364" s="321"/>
      <c r="O364" s="321"/>
    </row>
    <row r="365" spans="2:15">
      <c r="B365" s="204" t="str">
        <f ca="1"/>
        <v>HANNIBAL CSD</v>
      </c>
      <c r="C365" s="206">
        <f>IF(COUNTIF(CONTROL!$B$52:$B$101,'Funding by District'!D261)&gt;=1,"",ROW()-104)</f>
        <v>261</v>
      </c>
      <c r="G365" s="48"/>
      <c r="N365" s="321"/>
      <c r="O365" s="321"/>
    </row>
    <row r="366" spans="2:15">
      <c r="B366" s="204" t="str">
        <f ca="1"/>
        <v>HARBORFIELDS CSD</v>
      </c>
      <c r="C366" s="206">
        <f>IF(COUNTIF(CONTROL!$B$52:$B$101,'Funding by District'!D262)&gt;=1,"",ROW()-104)</f>
        <v>262</v>
      </c>
      <c r="G366" s="48"/>
      <c r="N366" s="321"/>
      <c r="O366" s="321"/>
    </row>
    <row r="367" spans="2:15">
      <c r="B367" s="204" t="str">
        <f ca="1"/>
        <v>HARPURSVILLE CSD</v>
      </c>
      <c r="C367" s="206">
        <f>IF(COUNTIF(CONTROL!$B$52:$B$101,'Funding by District'!D263)&gt;=1,"",ROW()-104)</f>
        <v>263</v>
      </c>
      <c r="G367" s="48"/>
      <c r="N367" s="321"/>
      <c r="O367" s="321"/>
    </row>
    <row r="368" spans="2:15">
      <c r="B368" s="204" t="str">
        <f ca="1"/>
        <v>HARRISON CSD</v>
      </c>
      <c r="C368" s="206">
        <f>IF(COUNTIF(CONTROL!$B$52:$B$101,'Funding by District'!D264)&gt;=1,"",ROW()-104)</f>
        <v>264</v>
      </c>
      <c r="G368" s="48"/>
      <c r="N368" s="321"/>
      <c r="O368" s="321"/>
    </row>
    <row r="369" spans="2:15">
      <c r="B369" s="204" t="str">
        <f ca="1"/>
        <v>HARRISVILLE CSD</v>
      </c>
      <c r="C369" s="206">
        <f>IF(COUNTIF(CONTROL!$B$52:$B$101,'Funding by District'!D265)&gt;=1,"",ROW()-104)</f>
        <v>265</v>
      </c>
      <c r="G369" s="48"/>
      <c r="N369" s="321"/>
      <c r="O369" s="321"/>
    </row>
    <row r="370" spans="2:15">
      <c r="B370" s="204" t="str">
        <f ca="1"/>
        <v>HARTFORD CSD</v>
      </c>
      <c r="C370" s="206">
        <f>IF(COUNTIF(CONTROL!$B$52:$B$101,'Funding by District'!D266)&gt;=1,"",ROW()-104)</f>
        <v>266</v>
      </c>
      <c r="G370" s="48"/>
      <c r="N370" s="321"/>
      <c r="O370" s="321"/>
    </row>
    <row r="371" spans="2:15">
      <c r="B371" s="204" t="str">
        <f ca="1"/>
        <v>HASTINGS-ON-HUDSON UFSD</v>
      </c>
      <c r="C371" s="206">
        <f>IF(COUNTIF(CONTROL!$B$52:$B$101,'Funding by District'!D267)&gt;=1,"",ROW()-104)</f>
        <v>267</v>
      </c>
      <c r="G371" s="48"/>
      <c r="N371" s="321"/>
      <c r="O371" s="321"/>
    </row>
    <row r="372" spans="2:15">
      <c r="B372" s="204" t="str">
        <f ca="1"/>
        <v>HAUPPAUGE UFSD</v>
      </c>
      <c r="C372" s="206">
        <f>IF(COUNTIF(CONTROL!$B$52:$B$101,'Funding by District'!D268)&gt;=1,"",ROW()-104)</f>
        <v>268</v>
      </c>
      <c r="G372" s="48"/>
      <c r="N372" s="321"/>
      <c r="O372" s="321"/>
    </row>
    <row r="373" spans="2:15">
      <c r="B373" s="204" t="str">
        <f ca="1"/>
        <v>HAVERSTRAW-STONY POINT CSD (NORTH RO</v>
      </c>
      <c r="C373" s="206">
        <f>IF(COUNTIF(CONTROL!$B$52:$B$101,'Funding by District'!D269)&gt;=1,"",ROW()-104)</f>
        <v>269</v>
      </c>
      <c r="G373" s="48"/>
      <c r="N373" s="321"/>
      <c r="O373" s="321"/>
    </row>
    <row r="374" spans="2:15">
      <c r="B374" s="204" t="str">
        <f ca="1"/>
        <v>HEMPSTEAD UFSD</v>
      </c>
      <c r="C374" s="206">
        <f>IF(COUNTIF(CONTROL!$B$52:$B$101,'Funding by District'!D270)&gt;=1,"",ROW()-104)</f>
        <v>270</v>
      </c>
      <c r="G374" s="48"/>
      <c r="N374" s="321"/>
      <c r="O374" s="321"/>
    </row>
    <row r="375" spans="2:15">
      <c r="B375" s="204" t="str">
        <f ca="1"/>
        <v>HENDRICK HUDSON CSD</v>
      </c>
      <c r="C375" s="206">
        <f>IF(COUNTIF(CONTROL!$B$52:$B$101,'Funding by District'!D271)&gt;=1,"",ROW()-104)</f>
        <v>271</v>
      </c>
      <c r="G375" s="48"/>
      <c r="N375" s="321"/>
      <c r="O375" s="321"/>
    </row>
    <row r="376" spans="2:15">
      <c r="B376" s="204" t="str">
        <f ca="1"/>
        <v>HERKIMER CSD</v>
      </c>
      <c r="C376" s="206">
        <f>IF(COUNTIF(CONTROL!$B$52:$B$101,'Funding by District'!D272)&gt;=1,"",ROW()-104)</f>
        <v>272</v>
      </c>
      <c r="G376" s="48"/>
      <c r="N376" s="321"/>
      <c r="O376" s="321"/>
    </row>
    <row r="377" spans="2:15">
      <c r="B377" s="204" t="str">
        <f ca="1"/>
        <v>HERMON-DEKALB CSD</v>
      </c>
      <c r="C377" s="206">
        <f>IF(COUNTIF(CONTROL!$B$52:$B$101,'Funding by District'!D273)&gt;=1,"",ROW()-104)</f>
        <v>273</v>
      </c>
      <c r="G377" s="48"/>
      <c r="N377" s="321"/>
      <c r="O377" s="321"/>
    </row>
    <row r="378" spans="2:15">
      <c r="B378" s="204" t="str">
        <f ca="1"/>
        <v>HERRICKS UFSD</v>
      </c>
      <c r="C378" s="206">
        <f>IF(COUNTIF(CONTROL!$B$52:$B$101,'Funding by District'!D274)&gt;=1,"",ROW()-104)</f>
        <v>274</v>
      </c>
      <c r="G378" s="48"/>
      <c r="N378" s="321"/>
      <c r="O378" s="321"/>
    </row>
    <row r="379" spans="2:15">
      <c r="B379" s="204" t="str">
        <f ca="1"/>
        <v>HEUVELTON CSD</v>
      </c>
      <c r="C379" s="206">
        <f>IF(COUNTIF(CONTROL!$B$52:$B$101,'Funding by District'!D275)&gt;=1,"",ROW()-104)</f>
        <v>275</v>
      </c>
      <c r="G379" s="48"/>
      <c r="N379" s="321"/>
      <c r="O379" s="321"/>
    </row>
    <row r="380" spans="2:15">
      <c r="B380" s="204" t="str">
        <f ca="1"/>
        <v>HEWLETT-WOODMERE UFSD</v>
      </c>
      <c r="C380" s="206">
        <f>IF(COUNTIF(CONTROL!$B$52:$B$101,'Funding by District'!D276)&gt;=1,"",ROW()-104)</f>
        <v>276</v>
      </c>
      <c r="N380" s="321"/>
      <c r="O380" s="321"/>
    </row>
    <row r="381" spans="2:15">
      <c r="B381" s="204" t="str">
        <f ca="1"/>
        <v>HICKSVILLE UFSD</v>
      </c>
      <c r="C381" s="206">
        <f>IF(COUNTIF(CONTROL!$B$52:$B$101,'Funding by District'!D277)&gt;=1,"",ROW()-104)</f>
        <v>277</v>
      </c>
      <c r="N381" s="321"/>
      <c r="O381" s="321"/>
    </row>
    <row r="382" spans="2:15">
      <c r="B382" s="204" t="str">
        <f ca="1"/>
        <v>HIGHLAND CSD</v>
      </c>
      <c r="C382" s="206">
        <f>IF(COUNTIF(CONTROL!$B$52:$B$101,'Funding by District'!D278)&gt;=1,"",ROW()-104)</f>
        <v>278</v>
      </c>
      <c r="N382" s="321"/>
      <c r="O382" s="321"/>
    </row>
    <row r="383" spans="2:15">
      <c r="B383" s="204" t="str">
        <f ca="1"/>
        <v>HIGHLAND FALLS CSD</v>
      </c>
      <c r="C383" s="206">
        <f>IF(COUNTIF(CONTROL!$B$52:$B$101,'Funding by District'!D279)&gt;=1,"",ROW()-104)</f>
        <v>279</v>
      </c>
      <c r="N383" s="321"/>
      <c r="O383" s="321"/>
    </row>
    <row r="384" spans="2:15">
      <c r="B384" s="204" t="str">
        <f ca="1"/>
        <v>HILTON CSD</v>
      </c>
      <c r="C384" s="206">
        <f>IF(COUNTIF(CONTROL!$B$52:$B$101,'Funding by District'!D280)&gt;=1,"",ROW()-104)</f>
        <v>280</v>
      </c>
      <c r="N384" s="321"/>
      <c r="O384" s="321"/>
    </row>
    <row r="385" spans="2:15">
      <c r="B385" s="204" t="str">
        <f ca="1"/>
        <v>HINSDALE CSD</v>
      </c>
      <c r="C385" s="206">
        <f>IF(COUNTIF(CONTROL!$B$52:$B$101,'Funding by District'!D281)&gt;=1,"",ROW()-104)</f>
        <v>281</v>
      </c>
      <c r="N385" s="321"/>
      <c r="O385" s="321"/>
    </row>
    <row r="386" spans="2:15">
      <c r="B386" s="204" t="str">
        <f ca="1"/>
        <v>HOLLAND CSD</v>
      </c>
      <c r="C386" s="206">
        <f>IF(COUNTIF(CONTROL!$B$52:$B$101,'Funding by District'!D282)&gt;=1,"",ROW()-104)</f>
        <v>282</v>
      </c>
      <c r="N386" s="321"/>
      <c r="O386" s="321"/>
    </row>
    <row r="387" spans="2:15">
      <c r="B387" s="204" t="str">
        <f ca="1"/>
        <v>HOLLAND PATENT CSD</v>
      </c>
      <c r="C387" s="206">
        <f>IF(COUNTIF(CONTROL!$B$52:$B$101,'Funding by District'!D283)&gt;=1,"",ROW()-104)</f>
        <v>283</v>
      </c>
      <c r="N387" s="321"/>
      <c r="O387" s="321"/>
    </row>
    <row r="388" spans="2:15">
      <c r="B388" s="204" t="str">
        <f ca="1"/>
        <v>HOLLEY CSD</v>
      </c>
      <c r="C388" s="206">
        <f>IF(COUNTIF(CONTROL!$B$52:$B$101,'Funding by District'!D284)&gt;=1,"",ROW()-104)</f>
        <v>284</v>
      </c>
      <c r="N388" s="321"/>
      <c r="O388" s="321"/>
    </row>
    <row r="389" spans="2:15">
      <c r="B389" s="204" t="str">
        <f ca="1"/>
        <v>HOMER CSD</v>
      </c>
      <c r="C389" s="206">
        <f>IF(COUNTIF(CONTROL!$B$52:$B$101,'Funding by District'!D285)&gt;=1,"",ROW()-104)</f>
        <v>285</v>
      </c>
      <c r="N389" s="321"/>
      <c r="O389" s="321"/>
    </row>
    <row r="390" spans="2:15">
      <c r="B390" s="204" t="str">
        <f ca="1"/>
        <v>HONEOYE CSD</v>
      </c>
      <c r="C390" s="206">
        <f>IF(COUNTIF(CONTROL!$B$52:$B$101,'Funding by District'!D286)&gt;=1,"",ROW()-104)</f>
        <v>286</v>
      </c>
      <c r="N390" s="321"/>
      <c r="O390" s="321"/>
    </row>
    <row r="391" spans="2:15">
      <c r="B391" s="204" t="str">
        <f ca="1"/>
        <v>HONEOYE FALLS-LIMA CSD</v>
      </c>
      <c r="C391" s="206">
        <f>IF(COUNTIF(CONTROL!$B$52:$B$101,'Funding by District'!D287)&gt;=1,"",ROW()-104)</f>
        <v>287</v>
      </c>
      <c r="N391" s="321"/>
      <c r="O391" s="321"/>
    </row>
    <row r="392" spans="2:15">
      <c r="B392" s="204" t="str">
        <f ca="1"/>
        <v>HOOSIC VALLEY CSD</v>
      </c>
      <c r="C392" s="206">
        <f>IF(COUNTIF(CONTROL!$B$52:$B$101,'Funding by District'!D288)&gt;=1,"",ROW()-104)</f>
        <v>288</v>
      </c>
      <c r="N392" s="321"/>
      <c r="O392" s="321"/>
    </row>
    <row r="393" spans="2:15">
      <c r="B393" s="204" t="str">
        <f ca="1"/>
        <v>HOOSICK FALLS CSD</v>
      </c>
      <c r="C393" s="206">
        <f>IF(COUNTIF(CONTROL!$B$52:$B$101,'Funding by District'!D289)&gt;=1,"",ROW()-104)</f>
        <v>289</v>
      </c>
      <c r="N393" s="321"/>
      <c r="O393" s="321"/>
    </row>
    <row r="394" spans="2:15">
      <c r="B394" s="204" t="str">
        <f ca="1"/>
        <v>HORNELL CITY SD</v>
      </c>
      <c r="C394" s="206">
        <f>IF(COUNTIF(CONTROL!$B$52:$B$101,'Funding by District'!D290)&gt;=1,"",ROW()-104)</f>
        <v>290</v>
      </c>
      <c r="N394" s="321"/>
      <c r="O394" s="321"/>
    </row>
    <row r="395" spans="2:15">
      <c r="B395" s="204" t="str">
        <f ca="1"/>
        <v>HORSEHEADS CSD</v>
      </c>
      <c r="C395" s="206">
        <f>IF(COUNTIF(CONTROL!$B$52:$B$101,'Funding by District'!D291)&gt;=1,"",ROW()-104)</f>
        <v>291</v>
      </c>
      <c r="N395" s="321"/>
      <c r="O395" s="321"/>
    </row>
    <row r="396" spans="2:15">
      <c r="B396" s="204" t="str">
        <f ca="1"/>
        <v>HUDSON CITY SD</v>
      </c>
      <c r="C396" s="206">
        <f>IF(COUNTIF(CONTROL!$B$52:$B$101,'Funding by District'!D292)&gt;=1,"",ROW()-104)</f>
        <v>292</v>
      </c>
      <c r="N396" s="321"/>
      <c r="O396" s="321"/>
    </row>
    <row r="397" spans="2:15">
      <c r="B397" s="204" t="str">
        <f ca="1"/>
        <v>HUDSON FALLS CSD</v>
      </c>
      <c r="C397" s="206">
        <f>IF(COUNTIF(CONTROL!$B$52:$B$101,'Funding by District'!D293)&gt;=1,"",ROW()-104)</f>
        <v>293</v>
      </c>
      <c r="N397" s="321"/>
      <c r="O397" s="321"/>
    </row>
    <row r="398" spans="2:15">
      <c r="B398" s="204" t="str">
        <f ca="1"/>
        <v>HUNTER-TANNERSVILLE CSD</v>
      </c>
      <c r="C398" s="206">
        <f>IF(COUNTIF(CONTROL!$B$52:$B$101,'Funding by District'!D294)&gt;=1,"",ROW()-104)</f>
        <v>294</v>
      </c>
      <c r="N398" s="321"/>
      <c r="O398" s="321"/>
    </row>
    <row r="399" spans="2:15">
      <c r="B399" s="204" t="str">
        <f ca="1"/>
        <v>HUNTINGTON UFSD</v>
      </c>
      <c r="C399" s="206">
        <f>IF(COUNTIF(CONTROL!$B$52:$B$101,'Funding by District'!D295)&gt;=1,"",ROW()-104)</f>
        <v>295</v>
      </c>
      <c r="N399" s="321"/>
      <c r="O399" s="321"/>
    </row>
    <row r="400" spans="2:15">
      <c r="B400" s="204" t="str">
        <f ca="1"/>
        <v>HYDE PARK CSD</v>
      </c>
      <c r="C400" s="206">
        <f>IF(COUNTIF(CONTROL!$B$52:$B$101,'Funding by District'!D296)&gt;=1,"",ROW()-104)</f>
        <v>296</v>
      </c>
      <c r="N400" s="321"/>
      <c r="O400" s="321"/>
    </row>
    <row r="401" spans="2:15">
      <c r="B401" s="204" t="str">
        <f ca="1"/>
        <v>INDIAN LAKE CSD</v>
      </c>
      <c r="C401" s="206">
        <f>IF(COUNTIF(CONTROL!$B$52:$B$101,'Funding by District'!D297)&gt;=1,"",ROW()-104)</f>
        <v>297</v>
      </c>
      <c r="N401" s="321"/>
      <c r="O401" s="321"/>
    </row>
    <row r="402" spans="2:15">
      <c r="B402" s="204" t="str">
        <f ca="1"/>
        <v>INDIAN RIVER CSD</v>
      </c>
      <c r="C402" s="206">
        <f>IF(COUNTIF(CONTROL!$B$52:$B$101,'Funding by District'!D298)&gt;=1,"",ROW()-104)</f>
        <v>298</v>
      </c>
      <c r="N402" s="321"/>
      <c r="O402" s="321"/>
    </row>
    <row r="403" spans="2:15">
      <c r="B403" s="204" t="str">
        <f ca="1"/>
        <v>INLET COMN SD</v>
      </c>
      <c r="C403" s="206">
        <f>IF(COUNTIF(CONTROL!$B$52:$B$101,'Funding by District'!D299)&gt;=1,"",ROW()-104)</f>
        <v>299</v>
      </c>
      <c r="N403" s="321"/>
      <c r="O403" s="321"/>
    </row>
    <row r="404" spans="2:15">
      <c r="B404" s="204" t="str">
        <f ca="1"/>
        <v>IROQUOIS CSD</v>
      </c>
      <c r="C404" s="206">
        <f>IF(COUNTIF(CONTROL!$B$52:$B$101,'Funding by District'!D300)&gt;=1,"",ROW()-104)</f>
        <v>300</v>
      </c>
      <c r="N404" s="321"/>
      <c r="O404" s="321"/>
    </row>
    <row r="405" spans="2:15">
      <c r="B405" s="204" t="str">
        <f ca="1"/>
        <v>IRVINGTON UFSD</v>
      </c>
      <c r="C405" s="206">
        <f>IF(COUNTIF(CONTROL!$B$52:$B$101,'Funding by District'!D301)&gt;=1,"",ROW()-104)</f>
        <v>301</v>
      </c>
      <c r="N405" s="321"/>
      <c r="O405" s="321"/>
    </row>
    <row r="406" spans="2:15">
      <c r="B406" s="204" t="str">
        <f ca="1"/>
        <v>ISLAND PARK UFSD</v>
      </c>
      <c r="C406" s="206">
        <f>IF(COUNTIF(CONTROL!$B$52:$B$101,'Funding by District'!D302)&gt;=1,"",ROW()-104)</f>
        <v>302</v>
      </c>
      <c r="N406" s="321"/>
      <c r="O406" s="321"/>
    </row>
    <row r="407" spans="2:15">
      <c r="B407" s="204" t="str">
        <f ca="1"/>
        <v>ISLAND TREES UFSD</v>
      </c>
      <c r="C407" s="206">
        <f>IF(COUNTIF(CONTROL!$B$52:$B$101,'Funding by District'!D303)&gt;=1,"",ROW()-104)</f>
        <v>303</v>
      </c>
      <c r="N407" s="321"/>
      <c r="O407" s="321"/>
    </row>
    <row r="408" spans="2:15">
      <c r="B408" s="204" t="str">
        <f ca="1"/>
        <v>ISLIP UFSD</v>
      </c>
      <c r="C408" s="206">
        <f>IF(COUNTIF(CONTROL!$B$52:$B$101,'Funding by District'!D304)&gt;=1,"",ROW()-104)</f>
        <v>304</v>
      </c>
      <c r="N408" s="321"/>
      <c r="O408" s="321"/>
    </row>
    <row r="409" spans="2:15">
      <c r="B409" s="204" t="str">
        <f ca="1"/>
        <v>ITHACA CITY SD</v>
      </c>
      <c r="C409" s="206">
        <f>IF(COUNTIF(CONTROL!$B$52:$B$101,'Funding by District'!D305)&gt;=1,"",ROW()-104)</f>
        <v>305</v>
      </c>
      <c r="N409" s="321"/>
      <c r="O409" s="321"/>
    </row>
    <row r="410" spans="2:15">
      <c r="B410" s="204" t="str">
        <f ca="1"/>
        <v>JAMESTOWN CITY SD</v>
      </c>
      <c r="C410" s="206">
        <f>IF(COUNTIF(CONTROL!$B$52:$B$101,'Funding by District'!D306)&gt;=1,"",ROW()-104)</f>
        <v>306</v>
      </c>
      <c r="N410" s="321"/>
      <c r="O410" s="321"/>
    </row>
    <row r="411" spans="2:15">
      <c r="B411" s="204" t="str">
        <f ca="1"/>
        <v>JAMESVILLE-DEWITT CSD</v>
      </c>
      <c r="C411" s="206">
        <f>IF(COUNTIF(CONTROL!$B$52:$B$101,'Funding by District'!D307)&gt;=1,"",ROW()-104)</f>
        <v>307</v>
      </c>
      <c r="N411" s="321"/>
      <c r="O411" s="321"/>
    </row>
    <row r="412" spans="2:15">
      <c r="B412" s="204" t="str">
        <f ca="1"/>
        <v>JASPER-TROUPSBURG CSD</v>
      </c>
      <c r="C412" s="206">
        <f>IF(COUNTIF(CONTROL!$B$52:$B$101,'Funding by District'!D308)&gt;=1,"",ROW()-104)</f>
        <v>308</v>
      </c>
      <c r="N412" s="321"/>
      <c r="O412" s="321"/>
    </row>
    <row r="413" spans="2:15">
      <c r="B413" s="204" t="str">
        <f ca="1"/>
        <v>JEFFERSON CSD</v>
      </c>
      <c r="C413" s="206">
        <f>IF(COUNTIF(CONTROL!$B$52:$B$101,'Funding by District'!D309)&gt;=1,"",ROW()-104)</f>
        <v>309</v>
      </c>
      <c r="N413" s="321"/>
      <c r="O413" s="321"/>
    </row>
    <row r="414" spans="2:15">
      <c r="B414" s="204" t="str">
        <f ca="1"/>
        <v>JERICHO UFSD</v>
      </c>
      <c r="C414" s="206">
        <f>IF(COUNTIF(CONTROL!$B$52:$B$101,'Funding by District'!D310)&gt;=1,"",ROW()-104)</f>
        <v>310</v>
      </c>
      <c r="N414" s="321"/>
      <c r="O414" s="321"/>
    </row>
    <row r="415" spans="2:15">
      <c r="B415" s="204" t="str">
        <f ca="1"/>
        <v>JOHNSBURG CSD</v>
      </c>
      <c r="C415" s="206">
        <f>IF(COUNTIF(CONTROL!$B$52:$B$101,'Funding by District'!D311)&gt;=1,"",ROW()-104)</f>
        <v>311</v>
      </c>
      <c r="N415" s="321"/>
      <c r="O415" s="321"/>
    </row>
    <row r="416" spans="2:15">
      <c r="B416" s="204" t="str">
        <f ca="1"/>
        <v>JOHNSON CITY CSD</v>
      </c>
      <c r="C416" s="206">
        <f>IF(COUNTIF(CONTROL!$B$52:$B$101,'Funding by District'!D312)&gt;=1,"",ROW()-104)</f>
        <v>312</v>
      </c>
      <c r="N416" s="321"/>
      <c r="O416" s="321"/>
    </row>
    <row r="417" spans="2:15">
      <c r="B417" s="204" t="str">
        <f ca="1"/>
        <v>JOHNSTOWN CITY SD</v>
      </c>
      <c r="C417" s="206">
        <f>IF(COUNTIF(CONTROL!$B$52:$B$101,'Funding by District'!D313)&gt;=1,"",ROW()-104)</f>
        <v>313</v>
      </c>
      <c r="N417" s="321"/>
      <c r="O417" s="321"/>
    </row>
    <row r="418" spans="2:15">
      <c r="B418" s="204" t="str">
        <f ca="1"/>
        <v>JORDAN-ELBRIDGE CSD</v>
      </c>
      <c r="C418" s="206">
        <f>IF(COUNTIF(CONTROL!$B$52:$B$101,'Funding by District'!D314)&gt;=1,"",ROW()-104)</f>
        <v>314</v>
      </c>
      <c r="N418" s="321"/>
      <c r="O418" s="321"/>
    </row>
    <row r="419" spans="2:15">
      <c r="B419" s="204" t="str">
        <f ca="1"/>
        <v>KATONAH-LEWISBORO UFSD</v>
      </c>
      <c r="C419" s="206">
        <f>IF(COUNTIF(CONTROL!$B$52:$B$101,'Funding by District'!D315)&gt;=1,"",ROW()-104)</f>
        <v>315</v>
      </c>
      <c r="N419" s="321"/>
      <c r="O419" s="321"/>
    </row>
    <row r="420" spans="2:15">
      <c r="B420" s="204" t="str">
        <f ca="1"/>
        <v>KEENE CSD</v>
      </c>
      <c r="C420" s="206">
        <f>IF(COUNTIF(CONTROL!$B$52:$B$101,'Funding by District'!D316)&gt;=1,"",ROW()-104)</f>
        <v>316</v>
      </c>
      <c r="N420" s="321"/>
      <c r="O420" s="321"/>
    </row>
    <row r="421" spans="2:15">
      <c r="B421" s="204" t="str">
        <f ca="1"/>
        <v>KENDALL CSD</v>
      </c>
      <c r="C421" s="206">
        <f>IF(COUNTIF(CONTROL!$B$52:$B$101,'Funding by District'!D317)&gt;=1,"",ROW()-104)</f>
        <v>317</v>
      </c>
      <c r="N421" s="321"/>
      <c r="O421" s="321"/>
    </row>
    <row r="422" spans="2:15">
      <c r="B422" s="204" t="str">
        <f ca="1"/>
        <v>KENMORE-TONAWANDA UFSD</v>
      </c>
      <c r="C422" s="206">
        <f>IF(COUNTIF(CONTROL!$B$52:$B$101,'Funding by District'!D318)&gt;=1,"",ROW()-104)</f>
        <v>318</v>
      </c>
      <c r="N422" s="321"/>
      <c r="O422" s="321"/>
    </row>
    <row r="423" spans="2:15">
      <c r="B423" s="204" t="str">
        <f ca="1"/>
        <v>KINDERHOOK CSD</v>
      </c>
      <c r="C423" s="206">
        <f>IF(COUNTIF(CONTROL!$B$52:$B$101,'Funding by District'!D319)&gt;=1,"",ROW()-104)</f>
        <v>319</v>
      </c>
      <c r="N423" s="321"/>
      <c r="O423" s="321"/>
    </row>
    <row r="424" spans="2:15">
      <c r="B424" s="204" t="str">
        <f ca="1"/>
        <v>KINGS PARK CSD</v>
      </c>
      <c r="C424" s="206">
        <f>IF(COUNTIF(CONTROL!$B$52:$B$101,'Funding by District'!D320)&gt;=1,"",ROW()-104)</f>
        <v>320</v>
      </c>
      <c r="N424" s="321"/>
      <c r="O424" s="321"/>
    </row>
    <row r="425" spans="2:15">
      <c r="B425" s="204" t="str">
        <f ca="1"/>
        <v>KINGSTON CITY SD</v>
      </c>
      <c r="C425" s="206">
        <f>IF(COUNTIF(CONTROL!$B$52:$B$101,'Funding by District'!D321)&gt;=1,"",ROW()-104)</f>
        <v>321</v>
      </c>
      <c r="N425" s="321"/>
      <c r="O425" s="321"/>
    </row>
    <row r="426" spans="2:15">
      <c r="B426" s="204" t="str">
        <f ca="1"/>
        <v>KIRYAS JOEL VILLAGE UFSD</v>
      </c>
      <c r="C426" s="206">
        <f>IF(COUNTIF(CONTROL!$B$52:$B$101,'Funding by District'!D322)&gt;=1,"",ROW()-104)</f>
        <v>322</v>
      </c>
      <c r="N426" s="321"/>
      <c r="O426" s="321"/>
    </row>
    <row r="427" spans="2:15">
      <c r="B427" s="204" t="str">
        <f ca="1"/>
        <v>LA FARGEVILLE CSD</v>
      </c>
      <c r="C427" s="206">
        <f>IF(COUNTIF(CONTROL!$B$52:$B$101,'Funding by District'!D323)&gt;=1,"",ROW()-104)</f>
        <v>323</v>
      </c>
      <c r="N427" s="321"/>
      <c r="O427" s="321"/>
    </row>
    <row r="428" spans="2:15">
      <c r="B428" s="204" t="str">
        <f ca="1"/>
        <v>LACKAWANNA CITY SD</v>
      </c>
      <c r="C428" s="206">
        <f>IF(COUNTIF(CONTROL!$B$52:$B$101,'Funding by District'!D324)&gt;=1,"",ROW()-104)</f>
        <v>324</v>
      </c>
      <c r="N428" s="321"/>
      <c r="O428" s="321"/>
    </row>
    <row r="429" spans="2:15">
      <c r="B429" s="204" t="str">
        <f ca="1"/>
        <v>LAFAYETTE CSD</v>
      </c>
      <c r="C429" s="206">
        <f>IF(COUNTIF(CONTROL!$B$52:$B$101,'Funding by District'!D325)&gt;=1,"",ROW()-104)</f>
        <v>325</v>
      </c>
      <c r="N429" s="321"/>
      <c r="O429" s="321"/>
    </row>
    <row r="430" spans="2:15">
      <c r="B430" s="204" t="str">
        <f ca="1"/>
        <v>LAKE GEORGE CSD</v>
      </c>
      <c r="C430" s="206">
        <f>IF(COUNTIF(CONTROL!$B$52:$B$101,'Funding by District'!D326)&gt;=1,"",ROW()-104)</f>
        <v>326</v>
      </c>
      <c r="N430" s="321"/>
      <c r="O430" s="321"/>
    </row>
    <row r="431" spans="2:15">
      <c r="B431" s="204" t="str">
        <f ca="1"/>
        <v>LAKE PLACID CSD</v>
      </c>
      <c r="C431" s="206">
        <f>IF(COUNTIF(CONTROL!$B$52:$B$101,'Funding by District'!D327)&gt;=1,"",ROW()-104)</f>
        <v>327</v>
      </c>
      <c r="N431" s="321"/>
      <c r="O431" s="321"/>
    </row>
    <row r="432" spans="2:15">
      <c r="B432" s="204" t="str">
        <f ca="1"/>
        <v>LAKE PLEASANT CSD</v>
      </c>
      <c r="C432" s="206">
        <f>IF(COUNTIF(CONTROL!$B$52:$B$101,'Funding by District'!D328)&gt;=1,"",ROW()-104)</f>
        <v>328</v>
      </c>
      <c r="N432" s="321"/>
      <c r="O432" s="321"/>
    </row>
    <row r="433" spans="2:15">
      <c r="B433" s="204" t="str">
        <f ca="1"/>
        <v>LAKELAND CSD</v>
      </c>
      <c r="C433" s="206">
        <f>IF(COUNTIF(CONTROL!$B$52:$B$101,'Funding by District'!D329)&gt;=1,"",ROW()-104)</f>
        <v>329</v>
      </c>
      <c r="N433" s="321"/>
      <c r="O433" s="321"/>
    </row>
    <row r="434" spans="2:15">
      <c r="B434" s="204" t="str">
        <f ca="1"/>
        <v>LANCASTER CSD</v>
      </c>
      <c r="C434" s="206">
        <f>IF(COUNTIF(CONTROL!$B$52:$B$101,'Funding by District'!D330)&gt;=1,"",ROW()-104)</f>
        <v>330</v>
      </c>
      <c r="N434" s="321"/>
      <c r="O434" s="321"/>
    </row>
    <row r="435" spans="2:15">
      <c r="B435" s="204" t="str">
        <f ca="1"/>
        <v>LANSING CSD</v>
      </c>
      <c r="C435" s="206">
        <f>IF(COUNTIF(CONTROL!$B$52:$B$101,'Funding by District'!D331)&gt;=1,"",ROW()-104)</f>
        <v>331</v>
      </c>
      <c r="N435" s="321"/>
      <c r="O435" s="321"/>
    </row>
    <row r="436" spans="2:15">
      <c r="B436" s="204" t="str">
        <f ca="1"/>
        <v>LANSINGBURGH CSD</v>
      </c>
      <c r="C436" s="206">
        <f>IF(COUNTIF(CONTROL!$B$52:$B$101,'Funding by District'!D332)&gt;=1,"",ROW()-104)</f>
        <v>332</v>
      </c>
      <c r="N436" s="321"/>
      <c r="O436" s="321"/>
    </row>
    <row r="437" spans="2:15">
      <c r="B437" s="204" t="str">
        <f ca="1"/>
        <v>LAURENS CSD</v>
      </c>
      <c r="C437" s="206">
        <f>IF(COUNTIF(CONTROL!$B$52:$B$101,'Funding by District'!D333)&gt;=1,"",ROW()-104)</f>
        <v>333</v>
      </c>
      <c r="N437" s="321"/>
      <c r="O437" s="321"/>
    </row>
    <row r="438" spans="2:15">
      <c r="B438" s="204" t="str">
        <f ca="1"/>
        <v>LAWRENCE UFSD</v>
      </c>
      <c r="C438" s="206">
        <f>IF(COUNTIF(CONTROL!$B$52:$B$101,'Funding by District'!D334)&gt;=1,"",ROW()-104)</f>
        <v>334</v>
      </c>
      <c r="N438" s="321"/>
      <c r="O438" s="321"/>
    </row>
    <row r="439" spans="2:15">
      <c r="B439" s="204" t="str">
        <f ca="1"/>
        <v>LE ROY CSD</v>
      </c>
      <c r="C439" s="206">
        <f>IF(COUNTIF(CONTROL!$B$52:$B$101,'Funding by District'!D335)&gt;=1,"",ROW()-104)</f>
        <v>335</v>
      </c>
      <c r="N439" s="321"/>
      <c r="O439" s="321"/>
    </row>
    <row r="440" spans="2:15">
      <c r="B440" s="204" t="str">
        <f ca="1"/>
        <v>LETCHWORTH CSD</v>
      </c>
      <c r="C440" s="206">
        <f>IF(COUNTIF(CONTROL!$B$52:$B$101,'Funding by District'!D336)&gt;=1,"",ROW()-104)</f>
        <v>336</v>
      </c>
      <c r="N440" s="321"/>
      <c r="O440" s="321"/>
    </row>
    <row r="441" spans="2:15">
      <c r="B441" s="204" t="str">
        <f ca="1"/>
        <v>LEVITTOWN UFSD</v>
      </c>
      <c r="C441" s="206">
        <f>IF(COUNTIF(CONTROL!$B$52:$B$101,'Funding by District'!D337)&gt;=1,"",ROW()-104)</f>
        <v>337</v>
      </c>
      <c r="N441" s="321"/>
      <c r="O441" s="321"/>
    </row>
    <row r="442" spans="2:15">
      <c r="B442" s="204" t="str">
        <f ca="1"/>
        <v>LEWISTON-PORTER CSD</v>
      </c>
      <c r="C442" s="206">
        <f>IF(COUNTIF(CONTROL!$B$52:$B$101,'Funding by District'!D338)&gt;=1,"",ROW()-104)</f>
        <v>338</v>
      </c>
      <c r="N442" s="321"/>
      <c r="O442" s="321"/>
    </row>
    <row r="443" spans="2:15">
      <c r="B443" s="204" t="str">
        <f ca="1"/>
        <v>LIBERTY CSD</v>
      </c>
      <c r="C443" s="206">
        <f>IF(COUNTIF(CONTROL!$B$52:$B$101,'Funding by District'!D339)&gt;=1,"",ROW()-104)</f>
        <v>339</v>
      </c>
      <c r="N443" s="321"/>
      <c r="O443" s="321"/>
    </row>
    <row r="444" spans="2:15">
      <c r="B444" s="204" t="str">
        <f ca="1"/>
        <v>LINDENHURST UFSD</v>
      </c>
      <c r="C444" s="206">
        <f>IF(COUNTIF(CONTROL!$B$52:$B$101,'Funding by District'!D340)&gt;=1,"",ROW()-104)</f>
        <v>340</v>
      </c>
      <c r="N444" s="321"/>
      <c r="O444" s="321"/>
    </row>
    <row r="445" spans="2:15">
      <c r="B445" s="204" t="str">
        <f ca="1"/>
        <v>LISBON CSD</v>
      </c>
      <c r="C445" s="206">
        <f>IF(COUNTIF(CONTROL!$B$52:$B$101,'Funding by District'!D341)&gt;=1,"",ROW()-104)</f>
        <v>341</v>
      </c>
      <c r="N445" s="321"/>
      <c r="O445" s="321"/>
    </row>
    <row r="446" spans="2:15">
      <c r="B446" s="204" t="str">
        <f ca="1"/>
        <v>LITTLE FALLS CITY SD</v>
      </c>
      <c r="C446" s="206">
        <f>IF(COUNTIF(CONTROL!$B$52:$B$101,'Funding by District'!D342)&gt;=1,"",ROW()-104)</f>
        <v>342</v>
      </c>
      <c r="N446" s="321"/>
      <c r="O446" s="321"/>
    </row>
    <row r="447" spans="2:15">
      <c r="B447" s="204" t="str">
        <f ca="1"/>
        <v>LIVERPOOL CSD</v>
      </c>
      <c r="C447" s="206">
        <f>IF(COUNTIF(CONTROL!$B$52:$B$101,'Funding by District'!D343)&gt;=1,"",ROW()-104)</f>
        <v>343</v>
      </c>
      <c r="N447" s="321"/>
      <c r="O447" s="321"/>
    </row>
    <row r="448" spans="2:15">
      <c r="B448" s="204" t="str">
        <f ca="1"/>
        <v>LIVINGSTON MANOR CSD</v>
      </c>
      <c r="C448" s="206">
        <f>IF(COUNTIF(CONTROL!$B$52:$B$101,'Funding by District'!D344)&gt;=1,"",ROW()-104)</f>
        <v>344</v>
      </c>
      <c r="N448" s="321"/>
      <c r="O448" s="321"/>
    </row>
    <row r="449" spans="2:15">
      <c r="B449" s="204" t="str">
        <f ca="1"/>
        <v>LIVONIA CSD</v>
      </c>
      <c r="C449" s="206">
        <f>IF(COUNTIF(CONTROL!$B$52:$B$101,'Funding by District'!D345)&gt;=1,"",ROW()-104)</f>
        <v>345</v>
      </c>
      <c r="N449" s="321"/>
      <c r="O449" s="321"/>
    </row>
    <row r="450" spans="2:15">
      <c r="B450" s="204" t="str">
        <f ca="1"/>
        <v>LOCKPORT CITY SD</v>
      </c>
      <c r="C450" s="206">
        <f>IF(COUNTIF(CONTROL!$B$52:$B$101,'Funding by District'!D346)&gt;=1,"",ROW()-104)</f>
        <v>346</v>
      </c>
      <c r="N450" s="321"/>
      <c r="O450" s="321"/>
    </row>
    <row r="451" spans="2:15">
      <c r="B451" s="204" t="str">
        <f ca="1"/>
        <v>LOCUST VALLEY CSD</v>
      </c>
      <c r="C451" s="206">
        <f>IF(COUNTIF(CONTROL!$B$52:$B$101,'Funding by District'!D347)&gt;=1,"",ROW()-104)</f>
        <v>347</v>
      </c>
      <c r="N451" s="321"/>
      <c r="O451" s="321"/>
    </row>
    <row r="452" spans="2:15">
      <c r="B452" s="204" t="str">
        <f ca="1"/>
        <v>LONG BEACH CITY SD</v>
      </c>
      <c r="C452" s="206">
        <f>IF(COUNTIF(CONTROL!$B$52:$B$101,'Funding by District'!D348)&gt;=1,"",ROW()-104)</f>
        <v>348</v>
      </c>
      <c r="N452" s="321"/>
      <c r="O452" s="321"/>
    </row>
    <row r="453" spans="2:15">
      <c r="B453" s="204" t="str">
        <f ca="1"/>
        <v>LONG LAKE CSD</v>
      </c>
      <c r="C453" s="206">
        <f>IF(COUNTIF(CONTROL!$B$52:$B$101,'Funding by District'!D349)&gt;=1,"",ROW()-104)</f>
        <v>349</v>
      </c>
      <c r="N453" s="321"/>
      <c r="O453" s="321"/>
    </row>
    <row r="454" spans="2:15">
      <c r="B454" s="204" t="str">
        <f ca="1"/>
        <v>LONGWOOD CSD</v>
      </c>
      <c r="C454" s="206">
        <f>IF(COUNTIF(CONTROL!$B$52:$B$101,'Funding by District'!D350)&gt;=1,"",ROW()-104)</f>
        <v>350</v>
      </c>
      <c r="N454" s="321"/>
      <c r="O454" s="321"/>
    </row>
    <row r="455" spans="2:15">
      <c r="B455" s="204" t="str">
        <f ca="1"/>
        <v>LOWVILLE ACADEMY &amp; CSD</v>
      </c>
      <c r="C455" s="206">
        <f>IF(COUNTIF(CONTROL!$B$52:$B$101,'Funding by District'!D351)&gt;=1,"",ROW()-104)</f>
        <v>351</v>
      </c>
      <c r="N455" s="321"/>
      <c r="O455" s="321"/>
    </row>
    <row r="456" spans="2:15">
      <c r="B456" s="204" t="str">
        <f ca="1"/>
        <v>LYME CSD</v>
      </c>
      <c r="C456" s="206">
        <f>IF(COUNTIF(CONTROL!$B$52:$B$101,'Funding by District'!D352)&gt;=1,"",ROW()-104)</f>
        <v>352</v>
      </c>
      <c r="N456" s="321"/>
      <c r="O456" s="321"/>
    </row>
    <row r="457" spans="2:15">
      <c r="B457" s="204" t="str">
        <f ca="1"/>
        <v>LYNBROOK UFSD</v>
      </c>
      <c r="C457" s="206">
        <f>IF(COUNTIF(CONTROL!$B$52:$B$101,'Funding by District'!D353)&gt;=1,"",ROW()-104)</f>
        <v>353</v>
      </c>
      <c r="N457" s="321"/>
      <c r="O457" s="321"/>
    </row>
    <row r="458" spans="2:15">
      <c r="B458" s="204" t="str">
        <f ca="1"/>
        <v>LYNCOURT UFSD</v>
      </c>
      <c r="C458" s="206">
        <f>IF(COUNTIF(CONTROL!$B$52:$B$101,'Funding by District'!D354)&gt;=1,"",ROW()-104)</f>
        <v>354</v>
      </c>
      <c r="N458" s="321"/>
      <c r="O458" s="321"/>
    </row>
    <row r="459" spans="2:15">
      <c r="B459" s="204" t="str">
        <f ca="1"/>
        <v>LYNDONVILLE CSD</v>
      </c>
      <c r="C459" s="206">
        <f>IF(COUNTIF(CONTROL!$B$52:$B$101,'Funding by District'!D355)&gt;=1,"",ROW()-104)</f>
        <v>355</v>
      </c>
      <c r="N459" s="321"/>
      <c r="O459" s="321"/>
    </row>
    <row r="460" spans="2:15">
      <c r="B460" s="204" t="str">
        <f ca="1"/>
        <v>LYONS CSD</v>
      </c>
      <c r="C460" s="206">
        <f>IF(COUNTIF(CONTROL!$B$52:$B$101,'Funding by District'!D356)&gt;=1,"",ROW()-104)</f>
        <v>356</v>
      </c>
      <c r="N460" s="321"/>
      <c r="O460" s="321"/>
    </row>
    <row r="461" spans="2:15">
      <c r="B461" s="204" t="str">
        <f ca="1"/>
        <v>MADISON CSD</v>
      </c>
      <c r="C461" s="206">
        <f>IF(COUNTIF(CONTROL!$B$52:$B$101,'Funding by District'!D357)&gt;=1,"",ROW()-104)</f>
        <v>357</v>
      </c>
      <c r="N461" s="321"/>
      <c r="O461" s="321"/>
    </row>
    <row r="462" spans="2:15">
      <c r="B462" s="204" t="str">
        <f ca="1"/>
        <v>MADRID-WADDINGTON CSD</v>
      </c>
      <c r="C462" s="206">
        <f>IF(COUNTIF(CONTROL!$B$52:$B$101,'Funding by District'!D358)&gt;=1,"",ROW()-104)</f>
        <v>358</v>
      </c>
      <c r="N462" s="321"/>
      <c r="O462" s="321"/>
    </row>
    <row r="463" spans="2:15">
      <c r="B463" s="204" t="str">
        <f ca="1"/>
        <v>MAHOPAC CSD</v>
      </c>
      <c r="C463" s="206">
        <f>IF(COUNTIF(CONTROL!$B$52:$B$101,'Funding by District'!D359)&gt;=1,"",ROW()-104)</f>
        <v>359</v>
      </c>
      <c r="N463" s="321"/>
      <c r="O463" s="321"/>
    </row>
    <row r="464" spans="2:15">
      <c r="B464" s="204" t="str">
        <f ca="1"/>
        <v>MAINE-ENDWELL CSD</v>
      </c>
      <c r="C464" s="206">
        <f>IF(COUNTIF(CONTROL!$B$52:$B$101,'Funding by District'!D360)&gt;=1,"",ROW()-104)</f>
        <v>360</v>
      </c>
      <c r="N464" s="321"/>
      <c r="O464" s="321"/>
    </row>
    <row r="465" spans="2:15">
      <c r="B465" s="204" t="str">
        <f ca="1"/>
        <v>MALONE CSD</v>
      </c>
      <c r="C465" s="206">
        <f>IF(COUNTIF(CONTROL!$B$52:$B$101,'Funding by District'!D361)&gt;=1,"",ROW()-104)</f>
        <v>361</v>
      </c>
      <c r="N465" s="321"/>
      <c r="O465" s="321"/>
    </row>
    <row r="466" spans="2:15">
      <c r="B466" s="204" t="str">
        <f ca="1"/>
        <v>MALVERNE UFSD</v>
      </c>
      <c r="C466" s="206">
        <f>IF(COUNTIF(CONTROL!$B$52:$B$101,'Funding by District'!D362)&gt;=1,"",ROW()-104)</f>
        <v>362</v>
      </c>
      <c r="N466" s="321"/>
      <c r="O466" s="321"/>
    </row>
    <row r="467" spans="2:15">
      <c r="B467" s="204" t="str">
        <f ca="1"/>
        <v>MAMARONECK UFSD</v>
      </c>
      <c r="C467" s="206">
        <f>IF(COUNTIF(CONTROL!$B$52:$B$101,'Funding by District'!D363)&gt;=1,"",ROW()-104)</f>
        <v>363</v>
      </c>
      <c r="N467" s="321"/>
      <c r="O467" s="321"/>
    </row>
    <row r="468" spans="2:15">
      <c r="B468" s="204" t="str">
        <f ca="1"/>
        <v>MANCHESTER-SHORTSVILLE CSD (RED JACK</v>
      </c>
      <c r="C468" s="206">
        <f>IF(COUNTIF(CONTROL!$B$52:$B$101,'Funding by District'!D364)&gt;=1,"",ROW()-104)</f>
        <v>364</v>
      </c>
      <c r="N468" s="321"/>
      <c r="O468" s="321"/>
    </row>
    <row r="469" spans="2:15">
      <c r="B469" s="204" t="str">
        <f ca="1"/>
        <v>MANHASSET UFSD</v>
      </c>
      <c r="C469" s="206">
        <f>IF(COUNTIF(CONTROL!$B$52:$B$101,'Funding by District'!D365)&gt;=1,"",ROW()-104)</f>
        <v>365</v>
      </c>
      <c r="N469" s="321"/>
      <c r="O469" s="321"/>
    </row>
    <row r="470" spans="2:15">
      <c r="B470" s="204" t="str">
        <f ca="1"/>
        <v>MARATHON CSD</v>
      </c>
      <c r="C470" s="206">
        <f>IF(COUNTIF(CONTROL!$B$52:$B$101,'Funding by District'!D366)&gt;=1,"",ROW()-104)</f>
        <v>366</v>
      </c>
      <c r="N470" s="321"/>
      <c r="O470" s="321"/>
    </row>
    <row r="471" spans="2:15">
      <c r="B471" s="204" t="str">
        <f ca="1"/>
        <v>MARCELLUS CSD</v>
      </c>
      <c r="C471" s="206">
        <f>IF(COUNTIF(CONTROL!$B$52:$B$101,'Funding by District'!D367)&gt;=1,"",ROW()-104)</f>
        <v>367</v>
      </c>
      <c r="N471" s="321"/>
      <c r="O471" s="321"/>
    </row>
    <row r="472" spans="2:15">
      <c r="B472" s="204" t="str">
        <f ca="1"/>
        <v>MARGARETVILLE CSD</v>
      </c>
      <c r="C472" s="206">
        <f>IF(COUNTIF(CONTROL!$B$52:$B$101,'Funding by District'!D368)&gt;=1,"",ROW()-104)</f>
        <v>368</v>
      </c>
      <c r="N472" s="321"/>
      <c r="O472" s="321"/>
    </row>
    <row r="473" spans="2:15">
      <c r="B473" s="204" t="str">
        <f ca="1"/>
        <v>MARION CSD</v>
      </c>
      <c r="C473" s="206">
        <f>IF(COUNTIF(CONTROL!$B$52:$B$101,'Funding by District'!D369)&gt;=1,"",ROW()-104)</f>
        <v>369</v>
      </c>
      <c r="N473" s="321"/>
      <c r="O473" s="321"/>
    </row>
    <row r="474" spans="2:15">
      <c r="B474" s="204" t="str">
        <f ca="1"/>
        <v>MARLBORO CSD</v>
      </c>
      <c r="C474" s="206">
        <f>IF(COUNTIF(CONTROL!$B$52:$B$101,'Funding by District'!D370)&gt;=1,"",ROW()-104)</f>
        <v>370</v>
      </c>
      <c r="N474" s="321"/>
      <c r="O474" s="321"/>
    </row>
    <row r="475" spans="2:15">
      <c r="B475" s="204" t="str">
        <f ca="1"/>
        <v>MASSAPEQUA UFSD</v>
      </c>
      <c r="C475" s="206">
        <f>IF(COUNTIF(CONTROL!$B$52:$B$101,'Funding by District'!D371)&gt;=1,"",ROW()-104)</f>
        <v>371</v>
      </c>
      <c r="N475" s="321"/>
      <c r="O475" s="321"/>
    </row>
    <row r="476" spans="2:15">
      <c r="B476" s="204" t="str">
        <f ca="1"/>
        <v>MASSENA CSD</v>
      </c>
      <c r="C476" s="206">
        <f>IF(COUNTIF(CONTROL!$B$52:$B$101,'Funding by District'!D372)&gt;=1,"",ROW()-104)</f>
        <v>372</v>
      </c>
      <c r="N476" s="321"/>
      <c r="O476" s="321"/>
    </row>
    <row r="477" spans="2:15">
      <c r="B477" s="204" t="str">
        <f ca="1"/>
        <v>MATTITUCK-CUTCHOGUE UFSD</v>
      </c>
      <c r="C477" s="206">
        <f>IF(COUNTIF(CONTROL!$B$52:$B$101,'Funding by District'!D373)&gt;=1,"",ROW()-104)</f>
        <v>373</v>
      </c>
      <c r="N477" s="321"/>
      <c r="O477" s="321"/>
    </row>
    <row r="478" spans="2:15">
      <c r="B478" s="204" t="str">
        <f ca="1"/>
        <v>MAYFIELD CSD</v>
      </c>
      <c r="C478" s="206">
        <f>IF(COUNTIF(CONTROL!$B$52:$B$101,'Funding by District'!D374)&gt;=1,"",ROW()-104)</f>
        <v>374</v>
      </c>
      <c r="N478" s="321"/>
      <c r="O478" s="321"/>
    </row>
    <row r="479" spans="2:15">
      <c r="B479" s="204" t="str">
        <f ca="1"/>
        <v>MCGRAW CSD</v>
      </c>
      <c r="C479" s="206">
        <f>IF(COUNTIF(CONTROL!$B$52:$B$101,'Funding by District'!D375)&gt;=1,"",ROW()-104)</f>
        <v>375</v>
      </c>
      <c r="N479" s="321"/>
      <c r="O479" s="321"/>
    </row>
    <row r="480" spans="2:15">
      <c r="B480" s="204" t="str">
        <f ca="1"/>
        <v>MECHANICVILLE CITY SD</v>
      </c>
      <c r="C480" s="206">
        <f>IF(COUNTIF(CONTROL!$B$52:$B$101,'Funding by District'!D376)&gt;=1,"",ROW()-104)</f>
        <v>376</v>
      </c>
      <c r="N480" s="321"/>
      <c r="O480" s="321"/>
    </row>
    <row r="481" spans="2:15">
      <c r="B481" s="204" t="str">
        <f ca="1"/>
        <v>MEDINA CSD</v>
      </c>
      <c r="C481" s="206">
        <f>IF(COUNTIF(CONTROL!$B$52:$B$101,'Funding by District'!D377)&gt;=1,"",ROW()-104)</f>
        <v>377</v>
      </c>
      <c r="N481" s="321"/>
      <c r="O481" s="321"/>
    </row>
    <row r="482" spans="2:15">
      <c r="B482" s="204" t="str">
        <f ca="1"/>
        <v>MENANDS UFSD</v>
      </c>
      <c r="C482" s="206">
        <f>IF(COUNTIF(CONTROL!$B$52:$B$101,'Funding by District'!D378)&gt;=1,"",ROW()-104)</f>
        <v>378</v>
      </c>
      <c r="N482" s="321"/>
      <c r="O482" s="321"/>
    </row>
    <row r="483" spans="2:15">
      <c r="B483" s="204" t="str">
        <f ca="1"/>
        <v>MERRICK UFSD</v>
      </c>
      <c r="C483" s="206">
        <f>IF(COUNTIF(CONTROL!$B$52:$B$101,'Funding by District'!D379)&gt;=1,"",ROW()-104)</f>
        <v>379</v>
      </c>
      <c r="N483" s="321"/>
      <c r="O483" s="321"/>
    </row>
    <row r="484" spans="2:15">
      <c r="B484" s="204" t="str">
        <f ca="1"/>
        <v>MEXICO CSD</v>
      </c>
      <c r="C484" s="206">
        <f>IF(COUNTIF(CONTROL!$B$52:$B$101,'Funding by District'!D380)&gt;=1,"",ROW()-104)</f>
        <v>380</v>
      </c>
      <c r="N484" s="321"/>
      <c r="O484" s="321"/>
    </row>
    <row r="485" spans="2:15">
      <c r="B485" s="204" t="str">
        <f ca="1"/>
        <v>MIDDLE COUNTRY CSD</v>
      </c>
      <c r="C485" s="206">
        <f>IF(COUNTIF(CONTROL!$B$52:$B$101,'Funding by District'!D381)&gt;=1,"",ROW()-104)</f>
        <v>381</v>
      </c>
      <c r="N485" s="321"/>
      <c r="O485" s="321"/>
    </row>
    <row r="486" spans="2:15">
      <c r="B486" s="204" t="str">
        <f ca="1"/>
        <v>MIDDLEBURGH CSD</v>
      </c>
      <c r="C486" s="206">
        <f>IF(COUNTIF(CONTROL!$B$52:$B$101,'Funding by District'!D382)&gt;=1,"",ROW()-104)</f>
        <v>382</v>
      </c>
      <c r="N486" s="321"/>
      <c r="O486" s="321"/>
    </row>
    <row r="487" spans="2:15">
      <c r="B487" s="204" t="str">
        <f ca="1"/>
        <v>MIDDLETOWN CITY SD</v>
      </c>
      <c r="C487" s="206">
        <f>IF(COUNTIF(CONTROL!$B$52:$B$101,'Funding by District'!D383)&gt;=1,"",ROW()-104)</f>
        <v>383</v>
      </c>
      <c r="N487" s="321"/>
      <c r="O487" s="321"/>
    </row>
    <row r="488" spans="2:15">
      <c r="B488" s="204" t="str">
        <f ca="1"/>
        <v>MILFORD CSD</v>
      </c>
      <c r="C488" s="206">
        <f>IF(COUNTIF(CONTROL!$B$52:$B$101,'Funding by District'!D384)&gt;=1,"",ROW()-104)</f>
        <v>384</v>
      </c>
      <c r="N488" s="321"/>
      <c r="O488" s="321"/>
    </row>
    <row r="489" spans="2:15">
      <c r="B489" s="204" t="str">
        <f ca="1"/>
        <v>MILLBROOK CSD</v>
      </c>
      <c r="C489" s="206">
        <f>IF(COUNTIF(CONTROL!$B$52:$B$101,'Funding by District'!D385)&gt;=1,"",ROW()-104)</f>
        <v>385</v>
      </c>
      <c r="N489" s="321"/>
      <c r="O489" s="321"/>
    </row>
    <row r="490" spans="2:15">
      <c r="B490" s="204" t="str">
        <f ca="1"/>
        <v>MILLER PLACE UFSD</v>
      </c>
      <c r="C490" s="206">
        <f>IF(COUNTIF(CONTROL!$B$52:$B$101,'Funding by District'!D386)&gt;=1,"",ROW()-104)</f>
        <v>386</v>
      </c>
      <c r="N490" s="321"/>
      <c r="O490" s="321"/>
    </row>
    <row r="491" spans="2:15">
      <c r="B491" s="204" t="str">
        <f ca="1"/>
        <v>MINEOLA UFSD</v>
      </c>
      <c r="C491" s="206">
        <f>IF(COUNTIF(CONTROL!$B$52:$B$101,'Funding by District'!D387)&gt;=1,"",ROW()-104)</f>
        <v>387</v>
      </c>
      <c r="N491" s="321"/>
      <c r="O491" s="321"/>
    </row>
    <row r="492" spans="2:15">
      <c r="B492" s="204" t="str">
        <f ca="1"/>
        <v>MINERVA CSD</v>
      </c>
      <c r="C492" s="206">
        <f>IF(COUNTIF(CONTROL!$B$52:$B$101,'Funding by District'!D388)&gt;=1,"",ROW()-104)</f>
        <v>388</v>
      </c>
      <c r="N492" s="321"/>
      <c r="O492" s="321"/>
    </row>
    <row r="493" spans="2:15">
      <c r="B493" s="204" t="str">
        <f ca="1"/>
        <v>MINISINK VALLEY CSD</v>
      </c>
      <c r="C493" s="206">
        <f>IF(COUNTIF(CONTROL!$B$52:$B$101,'Funding by District'!D389)&gt;=1,"",ROW()-104)</f>
        <v>389</v>
      </c>
      <c r="N493" s="321"/>
      <c r="O493" s="321"/>
    </row>
    <row r="494" spans="2:15">
      <c r="B494" s="204" t="str">
        <f ca="1"/>
        <v>MONROE-WOODBURY CSD</v>
      </c>
      <c r="C494" s="206">
        <f>IF(COUNTIF(CONTROL!$B$52:$B$101,'Funding by District'!D390)&gt;=1,"",ROW()-104)</f>
        <v>390</v>
      </c>
      <c r="N494" s="321"/>
      <c r="O494" s="321"/>
    </row>
    <row r="495" spans="2:15">
      <c r="B495" s="204" t="str">
        <f ca="1"/>
        <v>MONTAUK UFSD</v>
      </c>
      <c r="C495" s="206">
        <f>IF(COUNTIF(CONTROL!$B$52:$B$101,'Funding by District'!D391)&gt;=1,"",ROW()-104)</f>
        <v>391</v>
      </c>
      <c r="N495" s="321"/>
      <c r="O495" s="321"/>
    </row>
    <row r="496" spans="2:15">
      <c r="B496" s="204" t="str">
        <f ca="1"/>
        <v>MONTICELLO CSD</v>
      </c>
      <c r="C496" s="206">
        <f>IF(COUNTIF(CONTROL!$B$52:$B$101,'Funding by District'!D392)&gt;=1,"",ROW()-104)</f>
        <v>392</v>
      </c>
      <c r="N496" s="321"/>
      <c r="O496" s="321"/>
    </row>
    <row r="497" spans="2:15">
      <c r="B497" s="204" t="str">
        <f ca="1"/>
        <v>MORAVIA CSD</v>
      </c>
      <c r="C497" s="206">
        <f>IF(COUNTIF(CONTROL!$B$52:$B$101,'Funding by District'!D393)&gt;=1,"",ROW()-104)</f>
        <v>393</v>
      </c>
      <c r="N497" s="321"/>
      <c r="O497" s="321"/>
    </row>
    <row r="498" spans="2:15">
      <c r="B498" s="204" t="str">
        <f ca="1"/>
        <v>MORIAH CSD</v>
      </c>
      <c r="C498" s="206">
        <f>IF(COUNTIF(CONTROL!$B$52:$B$101,'Funding by District'!D394)&gt;=1,"",ROW()-104)</f>
        <v>394</v>
      </c>
      <c r="N498" s="321"/>
      <c r="O498" s="321"/>
    </row>
    <row r="499" spans="2:15">
      <c r="B499" s="204" t="str">
        <f ca="1"/>
        <v>MORRIS CSD</v>
      </c>
      <c r="C499" s="206">
        <f>IF(COUNTIF(CONTROL!$B$52:$B$101,'Funding by District'!D395)&gt;=1,"",ROW()-104)</f>
        <v>395</v>
      </c>
      <c r="N499" s="321"/>
      <c r="O499" s="321"/>
    </row>
    <row r="500" spans="2:15">
      <c r="B500" s="204" t="str">
        <f ca="1"/>
        <v>MORRISTOWN CSD</v>
      </c>
      <c r="C500" s="206">
        <f>IF(COUNTIF(CONTROL!$B$52:$B$101,'Funding by District'!D396)&gt;=1,"",ROW()-104)</f>
        <v>396</v>
      </c>
      <c r="N500" s="321"/>
      <c r="O500" s="321"/>
    </row>
    <row r="501" spans="2:15">
      <c r="B501" s="204" t="str">
        <f ca="1"/>
        <v>MORRISVILLE-EATON CSD</v>
      </c>
      <c r="C501" s="206">
        <f>IF(COUNTIF(CONTROL!$B$52:$B$101,'Funding by District'!D397)&gt;=1,"",ROW()-104)</f>
        <v>397</v>
      </c>
      <c r="N501" s="321"/>
      <c r="O501" s="321"/>
    </row>
    <row r="502" spans="2:15">
      <c r="B502" s="204" t="str">
        <f ca="1"/>
        <v>MOUNT MARKHAM CSD</v>
      </c>
      <c r="C502" s="206">
        <f>IF(COUNTIF(CONTROL!$B$52:$B$101,'Funding by District'!D398)&gt;=1,"",ROW()-104)</f>
        <v>398</v>
      </c>
      <c r="N502" s="321"/>
      <c r="O502" s="321"/>
    </row>
    <row r="503" spans="2:15">
      <c r="B503" s="204" t="str">
        <f ca="1"/>
        <v>MT MORRIS CSD</v>
      </c>
      <c r="C503" s="206">
        <f>IF(COUNTIF(CONTROL!$B$52:$B$101,'Funding by District'!D399)&gt;=1,"",ROW()-104)</f>
        <v>399</v>
      </c>
      <c r="N503" s="321"/>
      <c r="O503" s="321"/>
    </row>
    <row r="504" spans="2:15">
      <c r="B504" s="204" t="str">
        <f ca="1"/>
        <v>MT PLEASANT CSD</v>
      </c>
      <c r="C504" s="206">
        <f>IF(COUNTIF(CONTROL!$B$52:$B$101,'Funding by District'!D400)&gt;=1,"",ROW()-104)</f>
        <v>400</v>
      </c>
      <c r="N504" s="321"/>
      <c r="O504" s="321"/>
    </row>
    <row r="505" spans="2:15">
      <c r="B505" s="204" t="str">
        <f ca="1"/>
        <v>MT SINAI UFSD</v>
      </c>
      <c r="C505" s="206">
        <f>IF(COUNTIF(CONTROL!$B$52:$B$101,'Funding by District'!D401)&gt;=1,"",ROW()-104)</f>
        <v>401</v>
      </c>
      <c r="N505" s="321"/>
      <c r="O505" s="321"/>
    </row>
    <row r="506" spans="2:15">
      <c r="B506" s="204" t="str">
        <f ca="1"/>
        <v>MT VERNON SCHOOL DISTRICT</v>
      </c>
      <c r="C506" s="206">
        <f>IF(COUNTIF(CONTROL!$B$52:$B$101,'Funding by District'!D402)&gt;=1,"",ROW()-104)</f>
        <v>402</v>
      </c>
      <c r="N506" s="321"/>
      <c r="O506" s="321"/>
    </row>
    <row r="507" spans="2:15">
      <c r="B507" s="204" t="str">
        <f ca="1"/>
        <v>NANUET UFSD</v>
      </c>
      <c r="C507" s="206">
        <f>IF(COUNTIF(CONTROL!$B$52:$B$101,'Funding by District'!D403)&gt;=1,"",ROW()-104)</f>
        <v>403</v>
      </c>
      <c r="N507" s="321"/>
      <c r="O507" s="321"/>
    </row>
    <row r="508" spans="2:15">
      <c r="B508" s="204" t="str">
        <f ca="1"/>
        <v>NAPLES CSD</v>
      </c>
      <c r="C508" s="206">
        <f>IF(COUNTIF(CONTROL!$B$52:$B$101,'Funding by District'!D404)&gt;=1,"",ROW()-104)</f>
        <v>404</v>
      </c>
      <c r="N508" s="321"/>
      <c r="O508" s="321"/>
    </row>
    <row r="509" spans="2:15">
      <c r="B509" s="204" t="str">
        <f ca="1"/>
        <v>NEW HARTFORD CSD</v>
      </c>
      <c r="C509" s="206">
        <f>IF(COUNTIF(CONTROL!$B$52:$B$101,'Funding by District'!D405)&gt;=1,"",ROW()-104)</f>
        <v>405</v>
      </c>
      <c r="N509" s="321"/>
      <c r="O509" s="321"/>
    </row>
    <row r="510" spans="2:15">
      <c r="B510" s="204" t="str">
        <f ca="1"/>
        <v>NEW HYDE PARK-GARDEN CITY PARK UFSD</v>
      </c>
      <c r="C510" s="206">
        <f>IF(COUNTIF(CONTROL!$B$52:$B$101,'Funding by District'!D406)&gt;=1,"",ROW()-104)</f>
        <v>406</v>
      </c>
      <c r="N510" s="321"/>
      <c r="O510" s="321"/>
    </row>
    <row r="511" spans="2:15">
      <c r="B511" s="204" t="str">
        <f ca="1"/>
        <v>NEW LEBANON CSD</v>
      </c>
      <c r="C511" s="206">
        <f>IF(COUNTIF(CONTROL!$B$52:$B$101,'Funding by District'!D407)&gt;=1,"",ROW()-104)</f>
        <v>407</v>
      </c>
      <c r="N511" s="321"/>
      <c r="O511" s="321"/>
    </row>
    <row r="512" spans="2:15">
      <c r="B512" s="204" t="str">
        <f ca="1"/>
        <v>NEW PALTZ CSD</v>
      </c>
      <c r="C512" s="206">
        <f>IF(COUNTIF(CONTROL!$B$52:$B$101,'Funding by District'!D408)&gt;=1,"",ROW()-104)</f>
        <v>408</v>
      </c>
      <c r="N512" s="321"/>
      <c r="O512" s="321"/>
    </row>
    <row r="513" spans="2:15">
      <c r="B513" s="204" t="str">
        <f ca="1"/>
        <v>NEW ROCHELLE CITY SD</v>
      </c>
      <c r="C513" s="206">
        <f>IF(COUNTIF(CONTROL!$B$52:$B$101,'Funding by District'!D409)&gt;=1,"",ROW()-104)</f>
        <v>409</v>
      </c>
      <c r="N513" s="321"/>
      <c r="O513" s="321"/>
    </row>
    <row r="514" spans="2:15">
      <c r="B514" s="204" t="str">
        <f ca="1"/>
        <v>NEW SUFFOLK COMN SD</v>
      </c>
      <c r="C514" s="206">
        <f>IF(COUNTIF(CONTROL!$B$52:$B$101,'Funding by District'!D410)&gt;=1,"",ROW()-104)</f>
        <v>410</v>
      </c>
      <c r="N514" s="321"/>
      <c r="O514" s="321"/>
    </row>
    <row r="515" spans="2:15">
      <c r="B515" s="204" t="str">
        <f ca="1"/>
        <v>NEWARK CSD</v>
      </c>
      <c r="C515" s="206">
        <f>IF(COUNTIF(CONTROL!$B$52:$B$101,'Funding by District'!D411)&gt;=1,"",ROW()-104)</f>
        <v>411</v>
      </c>
      <c r="N515" s="321"/>
      <c r="O515" s="321"/>
    </row>
    <row r="516" spans="2:15">
      <c r="B516" s="204" t="str">
        <f ca="1"/>
        <v>NEWARK VALLEY CSD</v>
      </c>
      <c r="C516" s="206">
        <f>IF(COUNTIF(CONTROL!$B$52:$B$101,'Funding by District'!D412)&gt;=1,"",ROW()-104)</f>
        <v>412</v>
      </c>
      <c r="N516" s="321"/>
      <c r="O516" s="321"/>
    </row>
    <row r="517" spans="2:15">
      <c r="B517" s="204" t="str">
        <f ca="1"/>
        <v>NEWBURGH CITY SD</v>
      </c>
      <c r="C517" s="206">
        <f>IF(COUNTIF(CONTROL!$B$52:$B$101,'Funding by District'!D413)&gt;=1,"",ROW()-104)</f>
        <v>413</v>
      </c>
      <c r="N517" s="321"/>
      <c r="O517" s="321"/>
    </row>
    <row r="518" spans="2:15">
      <c r="B518" s="204" t="str">
        <f ca="1"/>
        <v>NEWCOMB CSD</v>
      </c>
      <c r="C518" s="206">
        <f>IF(COUNTIF(CONTROL!$B$52:$B$101,'Funding by District'!D414)&gt;=1,"",ROW()-104)</f>
        <v>414</v>
      </c>
      <c r="N518" s="321"/>
      <c r="O518" s="321"/>
    </row>
    <row r="519" spans="2:15">
      <c r="B519" s="204" t="str">
        <f ca="1"/>
        <v>NEWFANE CSD</v>
      </c>
      <c r="C519" s="206">
        <f>IF(COUNTIF(CONTROL!$B$52:$B$101,'Funding by District'!D415)&gt;=1,"",ROW()-104)</f>
        <v>415</v>
      </c>
      <c r="N519" s="321"/>
      <c r="O519" s="321"/>
    </row>
    <row r="520" spans="2:15">
      <c r="B520" s="204" t="str">
        <f ca="1"/>
        <v>NEWFIELD CSD</v>
      </c>
      <c r="C520" s="206">
        <f>IF(COUNTIF(CONTROL!$B$52:$B$101,'Funding by District'!D416)&gt;=1,"",ROW()-104)</f>
        <v>416</v>
      </c>
      <c r="N520" s="321"/>
      <c r="O520" s="321"/>
    </row>
    <row r="521" spans="2:15">
      <c r="B521" s="204" t="str">
        <f ca="1"/>
        <v>NIAGARA FALLS CITY SD</v>
      </c>
      <c r="C521" s="206">
        <f>IF(COUNTIF(CONTROL!$B$52:$B$101,'Funding by District'!D417)&gt;=1,"",ROW()-104)</f>
        <v>417</v>
      </c>
      <c r="N521" s="321"/>
      <c r="O521" s="321"/>
    </row>
    <row r="522" spans="2:15">
      <c r="B522" s="204" t="str">
        <f ca="1"/>
        <v>NIAGARA-WHEATFIELD CSD</v>
      </c>
      <c r="C522" s="206">
        <f>IF(COUNTIF(CONTROL!$B$52:$B$101,'Funding by District'!D418)&gt;=1,"",ROW()-104)</f>
        <v>418</v>
      </c>
      <c r="N522" s="321"/>
      <c r="O522" s="321"/>
    </row>
    <row r="523" spans="2:15">
      <c r="B523" s="204" t="str">
        <f ca="1"/>
        <v>NISKAYUNA CSD</v>
      </c>
      <c r="C523" s="206">
        <f>IF(COUNTIF(CONTROL!$B$52:$B$101,'Funding by District'!D419)&gt;=1,"",ROW()-104)</f>
        <v>419</v>
      </c>
      <c r="N523" s="321"/>
      <c r="O523" s="321"/>
    </row>
    <row r="524" spans="2:15">
      <c r="B524" s="204" t="str">
        <f ca="1"/>
        <v>NORTH BABYLON UFSD</v>
      </c>
      <c r="C524" s="206">
        <f>IF(COUNTIF(CONTROL!$B$52:$B$101,'Funding by District'!D420)&gt;=1,"",ROW()-104)</f>
        <v>420</v>
      </c>
      <c r="N524" s="321"/>
      <c r="O524" s="321"/>
    </row>
    <row r="525" spans="2:15">
      <c r="B525" s="204" t="str">
        <f ca="1"/>
        <v>NORTH BELLMORE UFSD</v>
      </c>
      <c r="C525" s="206">
        <f>IF(COUNTIF(CONTROL!$B$52:$B$101,'Funding by District'!D421)&gt;=1,"",ROW()-104)</f>
        <v>421</v>
      </c>
      <c r="N525" s="321"/>
      <c r="O525" s="321"/>
    </row>
    <row r="526" spans="2:15">
      <c r="B526" s="204" t="str">
        <f ca="1"/>
        <v>NORTH COLLINS CSD</v>
      </c>
      <c r="C526" s="206">
        <f>IF(COUNTIF(CONTROL!$B$52:$B$101,'Funding by District'!D422)&gt;=1,"",ROW()-104)</f>
        <v>422</v>
      </c>
      <c r="N526" s="321"/>
      <c r="O526" s="321"/>
    </row>
    <row r="527" spans="2:15">
      <c r="B527" s="204" t="str">
        <f ca="1"/>
        <v>NORTH COLONIE CSD</v>
      </c>
      <c r="C527" s="206">
        <f>IF(COUNTIF(CONTROL!$B$52:$B$101,'Funding by District'!D423)&gt;=1,"",ROW()-104)</f>
        <v>423</v>
      </c>
      <c r="N527" s="321"/>
      <c r="O527" s="321"/>
    </row>
    <row r="528" spans="2:15">
      <c r="B528" s="204" t="str">
        <f ca="1"/>
        <v>NORTH GREENBUSH COMN SD (WILLIAMS)</v>
      </c>
      <c r="C528" s="206">
        <f>IF(COUNTIF(CONTROL!$B$52:$B$101,'Funding by District'!D424)&gt;=1,"",ROW()-104)</f>
        <v>424</v>
      </c>
      <c r="N528" s="321"/>
      <c r="O528" s="321"/>
    </row>
    <row r="529" spans="2:15">
      <c r="B529" s="204" t="str">
        <f ca="1"/>
        <v>NORTH MERRICK UFSD</v>
      </c>
      <c r="C529" s="206">
        <f>IF(COUNTIF(CONTROL!$B$52:$B$101,'Funding by District'!D425)&gt;=1,"",ROW()-104)</f>
        <v>425</v>
      </c>
      <c r="N529" s="321"/>
      <c r="O529" s="321"/>
    </row>
    <row r="530" spans="2:15">
      <c r="B530" s="204" t="str">
        <f ca="1"/>
        <v>NORTH ROSE-WOLCOTT CSD</v>
      </c>
      <c r="C530" s="206">
        <f>IF(COUNTIF(CONTROL!$B$52:$B$101,'Funding by District'!D426)&gt;=1,"",ROW()-104)</f>
        <v>426</v>
      </c>
      <c r="N530" s="321"/>
      <c r="O530" s="321"/>
    </row>
    <row r="531" spans="2:15">
      <c r="B531" s="204" t="str">
        <f ca="1"/>
        <v>NORTH SALEM CSD</v>
      </c>
      <c r="C531" s="206">
        <f>IF(COUNTIF(CONTROL!$B$52:$B$101,'Funding by District'!D427)&gt;=1,"",ROW()-104)</f>
        <v>427</v>
      </c>
      <c r="N531" s="321"/>
      <c r="O531" s="321"/>
    </row>
    <row r="532" spans="2:15">
      <c r="B532" s="204" t="str">
        <f ca="1"/>
        <v>NORTH SHORE CSD</v>
      </c>
      <c r="C532" s="206">
        <f>IF(COUNTIF(CONTROL!$B$52:$B$101,'Funding by District'!D428)&gt;=1,"",ROW()-104)</f>
        <v>428</v>
      </c>
      <c r="N532" s="321"/>
      <c r="O532" s="321"/>
    </row>
    <row r="533" spans="2:15">
      <c r="B533" s="204" t="str">
        <f ca="1"/>
        <v>NORTH SYRACUSE CSD</v>
      </c>
      <c r="C533" s="206">
        <f>IF(COUNTIF(CONTROL!$B$52:$B$101,'Funding by District'!D429)&gt;=1,"",ROW()-104)</f>
        <v>429</v>
      </c>
      <c r="N533" s="321"/>
      <c r="O533" s="321"/>
    </row>
    <row r="534" spans="2:15">
      <c r="B534" s="204" t="str">
        <f ca="1"/>
        <v>NORTH TONAWANDA CITY SD</v>
      </c>
      <c r="C534" s="206">
        <f>IF(COUNTIF(CONTROL!$B$52:$B$101,'Funding by District'!D430)&gt;=1,"",ROW()-104)</f>
        <v>430</v>
      </c>
      <c r="N534" s="321"/>
      <c r="O534" s="321"/>
    </row>
    <row r="535" spans="2:15">
      <c r="B535" s="204" t="str">
        <f ca="1"/>
        <v>NORTH WARREN CSD</v>
      </c>
      <c r="C535" s="206">
        <f>IF(COUNTIF(CONTROL!$B$52:$B$101,'Funding by District'!D431)&gt;=1,"",ROW()-104)</f>
        <v>431</v>
      </c>
      <c r="N535" s="321"/>
      <c r="O535" s="321"/>
    </row>
    <row r="536" spans="2:15">
      <c r="B536" s="204" t="str">
        <f ca="1"/>
        <v>NORTHEAST CSD</v>
      </c>
      <c r="C536" s="206">
        <f>IF(COUNTIF(CONTROL!$B$52:$B$101,'Funding by District'!D432)&gt;=1,"",ROW()-104)</f>
        <v>432</v>
      </c>
      <c r="N536" s="321"/>
      <c r="O536" s="321"/>
    </row>
    <row r="537" spans="2:15">
      <c r="B537" s="204" t="str">
        <f ca="1"/>
        <v>NORTHEASTERN CLINTON CSD</v>
      </c>
      <c r="C537" s="206">
        <f>IF(COUNTIF(CONTROL!$B$52:$B$101,'Funding by District'!D433)&gt;=1,"",ROW()-104)</f>
        <v>433</v>
      </c>
      <c r="N537" s="321"/>
      <c r="O537" s="321"/>
    </row>
    <row r="538" spans="2:15">
      <c r="B538" s="204" t="str">
        <f ca="1"/>
        <v>NORTHERN ADIRONDACK CSD</v>
      </c>
      <c r="C538" s="206">
        <f>IF(COUNTIF(CONTROL!$B$52:$B$101,'Funding by District'!D434)&gt;=1,"",ROW()-104)</f>
        <v>434</v>
      </c>
      <c r="N538" s="321"/>
      <c r="O538" s="321"/>
    </row>
    <row r="539" spans="2:15">
      <c r="B539" s="204" t="str">
        <f ca="1"/>
        <v>NORTHPORT-EAST NORTHPORT UFSD</v>
      </c>
      <c r="C539" s="206">
        <f>IF(COUNTIF(CONTROL!$B$52:$B$101,'Funding by District'!D435)&gt;=1,"",ROW()-104)</f>
        <v>435</v>
      </c>
      <c r="N539" s="321"/>
      <c r="O539" s="321"/>
    </row>
    <row r="540" spans="2:15">
      <c r="B540" s="204" t="str">
        <f ca="1"/>
        <v>NORTHVILLE CSD</v>
      </c>
      <c r="C540" s="206">
        <f>IF(COUNTIF(CONTROL!$B$52:$B$101,'Funding by District'!D436)&gt;=1,"",ROW()-104)</f>
        <v>436</v>
      </c>
      <c r="N540" s="321"/>
      <c r="O540" s="321"/>
    </row>
    <row r="541" spans="2:15">
      <c r="B541" s="204" t="str">
        <f ca="1"/>
        <v>NORWICH CITY SD</v>
      </c>
      <c r="C541" s="206">
        <f>IF(COUNTIF(CONTROL!$B$52:$B$101,'Funding by District'!D437)&gt;=1,"",ROW()-104)</f>
        <v>437</v>
      </c>
      <c r="N541" s="321"/>
      <c r="O541" s="321"/>
    </row>
    <row r="542" spans="2:15">
      <c r="B542" s="204" t="str">
        <f ca="1"/>
        <v>NORWOOD-NORFOLK CSD</v>
      </c>
      <c r="C542" s="206">
        <f>IF(COUNTIF(CONTROL!$B$52:$B$101,'Funding by District'!D438)&gt;=1,"",ROW()-104)</f>
        <v>438</v>
      </c>
      <c r="N542" s="321"/>
      <c r="O542" s="321"/>
    </row>
    <row r="543" spans="2:15">
      <c r="B543" s="204" t="str">
        <f ca="1"/>
        <v>NY MILLS UFSD</v>
      </c>
      <c r="C543" s="206">
        <f>IF(COUNTIF(CONTROL!$B$52:$B$101,'Funding by District'!D439)&gt;=1,"",ROW()-104)</f>
        <v>439</v>
      </c>
      <c r="N543" s="321"/>
      <c r="O543" s="321"/>
    </row>
    <row r="544" spans="2:15">
      <c r="B544" s="204" t="str">
        <f ca="1"/>
        <v>NYACK UFSD</v>
      </c>
      <c r="C544" s="206">
        <f>IF(COUNTIF(CONTROL!$B$52:$B$101,'Funding by District'!D440)&gt;=1,"",ROW()-104)</f>
        <v>440</v>
      </c>
      <c r="N544" s="321"/>
      <c r="O544" s="321"/>
    </row>
    <row r="545" spans="2:15">
      <c r="B545" s="204" t="str">
        <f ca="1"/>
        <v>NYC CHANCELLOR'S OFFICE</v>
      </c>
      <c r="C545" s="206">
        <f>IF(COUNTIF(CONTROL!$B$52:$B$101,'Funding by District'!D441)&gt;=1,"",ROW()-104)</f>
        <v>441</v>
      </c>
      <c r="N545" s="321"/>
      <c r="O545" s="321"/>
    </row>
    <row r="546" spans="2:15">
      <c r="B546" s="204" t="str">
        <f ca="1"/>
        <v>OAKFIELD-ALABAMA CSD</v>
      </c>
      <c r="C546" s="206">
        <f>IF(COUNTIF(CONTROL!$B$52:$B$101,'Funding by District'!D442)&gt;=1,"",ROW()-104)</f>
        <v>442</v>
      </c>
      <c r="N546" s="321"/>
      <c r="O546" s="321"/>
    </row>
    <row r="547" spans="2:15">
      <c r="B547" s="204" t="str">
        <f ca="1"/>
        <v>OCEANSIDE UFSD</v>
      </c>
      <c r="C547" s="206">
        <f>IF(COUNTIF(CONTROL!$B$52:$B$101,'Funding by District'!D443)&gt;=1,"",ROW()-104)</f>
        <v>443</v>
      </c>
      <c r="N547" s="321"/>
      <c r="O547" s="321"/>
    </row>
    <row r="548" spans="2:15">
      <c r="B548" s="204" t="str">
        <f ca="1"/>
        <v>ODESSA-MONTOUR CSD</v>
      </c>
      <c r="C548" s="206">
        <f>IF(COUNTIF(CONTROL!$B$52:$B$101,'Funding by District'!D444)&gt;=1,"",ROW()-104)</f>
        <v>444</v>
      </c>
      <c r="N548" s="321"/>
      <c r="O548" s="321"/>
    </row>
    <row r="549" spans="2:15">
      <c r="B549" s="204" t="str">
        <f ca="1"/>
        <v>OGDENSBURG CITY SD</v>
      </c>
      <c r="C549" s="206">
        <f>IF(COUNTIF(CONTROL!$B$52:$B$101,'Funding by District'!D445)&gt;=1,"",ROW()-104)</f>
        <v>445</v>
      </c>
      <c r="N549" s="321"/>
      <c r="O549" s="321"/>
    </row>
    <row r="550" spans="2:15">
      <c r="B550" s="204" t="str">
        <f ca="1"/>
        <v>OLEAN CITY SD</v>
      </c>
      <c r="C550" s="206">
        <f>IF(COUNTIF(CONTROL!$B$52:$B$101,'Funding by District'!D446)&gt;=1,"",ROW()-104)</f>
        <v>446</v>
      </c>
      <c r="N550" s="321"/>
      <c r="O550" s="321"/>
    </row>
    <row r="551" spans="2:15">
      <c r="B551" s="204" t="str">
        <f ca="1"/>
        <v>ONEIDA CITY SD</v>
      </c>
      <c r="C551" s="206">
        <f>IF(COUNTIF(CONTROL!$B$52:$B$101,'Funding by District'!D447)&gt;=1,"",ROW()-104)</f>
        <v>447</v>
      </c>
      <c r="N551" s="321"/>
      <c r="O551" s="321"/>
    </row>
    <row r="552" spans="2:15">
      <c r="B552" s="204" t="str">
        <f ca="1"/>
        <v>ONEONTA CITY SD</v>
      </c>
      <c r="C552" s="206">
        <f>IF(COUNTIF(CONTROL!$B$52:$B$101,'Funding by District'!D448)&gt;=1,"",ROW()-104)</f>
        <v>448</v>
      </c>
      <c r="N552" s="321"/>
      <c r="O552" s="321"/>
    </row>
    <row r="553" spans="2:15">
      <c r="B553" s="204" t="str">
        <f ca="1"/>
        <v>ONONDAGA CSD</v>
      </c>
      <c r="C553" s="206">
        <f>IF(COUNTIF(CONTROL!$B$52:$B$101,'Funding by District'!D449)&gt;=1,"",ROW()-104)</f>
        <v>449</v>
      </c>
      <c r="N553" s="321"/>
      <c r="O553" s="321"/>
    </row>
    <row r="554" spans="2:15">
      <c r="B554" s="204" t="str">
        <f ca="1"/>
        <v>ONTEORA CSD</v>
      </c>
      <c r="C554" s="206">
        <f>IF(COUNTIF(CONTROL!$B$52:$B$101,'Funding by District'!D450)&gt;=1,"",ROW()-104)</f>
        <v>450</v>
      </c>
      <c r="N554" s="321"/>
      <c r="O554" s="321"/>
    </row>
    <row r="555" spans="2:15">
      <c r="B555" s="204" t="str">
        <f ca="1"/>
        <v>OPPENHEIM-EPHRATAH-ST. JOHNSVILLE CSD</v>
      </c>
      <c r="C555" s="206">
        <f>IF(COUNTIF(CONTROL!$B$52:$B$101,'Funding by District'!D451)&gt;=1,"",ROW()-104)</f>
        <v>451</v>
      </c>
      <c r="N555" s="321"/>
      <c r="O555" s="321"/>
    </row>
    <row r="556" spans="2:15">
      <c r="B556" s="204" t="str">
        <f ca="1"/>
        <v>ORCHARD PARK CSD</v>
      </c>
      <c r="C556" s="206">
        <f>IF(COUNTIF(CONTROL!$B$52:$B$101,'Funding by District'!D452)&gt;=1,"",ROW()-104)</f>
        <v>452</v>
      </c>
      <c r="N556" s="321"/>
      <c r="O556" s="321"/>
    </row>
    <row r="557" spans="2:15">
      <c r="B557" s="204" t="str">
        <f ca="1"/>
        <v>ORISKANY CSD</v>
      </c>
      <c r="C557" s="206">
        <f>IF(COUNTIF(CONTROL!$B$52:$B$101,'Funding by District'!D453)&gt;=1,"",ROW()-104)</f>
        <v>453</v>
      </c>
      <c r="N557" s="321"/>
      <c r="O557" s="321"/>
    </row>
    <row r="558" spans="2:15">
      <c r="B558" s="204" t="str">
        <f ca="1"/>
        <v>OSSINING UFSD</v>
      </c>
      <c r="C558" s="206">
        <f>IF(COUNTIF(CONTROL!$B$52:$B$101,'Funding by District'!D454)&gt;=1,"",ROW()-104)</f>
        <v>454</v>
      </c>
      <c r="N558" s="321"/>
      <c r="O558" s="321"/>
    </row>
    <row r="559" spans="2:15">
      <c r="B559" s="204" t="str">
        <f ca="1"/>
        <v>OSWEGO CITY SD</v>
      </c>
      <c r="C559" s="206">
        <f>IF(COUNTIF(CONTROL!$B$52:$B$101,'Funding by District'!D455)&gt;=1,"",ROW()-104)</f>
        <v>455</v>
      </c>
      <c r="N559" s="321"/>
      <c r="O559" s="321"/>
    </row>
    <row r="560" spans="2:15">
      <c r="B560" s="204" t="str">
        <f ca="1"/>
        <v>OTEGO-UNADILLA CSD</v>
      </c>
      <c r="C560" s="206">
        <f>IF(COUNTIF(CONTROL!$B$52:$B$101,'Funding by District'!D456)&gt;=1,"",ROW()-104)</f>
        <v>456</v>
      </c>
      <c r="N560" s="321"/>
      <c r="O560" s="321"/>
    </row>
    <row r="561" spans="2:15">
      <c r="B561" s="204" t="str">
        <f ca="1"/>
        <v>OWEGO-APALACHIN CSD</v>
      </c>
      <c r="C561" s="206">
        <f>IF(COUNTIF(CONTROL!$B$52:$B$101,'Funding by District'!D457)&gt;=1,"",ROW()-104)</f>
        <v>457</v>
      </c>
      <c r="N561" s="321"/>
      <c r="O561" s="321"/>
    </row>
    <row r="562" spans="2:15">
      <c r="B562" s="204" t="str">
        <f ca="1"/>
        <v>OXFORD ACADEMY &amp; CSD</v>
      </c>
      <c r="C562" s="206">
        <f>IF(COUNTIF(CONTROL!$B$52:$B$101,'Funding by District'!D458)&gt;=1,"",ROW()-104)</f>
        <v>458</v>
      </c>
      <c r="N562" s="321"/>
      <c r="O562" s="321"/>
    </row>
    <row r="563" spans="2:15">
      <c r="B563" s="204" t="str">
        <f ca="1"/>
        <v>OYSTER BAY-EAST NORWICH CSD</v>
      </c>
      <c r="C563" s="206">
        <f>IF(COUNTIF(CONTROL!$B$52:$B$101,'Funding by District'!D459)&gt;=1,"",ROW()-104)</f>
        <v>459</v>
      </c>
      <c r="N563" s="321"/>
      <c r="O563" s="321"/>
    </row>
    <row r="564" spans="2:15">
      <c r="B564" s="204" t="str">
        <f ca="1"/>
        <v>OYSTERPONDS UFSD</v>
      </c>
      <c r="C564" s="206">
        <f>IF(COUNTIF(CONTROL!$B$52:$B$101,'Funding by District'!D460)&gt;=1,"",ROW()-104)</f>
        <v>460</v>
      </c>
      <c r="N564" s="321"/>
      <c r="O564" s="321"/>
    </row>
    <row r="565" spans="2:15">
      <c r="B565" s="204" t="str">
        <f ca="1"/>
        <v>PALMYRA-MACEDON CSD</v>
      </c>
      <c r="C565" s="206">
        <f>IF(COUNTIF(CONTROL!$B$52:$B$101,'Funding by District'!D461)&gt;=1,"",ROW()-104)</f>
        <v>461</v>
      </c>
      <c r="N565" s="321"/>
      <c r="O565" s="321"/>
    </row>
    <row r="566" spans="2:15">
      <c r="B566" s="204" t="str">
        <f ca="1"/>
        <v>PANAMA CSD</v>
      </c>
      <c r="C566" s="206">
        <f>IF(COUNTIF(CONTROL!$B$52:$B$101,'Funding by District'!D462)&gt;=1,"",ROW()-104)</f>
        <v>462</v>
      </c>
      <c r="N566" s="321"/>
      <c r="O566" s="321"/>
    </row>
    <row r="567" spans="2:15">
      <c r="B567" s="204" t="str">
        <f ca="1"/>
        <v>PARISHVILLE-HOPKINTON CSD</v>
      </c>
      <c r="C567" s="206">
        <f>IF(COUNTIF(CONTROL!$B$52:$B$101,'Funding by District'!D463)&gt;=1,"",ROW()-104)</f>
        <v>463</v>
      </c>
      <c r="N567" s="321"/>
      <c r="O567" s="321"/>
    </row>
    <row r="568" spans="2:15">
      <c r="B568" s="204" t="str">
        <f ca="1"/>
        <v>PATCHOGUE-MEDFORD UFSD</v>
      </c>
      <c r="C568" s="206">
        <f>IF(COUNTIF(CONTROL!$B$52:$B$101,'Funding by District'!D464)&gt;=1,"",ROW()-104)</f>
        <v>464</v>
      </c>
      <c r="N568" s="321"/>
      <c r="O568" s="321"/>
    </row>
    <row r="569" spans="2:15">
      <c r="B569" s="204" t="str">
        <f ca="1"/>
        <v>PAVILION CSD</v>
      </c>
      <c r="C569" s="206">
        <f>IF(COUNTIF(CONTROL!$B$52:$B$101,'Funding by District'!D465)&gt;=1,"",ROW()-104)</f>
        <v>465</v>
      </c>
      <c r="N569" s="321"/>
      <c r="O569" s="321"/>
    </row>
    <row r="570" spans="2:15">
      <c r="B570" s="204" t="str">
        <f ca="1"/>
        <v>PAWLING CSD</v>
      </c>
      <c r="C570" s="206">
        <f>IF(COUNTIF(CONTROL!$B$52:$B$101,'Funding by District'!D466)&gt;=1,"",ROW()-104)</f>
        <v>466</v>
      </c>
      <c r="N570" s="321"/>
      <c r="O570" s="321"/>
    </row>
    <row r="571" spans="2:15">
      <c r="B571" s="204" t="str">
        <f ca="1"/>
        <v>PEARL RIVER UFSD</v>
      </c>
      <c r="C571" s="206">
        <f>IF(COUNTIF(CONTROL!$B$52:$B$101,'Funding by District'!D467)&gt;=1,"",ROW()-104)</f>
        <v>467</v>
      </c>
      <c r="N571" s="321"/>
      <c r="O571" s="321"/>
    </row>
    <row r="572" spans="2:15">
      <c r="B572" s="204" t="str">
        <f ca="1"/>
        <v>PEEKSKILL CITY SD</v>
      </c>
      <c r="C572" s="206">
        <f>IF(COUNTIF(CONTROL!$B$52:$B$101,'Funding by District'!D468)&gt;=1,"",ROW()-104)</f>
        <v>468</v>
      </c>
      <c r="N572" s="321"/>
      <c r="O572" s="321"/>
    </row>
    <row r="573" spans="2:15">
      <c r="B573" s="204" t="str">
        <f ca="1"/>
        <v>PELHAM UFSD</v>
      </c>
      <c r="C573" s="206">
        <f>IF(COUNTIF(CONTROL!$B$52:$B$101,'Funding by District'!D469)&gt;=1,"",ROW()-104)</f>
        <v>469</v>
      </c>
      <c r="N573" s="321"/>
      <c r="O573" s="321"/>
    </row>
    <row r="574" spans="2:15">
      <c r="B574" s="204" t="str">
        <f ca="1"/>
        <v>PEMBROKE CSD</v>
      </c>
      <c r="C574" s="206">
        <f>IF(COUNTIF(CONTROL!$B$52:$B$101,'Funding by District'!D470)&gt;=1,"",ROW()-104)</f>
        <v>470</v>
      </c>
      <c r="N574" s="321"/>
      <c r="O574" s="321"/>
    </row>
    <row r="575" spans="2:15">
      <c r="B575" s="204" t="str">
        <f ca="1"/>
        <v>PENFIELD CSD</v>
      </c>
      <c r="C575" s="206">
        <f>IF(COUNTIF(CONTROL!$B$52:$B$101,'Funding by District'!D471)&gt;=1,"",ROW()-104)</f>
        <v>471</v>
      </c>
      <c r="N575" s="321"/>
      <c r="O575" s="321"/>
    </row>
    <row r="576" spans="2:15">
      <c r="B576" s="204" t="str">
        <f ca="1"/>
        <v>PENN YAN CSD</v>
      </c>
      <c r="C576" s="206">
        <f>IF(COUNTIF(CONTROL!$B$52:$B$101,'Funding by District'!D472)&gt;=1,"",ROW()-104)</f>
        <v>472</v>
      </c>
      <c r="N576" s="321"/>
      <c r="O576" s="321"/>
    </row>
    <row r="577" spans="2:15">
      <c r="B577" s="204" t="str">
        <f ca="1"/>
        <v>PERRY CSD</v>
      </c>
      <c r="C577" s="206">
        <f>IF(COUNTIF(CONTROL!$B$52:$B$101,'Funding by District'!D473)&gt;=1,"",ROW()-104)</f>
        <v>473</v>
      </c>
      <c r="N577" s="321"/>
      <c r="O577" s="321"/>
    </row>
    <row r="578" spans="2:15">
      <c r="B578" s="204" t="str">
        <f ca="1"/>
        <v>PERU CSD</v>
      </c>
      <c r="C578" s="206">
        <f>IF(COUNTIF(CONTROL!$B$52:$B$101,'Funding by District'!D474)&gt;=1,"",ROW()-104)</f>
        <v>474</v>
      </c>
      <c r="N578" s="321"/>
      <c r="O578" s="321"/>
    </row>
    <row r="579" spans="2:15">
      <c r="B579" s="204" t="str">
        <f ca="1"/>
        <v>PHELPS-CLIFTON SPRINGS CSD</v>
      </c>
      <c r="C579" s="206">
        <f>IF(COUNTIF(CONTROL!$B$52:$B$101,'Funding by District'!D475)&gt;=1,"",ROW()-104)</f>
        <v>475</v>
      </c>
      <c r="N579" s="321"/>
      <c r="O579" s="321"/>
    </row>
    <row r="580" spans="2:15">
      <c r="B580" s="204" t="str">
        <f ca="1"/>
        <v>PHOENIX CSD</v>
      </c>
      <c r="C580" s="206">
        <f>IF(COUNTIF(CONTROL!$B$52:$B$101,'Funding by District'!D476)&gt;=1,"",ROW()-104)</f>
        <v>476</v>
      </c>
      <c r="N580" s="321"/>
      <c r="O580" s="321"/>
    </row>
    <row r="581" spans="2:15">
      <c r="B581" s="204" t="str">
        <f ca="1"/>
        <v>PINE BUSH CSD</v>
      </c>
      <c r="C581" s="206">
        <f>IF(COUNTIF(CONTROL!$B$52:$B$101,'Funding by District'!D477)&gt;=1,"",ROW()-104)</f>
        <v>477</v>
      </c>
      <c r="N581" s="321"/>
      <c r="O581" s="321"/>
    </row>
    <row r="582" spans="2:15">
      <c r="B582" s="204" t="str">
        <f ca="1"/>
        <v>PINE PLAINS CSD</v>
      </c>
      <c r="C582" s="206">
        <f>IF(COUNTIF(CONTROL!$B$52:$B$101,'Funding by District'!D478)&gt;=1,"",ROW()-104)</f>
        <v>478</v>
      </c>
      <c r="N582" s="321"/>
      <c r="O582" s="321"/>
    </row>
    <row r="583" spans="2:15">
      <c r="B583" s="204" t="str">
        <f ca="1"/>
        <v>PINE VALLEY CSD (SOUTH DAYTON)</v>
      </c>
      <c r="C583" s="206">
        <f>IF(COUNTIF(CONTROL!$B$52:$B$101,'Funding by District'!D479)&gt;=1,"",ROW()-104)</f>
        <v>479</v>
      </c>
      <c r="N583" s="321"/>
      <c r="O583" s="321"/>
    </row>
    <row r="584" spans="2:15">
      <c r="B584" s="204" t="str">
        <f ca="1"/>
        <v>PITTSFORD CSD</v>
      </c>
      <c r="C584" s="206">
        <f>IF(COUNTIF(CONTROL!$B$52:$B$101,'Funding by District'!D480)&gt;=1,"",ROW()-104)</f>
        <v>480</v>
      </c>
      <c r="N584" s="321"/>
      <c r="O584" s="321"/>
    </row>
    <row r="585" spans="2:15">
      <c r="B585" s="204" t="str">
        <f ca="1"/>
        <v>PLAINEDGE UFSD</v>
      </c>
      <c r="C585" s="206">
        <f>IF(COUNTIF(CONTROL!$B$52:$B$101,'Funding by District'!D481)&gt;=1,"",ROW()-104)</f>
        <v>481</v>
      </c>
      <c r="N585" s="321"/>
      <c r="O585" s="321"/>
    </row>
    <row r="586" spans="2:15">
      <c r="B586" s="204" t="str">
        <f ca="1"/>
        <v>PLAINVIEW-OLD BETHPAGE CSD</v>
      </c>
      <c r="C586" s="206">
        <f>IF(COUNTIF(CONTROL!$B$52:$B$101,'Funding by District'!D482)&gt;=1,"",ROW()-104)</f>
        <v>482</v>
      </c>
      <c r="N586" s="321"/>
      <c r="O586" s="321"/>
    </row>
    <row r="587" spans="2:15">
      <c r="B587" s="204" t="str">
        <f ca="1"/>
        <v>PLATTSBURGH CITY SD</v>
      </c>
      <c r="C587" s="206">
        <f>IF(COUNTIF(CONTROL!$B$52:$B$101,'Funding by District'!D483)&gt;=1,"",ROW()-104)</f>
        <v>483</v>
      </c>
      <c r="N587" s="321"/>
      <c r="O587" s="321"/>
    </row>
    <row r="588" spans="2:15">
      <c r="B588" s="204" t="str">
        <f ca="1"/>
        <v>PLEASANTVILLE UFSD</v>
      </c>
      <c r="C588" s="206">
        <f>IF(COUNTIF(CONTROL!$B$52:$B$101,'Funding by District'!D484)&gt;=1,"",ROW()-104)</f>
        <v>484</v>
      </c>
      <c r="N588" s="321"/>
      <c r="O588" s="321"/>
    </row>
    <row r="589" spans="2:15">
      <c r="B589" s="204" t="str">
        <f ca="1"/>
        <v>POCANTICO HILLS CSD</v>
      </c>
      <c r="C589" s="206">
        <f>IF(COUNTIF(CONTROL!$B$52:$B$101,'Funding by District'!D485)&gt;=1,"",ROW()-104)</f>
        <v>485</v>
      </c>
      <c r="N589" s="321"/>
      <c r="O589" s="321"/>
    </row>
    <row r="590" spans="2:15">
      <c r="B590" s="204" t="str">
        <f ca="1"/>
        <v>POLAND CSD</v>
      </c>
      <c r="C590" s="206">
        <f>IF(COUNTIF(CONTROL!$B$52:$B$101,'Funding by District'!D486)&gt;=1,"",ROW()-104)</f>
        <v>486</v>
      </c>
      <c r="N590" s="321"/>
      <c r="O590" s="321"/>
    </row>
    <row r="591" spans="2:15">
      <c r="B591" s="204" t="str">
        <f ca="1"/>
        <v>PORT BYRON CSD</v>
      </c>
      <c r="C591" s="206">
        <f>IF(COUNTIF(CONTROL!$B$52:$B$101,'Funding by District'!D487)&gt;=1,"",ROW()-104)</f>
        <v>487</v>
      </c>
      <c r="N591" s="321"/>
      <c r="O591" s="321"/>
    </row>
    <row r="592" spans="2:15">
      <c r="B592" s="204" t="str">
        <f ca="1"/>
        <v>PORT CHESTER-RYE UFSD</v>
      </c>
      <c r="C592" s="206">
        <f>IF(COUNTIF(CONTROL!$B$52:$B$101,'Funding by District'!D488)&gt;=1,"",ROW()-104)</f>
        <v>488</v>
      </c>
      <c r="N592" s="321"/>
      <c r="O592" s="321"/>
    </row>
    <row r="593" spans="2:15">
      <c r="B593" s="204" t="str">
        <f ca="1"/>
        <v>PORT JEFFERSON UFSD</v>
      </c>
      <c r="C593" s="206">
        <f>IF(COUNTIF(CONTROL!$B$52:$B$101,'Funding by District'!D489)&gt;=1,"",ROW()-104)</f>
        <v>489</v>
      </c>
      <c r="N593" s="321"/>
      <c r="O593" s="321"/>
    </row>
    <row r="594" spans="2:15">
      <c r="B594" s="204" t="str">
        <f ca="1"/>
        <v>PORT JERVIS CITY SD</v>
      </c>
      <c r="C594" s="206">
        <f>IF(COUNTIF(CONTROL!$B$52:$B$101,'Funding by District'!D490)&gt;=1,"",ROW()-104)</f>
        <v>490</v>
      </c>
      <c r="N594" s="321"/>
      <c r="O594" s="321"/>
    </row>
    <row r="595" spans="2:15">
      <c r="B595" s="204" t="str">
        <f ca="1"/>
        <v>PORT WASHINGTON UFSD</v>
      </c>
      <c r="C595" s="206">
        <f>IF(COUNTIF(CONTROL!$B$52:$B$101,'Funding by District'!D491)&gt;=1,"",ROW()-104)</f>
        <v>491</v>
      </c>
      <c r="N595" s="321"/>
      <c r="O595" s="321"/>
    </row>
    <row r="596" spans="2:15">
      <c r="B596" s="204" t="str">
        <f ca="1"/>
        <v>PORTVILLE CSD</v>
      </c>
      <c r="C596" s="206">
        <f>IF(COUNTIF(CONTROL!$B$52:$B$101,'Funding by District'!D492)&gt;=1,"",ROW()-104)</f>
        <v>492</v>
      </c>
      <c r="N596" s="321"/>
      <c r="O596" s="321"/>
    </row>
    <row r="597" spans="2:15">
      <c r="B597" s="204" t="str">
        <f ca="1"/>
        <v>POTSDAM CSD</v>
      </c>
      <c r="C597" s="206">
        <f>IF(COUNTIF(CONTROL!$B$52:$B$101,'Funding by District'!D493)&gt;=1,"",ROW()-104)</f>
        <v>493</v>
      </c>
      <c r="N597" s="321"/>
      <c r="O597" s="321"/>
    </row>
    <row r="598" spans="2:15">
      <c r="B598" s="204" t="str">
        <f ca="1"/>
        <v>POUGHKEEPSIE CITY SD</v>
      </c>
      <c r="C598" s="206">
        <f>IF(COUNTIF(CONTROL!$B$52:$B$101,'Funding by District'!D494)&gt;=1,"",ROW()-104)</f>
        <v>494</v>
      </c>
      <c r="N598" s="321"/>
      <c r="O598" s="321"/>
    </row>
    <row r="599" spans="2:15">
      <c r="B599" s="204" t="str">
        <f ca="1"/>
        <v>PRATTSBURGH CSD</v>
      </c>
      <c r="C599" s="206">
        <f>IF(COUNTIF(CONTROL!$B$52:$B$101,'Funding by District'!D495)&gt;=1,"",ROW()-104)</f>
        <v>495</v>
      </c>
      <c r="N599" s="321"/>
      <c r="O599" s="321"/>
    </row>
    <row r="600" spans="2:15">
      <c r="B600" s="204" t="str">
        <f ca="1"/>
        <v>PULASKI CSD</v>
      </c>
      <c r="C600" s="206">
        <f>IF(COUNTIF(CONTROL!$B$52:$B$101,'Funding by District'!D496)&gt;=1,"",ROW()-104)</f>
        <v>496</v>
      </c>
      <c r="N600" s="321"/>
      <c r="O600" s="321"/>
    </row>
    <row r="601" spans="2:15">
      <c r="B601" s="204" t="str">
        <f ca="1"/>
        <v>PUTNAM CSD</v>
      </c>
      <c r="C601" s="206">
        <f>IF(COUNTIF(CONTROL!$B$52:$B$101,'Funding by District'!D497)&gt;=1,"",ROW()-104)</f>
        <v>497</v>
      </c>
      <c r="N601" s="321"/>
      <c r="O601" s="321"/>
    </row>
    <row r="602" spans="2:15">
      <c r="B602" s="204" t="str">
        <f ca="1"/>
        <v>PUTNAM VALLEY CSD</v>
      </c>
      <c r="C602" s="206">
        <f>IF(COUNTIF(CONTROL!$B$52:$B$101,'Funding by District'!D498)&gt;=1,"",ROW()-104)</f>
        <v>498</v>
      </c>
      <c r="N602" s="321"/>
      <c r="O602" s="321"/>
    </row>
    <row r="603" spans="2:15">
      <c r="B603" s="204" t="str">
        <f ca="1"/>
        <v>QUEENSBURY UFSD</v>
      </c>
      <c r="C603" s="206">
        <f>IF(COUNTIF(CONTROL!$B$52:$B$101,'Funding by District'!D499)&gt;=1,"",ROW()-104)</f>
        <v>499</v>
      </c>
      <c r="N603" s="321"/>
      <c r="O603" s="321"/>
    </row>
    <row r="604" spans="2:15">
      <c r="B604" s="204" t="str">
        <f ca="1"/>
        <v>QUOGUE UFSD</v>
      </c>
      <c r="C604" s="206">
        <f>IF(COUNTIF(CONTROL!$B$52:$B$101,'Funding by District'!D500)&gt;=1,"",ROW()-104)</f>
        <v>500</v>
      </c>
      <c r="N604" s="321"/>
      <c r="O604" s="321"/>
    </row>
    <row r="605" spans="2:15">
      <c r="B605" s="204" t="str">
        <f ca="1"/>
        <v>RAMAPO CSD (SUFFERN)</v>
      </c>
      <c r="C605" s="206">
        <f>IF(COUNTIF(CONTROL!$B$52:$B$101,'Funding by District'!D501)&gt;=1,"",ROW()-104)</f>
        <v>501</v>
      </c>
      <c r="N605" s="321"/>
      <c r="O605" s="321"/>
    </row>
    <row r="606" spans="2:15">
      <c r="B606" s="204" t="str">
        <f ca="1"/>
        <v>RANDOLPH CSD</v>
      </c>
      <c r="C606" s="206">
        <f>IF(COUNTIF(CONTROL!$B$52:$B$101,'Funding by District'!D502)&gt;=1,"",ROW()-104)</f>
        <v>502</v>
      </c>
      <c r="N606" s="321"/>
      <c r="O606" s="321"/>
    </row>
    <row r="607" spans="2:15">
      <c r="B607" s="204" t="str">
        <f ca="1"/>
        <v>RAVENA-COEYMANS-SELKIRK CSD</v>
      </c>
      <c r="C607" s="206">
        <f>IF(COUNTIF(CONTROL!$B$52:$B$101,'Funding by District'!D503)&gt;=1,"",ROW()-104)</f>
        <v>503</v>
      </c>
      <c r="N607" s="321"/>
      <c r="O607" s="321"/>
    </row>
    <row r="608" spans="2:15">
      <c r="B608" s="204" t="str">
        <f ca="1"/>
        <v>RED CREEK CSD</v>
      </c>
      <c r="C608" s="206">
        <f>IF(COUNTIF(CONTROL!$B$52:$B$101,'Funding by District'!D504)&gt;=1,"",ROW()-104)</f>
        <v>504</v>
      </c>
      <c r="N608" s="321"/>
      <c r="O608" s="321"/>
    </row>
    <row r="609" spans="2:15">
      <c r="B609" s="204" t="str">
        <f ca="1"/>
        <v>RED HOOK CSD</v>
      </c>
      <c r="C609" s="206">
        <f>IF(COUNTIF(CONTROL!$B$52:$B$101,'Funding by District'!D505)&gt;=1,"",ROW()-104)</f>
        <v>505</v>
      </c>
      <c r="N609" s="321"/>
      <c r="O609" s="321"/>
    </row>
    <row r="610" spans="2:15">
      <c r="B610" s="204" t="str">
        <f ca="1"/>
        <v>REMSEN CSD</v>
      </c>
      <c r="C610" s="206">
        <f>IF(COUNTIF(CONTROL!$B$52:$B$101,'Funding by District'!D506)&gt;=1,"",ROW()-104)</f>
        <v>506</v>
      </c>
      <c r="N610" s="321"/>
      <c r="O610" s="321"/>
    </row>
    <row r="611" spans="2:15">
      <c r="B611" s="204" t="str">
        <f ca="1"/>
        <v>REMSENBURG-SPEONK UFSD</v>
      </c>
      <c r="C611" s="206">
        <f>IF(COUNTIF(CONTROL!$B$52:$B$101,'Funding by District'!D507)&gt;=1,"",ROW()-104)</f>
        <v>507</v>
      </c>
      <c r="N611" s="321"/>
      <c r="O611" s="321"/>
    </row>
    <row r="612" spans="2:15">
      <c r="B612" s="204" t="str">
        <f ca="1"/>
        <v>RENSSELAER CITY SD</v>
      </c>
      <c r="C612" s="206">
        <f>IF(COUNTIF(CONTROL!$B$52:$B$101,'Funding by District'!D508)&gt;=1,"",ROW()-104)</f>
        <v>508</v>
      </c>
      <c r="N612" s="321"/>
      <c r="O612" s="321"/>
    </row>
    <row r="613" spans="2:15">
      <c r="B613" s="204" t="str">
        <f ca="1"/>
        <v>RHINEBECK CSD</v>
      </c>
      <c r="C613" s="206">
        <f>IF(COUNTIF(CONTROL!$B$52:$B$101,'Funding by District'!D509)&gt;=1,"",ROW()-104)</f>
        <v>509</v>
      </c>
      <c r="N613" s="321"/>
      <c r="O613" s="321"/>
    </row>
    <row r="614" spans="2:15">
      <c r="B614" s="204" t="str">
        <f ca="1"/>
        <v>RICHFIELD SPRINGS CSD</v>
      </c>
      <c r="C614" s="206">
        <f>IF(COUNTIF(CONTROL!$B$52:$B$101,'Funding by District'!D510)&gt;=1,"",ROW()-104)</f>
        <v>510</v>
      </c>
      <c r="N614" s="321"/>
      <c r="O614" s="321"/>
    </row>
    <row r="615" spans="2:15">
      <c r="B615" s="204" t="str">
        <f ca="1"/>
        <v>RIPLEY CSD</v>
      </c>
      <c r="C615" s="206">
        <f>IF(COUNTIF(CONTROL!$B$52:$B$101,'Funding by District'!D511)&gt;=1,"",ROW()-104)</f>
        <v>511</v>
      </c>
      <c r="N615" s="321"/>
      <c r="O615" s="321"/>
    </row>
    <row r="616" spans="2:15">
      <c r="B616" s="204" t="str">
        <f ca="1"/>
        <v>RIVERHEAD CSD</v>
      </c>
      <c r="C616" s="206">
        <f>IF(COUNTIF(CONTROL!$B$52:$B$101,'Funding by District'!D512)&gt;=1,"",ROW()-104)</f>
        <v>512</v>
      </c>
      <c r="N616" s="321"/>
      <c r="O616" s="321"/>
    </row>
    <row r="617" spans="2:15">
      <c r="B617" s="204" t="str">
        <f ca="1"/>
        <v>ROCHESTER CITY SD</v>
      </c>
      <c r="C617" s="206">
        <f>IF(COUNTIF(CONTROL!$B$52:$B$101,'Funding by District'!D513)&gt;=1,"",ROW()-104)</f>
        <v>513</v>
      </c>
      <c r="N617" s="321"/>
      <c r="O617" s="321"/>
    </row>
    <row r="618" spans="2:15">
      <c r="B618" s="204" t="str">
        <f ca="1"/>
        <v>ROCKVILLE CENTRE UFSD</v>
      </c>
      <c r="C618" s="206">
        <f>IF(COUNTIF(CONTROL!$B$52:$B$101,'Funding by District'!D514)&gt;=1,"",ROW()-104)</f>
        <v>514</v>
      </c>
      <c r="N618" s="321"/>
      <c r="O618" s="321"/>
    </row>
    <row r="619" spans="2:15">
      <c r="B619" s="204" t="str">
        <f ca="1"/>
        <v>ROCKY POINT UFSD</v>
      </c>
      <c r="C619" s="206">
        <f>IF(COUNTIF(CONTROL!$B$52:$B$101,'Funding by District'!D515)&gt;=1,"",ROW()-104)</f>
        <v>515</v>
      </c>
      <c r="N619" s="321"/>
      <c r="O619" s="321"/>
    </row>
    <row r="620" spans="2:15">
      <c r="B620" s="204" t="str">
        <f ca="1"/>
        <v>ROME CITY SD</v>
      </c>
      <c r="C620" s="206">
        <f>IF(COUNTIF(CONTROL!$B$52:$B$101,'Funding by District'!D516)&gt;=1,"",ROW()-104)</f>
        <v>516</v>
      </c>
      <c r="N620" s="321"/>
      <c r="O620" s="321"/>
    </row>
    <row r="621" spans="2:15">
      <c r="B621" s="204" t="str">
        <f ca="1"/>
        <v>ROMULUS CSD</v>
      </c>
      <c r="C621" s="206">
        <f>IF(COUNTIF(CONTROL!$B$52:$B$101,'Funding by District'!D517)&gt;=1,"",ROW()-104)</f>
        <v>517</v>
      </c>
      <c r="N621" s="321"/>
      <c r="O621" s="321"/>
    </row>
    <row r="622" spans="2:15">
      <c r="B622" s="204" t="str">
        <f ca="1"/>
        <v>RONDOUT VALLEY CSD</v>
      </c>
      <c r="C622" s="206">
        <f>IF(COUNTIF(CONTROL!$B$52:$B$101,'Funding by District'!D518)&gt;=1,"",ROW()-104)</f>
        <v>518</v>
      </c>
      <c r="N622" s="321"/>
      <c r="O622" s="321"/>
    </row>
    <row r="623" spans="2:15">
      <c r="B623" s="204" t="str">
        <f ca="1"/>
        <v>ROOSEVELT UFSD</v>
      </c>
      <c r="C623" s="206">
        <f>IF(COUNTIF(CONTROL!$B$52:$B$101,'Funding by District'!D519)&gt;=1,"",ROW()-104)</f>
        <v>519</v>
      </c>
      <c r="N623" s="321"/>
      <c r="O623" s="321"/>
    </row>
    <row r="624" spans="2:15">
      <c r="B624" s="204" t="str">
        <f ca="1"/>
        <v>ROSCOE CSD</v>
      </c>
      <c r="C624" s="206">
        <f>IF(COUNTIF(CONTROL!$B$52:$B$101,'Funding by District'!D520)&gt;=1,"",ROW()-104)</f>
        <v>520</v>
      </c>
      <c r="N624" s="321"/>
      <c r="O624" s="321"/>
    </row>
    <row r="625" spans="2:15">
      <c r="B625" s="204" t="str">
        <f ca="1"/>
        <v>ROSLYN UFSD</v>
      </c>
      <c r="C625" s="206">
        <f>IF(COUNTIF(CONTROL!$B$52:$B$101,'Funding by District'!D521)&gt;=1,"",ROW()-104)</f>
        <v>521</v>
      </c>
      <c r="N625" s="321"/>
      <c r="O625" s="321"/>
    </row>
    <row r="626" spans="2:15">
      <c r="B626" s="204" t="str">
        <f ca="1"/>
        <v>ROTTERDAM-MOHONASEN CSD</v>
      </c>
      <c r="C626" s="206">
        <f>IF(COUNTIF(CONTROL!$B$52:$B$101,'Funding by District'!D522)&gt;=1,"",ROW()-104)</f>
        <v>522</v>
      </c>
      <c r="N626" s="321"/>
      <c r="O626" s="321"/>
    </row>
    <row r="627" spans="2:15">
      <c r="B627" s="204" t="str">
        <f ca="1"/>
        <v>ROXBURY CSD</v>
      </c>
      <c r="C627" s="206">
        <f>IF(COUNTIF(CONTROL!$B$52:$B$101,'Funding by District'!D523)&gt;=1,"",ROW()-104)</f>
        <v>523</v>
      </c>
      <c r="N627" s="321"/>
      <c r="O627" s="321"/>
    </row>
    <row r="628" spans="2:15">
      <c r="B628" s="204" t="str">
        <f ca="1"/>
        <v>ROYALTON-HARTLAND CSD</v>
      </c>
      <c r="C628" s="206">
        <f>IF(COUNTIF(CONTROL!$B$52:$B$101,'Funding by District'!D524)&gt;=1,"",ROW()-104)</f>
        <v>524</v>
      </c>
      <c r="N628" s="321"/>
      <c r="O628" s="321"/>
    </row>
    <row r="629" spans="2:15">
      <c r="B629" s="204" t="str">
        <f ca="1"/>
        <v>RUSH-HENRIETTA CSD</v>
      </c>
      <c r="C629" s="206">
        <f>IF(COUNTIF(CONTROL!$B$52:$B$101,'Funding by District'!D525)&gt;=1,"",ROW()-104)</f>
        <v>525</v>
      </c>
      <c r="N629" s="321"/>
      <c r="O629" s="321"/>
    </row>
    <row r="630" spans="2:15">
      <c r="B630" s="204" t="str">
        <f ca="1"/>
        <v>RYE CITY SD</v>
      </c>
      <c r="C630" s="206">
        <f>IF(COUNTIF(CONTROL!$B$52:$B$101,'Funding by District'!D526)&gt;=1,"",ROW()-104)</f>
        <v>526</v>
      </c>
      <c r="N630" s="321"/>
      <c r="O630" s="321"/>
    </row>
    <row r="631" spans="2:15">
      <c r="B631" s="204" t="str">
        <f ca="1"/>
        <v>RYE NECK UFSD</v>
      </c>
      <c r="C631" s="206">
        <f>IF(COUNTIF(CONTROL!$B$52:$B$101,'Funding by District'!D527)&gt;=1,"",ROW()-104)</f>
        <v>527</v>
      </c>
      <c r="N631" s="321"/>
      <c r="O631" s="321"/>
    </row>
    <row r="632" spans="2:15">
      <c r="B632" s="204" t="str">
        <f ca="1"/>
        <v>SACHEM CSD</v>
      </c>
      <c r="C632" s="206">
        <f>IF(COUNTIF(CONTROL!$B$52:$B$101,'Funding by District'!D528)&gt;=1,"",ROW()-104)</f>
        <v>528</v>
      </c>
      <c r="N632" s="321"/>
      <c r="O632" s="321"/>
    </row>
    <row r="633" spans="2:15">
      <c r="B633" s="204" t="str">
        <f ca="1"/>
        <v>SACKETS HARBOR CSD</v>
      </c>
      <c r="C633" s="206">
        <f>IF(COUNTIF(CONTROL!$B$52:$B$101,'Funding by District'!D529)&gt;=1,"",ROW()-104)</f>
        <v>529</v>
      </c>
      <c r="N633" s="321"/>
      <c r="O633" s="321"/>
    </row>
    <row r="634" spans="2:15">
      <c r="B634" s="204" t="str">
        <f ca="1"/>
        <v>SAG HARBOR UFSD</v>
      </c>
      <c r="C634" s="206">
        <f>IF(COUNTIF(CONTROL!$B$52:$B$101,'Funding by District'!D530)&gt;=1,"",ROW()-104)</f>
        <v>530</v>
      </c>
      <c r="N634" s="321"/>
      <c r="O634" s="321"/>
    </row>
    <row r="635" spans="2:15">
      <c r="B635" s="204" t="str">
        <f ca="1"/>
        <v>SAGAPONACK COMN SD</v>
      </c>
      <c r="C635" s="206">
        <f>IF(COUNTIF(CONTROL!$B$52:$B$101,'Funding by District'!D531)&gt;=1,"",ROW()-104)</f>
        <v>531</v>
      </c>
      <c r="N635" s="321"/>
      <c r="O635" s="321"/>
    </row>
    <row r="636" spans="2:15">
      <c r="B636" s="204" t="str">
        <f ca="1"/>
        <v>SALAMANCA CITY SD</v>
      </c>
      <c r="C636" s="206">
        <f>IF(COUNTIF(CONTROL!$B$52:$B$101,'Funding by District'!D532)&gt;=1,"",ROW()-104)</f>
        <v>532</v>
      </c>
      <c r="N636" s="321"/>
      <c r="O636" s="321"/>
    </row>
    <row r="637" spans="2:15">
      <c r="B637" s="204" t="str">
        <f ca="1"/>
        <v>SALEM CSD</v>
      </c>
      <c r="C637" s="206">
        <f>IF(COUNTIF(CONTROL!$B$52:$B$101,'Funding by District'!D533)&gt;=1,"",ROW()-104)</f>
        <v>533</v>
      </c>
      <c r="N637" s="321"/>
      <c r="O637" s="321"/>
    </row>
    <row r="638" spans="2:15">
      <c r="B638" s="204" t="str">
        <f ca="1"/>
        <v>SALMON RIVER CSD</v>
      </c>
      <c r="C638" s="206">
        <f>IF(COUNTIF(CONTROL!$B$52:$B$101,'Funding by District'!D534)&gt;=1,"",ROW()-104)</f>
        <v>534</v>
      </c>
      <c r="N638" s="321"/>
      <c r="O638" s="321"/>
    </row>
    <row r="639" spans="2:15">
      <c r="B639" s="204" t="str">
        <f ca="1"/>
        <v>SANDY CREEK CSD</v>
      </c>
      <c r="C639" s="206">
        <f>IF(COUNTIF(CONTROL!$B$52:$B$101,'Funding by District'!D535)&gt;=1,"",ROW()-104)</f>
        <v>535</v>
      </c>
      <c r="N639" s="321"/>
      <c r="O639" s="321"/>
    </row>
    <row r="640" spans="2:15">
      <c r="B640" s="204" t="str">
        <f ca="1"/>
        <v>SARANAC CSD</v>
      </c>
      <c r="C640" s="206">
        <f>IF(COUNTIF(CONTROL!$B$52:$B$101,'Funding by District'!D536)&gt;=1,"",ROW()-104)</f>
        <v>536</v>
      </c>
      <c r="N640" s="321"/>
      <c r="O640" s="321"/>
    </row>
    <row r="641" spans="2:15">
      <c r="B641" s="204" t="str">
        <f ca="1"/>
        <v>SARANAC LAKE CSD</v>
      </c>
      <c r="C641" s="206">
        <f>IF(COUNTIF(CONTROL!$B$52:$B$101,'Funding by District'!D537)&gt;=1,"",ROW()-104)</f>
        <v>537</v>
      </c>
      <c r="N641" s="321"/>
      <c r="O641" s="321"/>
    </row>
    <row r="642" spans="2:15">
      <c r="B642" s="204" t="str">
        <f ca="1"/>
        <v>SARATOGA SPRINGS CITY SD</v>
      </c>
      <c r="C642" s="206">
        <f>IF(COUNTIF(CONTROL!$B$52:$B$101,'Funding by District'!D538)&gt;=1,"",ROW()-104)</f>
        <v>538</v>
      </c>
      <c r="N642" s="321"/>
      <c r="O642" s="321"/>
    </row>
    <row r="643" spans="2:15">
      <c r="B643" s="204" t="str">
        <f ca="1"/>
        <v>SAUGERTIES CSD</v>
      </c>
      <c r="C643" s="206">
        <f>IF(COUNTIF(CONTROL!$B$52:$B$101,'Funding by District'!D539)&gt;=1,"",ROW()-104)</f>
        <v>539</v>
      </c>
      <c r="N643" s="321"/>
      <c r="O643" s="321"/>
    </row>
    <row r="644" spans="2:15">
      <c r="B644" s="204" t="str">
        <f ca="1"/>
        <v>SAUQUOIT VALLEY CSD</v>
      </c>
      <c r="C644" s="206">
        <f>IF(COUNTIF(CONTROL!$B$52:$B$101,'Funding by District'!D540)&gt;=1,"",ROW()-104)</f>
        <v>540</v>
      </c>
      <c r="N644" s="321"/>
      <c r="O644" s="321"/>
    </row>
    <row r="645" spans="2:15">
      <c r="B645" s="204" t="str">
        <f ca="1"/>
        <v>SAYVILLE UFSD</v>
      </c>
      <c r="C645" s="206">
        <f>IF(COUNTIF(CONTROL!$B$52:$B$101,'Funding by District'!D541)&gt;=1,"",ROW()-104)</f>
        <v>541</v>
      </c>
      <c r="N645" s="321"/>
      <c r="O645" s="321"/>
    </row>
    <row r="646" spans="2:15">
      <c r="B646" s="204" t="str">
        <f ca="1"/>
        <v>SCARSDALE UFSD</v>
      </c>
      <c r="C646" s="206">
        <f>IF(COUNTIF(CONTROL!$B$52:$B$101,'Funding by District'!D542)&gt;=1,"",ROW()-104)</f>
        <v>542</v>
      </c>
      <c r="N646" s="321"/>
      <c r="O646" s="321"/>
    </row>
    <row r="647" spans="2:15">
      <c r="B647" s="204" t="str">
        <f ca="1"/>
        <v>SCHALMONT CSD</v>
      </c>
      <c r="C647" s="206">
        <f>IF(COUNTIF(CONTROL!$B$52:$B$101,'Funding by District'!D543)&gt;=1,"",ROW()-104)</f>
        <v>543</v>
      </c>
      <c r="N647" s="321"/>
      <c r="O647" s="321"/>
    </row>
    <row r="648" spans="2:15">
      <c r="B648" s="204" t="str">
        <f ca="1"/>
        <v>SCHENECTADY CITY SD</v>
      </c>
      <c r="C648" s="206">
        <f>IF(COUNTIF(CONTROL!$B$52:$B$101,'Funding by District'!D544)&gt;=1,"",ROW()-104)</f>
        <v>544</v>
      </c>
      <c r="N648" s="321"/>
      <c r="O648" s="321"/>
    </row>
    <row r="649" spans="2:15">
      <c r="B649" s="204" t="str">
        <f ca="1"/>
        <v>SCHENEVUS CSD</v>
      </c>
      <c r="C649" s="206">
        <f>IF(COUNTIF(CONTROL!$B$52:$B$101,'Funding by District'!D545)&gt;=1,"",ROW()-104)</f>
        <v>545</v>
      </c>
      <c r="N649" s="321"/>
      <c r="O649" s="321"/>
    </row>
    <row r="650" spans="2:15">
      <c r="B650" s="204" t="str">
        <f ca="1"/>
        <v>SCHODACK CSD</v>
      </c>
      <c r="C650" s="206">
        <f>IF(COUNTIF(CONTROL!$B$52:$B$101,'Funding by District'!D546)&gt;=1,"",ROW()-104)</f>
        <v>546</v>
      </c>
      <c r="N650" s="321"/>
      <c r="O650" s="321"/>
    </row>
    <row r="651" spans="2:15">
      <c r="B651" s="204" t="str">
        <f ca="1"/>
        <v>SCHOHARIE CSD</v>
      </c>
      <c r="C651" s="206">
        <f>IF(COUNTIF(CONTROL!$B$52:$B$101,'Funding by District'!D547)&gt;=1,"",ROW()-104)</f>
        <v>547</v>
      </c>
      <c r="N651" s="321"/>
      <c r="O651" s="321"/>
    </row>
    <row r="652" spans="2:15">
      <c r="B652" s="204" t="str">
        <f ca="1"/>
        <v>SCHROON LAKE CSD</v>
      </c>
      <c r="C652" s="206">
        <f>IF(COUNTIF(CONTROL!$B$52:$B$101,'Funding by District'!D548)&gt;=1,"",ROW()-104)</f>
        <v>548</v>
      </c>
      <c r="N652" s="321"/>
      <c r="O652" s="321"/>
    </row>
    <row r="653" spans="2:15">
      <c r="B653" s="204" t="str">
        <f ca="1"/>
        <v>SCHUYLERVILLE CSD</v>
      </c>
      <c r="C653" s="206">
        <f>IF(COUNTIF(CONTROL!$B$52:$B$101,'Funding by District'!D549)&gt;=1,"",ROW()-104)</f>
        <v>549</v>
      </c>
      <c r="N653" s="321"/>
      <c r="O653" s="321"/>
    </row>
    <row r="654" spans="2:15">
      <c r="B654" s="204" t="str">
        <f ca="1"/>
        <v>SCIO CSD</v>
      </c>
      <c r="C654" s="206">
        <f>IF(COUNTIF(CONTROL!$B$52:$B$101,'Funding by District'!D550)&gt;=1,"",ROW()-104)</f>
        <v>550</v>
      </c>
      <c r="N654" s="321"/>
      <c r="O654" s="321"/>
    </row>
    <row r="655" spans="2:15">
      <c r="B655" s="204" t="str">
        <f ca="1"/>
        <v>SCOTIA-GLENVILLE CSD</v>
      </c>
      <c r="C655" s="206">
        <f>IF(COUNTIF(CONTROL!$B$52:$B$101,'Funding by District'!D551)&gt;=1,"",ROW()-104)</f>
        <v>551</v>
      </c>
      <c r="N655" s="321"/>
      <c r="O655" s="321"/>
    </row>
    <row r="656" spans="2:15">
      <c r="B656" s="204" t="str">
        <f ca="1"/>
        <v>SEAFORD UFSD</v>
      </c>
      <c r="C656" s="206">
        <f>IF(COUNTIF(CONTROL!$B$52:$B$101,'Funding by District'!D552)&gt;=1,"",ROW()-104)</f>
        <v>552</v>
      </c>
      <c r="N656" s="321"/>
      <c r="O656" s="321"/>
    </row>
    <row r="657" spans="2:15">
      <c r="B657" s="204" t="str">
        <f ca="1"/>
        <v>SENECA FALLS CSD</v>
      </c>
      <c r="C657" s="206">
        <f>IF(COUNTIF(CONTROL!$B$52:$B$101,'Funding by District'!D553)&gt;=1,"",ROW()-104)</f>
        <v>553</v>
      </c>
      <c r="N657" s="321"/>
      <c r="O657" s="321"/>
    </row>
    <row r="658" spans="2:15">
      <c r="B658" s="204" t="str">
        <f ca="1"/>
        <v>SEWANHAKA CENTRAL HS DISTRICT</v>
      </c>
      <c r="C658" s="206">
        <f>IF(COUNTIF(CONTROL!$B$52:$B$101,'Funding by District'!D554)&gt;=1,"",ROW()-104)</f>
        <v>554</v>
      </c>
      <c r="N658" s="321"/>
      <c r="O658" s="321"/>
    </row>
    <row r="659" spans="2:15">
      <c r="B659" s="204" t="str">
        <f ca="1"/>
        <v>SHARON SPRINGS CSD</v>
      </c>
      <c r="C659" s="206">
        <f>IF(COUNTIF(CONTROL!$B$52:$B$101,'Funding by District'!D555)&gt;=1,"",ROW()-104)</f>
        <v>555</v>
      </c>
      <c r="N659" s="321"/>
      <c r="O659" s="321"/>
    </row>
    <row r="660" spans="2:15">
      <c r="B660" s="204" t="str">
        <f ca="1"/>
        <v>SHELTER ISLAND UFSD</v>
      </c>
      <c r="C660" s="206">
        <f>IF(COUNTIF(CONTROL!$B$52:$B$101,'Funding by District'!D556)&gt;=1,"",ROW()-104)</f>
        <v>556</v>
      </c>
      <c r="N660" s="321"/>
      <c r="O660" s="321"/>
    </row>
    <row r="661" spans="2:15">
      <c r="B661" s="204" t="str">
        <f ca="1"/>
        <v>SHENENDEHOWA CSD</v>
      </c>
      <c r="C661" s="206">
        <f>IF(COUNTIF(CONTROL!$B$52:$B$101,'Funding by District'!D557)&gt;=1,"",ROW()-104)</f>
        <v>557</v>
      </c>
      <c r="N661" s="321"/>
      <c r="O661" s="321"/>
    </row>
    <row r="662" spans="2:15">
      <c r="B662" s="204" t="str">
        <f ca="1"/>
        <v>SHERBURNE-EARLVILLE CSD</v>
      </c>
      <c r="C662" s="206">
        <f>IF(COUNTIF(CONTROL!$B$52:$B$101,'Funding by District'!D558)&gt;=1,"",ROW()-104)</f>
        <v>558</v>
      </c>
      <c r="N662" s="321"/>
      <c r="O662" s="321"/>
    </row>
    <row r="663" spans="2:15">
      <c r="B663" s="204" t="str">
        <f ca="1"/>
        <v>SHERMAN CSD</v>
      </c>
      <c r="C663" s="206">
        <f>IF(COUNTIF(CONTROL!$B$52:$B$101,'Funding by District'!D559)&gt;=1,"",ROW()-104)</f>
        <v>559</v>
      </c>
      <c r="N663" s="321"/>
      <c r="O663" s="321"/>
    </row>
    <row r="664" spans="2:15">
      <c r="B664" s="204" t="str">
        <f ca="1"/>
        <v>SHERRILL CITY SD</v>
      </c>
      <c r="C664" s="206">
        <f>IF(COUNTIF(CONTROL!$B$52:$B$101,'Funding by District'!D560)&gt;=1,"",ROW()-104)</f>
        <v>560</v>
      </c>
      <c r="N664" s="321"/>
      <c r="O664" s="321"/>
    </row>
    <row r="665" spans="2:15">
      <c r="B665" s="204" t="str">
        <f ca="1"/>
        <v>SHOREHAM-WADING RIVER CSD</v>
      </c>
      <c r="C665" s="206">
        <f>IF(COUNTIF(CONTROL!$B$52:$B$101,'Funding by District'!D561)&gt;=1,"",ROW()-104)</f>
        <v>561</v>
      </c>
      <c r="N665" s="321"/>
      <c r="O665" s="321"/>
    </row>
    <row r="666" spans="2:15">
      <c r="B666" s="204" t="str">
        <f ca="1"/>
        <v>SIDNEY CSD</v>
      </c>
      <c r="C666" s="206">
        <f>IF(COUNTIF(CONTROL!$B$52:$B$101,'Funding by District'!D562)&gt;=1,"",ROW()-104)</f>
        <v>562</v>
      </c>
      <c r="N666" s="321"/>
      <c r="O666" s="321"/>
    </row>
    <row r="667" spans="2:15">
      <c r="B667" s="204" t="str">
        <f ca="1"/>
        <v>SILVER CREEK CSD</v>
      </c>
      <c r="C667" s="206">
        <f>IF(COUNTIF(CONTROL!$B$52:$B$101,'Funding by District'!D563)&gt;=1,"",ROW()-104)</f>
        <v>563</v>
      </c>
      <c r="N667" s="321"/>
      <c r="O667" s="321"/>
    </row>
    <row r="668" spans="2:15">
      <c r="B668" s="204" t="str">
        <f ca="1"/>
        <v>SKANEATELES CSD</v>
      </c>
      <c r="C668" s="206">
        <f>IF(COUNTIF(CONTROL!$B$52:$B$101,'Funding by District'!D564)&gt;=1,"",ROW()-104)</f>
        <v>564</v>
      </c>
      <c r="N668" s="321"/>
      <c r="O668" s="321"/>
    </row>
    <row r="669" spans="2:15">
      <c r="B669" s="204" t="str">
        <f ca="1"/>
        <v>SMITHTOWN CSD</v>
      </c>
      <c r="C669" s="206">
        <f>IF(COUNTIF(CONTROL!$B$52:$B$101,'Funding by District'!D565)&gt;=1,"",ROW()-104)</f>
        <v>565</v>
      </c>
      <c r="N669" s="321"/>
      <c r="O669" s="321"/>
    </row>
    <row r="670" spans="2:15">
      <c r="B670" s="204" t="str">
        <f ca="1"/>
        <v>SODUS CSD</v>
      </c>
      <c r="C670" s="206">
        <f>IF(COUNTIF(CONTROL!$B$52:$B$101,'Funding by District'!D566)&gt;=1,"",ROW()-104)</f>
        <v>566</v>
      </c>
      <c r="N670" s="321"/>
      <c r="O670" s="321"/>
    </row>
    <row r="671" spans="2:15">
      <c r="B671" s="204" t="str">
        <f ca="1"/>
        <v>SOLVAY UFSD</v>
      </c>
      <c r="C671" s="206">
        <f>IF(COUNTIF(CONTROL!$B$52:$B$101,'Funding by District'!D567)&gt;=1,"",ROW()-104)</f>
        <v>567</v>
      </c>
      <c r="N671" s="321"/>
      <c r="O671" s="321"/>
    </row>
    <row r="672" spans="2:15">
      <c r="B672" s="204" t="str">
        <f ca="1"/>
        <v>SOMERS CSD</v>
      </c>
      <c r="C672" s="206">
        <f>IF(COUNTIF(CONTROL!$B$52:$B$101,'Funding by District'!D568)&gt;=1,"",ROW()-104)</f>
        <v>568</v>
      </c>
      <c r="N672" s="321"/>
      <c r="O672" s="321"/>
    </row>
    <row r="673" spans="2:15">
      <c r="B673" s="204" t="str">
        <f ca="1"/>
        <v>SOUTH COLONIE CSD</v>
      </c>
      <c r="C673" s="206">
        <f>IF(COUNTIF(CONTROL!$B$52:$B$101,'Funding by District'!D569)&gt;=1,"",ROW()-104)</f>
        <v>569</v>
      </c>
      <c r="N673" s="321"/>
      <c r="O673" s="321"/>
    </row>
    <row r="674" spans="2:15">
      <c r="B674" s="204" t="str">
        <f ca="1"/>
        <v>SOUTH COUNTRY CSD</v>
      </c>
      <c r="C674" s="206">
        <f>IF(COUNTIF(CONTROL!$B$52:$B$101,'Funding by District'!D570)&gt;=1,"",ROW()-104)</f>
        <v>570</v>
      </c>
      <c r="N674" s="321"/>
      <c r="O674" s="321"/>
    </row>
    <row r="675" spans="2:15">
      <c r="B675" s="204" t="str">
        <f ca="1"/>
        <v>SOUTH GLENS FALLS CSD</v>
      </c>
      <c r="C675" s="206">
        <f>IF(COUNTIF(CONTROL!$B$52:$B$101,'Funding by District'!D571)&gt;=1,"",ROW()-104)</f>
        <v>571</v>
      </c>
      <c r="N675" s="321"/>
      <c r="O675" s="321"/>
    </row>
    <row r="676" spans="2:15">
      <c r="B676" s="204" t="str">
        <f ca="1"/>
        <v>SOUTH HUNTINGTON UFSD</v>
      </c>
      <c r="C676" s="206">
        <f>IF(COUNTIF(CONTROL!$B$52:$B$101,'Funding by District'!D572)&gt;=1,"",ROW()-104)</f>
        <v>572</v>
      </c>
      <c r="N676" s="321"/>
      <c r="O676" s="321"/>
    </row>
    <row r="677" spans="2:15">
      <c r="B677" s="204" t="str">
        <f ca="1"/>
        <v>SOUTH JEFFERSON CSD</v>
      </c>
      <c r="C677" s="206">
        <f>IF(COUNTIF(CONTROL!$B$52:$B$101,'Funding by District'!D573)&gt;=1,"",ROW()-104)</f>
        <v>573</v>
      </c>
      <c r="N677" s="321"/>
      <c r="O677" s="321"/>
    </row>
    <row r="678" spans="2:15">
      <c r="B678" s="204" t="str">
        <f ca="1"/>
        <v>SOUTH KORTRIGHT CSD</v>
      </c>
      <c r="C678" s="206">
        <f>IF(COUNTIF(CONTROL!$B$52:$B$101,'Funding by District'!D574)&gt;=1,"",ROW()-104)</f>
        <v>574</v>
      </c>
      <c r="N678" s="321"/>
      <c r="O678" s="321"/>
    </row>
    <row r="679" spans="2:15">
      <c r="B679" s="204" t="str">
        <f ca="1"/>
        <v>SOUTH LEWIS CSD</v>
      </c>
      <c r="C679" s="206">
        <f>IF(COUNTIF(CONTROL!$B$52:$B$101,'Funding by District'!D575)&gt;=1,"",ROW()-104)</f>
        <v>575</v>
      </c>
      <c r="N679" s="321"/>
      <c r="O679" s="321"/>
    </row>
    <row r="680" spans="2:15">
      <c r="B680" s="204" t="str">
        <f ca="1"/>
        <v>SOUTH ORANGETOWN CSD</v>
      </c>
      <c r="C680" s="206">
        <f>IF(COUNTIF(CONTROL!$B$52:$B$101,'Funding by District'!D576)&gt;=1,"",ROW()-104)</f>
        <v>576</v>
      </c>
      <c r="N680" s="321"/>
      <c r="O680" s="321"/>
    </row>
    <row r="681" spans="2:15">
      <c r="B681" s="204" t="str">
        <f ca="1"/>
        <v>SOUTH SENECA CSD</v>
      </c>
      <c r="C681" s="206">
        <f>IF(COUNTIF(CONTROL!$B$52:$B$101,'Funding by District'!D577)&gt;=1,"",ROW()-104)</f>
        <v>577</v>
      </c>
      <c r="N681" s="321"/>
      <c r="O681" s="321"/>
    </row>
    <row r="682" spans="2:15">
      <c r="B682" s="204" t="str">
        <f ca="1"/>
        <v>SOUTHAMPTON UFSD</v>
      </c>
      <c r="C682" s="206">
        <f>IF(COUNTIF(CONTROL!$B$52:$B$101,'Funding by District'!D578)&gt;=1,"",ROW()-104)</f>
        <v>578</v>
      </c>
      <c r="N682" s="321"/>
      <c r="O682" s="321"/>
    </row>
    <row r="683" spans="2:15">
      <c r="B683" s="204" t="str">
        <f ca="1"/>
        <v>SOUTHERN CAYUGA CSD</v>
      </c>
      <c r="C683" s="206">
        <f>IF(COUNTIF(CONTROL!$B$52:$B$101,'Funding by District'!D579)&gt;=1,"",ROW()-104)</f>
        <v>579</v>
      </c>
      <c r="N683" s="321"/>
      <c r="O683" s="321"/>
    </row>
    <row r="684" spans="2:15">
      <c r="B684" s="204" t="str">
        <f ca="1"/>
        <v>SOUTHOLD UFSD</v>
      </c>
      <c r="C684" s="206">
        <f>IF(COUNTIF(CONTROL!$B$52:$B$101,'Funding by District'!D580)&gt;=1,"",ROW()-104)</f>
        <v>580</v>
      </c>
      <c r="N684" s="321"/>
      <c r="O684" s="321"/>
    </row>
    <row r="685" spans="2:15">
      <c r="B685" s="204" t="str">
        <f ca="1"/>
        <v>SOUTHWESTERN CSD AT JAMESTOWN</v>
      </c>
      <c r="C685" s="206">
        <f>IF(COUNTIF(CONTROL!$B$52:$B$101,'Funding by District'!D581)&gt;=1,"",ROW()-104)</f>
        <v>581</v>
      </c>
      <c r="N685" s="321"/>
      <c r="O685" s="321"/>
    </row>
    <row r="686" spans="2:15">
      <c r="B686" s="204" t="str">
        <f ca="1"/>
        <v>SPACKENKILL UFSD</v>
      </c>
      <c r="C686" s="206">
        <f>IF(COUNTIF(CONTROL!$B$52:$B$101,'Funding by District'!D582)&gt;=1,"",ROW()-104)</f>
        <v>582</v>
      </c>
      <c r="N686" s="321"/>
      <c r="O686" s="321"/>
    </row>
    <row r="687" spans="2:15">
      <c r="B687" s="204" t="str">
        <f ca="1"/>
        <v>SPENCERPORT CSD</v>
      </c>
      <c r="C687" s="206">
        <f>IF(COUNTIF(CONTROL!$B$52:$B$101,'Funding by District'!D583)&gt;=1,"",ROW()-104)</f>
        <v>583</v>
      </c>
      <c r="N687" s="321"/>
      <c r="O687" s="321"/>
    </row>
    <row r="688" spans="2:15">
      <c r="B688" s="204" t="str">
        <f ca="1"/>
        <v>SPENCER-VAN ETTEN CSD</v>
      </c>
      <c r="C688" s="206">
        <f>IF(COUNTIF(CONTROL!$B$52:$B$101,'Funding by District'!D584)&gt;=1,"",ROW()-104)</f>
        <v>584</v>
      </c>
      <c r="N688" s="321"/>
      <c r="O688" s="321"/>
    </row>
    <row r="689" spans="2:15">
      <c r="B689" s="204" t="str">
        <f ca="1"/>
        <v>SPRINGS UFSD</v>
      </c>
      <c r="C689" s="206">
        <f>IF(COUNTIF(CONTROL!$B$52:$B$101,'Funding by District'!D585)&gt;=1,"",ROW()-104)</f>
        <v>585</v>
      </c>
      <c r="N689" s="321"/>
      <c r="O689" s="321"/>
    </row>
    <row r="690" spans="2:15">
      <c r="B690" s="204" t="str">
        <f ca="1"/>
        <v>SPRINGVILLE-GRIFFITH INST CSD</v>
      </c>
      <c r="C690" s="206">
        <f>IF(COUNTIF(CONTROL!$B$52:$B$101,'Funding by District'!D586)&gt;=1,"",ROW()-104)</f>
        <v>586</v>
      </c>
      <c r="N690" s="321"/>
      <c r="O690" s="321"/>
    </row>
    <row r="691" spans="2:15">
      <c r="B691" s="204" t="str">
        <f ca="1"/>
        <v>ST REGIS FALLS CSD</v>
      </c>
      <c r="C691" s="206">
        <f>IF(COUNTIF(CONTROL!$B$52:$B$101,'Funding by District'!D587)&gt;=1,"",ROW()-104)</f>
        <v>587</v>
      </c>
      <c r="N691" s="321"/>
      <c r="O691" s="321"/>
    </row>
    <row r="692" spans="2:15">
      <c r="B692" s="204" t="str">
        <f ca="1"/>
        <v>STAMFORD CSD</v>
      </c>
      <c r="C692" s="206">
        <f>IF(COUNTIF(CONTROL!$B$52:$B$101,'Funding by District'!D588)&gt;=1,"",ROW()-104)</f>
        <v>588</v>
      </c>
      <c r="N692" s="321"/>
      <c r="O692" s="321"/>
    </row>
    <row r="693" spans="2:15">
      <c r="B693" s="204" t="str">
        <f ca="1"/>
        <v>STARPOINT CSD</v>
      </c>
      <c r="C693" s="206">
        <f>IF(COUNTIF(CONTROL!$B$52:$B$101,'Funding by District'!D589)&gt;=1,"",ROW()-104)</f>
        <v>589</v>
      </c>
      <c r="N693" s="321"/>
      <c r="O693" s="321"/>
    </row>
    <row r="694" spans="2:15">
      <c r="B694" s="204" t="str">
        <f ca="1"/>
        <v>STILLWATER CSD</v>
      </c>
      <c r="C694" s="206">
        <f>IF(COUNTIF(CONTROL!$B$52:$B$101,'Funding by District'!D590)&gt;=1,"",ROW()-104)</f>
        <v>590</v>
      </c>
      <c r="N694" s="321"/>
      <c r="O694" s="321"/>
    </row>
    <row r="695" spans="2:15">
      <c r="B695" s="204" t="str">
        <f ca="1"/>
        <v>STOCKBRIDGE VALLEY CSD</v>
      </c>
      <c r="C695" s="206">
        <f>IF(COUNTIF(CONTROL!$B$52:$B$101,'Funding by District'!D591)&gt;=1,"",ROW()-104)</f>
        <v>591</v>
      </c>
      <c r="N695" s="321"/>
      <c r="O695" s="321"/>
    </row>
    <row r="696" spans="2:15">
      <c r="B696" s="204" t="str">
        <f ca="1"/>
        <v>SULLIVAN WEST CSD</v>
      </c>
      <c r="C696" s="206">
        <f>IF(COUNTIF(CONTROL!$B$52:$B$101,'Funding by District'!D592)&gt;=1,"",ROW()-104)</f>
        <v>592</v>
      </c>
      <c r="N696" s="321"/>
      <c r="O696" s="321"/>
    </row>
    <row r="697" spans="2:15">
      <c r="B697" s="204" t="str">
        <f ca="1"/>
        <v>SUSQUEHANNA VALLEY CSD</v>
      </c>
      <c r="C697" s="206">
        <f>IF(COUNTIF(CONTROL!$B$52:$B$101,'Funding by District'!D593)&gt;=1,"",ROW()-104)</f>
        <v>593</v>
      </c>
      <c r="N697" s="321"/>
      <c r="O697" s="321"/>
    </row>
    <row r="698" spans="2:15">
      <c r="B698" s="204" t="str">
        <f ca="1"/>
        <v>SWEET HOME CSD</v>
      </c>
      <c r="C698" s="206">
        <f>IF(COUNTIF(CONTROL!$B$52:$B$101,'Funding by District'!D594)&gt;=1,"",ROW()-104)</f>
        <v>594</v>
      </c>
      <c r="N698" s="321"/>
      <c r="O698" s="321"/>
    </row>
    <row r="699" spans="2:15">
      <c r="B699" s="204" t="str">
        <f ca="1"/>
        <v>SYOSSET CSD</v>
      </c>
      <c r="C699" s="206">
        <f>IF(COUNTIF(CONTROL!$B$52:$B$101,'Funding by District'!D595)&gt;=1,"",ROW()-104)</f>
        <v>595</v>
      </c>
      <c r="N699" s="321"/>
      <c r="O699" s="321"/>
    </row>
    <row r="700" spans="2:15">
      <c r="B700" s="204" t="str">
        <f ca="1"/>
        <v>SYRACUSE CITY SD</v>
      </c>
      <c r="C700" s="206">
        <f>IF(COUNTIF(CONTROL!$B$52:$B$101,'Funding by District'!D596)&gt;=1,"",ROW()-104)</f>
        <v>596</v>
      </c>
      <c r="N700" s="321"/>
      <c r="O700" s="321"/>
    </row>
    <row r="701" spans="2:15">
      <c r="B701" s="204" t="str">
        <f ca="1"/>
        <v>TACONIC HILLS CSD</v>
      </c>
      <c r="C701" s="206">
        <f>IF(COUNTIF(CONTROL!$B$52:$B$101,'Funding by District'!D597)&gt;=1,"",ROW()-104)</f>
        <v>597</v>
      </c>
      <c r="N701" s="321"/>
      <c r="O701" s="321"/>
    </row>
    <row r="702" spans="2:15">
      <c r="B702" s="204" t="str">
        <f ca="1"/>
        <v>THOUSAND ISLANDS CSD</v>
      </c>
      <c r="C702" s="206">
        <f>IF(COUNTIF(CONTROL!$B$52:$B$101,'Funding by District'!D598)&gt;=1,"",ROW()-104)</f>
        <v>598</v>
      </c>
      <c r="N702" s="321"/>
      <c r="O702" s="321"/>
    </row>
    <row r="703" spans="2:15">
      <c r="B703" s="204" t="str">
        <f ca="1"/>
        <v>THREE VILLAGE CSD</v>
      </c>
      <c r="C703" s="206">
        <f>IF(COUNTIF(CONTROL!$B$52:$B$101,'Funding by District'!D599)&gt;=1,"",ROW()-104)</f>
        <v>599</v>
      </c>
      <c r="N703" s="321"/>
      <c r="O703" s="321"/>
    </row>
    <row r="704" spans="2:15">
      <c r="B704" s="204" t="str">
        <f ca="1"/>
        <v>TICONDEROGA CSD</v>
      </c>
      <c r="C704" s="206">
        <f>IF(COUNTIF(CONTROL!$B$52:$B$101,'Funding by District'!D600)&gt;=1,"",ROW()-104)</f>
        <v>600</v>
      </c>
      <c r="N704" s="321"/>
      <c r="O704" s="321"/>
    </row>
    <row r="705" spans="2:15">
      <c r="B705" s="204" t="str">
        <f ca="1"/>
        <v>TIOGA CSD</v>
      </c>
      <c r="C705" s="206">
        <f>IF(COUNTIF(CONTROL!$B$52:$B$101,'Funding by District'!D601)&gt;=1,"",ROW()-104)</f>
        <v>601</v>
      </c>
      <c r="N705" s="321"/>
      <c r="O705" s="321"/>
    </row>
    <row r="706" spans="2:15">
      <c r="B706" s="204" t="str">
        <f ca="1"/>
        <v>TONAWANDA CITY SD</v>
      </c>
      <c r="C706" s="206">
        <f>IF(COUNTIF(CONTROL!$B$52:$B$101,'Funding by District'!D602)&gt;=1,"",ROW()-104)</f>
        <v>602</v>
      </c>
      <c r="N706" s="321"/>
      <c r="O706" s="321"/>
    </row>
    <row r="707" spans="2:15">
      <c r="B707" s="204" t="str">
        <f ca="1"/>
        <v>TOWN OF WEBB UFSD</v>
      </c>
      <c r="C707" s="206">
        <f>IF(COUNTIF(CONTROL!$B$52:$B$101,'Funding by District'!D603)&gt;=1,"",ROW()-104)</f>
        <v>603</v>
      </c>
      <c r="N707" s="321"/>
      <c r="O707" s="321"/>
    </row>
    <row r="708" spans="2:15">
      <c r="B708" s="204" t="str">
        <f ca="1"/>
        <v>TRI-VALLEY CSD</v>
      </c>
      <c r="C708" s="206">
        <f>IF(COUNTIF(CONTROL!$B$52:$B$101,'Funding by District'!D604)&gt;=1,"",ROW()-104)</f>
        <v>604</v>
      </c>
      <c r="N708" s="321"/>
      <c r="O708" s="321"/>
    </row>
    <row r="709" spans="2:15">
      <c r="B709" s="204" t="str">
        <f ca="1"/>
        <v>TROY CITY SD</v>
      </c>
      <c r="C709" s="206">
        <f>IF(COUNTIF(CONTROL!$B$52:$B$101,'Funding by District'!D605)&gt;=1,"",ROW()-104)</f>
        <v>605</v>
      </c>
      <c r="N709" s="321"/>
      <c r="O709" s="321"/>
    </row>
    <row r="710" spans="2:15">
      <c r="B710" s="204" t="str">
        <f ca="1"/>
        <v>TRUMANSBURG CSD</v>
      </c>
      <c r="C710" s="206">
        <f>IF(COUNTIF(CONTROL!$B$52:$B$101,'Funding by District'!D606)&gt;=1,"",ROW()-104)</f>
        <v>606</v>
      </c>
      <c r="N710" s="321"/>
      <c r="O710" s="321"/>
    </row>
    <row r="711" spans="2:15">
      <c r="B711" s="204" t="str">
        <f ca="1"/>
        <v>TUCKAHOE COMN SD</v>
      </c>
      <c r="C711" s="206">
        <f>IF(COUNTIF(CONTROL!$B$52:$B$101,'Funding by District'!D607)&gt;=1,"",ROW()-104)</f>
        <v>607</v>
      </c>
      <c r="N711" s="321"/>
      <c r="O711" s="321"/>
    </row>
    <row r="712" spans="2:15">
      <c r="B712" s="204" t="str">
        <f ca="1"/>
        <v>TUCKAHOE UFSD</v>
      </c>
      <c r="C712" s="206">
        <f>IF(COUNTIF(CONTROL!$B$52:$B$101,'Funding by District'!D608)&gt;=1,"",ROW()-104)</f>
        <v>608</v>
      </c>
      <c r="N712" s="321"/>
      <c r="O712" s="321"/>
    </row>
    <row r="713" spans="2:15">
      <c r="B713" s="204" t="str">
        <f ca="1"/>
        <v>TULLY CSD</v>
      </c>
      <c r="C713" s="206">
        <f>IF(COUNTIF(CONTROL!$B$52:$B$101,'Funding by District'!D609)&gt;=1,"",ROW()-104)</f>
        <v>609</v>
      </c>
      <c r="N713" s="321"/>
      <c r="O713" s="321"/>
    </row>
    <row r="714" spans="2:15">
      <c r="B714" s="204" t="str">
        <f ca="1"/>
        <v>TUPPER LAKE CSD</v>
      </c>
      <c r="C714" s="206">
        <f>IF(COUNTIF(CONTROL!$B$52:$B$101,'Funding by District'!D610)&gt;=1,"",ROW()-104)</f>
        <v>610</v>
      </c>
      <c r="N714" s="321"/>
      <c r="O714" s="321"/>
    </row>
    <row r="715" spans="2:15">
      <c r="B715" s="204" t="str">
        <f ca="1"/>
        <v>TUXEDO UFSD</v>
      </c>
      <c r="C715" s="206">
        <f>IF(COUNTIF(CONTROL!$B$52:$B$101,'Funding by District'!D611)&gt;=1,"",ROW()-104)</f>
        <v>611</v>
      </c>
      <c r="N715" s="321"/>
      <c r="O715" s="321"/>
    </row>
    <row r="716" spans="2:15">
      <c r="B716" s="204" t="str">
        <f ca="1"/>
        <v>UFSD-TARRYTOWNS</v>
      </c>
      <c r="C716" s="206">
        <f>IF(COUNTIF(CONTROL!$B$52:$B$101,'Funding by District'!D612)&gt;=1,"",ROW()-104)</f>
        <v>612</v>
      </c>
      <c r="N716" s="321"/>
      <c r="O716" s="321"/>
    </row>
    <row r="717" spans="2:15">
      <c r="B717" s="204" t="str">
        <f ca="1"/>
        <v>UNADILLA VALLEY CSD</v>
      </c>
      <c r="C717" s="206">
        <f>IF(COUNTIF(CONTROL!$B$52:$B$101,'Funding by District'!D613)&gt;=1,"",ROW()-104)</f>
        <v>613</v>
      </c>
      <c r="N717" s="321"/>
      <c r="O717" s="321"/>
    </row>
    <row r="718" spans="2:15">
      <c r="B718" s="204" t="str">
        <f ca="1"/>
        <v>UNION SPRINGS CSD</v>
      </c>
      <c r="C718" s="206">
        <f>IF(COUNTIF(CONTROL!$B$52:$B$101,'Funding by District'!D614)&gt;=1,"",ROW()-104)</f>
        <v>614</v>
      </c>
      <c r="N718" s="321"/>
      <c r="O718" s="321"/>
    </row>
    <row r="719" spans="2:15">
      <c r="B719" s="204" t="str">
        <f ca="1"/>
        <v>UNIONDALE UFSD</v>
      </c>
      <c r="C719" s="206">
        <f>IF(COUNTIF(CONTROL!$B$52:$B$101,'Funding by District'!D615)&gt;=1,"",ROW()-104)</f>
        <v>615</v>
      </c>
      <c r="N719" s="321"/>
      <c r="O719" s="321"/>
    </row>
    <row r="720" spans="2:15">
      <c r="B720" s="204" t="str">
        <f ca="1"/>
        <v>UNION-ENDICOTT CSD</v>
      </c>
      <c r="C720" s="206">
        <f>IF(COUNTIF(CONTROL!$B$52:$B$101,'Funding by District'!D616)&gt;=1,"",ROW()-104)</f>
        <v>616</v>
      </c>
      <c r="N720" s="321"/>
      <c r="O720" s="321"/>
    </row>
    <row r="721" spans="2:15">
      <c r="B721" s="204" t="str">
        <f ca="1"/>
        <v>UTICA CITY SD</v>
      </c>
      <c r="C721" s="206">
        <f>IF(COUNTIF(CONTROL!$B$52:$B$101,'Funding by District'!D617)&gt;=1,"",ROW()-104)</f>
        <v>617</v>
      </c>
      <c r="N721" s="321"/>
      <c r="O721" s="321"/>
    </row>
    <row r="722" spans="2:15">
      <c r="B722" s="204" t="str">
        <f ca="1"/>
        <v>VALHALLA UFSD</v>
      </c>
      <c r="C722" s="206">
        <f>IF(COUNTIF(CONTROL!$B$52:$B$101,'Funding by District'!D618)&gt;=1,"",ROW()-104)</f>
        <v>618</v>
      </c>
      <c r="N722" s="321"/>
      <c r="O722" s="321"/>
    </row>
    <row r="723" spans="2:15">
      <c r="B723" s="204" t="str">
        <f ca="1"/>
        <v>VALLEY CSD (MONTGOMERY)</v>
      </c>
      <c r="C723" s="206">
        <f>IF(COUNTIF(CONTROL!$B$52:$B$101,'Funding by District'!D619)&gt;=1,"",ROW()-104)</f>
        <v>619</v>
      </c>
      <c r="N723" s="321"/>
      <c r="O723" s="321"/>
    </row>
    <row r="724" spans="2:15">
      <c r="B724" s="204" t="str">
        <f ca="1"/>
        <v>VALLEY STREAM 13 UFSD</v>
      </c>
      <c r="C724" s="206">
        <f>IF(COUNTIF(CONTROL!$B$52:$B$101,'Funding by District'!D620)&gt;=1,"",ROW()-104)</f>
        <v>620</v>
      </c>
      <c r="N724" s="321"/>
      <c r="O724" s="321"/>
    </row>
    <row r="725" spans="2:15">
      <c r="B725" s="204" t="str">
        <f ca="1"/>
        <v>VALLEY STREAM 24 UFSD</v>
      </c>
      <c r="C725" s="206">
        <f>IF(COUNTIF(CONTROL!$B$52:$B$101,'Funding by District'!D621)&gt;=1,"",ROW()-104)</f>
        <v>621</v>
      </c>
      <c r="N725" s="321"/>
      <c r="O725" s="321"/>
    </row>
    <row r="726" spans="2:15">
      <c r="B726" s="204" t="str">
        <f ca="1"/>
        <v>VALLEY STREAM 30 UFSD</v>
      </c>
      <c r="C726" s="206">
        <f>IF(COUNTIF(CONTROL!$B$52:$B$101,'Funding by District'!D622)&gt;=1,"",ROW()-104)</f>
        <v>622</v>
      </c>
      <c r="N726" s="321"/>
      <c r="O726" s="321"/>
    </row>
    <row r="727" spans="2:15">
      <c r="B727" s="204" t="str">
        <f ca="1"/>
        <v>VALLEY STREAM CENTRAL HS DISTRICT</v>
      </c>
      <c r="C727" s="206">
        <f>IF(COUNTIF(CONTROL!$B$52:$B$101,'Funding by District'!D623)&gt;=1,"",ROW()-104)</f>
        <v>623</v>
      </c>
      <c r="N727" s="321"/>
      <c r="O727" s="321"/>
    </row>
    <row r="728" spans="2:15">
      <c r="B728" s="204" t="str">
        <f ca="1"/>
        <v>VAN HORNESVILLE-OWEN D YOUNG CSD</v>
      </c>
      <c r="C728" s="206">
        <f>IF(COUNTIF(CONTROL!$B$52:$B$101,'Funding by District'!D624)&gt;=1,"",ROW()-104)</f>
        <v>624</v>
      </c>
      <c r="N728" s="321"/>
      <c r="O728" s="321"/>
    </row>
    <row r="729" spans="2:15">
      <c r="B729" s="204" t="str">
        <f ca="1"/>
        <v>VESTAL CSD</v>
      </c>
      <c r="C729" s="206">
        <f>IF(COUNTIF(CONTROL!$B$52:$B$101,'Funding by District'!D625)&gt;=1,"",ROW()-104)</f>
        <v>625</v>
      </c>
      <c r="N729" s="321"/>
      <c r="O729" s="321"/>
    </row>
    <row r="730" spans="2:15">
      <c r="B730" s="204" t="str">
        <f ca="1"/>
        <v>VICTOR CSD</v>
      </c>
      <c r="C730" s="206">
        <f>IF(COUNTIF(CONTROL!$B$52:$B$101,'Funding by District'!D626)&gt;=1,"",ROW()-104)</f>
        <v>626</v>
      </c>
      <c r="N730" s="321"/>
      <c r="O730" s="321"/>
    </row>
    <row r="731" spans="2:15">
      <c r="B731" s="204" t="str">
        <f ca="1"/>
        <v>VOORHEESVILLE CSD</v>
      </c>
      <c r="C731" s="206">
        <f>IF(COUNTIF(CONTROL!$B$52:$B$101,'Funding by District'!D627)&gt;=1,"",ROW()-104)</f>
        <v>627</v>
      </c>
      <c r="N731" s="321"/>
      <c r="O731" s="321"/>
    </row>
    <row r="732" spans="2:15">
      <c r="B732" s="204" t="str">
        <f ca="1"/>
        <v>WAINSCOTT COMN SD</v>
      </c>
      <c r="C732" s="206">
        <f>IF(COUNTIF(CONTROL!$B$52:$B$101,'Funding by District'!D628)&gt;=1,"",ROW()-104)</f>
        <v>628</v>
      </c>
      <c r="N732" s="321"/>
      <c r="O732" s="321"/>
    </row>
    <row r="733" spans="2:15">
      <c r="B733" s="204" t="str">
        <f ca="1"/>
        <v>WALLKILL CSD</v>
      </c>
      <c r="C733" s="206">
        <f>IF(COUNTIF(CONTROL!$B$52:$B$101,'Funding by District'!D629)&gt;=1,"",ROW()-104)</f>
        <v>629</v>
      </c>
      <c r="N733" s="321"/>
      <c r="O733" s="321"/>
    </row>
    <row r="734" spans="2:15">
      <c r="B734" s="204" t="str">
        <f ca="1"/>
        <v>WALTON CSD</v>
      </c>
      <c r="C734" s="206">
        <f>IF(COUNTIF(CONTROL!$B$52:$B$101,'Funding by District'!D630)&gt;=1,"",ROW()-104)</f>
        <v>630</v>
      </c>
      <c r="N734" s="321"/>
      <c r="O734" s="321"/>
    </row>
    <row r="735" spans="2:15">
      <c r="B735" s="204" t="str">
        <f ca="1"/>
        <v>WANTAGH UFSD</v>
      </c>
      <c r="C735" s="206">
        <f>IF(COUNTIF(CONTROL!$B$52:$B$101,'Funding by District'!D631)&gt;=1,"",ROW()-104)</f>
        <v>631</v>
      </c>
      <c r="N735" s="321"/>
      <c r="O735" s="321"/>
    </row>
    <row r="736" spans="2:15">
      <c r="B736" s="204" t="str">
        <f ca="1"/>
        <v>WAPPINGERS CSD</v>
      </c>
      <c r="C736" s="206">
        <f>IF(COUNTIF(CONTROL!$B$52:$B$101,'Funding by District'!D632)&gt;=1,"",ROW()-104)</f>
        <v>632</v>
      </c>
      <c r="N736" s="321"/>
      <c r="O736" s="321"/>
    </row>
    <row r="737" spans="2:15">
      <c r="B737" s="204" t="str">
        <f ca="1"/>
        <v>WARRENSBURG CSD</v>
      </c>
      <c r="C737" s="206">
        <f>IF(COUNTIF(CONTROL!$B$52:$B$101,'Funding by District'!D633)&gt;=1,"",ROW()-104)</f>
        <v>633</v>
      </c>
      <c r="N737" s="321"/>
      <c r="O737" s="321"/>
    </row>
    <row r="738" spans="2:15">
      <c r="B738" s="204" t="str">
        <f ca="1"/>
        <v>WARSAW CSD</v>
      </c>
      <c r="C738" s="206">
        <f>IF(COUNTIF(CONTROL!$B$52:$B$101,'Funding by District'!D634)&gt;=1,"",ROW()-104)</f>
        <v>634</v>
      </c>
      <c r="N738" s="321"/>
      <c r="O738" s="321"/>
    </row>
    <row r="739" spans="2:15">
      <c r="B739" s="204" t="str">
        <f ca="1"/>
        <v>WARWICK VALLEY CSD</v>
      </c>
      <c r="C739" s="206">
        <f>IF(COUNTIF(CONTROL!$B$52:$B$101,'Funding by District'!D635)&gt;=1,"",ROW()-104)</f>
        <v>635</v>
      </c>
      <c r="N739" s="321"/>
      <c r="O739" s="321"/>
    </row>
    <row r="740" spans="2:15">
      <c r="B740" s="204" t="str">
        <f ca="1"/>
        <v>WASHINGTONVILLE CSD</v>
      </c>
      <c r="C740" s="206">
        <f>IF(COUNTIF(CONTROL!$B$52:$B$101,'Funding by District'!D636)&gt;=1,"",ROW()-104)</f>
        <v>636</v>
      </c>
      <c r="N740" s="321"/>
      <c r="O740" s="321"/>
    </row>
    <row r="741" spans="2:15">
      <c r="B741" s="204" t="str">
        <f ca="1"/>
        <v>WATERFORD-HALFMOON UFSD</v>
      </c>
      <c r="C741" s="206">
        <f>IF(COUNTIF(CONTROL!$B$52:$B$101,'Funding by District'!D637)&gt;=1,"",ROW()-104)</f>
        <v>637</v>
      </c>
      <c r="N741" s="321"/>
      <c r="O741" s="321"/>
    </row>
    <row r="742" spans="2:15">
      <c r="B742" s="204" t="str">
        <f ca="1"/>
        <v>WATERLOO CSD</v>
      </c>
      <c r="C742" s="206">
        <f>IF(COUNTIF(CONTROL!$B$52:$B$101,'Funding by District'!D638)&gt;=1,"",ROW()-104)</f>
        <v>638</v>
      </c>
      <c r="N742" s="321"/>
      <c r="O742" s="321"/>
    </row>
    <row r="743" spans="2:15">
      <c r="B743" s="204" t="str">
        <f ca="1"/>
        <v>WATERTOWN CITY SD</v>
      </c>
      <c r="C743" s="206">
        <f>IF(COUNTIF(CONTROL!$B$52:$B$101,'Funding by District'!D639)&gt;=1,"",ROW()-104)</f>
        <v>639</v>
      </c>
      <c r="N743" s="321"/>
      <c r="O743" s="321"/>
    </row>
    <row r="744" spans="2:15">
      <c r="B744" s="204" t="str">
        <f ca="1"/>
        <v>WATERVILLE CSD</v>
      </c>
      <c r="C744" s="206">
        <f>IF(COUNTIF(CONTROL!$B$52:$B$101,'Funding by District'!D640)&gt;=1,"",ROW()-104)</f>
        <v>640</v>
      </c>
      <c r="N744" s="321"/>
      <c r="O744" s="321"/>
    </row>
    <row r="745" spans="2:15">
      <c r="B745" s="204" t="str">
        <f ca="1"/>
        <v>WATERVLIET CITY SD</v>
      </c>
      <c r="C745" s="206">
        <f>IF(COUNTIF(CONTROL!$B$52:$B$101,'Funding by District'!D641)&gt;=1,"",ROW()-104)</f>
        <v>641</v>
      </c>
      <c r="N745" s="321"/>
      <c r="O745" s="321"/>
    </row>
    <row r="746" spans="2:15">
      <c r="B746" s="204" t="str">
        <f ca="1"/>
        <v>WATKINS GLEN CSD</v>
      </c>
      <c r="C746" s="206">
        <f>IF(COUNTIF(CONTROL!$B$52:$B$101,'Funding by District'!D642)&gt;=1,"",ROW()-104)</f>
        <v>642</v>
      </c>
      <c r="N746" s="321"/>
      <c r="O746" s="321"/>
    </row>
    <row r="747" spans="2:15">
      <c r="B747" s="204" t="str">
        <f ca="1"/>
        <v>WAVERLY CSD</v>
      </c>
      <c r="C747" s="206">
        <f>IF(COUNTIF(CONTROL!$B$52:$B$101,'Funding by District'!D643)&gt;=1,"",ROW()-104)</f>
        <v>643</v>
      </c>
      <c r="N747" s="321"/>
      <c r="O747" s="321"/>
    </row>
    <row r="748" spans="2:15">
      <c r="B748" s="204" t="str">
        <f ca="1"/>
        <v>WAYLAND-COHOCTON CSD</v>
      </c>
      <c r="C748" s="206">
        <f>IF(COUNTIF(CONTROL!$B$52:$B$101,'Funding by District'!D644)&gt;=1,"",ROW()-104)</f>
        <v>644</v>
      </c>
      <c r="N748" s="321"/>
      <c r="O748" s="321"/>
    </row>
    <row r="749" spans="2:15">
      <c r="B749" s="204" t="str">
        <f ca="1"/>
        <v>WAYNE CSD</v>
      </c>
      <c r="C749" s="206">
        <f>IF(COUNTIF(CONTROL!$B$52:$B$101,'Funding by District'!D645)&gt;=1,"",ROW()-104)</f>
        <v>645</v>
      </c>
      <c r="N749" s="321"/>
      <c r="O749" s="321"/>
    </row>
    <row r="750" spans="2:15">
      <c r="B750" s="204" t="str">
        <f ca="1"/>
        <v>WEBSTER CSD</v>
      </c>
      <c r="C750" s="206">
        <f>IF(COUNTIF(CONTROL!$B$52:$B$101,'Funding by District'!D646)&gt;=1,"",ROW()-104)</f>
        <v>646</v>
      </c>
      <c r="N750" s="321"/>
      <c r="O750" s="321"/>
    </row>
    <row r="751" spans="2:15">
      <c r="B751" s="204" t="str">
        <f ca="1"/>
        <v>WEEDSPORT CSD</v>
      </c>
      <c r="C751" s="206">
        <f>IF(COUNTIF(CONTROL!$B$52:$B$101,'Funding by District'!D647)&gt;=1,"",ROW()-104)</f>
        <v>647</v>
      </c>
      <c r="N751" s="321"/>
      <c r="O751" s="321"/>
    </row>
    <row r="752" spans="2:15">
      <c r="B752" s="204" t="str">
        <f ca="1"/>
        <v>WELLS CSD</v>
      </c>
      <c r="C752" s="206">
        <f>IF(COUNTIF(CONTROL!$B$52:$B$101,'Funding by District'!D648)&gt;=1,"",ROW()-104)</f>
        <v>648</v>
      </c>
      <c r="N752" s="321"/>
      <c r="O752" s="321"/>
    </row>
    <row r="753" spans="2:15">
      <c r="B753" s="204" t="str">
        <f ca="1"/>
        <v>WELLSVILLE CSD</v>
      </c>
      <c r="C753" s="206">
        <f>IF(COUNTIF(CONTROL!$B$52:$B$101,'Funding by District'!D649)&gt;=1,"",ROW()-104)</f>
        <v>649</v>
      </c>
      <c r="N753" s="321"/>
      <c r="O753" s="321"/>
    </row>
    <row r="754" spans="2:15">
      <c r="B754" s="204" t="str">
        <f ca="1"/>
        <v>WEST BABYLON UFSD</v>
      </c>
      <c r="C754" s="206">
        <f>IF(COUNTIF(CONTROL!$B$52:$B$101,'Funding by District'!D650)&gt;=1,"",ROW()-104)</f>
        <v>650</v>
      </c>
      <c r="N754" s="321"/>
      <c r="O754" s="321"/>
    </row>
    <row r="755" spans="2:15">
      <c r="B755" s="204" t="str">
        <f ca="1"/>
        <v>WEST CANADA VALLEY CSD</v>
      </c>
      <c r="C755" s="206">
        <f>IF(COUNTIF(CONTROL!$B$52:$B$101,'Funding by District'!D651)&gt;=1,"",ROW()-104)</f>
        <v>651</v>
      </c>
      <c r="N755" s="321"/>
      <c r="O755" s="321"/>
    </row>
    <row r="756" spans="2:15">
      <c r="B756" s="204" t="str">
        <f ca="1"/>
        <v>WEST GENESEE CSD</v>
      </c>
      <c r="C756" s="206">
        <f>IF(COUNTIF(CONTROL!$B$52:$B$101,'Funding by District'!D652)&gt;=1,"",ROW()-104)</f>
        <v>652</v>
      </c>
      <c r="N756" s="321"/>
      <c r="O756" s="321"/>
    </row>
    <row r="757" spans="2:15">
      <c r="B757" s="204" t="str">
        <f ca="1"/>
        <v>WEST HEMPSTEAD UFSD</v>
      </c>
      <c r="C757" s="206">
        <f>IF(COUNTIF(CONTROL!$B$52:$B$101,'Funding by District'!D653)&gt;=1,"",ROW()-104)</f>
        <v>653</v>
      </c>
      <c r="N757" s="321"/>
      <c r="O757" s="321"/>
    </row>
    <row r="758" spans="2:15">
      <c r="B758" s="204" t="str">
        <f ca="1"/>
        <v>WEST IRONDEQUOIT CSD</v>
      </c>
      <c r="C758" s="206">
        <f>IF(COUNTIF(CONTROL!$B$52:$B$101,'Funding by District'!D654)&gt;=1,"",ROW()-104)</f>
        <v>654</v>
      </c>
      <c r="N758" s="321"/>
      <c r="O758" s="321"/>
    </row>
    <row r="759" spans="2:15">
      <c r="B759" s="204" t="str">
        <f ca="1"/>
        <v>WEST ISLIP UFSD</v>
      </c>
      <c r="C759" s="206">
        <f>IF(COUNTIF(CONTROL!$B$52:$B$101,'Funding by District'!D655)&gt;=1,"",ROW()-104)</f>
        <v>655</v>
      </c>
      <c r="N759" s="321"/>
      <c r="O759" s="321"/>
    </row>
    <row r="760" spans="2:15">
      <c r="B760" s="204" t="str">
        <f ca="1"/>
        <v>WEST SENECA CSD</v>
      </c>
      <c r="C760" s="206">
        <f>IF(COUNTIF(CONTROL!$B$52:$B$101,'Funding by District'!D656)&gt;=1,"",ROW()-104)</f>
        <v>656</v>
      </c>
      <c r="N760" s="321"/>
      <c r="O760" s="321"/>
    </row>
    <row r="761" spans="2:15">
      <c r="B761" s="204" t="str">
        <f ca="1"/>
        <v>WEST VALLEY CSD</v>
      </c>
      <c r="C761" s="206">
        <f>IF(COUNTIF(CONTROL!$B$52:$B$101,'Funding by District'!D657)&gt;=1,"",ROW()-104)</f>
        <v>657</v>
      </c>
      <c r="N761" s="321"/>
      <c r="O761" s="321"/>
    </row>
    <row r="762" spans="2:15">
      <c r="B762" s="204" t="str">
        <f ca="1"/>
        <v>WESTBURY UFSD</v>
      </c>
      <c r="C762" s="206">
        <f>IF(COUNTIF(CONTROL!$B$52:$B$101,'Funding by District'!D658)&gt;=1,"",ROW()-104)</f>
        <v>658</v>
      </c>
      <c r="N762" s="321"/>
      <c r="O762" s="321"/>
    </row>
    <row r="763" spans="2:15">
      <c r="B763" s="204" t="str">
        <f ca="1"/>
        <v>WESTFIELD CSD</v>
      </c>
      <c r="C763" s="206">
        <f>IF(COUNTIF(CONTROL!$B$52:$B$101,'Funding by District'!D659)&gt;=1,"",ROW()-104)</f>
        <v>659</v>
      </c>
      <c r="N763" s="321"/>
      <c r="O763" s="321"/>
    </row>
    <row r="764" spans="2:15">
      <c r="B764" s="204" t="str">
        <f ca="1"/>
        <v>WESTHAMPTON BEACH UFSD</v>
      </c>
      <c r="C764" s="206">
        <f>IF(COUNTIF(CONTROL!$B$52:$B$101,'Funding by District'!D660)&gt;=1,"",ROW()-104)</f>
        <v>660</v>
      </c>
      <c r="N764" s="321"/>
      <c r="O764" s="321"/>
    </row>
    <row r="765" spans="2:15">
      <c r="B765" s="204" t="str">
        <f ca="1"/>
        <v>WESTHILL CSD</v>
      </c>
      <c r="C765" s="206">
        <f>IF(COUNTIF(CONTROL!$B$52:$B$101,'Funding by District'!D661)&gt;=1,"",ROW()-104)</f>
        <v>661</v>
      </c>
      <c r="N765" s="321"/>
      <c r="O765" s="321"/>
    </row>
    <row r="766" spans="2:15">
      <c r="B766" s="204" t="str">
        <f ca="1"/>
        <v>WESTMORELAND CSD</v>
      </c>
      <c r="C766" s="206">
        <f>IF(COUNTIF(CONTROL!$B$52:$B$101,'Funding by District'!D662)&gt;=1,"",ROW()-104)</f>
        <v>662</v>
      </c>
      <c r="N766" s="321"/>
      <c r="O766" s="321"/>
    </row>
    <row r="767" spans="2:15">
      <c r="B767" s="204" t="str">
        <f ca="1"/>
        <v>WESTPORT CSD</v>
      </c>
      <c r="C767" s="206">
        <f>IF(COUNTIF(CONTROL!$B$52:$B$101,'Funding by District'!D663)&gt;=1,"",ROW()-104)</f>
        <v>663</v>
      </c>
      <c r="N767" s="321"/>
      <c r="O767" s="321"/>
    </row>
    <row r="768" spans="2:15">
      <c r="B768" s="204" t="str">
        <f ca="1"/>
        <v>WHEATLAND-CHILI CSD</v>
      </c>
      <c r="C768" s="206">
        <f>IF(COUNTIF(CONTROL!$B$52:$B$101,'Funding by District'!D664)&gt;=1,"",ROW()-104)</f>
        <v>664</v>
      </c>
      <c r="N768" s="321"/>
      <c r="O768" s="321"/>
    </row>
    <row r="769" spans="2:15">
      <c r="B769" s="204" t="str">
        <f ca="1"/>
        <v>WHEELERVILLE UFSD</v>
      </c>
      <c r="C769" s="206">
        <f>IF(COUNTIF(CONTROL!$B$52:$B$101,'Funding by District'!D665)&gt;=1,"",ROW()-104)</f>
        <v>665</v>
      </c>
      <c r="N769" s="321"/>
      <c r="O769" s="321"/>
    </row>
    <row r="770" spans="2:15">
      <c r="B770" s="204" t="str">
        <f ca="1"/>
        <v>WHITE PLAINS CITY SD</v>
      </c>
      <c r="C770" s="206">
        <f>IF(COUNTIF(CONTROL!$B$52:$B$101,'Funding by District'!D666)&gt;=1,"",ROW()-104)</f>
        <v>666</v>
      </c>
      <c r="N770" s="321"/>
      <c r="O770" s="321"/>
    </row>
    <row r="771" spans="2:15">
      <c r="B771" s="204" t="str">
        <f ca="1"/>
        <v>WHITEHALL CSD</v>
      </c>
      <c r="C771" s="206">
        <f>IF(COUNTIF(CONTROL!$B$52:$B$101,'Funding by District'!D667)&gt;=1,"",ROW()-104)</f>
        <v>667</v>
      </c>
      <c r="N771" s="321"/>
      <c r="O771" s="321"/>
    </row>
    <row r="772" spans="2:15">
      <c r="B772" s="204" t="str">
        <f ca="1"/>
        <v>WHITESBORO CSD</v>
      </c>
      <c r="C772" s="206">
        <f>IF(COUNTIF(CONTROL!$B$52:$B$101,'Funding by District'!D668)&gt;=1,"",ROW()-104)</f>
        <v>668</v>
      </c>
      <c r="N772" s="321"/>
      <c r="O772" s="321"/>
    </row>
    <row r="773" spans="2:15">
      <c r="B773" s="204" t="str">
        <f ca="1"/>
        <v>WHITESVILLE CSD</v>
      </c>
      <c r="C773" s="206">
        <f>IF(COUNTIF(CONTROL!$B$52:$B$101,'Funding by District'!D669)&gt;=1,"",ROW()-104)</f>
        <v>669</v>
      </c>
      <c r="N773" s="321"/>
      <c r="O773" s="321"/>
    </row>
    <row r="774" spans="2:15">
      <c r="B774" s="204" t="str">
        <f ca="1"/>
        <v>WHITNEY POINT CSD</v>
      </c>
      <c r="C774" s="206">
        <f>IF(COUNTIF(CONTROL!$B$52:$B$101,'Funding by District'!D670)&gt;=1,"",ROW()-104)</f>
        <v>670</v>
      </c>
      <c r="N774" s="321"/>
      <c r="O774" s="321"/>
    </row>
    <row r="775" spans="2:15">
      <c r="B775" s="204" t="str">
        <f ca="1"/>
        <v>WILLIAM FLOYD UFSD</v>
      </c>
      <c r="C775" s="206">
        <f>IF(COUNTIF(CONTROL!$B$52:$B$101,'Funding by District'!D671)&gt;=1,"",ROW()-104)</f>
        <v>671</v>
      </c>
      <c r="N775" s="321"/>
      <c r="O775" s="321"/>
    </row>
    <row r="776" spans="2:15">
      <c r="B776" s="204" t="str">
        <f ca="1"/>
        <v>WILLIAMSON CSD</v>
      </c>
      <c r="C776" s="206">
        <f>IF(COUNTIF(CONTROL!$B$52:$B$101,'Funding by District'!D672)&gt;=1,"",ROW()-104)</f>
        <v>672</v>
      </c>
      <c r="N776" s="321"/>
      <c r="O776" s="321"/>
    </row>
    <row r="777" spans="2:15">
      <c r="B777" s="204" t="str">
        <f ca="1"/>
        <v>WILLIAMSVILLE CSD</v>
      </c>
      <c r="C777" s="206">
        <f>IF(COUNTIF(CONTROL!$B$52:$B$101,'Funding by District'!D673)&gt;=1,"",ROW()-104)</f>
        <v>673</v>
      </c>
      <c r="N777" s="321"/>
      <c r="O777" s="321"/>
    </row>
    <row r="778" spans="2:15">
      <c r="B778" s="204" t="str">
        <f ca="1"/>
        <v>WILLSBORO CSD</v>
      </c>
      <c r="C778" s="206">
        <f>IF(COUNTIF(CONTROL!$B$52:$B$101,'Funding by District'!D674)&gt;=1,"",ROW()-104)</f>
        <v>674</v>
      </c>
      <c r="N778" s="321"/>
      <c r="O778" s="321"/>
    </row>
    <row r="779" spans="2:15">
      <c r="B779" s="204" t="str">
        <f ca="1"/>
        <v>WILSON CSD</v>
      </c>
      <c r="C779" s="206">
        <f>IF(COUNTIF(CONTROL!$B$52:$B$101,'Funding by District'!D675)&gt;=1,"",ROW()-104)</f>
        <v>675</v>
      </c>
      <c r="N779" s="321"/>
      <c r="O779" s="321"/>
    </row>
    <row r="780" spans="2:15">
      <c r="B780" s="204" t="str">
        <f ca="1"/>
        <v>WINDHAM-ASHLAND-JEWETT CSD</v>
      </c>
      <c r="C780" s="206">
        <f>IF(COUNTIF(CONTROL!$B$52:$B$101,'Funding by District'!D676)&gt;=1,"",ROW()-104)</f>
        <v>676</v>
      </c>
      <c r="N780" s="321"/>
      <c r="O780" s="321"/>
    </row>
    <row r="781" spans="2:15">
      <c r="B781" s="204" t="str">
        <f ca="1"/>
        <v>WINDSOR CSD</v>
      </c>
      <c r="C781" s="206">
        <f>IF(COUNTIF(CONTROL!$B$52:$B$101,'Funding by District'!D677)&gt;=1,"",ROW()-104)</f>
        <v>677</v>
      </c>
      <c r="N781" s="321"/>
      <c r="O781" s="321"/>
    </row>
    <row r="782" spans="2:15">
      <c r="B782" s="204" t="str">
        <f ca="1"/>
        <v>WORCESTER CSD</v>
      </c>
      <c r="C782" s="206">
        <f>IF(COUNTIF(CONTROL!$B$52:$B$101,'Funding by District'!D678)&gt;=1,"",ROW()-104)</f>
        <v>678</v>
      </c>
      <c r="N782" s="321"/>
      <c r="O782" s="321"/>
    </row>
    <row r="783" spans="2:15">
      <c r="B783" s="204" t="str">
        <f ca="1"/>
        <v>WYANDANCH UFSD</v>
      </c>
      <c r="C783" s="206">
        <f>IF(COUNTIF(CONTROL!$B$52:$B$101,'Funding by District'!D679)&gt;=1,"",ROW()-104)</f>
        <v>679</v>
      </c>
      <c r="N783" s="321"/>
      <c r="O783" s="321"/>
    </row>
    <row r="784" spans="2:15">
      <c r="B784" s="204" t="str">
        <f ca="1"/>
        <v>WYNANTSKILL UFSD</v>
      </c>
      <c r="C784" s="206">
        <f>IF(COUNTIF(CONTROL!$B$52:$B$101,'Funding by District'!D680)&gt;=1,"",ROW()-104)</f>
        <v>680</v>
      </c>
      <c r="N784" s="321"/>
      <c r="O784" s="321"/>
    </row>
    <row r="785" spans="2:15">
      <c r="B785" s="204" t="str">
        <f ca="1"/>
        <v>WYOMING CSD</v>
      </c>
      <c r="C785" s="206">
        <f>IF(COUNTIF(CONTROL!$B$52:$B$101,'Funding by District'!D681)&gt;=1,"",ROW()-104)</f>
        <v>681</v>
      </c>
      <c r="N785" s="321"/>
      <c r="O785" s="321"/>
    </row>
    <row r="786" spans="2:15">
      <c r="B786" s="204" t="str">
        <f ca="1"/>
        <v>YONKERS CITY SD</v>
      </c>
      <c r="C786" s="206">
        <f>IF(COUNTIF(CONTROL!$B$52:$B$101,'Funding by District'!D682)&gt;=1,"",ROW()-104)</f>
        <v>682</v>
      </c>
      <c r="N786" s="321"/>
      <c r="O786" s="321"/>
    </row>
    <row r="787" spans="2:15">
      <c r="B787" s="204" t="str">
        <f ca="1"/>
        <v>YORK CSD</v>
      </c>
      <c r="C787" s="206">
        <f>IF(COUNTIF(CONTROL!$B$52:$B$101,'Funding by District'!D683)&gt;=1,"",ROW()-104)</f>
        <v>683</v>
      </c>
      <c r="N787" s="321"/>
      <c r="O787" s="321"/>
    </row>
    <row r="788" spans="2:15">
      <c r="B788" s="204" t="str">
        <f ca="1"/>
        <v>YORKSHIRE-PIONEER CSD</v>
      </c>
      <c r="C788" s="206">
        <f>IF(COUNTIF(CONTROL!$B$52:$B$101,'Funding by District'!D684)&gt;=1,"",ROW()-104)</f>
        <v>684</v>
      </c>
      <c r="N788" s="321"/>
      <c r="O788" s="321"/>
    </row>
    <row r="789" spans="2:15">
      <c r="B789" s="204" t="str">
        <f ca="1"/>
        <v>YORKTOWN CSD</v>
      </c>
      <c r="C789" s="206">
        <f>IF(COUNTIF(CONTROL!$B$52:$B$101,'Funding by District'!D685)&gt;=1,"",ROW()-104)</f>
        <v>685</v>
      </c>
      <c r="N789" s="321"/>
      <c r="O789" s="321"/>
    </row>
    <row r="791" spans="2:15">
      <c r="B791" s="850" t="s">
        <v>1209</v>
      </c>
      <c r="C791" s="833"/>
      <c r="D791" s="833"/>
      <c r="E791" s="833"/>
      <c r="F791" s="833"/>
      <c r="G791" s="833"/>
      <c r="H791" s="833"/>
      <c r="I791" s="833"/>
      <c r="J791" s="834"/>
    </row>
    <row r="792" spans="2:15">
      <c r="B792" s="781">
        <v>0</v>
      </c>
      <c r="C792" s="838" t="s">
        <v>1220</v>
      </c>
      <c r="D792" s="839"/>
      <c r="E792" s="838"/>
      <c r="F792" s="838"/>
      <c r="G792" s="838"/>
      <c r="H792" s="838"/>
      <c r="I792" s="838"/>
      <c r="J792" s="840"/>
    </row>
    <row r="793" spans="2:15">
      <c r="B793" s="781">
        <v>1</v>
      </c>
      <c r="C793" s="838" t="e">
        <f>"Please enter balance sheet data for the Ed Corp
 "&amp;D801&amp;"
only on this template.
The balance sheet should include data for
all charter schools operated by the Ed Corp."</f>
        <v>#N/A</v>
      </c>
      <c r="D793" s="839"/>
      <c r="E793" s="838"/>
      <c r="F793" s="838"/>
      <c r="G793" s="838"/>
      <c r="H793" s="838"/>
      <c r="I793" s="838"/>
      <c r="J793" s="840"/>
    </row>
    <row r="794" spans="2:15">
      <c r="B794" s="841">
        <v>2</v>
      </c>
      <c r="C794" s="835" t="e">
        <f>"DO NOT ENTER BALANCE SHEET DATA ON THIS TEMPLATE
Balance sheet data should for the Ed Corp:
"&amp;D801&amp;"
should be entered on the template for 
"&amp;D802&amp;"."</f>
        <v>#N/A</v>
      </c>
      <c r="D794" s="836"/>
      <c r="E794" s="835"/>
      <c r="F794" s="835"/>
      <c r="G794" s="835"/>
      <c r="H794" s="835"/>
      <c r="I794" s="835"/>
      <c r="J794" s="837"/>
    </row>
    <row r="795" spans="2:15">
      <c r="B795" s="36"/>
      <c r="C795" s="762"/>
      <c r="D795" s="762"/>
      <c r="J795"/>
    </row>
    <row r="796" spans="2:15">
      <c r="B796" s="832" t="s">
        <v>1208</v>
      </c>
      <c r="C796" s="849" t="e">
        <f>INDEX(Table2[BS-NeedCode],MATCH(School,Table2[SCHOOLS],0))</f>
        <v>#N/A</v>
      </c>
      <c r="D796"/>
      <c r="E796"/>
      <c r="F796"/>
      <c r="G796"/>
      <c r="H796"/>
      <c r="I796"/>
      <c r="J796"/>
    </row>
    <row r="797" spans="2:15">
      <c r="B797" s="832" t="s">
        <v>1210</v>
      </c>
      <c r="C797" s="842" t="e">
        <f>INDEX(C792:C794,MATCH(BSNoteCode,B792:B794,0))</f>
        <v>#N/A</v>
      </c>
      <c r="D797" s="839"/>
      <c r="E797" s="838"/>
      <c r="F797" s="838"/>
      <c r="G797" s="838"/>
      <c r="H797" s="838"/>
      <c r="I797" s="838"/>
      <c r="J797" s="840"/>
    </row>
    <row r="798" spans="2:15" ht="15.6" thickBot="1">
      <c r="B798"/>
      <c r="C798"/>
      <c r="D798"/>
      <c r="E798"/>
      <c r="F798"/>
      <c r="G798"/>
      <c r="H798"/>
      <c r="I798"/>
      <c r="J798"/>
    </row>
    <row r="799" spans="2:15">
      <c r="B799" s="36"/>
      <c r="C799" s="852" t="s">
        <v>1234</v>
      </c>
      <c r="D799" s="1124" t="str">
        <f>School</f>
        <v/>
      </c>
      <c r="E799" s="1124"/>
      <c r="F799" s="1124"/>
      <c r="G799" s="1124"/>
      <c r="H799" s="1124"/>
      <c r="I799" s="1124"/>
      <c r="J799" s="1125"/>
    </row>
    <row r="800" spans="2:15">
      <c r="B800" s="36"/>
      <c r="C800" s="853" t="s">
        <v>1186</v>
      </c>
      <c r="D800" s="1126" t="e">
        <f>INDEX(Table2[MergeCorpID],MATCH(School,Table2[SCHOOLS],0))</f>
        <v>#N/A</v>
      </c>
      <c r="E800" s="1126"/>
      <c r="F800" s="1126"/>
      <c r="G800" s="1126"/>
      <c r="H800" s="1126"/>
      <c r="I800" s="1126"/>
      <c r="J800" s="1127"/>
    </row>
    <row r="801" spans="1:34">
      <c r="B801" s="36"/>
      <c r="C801" s="853" t="s">
        <v>1187</v>
      </c>
      <c r="D801" s="1126" t="e">
        <f t="array" ref="D801">INDEX(Table2[MergeName],MATCH(1,(D800=Table2[MergeCorpID])*(TRUE=Table2[SurvivingEdCorp]),0))</f>
        <v>#N/A</v>
      </c>
      <c r="E801" s="1126"/>
      <c r="F801" s="1126"/>
      <c r="G801" s="1126"/>
      <c r="H801" s="1126"/>
      <c r="I801" s="1126"/>
      <c r="J801" s="1127"/>
    </row>
    <row r="802" spans="1:34" ht="15.6" thickBot="1">
      <c r="B802" s="36"/>
      <c r="C802" s="854" t="s">
        <v>1235</v>
      </c>
      <c r="D802" s="1108" t="e">
        <f>INDEX(Table2[SCHOOLS],MATCH(D801,Table2[MergeName],0))</f>
        <v>#N/A</v>
      </c>
      <c r="E802" s="1108"/>
      <c r="F802" s="1108"/>
      <c r="G802" s="1108"/>
      <c r="H802" s="1108"/>
      <c r="I802" s="1108"/>
      <c r="J802" s="1109"/>
      <c r="L802"/>
    </row>
    <row r="803" spans="1:34">
      <c r="L803"/>
    </row>
    <row r="804" spans="1:34">
      <c r="L804"/>
    </row>
    <row r="805" spans="1:34">
      <c r="H805" s="4" t="s">
        <v>1205</v>
      </c>
      <c r="L805"/>
    </row>
    <row r="806" spans="1:34">
      <c r="C806" s="481"/>
      <c r="H806" s="4" t="s">
        <v>1206</v>
      </c>
      <c r="L806"/>
    </row>
    <row r="807" spans="1:34">
      <c r="H807" s="4" t="s">
        <v>1207</v>
      </c>
    </row>
    <row r="808" spans="1:34" ht="29.25" customHeight="1">
      <c r="B808" s="763" t="s">
        <v>1057</v>
      </c>
      <c r="C808" s="986" t="s">
        <v>1188</v>
      </c>
      <c r="D808" s="987" t="s">
        <v>1189</v>
      </c>
      <c r="E808" s="987" t="s">
        <v>1186</v>
      </c>
      <c r="F808" s="764" t="s">
        <v>1187</v>
      </c>
      <c r="G808" s="765" t="s">
        <v>1261</v>
      </c>
      <c r="H808" s="4" t="s">
        <v>1204</v>
      </c>
      <c r="I808" s="36"/>
      <c r="J808" s="22"/>
      <c r="K808" s="4"/>
      <c r="Q808"/>
      <c r="AH808" s="4"/>
    </row>
    <row r="809" spans="1:34">
      <c r="B809" s="1013" t="s">
        <v>1355</v>
      </c>
      <c r="C809" s="1010" t="s">
        <v>1185</v>
      </c>
      <c r="D809" s="1010" t="s">
        <v>1185</v>
      </c>
      <c r="E809" s="1017" t="s">
        <v>1185</v>
      </c>
      <c r="F809" s="1009" t="s">
        <v>1185</v>
      </c>
      <c r="G809" s="40" t="s">
        <v>1185</v>
      </c>
      <c r="H809" s="40" t="s">
        <v>1185</v>
      </c>
      <c r="J809" s="4"/>
      <c r="K809" s="4"/>
      <c r="AH809" s="4"/>
    </row>
    <row r="810" spans="1:34">
      <c r="A810"/>
      <c r="B810" s="1012" t="s">
        <v>1263</v>
      </c>
      <c r="C810" s="1015">
        <v>2017</v>
      </c>
      <c r="D810" s="1014"/>
      <c r="E810" s="1016"/>
      <c r="F810" s="1011"/>
      <c r="G810" s="40" t="b">
        <f>IF(ISBLANK(Table2[[#This Row],[MergeCorpID]]=TRUE),"",AND(ISNUMBER(Table2[[#This Row],[MergeCorpID]])=TRUE,ISBLANK(Table2[[#This Row],[MergeName]])=FALSE))</f>
        <v>0</v>
      </c>
      <c r="H810" s="40">
        <f>IF(ISBLANK(Table2[[#This Row],[MergeCorpID]])=TRUE,0,IF(Table2[[#This Row],[SurvivingEdCorp]]=TRUE,1,2))</f>
        <v>0</v>
      </c>
      <c r="J810" s="4"/>
      <c r="K810" s="4"/>
      <c r="AH810" s="4"/>
    </row>
    <row r="811" spans="1:34">
      <c r="B811" s="1013" t="s">
        <v>1338</v>
      </c>
      <c r="C811" s="1010">
        <v>2018</v>
      </c>
      <c r="D811" s="1010">
        <v>2019</v>
      </c>
      <c r="E811" s="1017">
        <v>521</v>
      </c>
      <c r="F811" s="1009"/>
      <c r="G811" s="40" t="b">
        <f>IF(ISBLANK(Table2[[#This Row],[MergeCorpID]]=TRUE),"",AND(ISNUMBER(Table2[[#This Row],[MergeCorpID]])=TRUE,ISBLANK(Table2[[#This Row],[MergeName]])=FALSE))</f>
        <v>0</v>
      </c>
      <c r="H811" s="40">
        <f>IF(ISBLANK(Table2[[#This Row],[MergeCorpID]])=TRUE,0,IF(Table2[[#This Row],[SurvivingEdCorp]]=TRUE,1,2))</f>
        <v>2</v>
      </c>
      <c r="J811" s="4"/>
    </row>
    <row r="812" spans="1:34">
      <c r="B812" s="1012" t="s">
        <v>1058</v>
      </c>
      <c r="C812" s="1015">
        <v>2009</v>
      </c>
      <c r="D812" s="1014">
        <v>2019</v>
      </c>
      <c r="E812" s="1016">
        <v>521</v>
      </c>
      <c r="F812" s="1011" t="s">
        <v>1264</v>
      </c>
      <c r="G812" s="40" t="b">
        <f>IF(ISBLANK(Table2[[#This Row],[MergeCorpID]]=TRUE),"",AND(ISNUMBER(Table2[[#This Row],[MergeCorpID]])=TRUE,ISBLANK(Table2[[#This Row],[MergeName]])=FALSE))</f>
        <v>1</v>
      </c>
      <c r="H812" s="40">
        <f>IF(ISBLANK(Table2[[#This Row],[MergeCorpID]])=TRUE,0,IF(Table2[[#This Row],[SurvivingEdCorp]]=TRUE,1,2))</f>
        <v>1</v>
      </c>
      <c r="J812" s="4"/>
    </row>
    <row r="813" spans="1:34">
      <c r="B813" s="1013" t="s">
        <v>1116</v>
      </c>
      <c r="C813" s="1010">
        <v>2011</v>
      </c>
      <c r="D813" s="1010"/>
      <c r="E813" s="1017"/>
      <c r="F813" s="1009"/>
      <c r="G813" s="40" t="b">
        <f>IF(ISBLANK(Table2[[#This Row],[MergeCorpID]]=TRUE),"",AND(ISNUMBER(Table2[[#This Row],[MergeCorpID]])=TRUE,ISBLANK(Table2[[#This Row],[MergeName]])=FALSE))</f>
        <v>0</v>
      </c>
      <c r="H813" s="40">
        <f>IF(ISBLANK(Table2[[#This Row],[MergeCorpID]])=TRUE,0,IF(Table2[[#This Row],[SurvivingEdCorp]]=TRUE,1,2))</f>
        <v>0</v>
      </c>
      <c r="J813" s="4"/>
    </row>
    <row r="814" spans="1:34">
      <c r="B814" s="1012" t="s">
        <v>1061</v>
      </c>
      <c r="C814" s="1015">
        <v>2010</v>
      </c>
      <c r="D814" s="1014">
        <v>2016</v>
      </c>
      <c r="E814" s="1016">
        <v>511</v>
      </c>
      <c r="F814" s="1011"/>
      <c r="G814" s="40" t="b">
        <f>IF(ISBLANK(Table2[[#This Row],[MergeCorpID]]=TRUE),"",AND(ISNUMBER(Table2[[#This Row],[MergeCorpID]])=TRUE,ISBLANK(Table2[[#This Row],[MergeName]])=FALSE))</f>
        <v>0</v>
      </c>
      <c r="H814" s="40">
        <f>IF(ISBLANK(Table2[[#This Row],[MergeCorpID]])=TRUE,0,IF(Table2[[#This Row],[SurvivingEdCorp]]=TRUE,1,2))</f>
        <v>2</v>
      </c>
      <c r="J814" s="4"/>
    </row>
    <row r="815" spans="1:34">
      <c r="B815" s="1013" t="s">
        <v>1125</v>
      </c>
      <c r="C815" s="1010">
        <v>2013</v>
      </c>
      <c r="D815" s="1010">
        <v>2016</v>
      </c>
      <c r="E815" s="1017">
        <v>511</v>
      </c>
      <c r="F815" s="1009"/>
      <c r="G815" s="40" t="b">
        <f>IF(ISBLANK(Table2[[#This Row],[MergeCorpID]]=TRUE),"",AND(ISNUMBER(Table2[[#This Row],[MergeCorpID]])=TRUE,ISBLANK(Table2[[#This Row],[MergeName]])=FALSE))</f>
        <v>0</v>
      </c>
      <c r="H815" s="40">
        <f>IF(ISBLANK(Table2[[#This Row],[MergeCorpID]])=TRUE,0,IF(Table2[[#This Row],[SurvivingEdCorp]]=TRUE,1,2))</f>
        <v>2</v>
      </c>
      <c r="J815" s="4"/>
    </row>
    <row r="816" spans="1:34">
      <c r="B816" s="1012" t="s">
        <v>1059</v>
      </c>
      <c r="C816" s="1015">
        <v>2008</v>
      </c>
      <c r="D816" s="1014">
        <v>2016</v>
      </c>
      <c r="E816" s="1016">
        <v>511</v>
      </c>
      <c r="F816" s="1011"/>
      <c r="G816" s="40" t="b">
        <f>IF(ISBLANK(Table2[[#This Row],[MergeCorpID]]=TRUE),"",AND(ISNUMBER(Table2[[#This Row],[MergeCorpID]])=TRUE,ISBLANK(Table2[[#This Row],[MergeName]])=FALSE))</f>
        <v>0</v>
      </c>
      <c r="H816" s="40">
        <f>IF(ISBLANK(Table2[[#This Row],[MergeCorpID]])=TRUE,0,IF(Table2[[#This Row],[SurvivingEdCorp]]=TRUE,1,2))</f>
        <v>2</v>
      </c>
      <c r="J816" s="4"/>
    </row>
    <row r="817" spans="2:10">
      <c r="B817" s="1013" t="s">
        <v>1060</v>
      </c>
      <c r="C817" s="1010">
        <v>2006</v>
      </c>
      <c r="D817" s="1010">
        <v>2016</v>
      </c>
      <c r="E817" s="1017">
        <v>511</v>
      </c>
      <c r="F817" s="1009" t="s">
        <v>1265</v>
      </c>
      <c r="G817" s="40" t="b">
        <f>IF(ISBLANK(Table2[[#This Row],[MergeCorpID]]=TRUE),"",AND(ISNUMBER(Table2[[#This Row],[MergeCorpID]])=TRUE,ISBLANK(Table2[[#This Row],[MergeName]])=FALSE))</f>
        <v>1</v>
      </c>
      <c r="H817" s="40">
        <f>IF(ISBLANK(Table2[[#This Row],[MergeCorpID]])=TRUE,0,IF(Table2[[#This Row],[SurvivingEdCorp]]=TRUE,1,2))</f>
        <v>1</v>
      </c>
      <c r="J817" s="4"/>
    </row>
    <row r="818" spans="2:10">
      <c r="B818" s="1012" t="s">
        <v>1169</v>
      </c>
      <c r="C818" s="1015">
        <v>2016</v>
      </c>
      <c r="D818" s="1014">
        <v>2017</v>
      </c>
      <c r="E818" s="1016">
        <v>511</v>
      </c>
      <c r="F818" s="1011"/>
      <c r="G818" s="40" t="b">
        <f>IF(ISBLANK(Table2[[#This Row],[MergeCorpID]]=TRUE),"",AND(ISNUMBER(Table2[[#This Row],[MergeCorpID]])=TRUE,ISBLANK(Table2[[#This Row],[MergeName]])=FALSE))</f>
        <v>0</v>
      </c>
      <c r="H818" s="40">
        <f>IF(ISBLANK(Table2[[#This Row],[MergeCorpID]])=TRUE,0,IF(Table2[[#This Row],[SurvivingEdCorp]]=TRUE,1,2))</f>
        <v>2</v>
      </c>
      <c r="J818" s="4"/>
    </row>
    <row r="819" spans="2:10">
      <c r="B819" s="1013" t="s">
        <v>1170</v>
      </c>
      <c r="C819" s="1010">
        <v>2016</v>
      </c>
      <c r="D819" s="1010">
        <v>2017</v>
      </c>
      <c r="E819" s="1017">
        <v>511</v>
      </c>
      <c r="F819" s="1009"/>
      <c r="G819" s="40" t="b">
        <f>IF(ISBLANK(Table2[[#This Row],[MergeCorpID]]=TRUE),"",AND(ISNUMBER(Table2[[#This Row],[MergeCorpID]])=TRUE,ISBLANK(Table2[[#This Row],[MergeName]])=FALSE))</f>
        <v>0</v>
      </c>
      <c r="H819" s="40">
        <f>IF(ISBLANK(Table2[[#This Row],[MergeCorpID]])=TRUE,0,IF(Table2[[#This Row],[SurvivingEdCorp]]=TRUE,1,2))</f>
        <v>2</v>
      </c>
      <c r="J819" s="4"/>
    </row>
    <row r="820" spans="2:10">
      <c r="B820" s="1012" t="s">
        <v>1171</v>
      </c>
      <c r="C820" s="1015">
        <v>2016</v>
      </c>
      <c r="D820" s="1014">
        <v>2017</v>
      </c>
      <c r="E820" s="1016">
        <v>511</v>
      </c>
      <c r="F820" s="1011"/>
      <c r="G820" s="40" t="b">
        <f>IF(ISBLANK(Table2[[#This Row],[MergeCorpID]]=TRUE),"",AND(ISNUMBER(Table2[[#This Row],[MergeCorpID]])=TRUE,ISBLANK(Table2[[#This Row],[MergeName]])=FALSE))</f>
        <v>0</v>
      </c>
      <c r="H820" s="40">
        <f>IF(ISBLANK(Table2[[#This Row],[MergeCorpID]])=TRUE,0,IF(Table2[[#This Row],[SurvivingEdCorp]]=TRUE,1,2))</f>
        <v>2</v>
      </c>
      <c r="J820" s="4"/>
    </row>
    <row r="821" spans="2:10">
      <c r="B821" s="1013" t="s">
        <v>1151</v>
      </c>
      <c r="C821" s="1010">
        <v>2014</v>
      </c>
      <c r="D821" s="1010">
        <v>2016</v>
      </c>
      <c r="E821" s="1017">
        <v>511</v>
      </c>
      <c r="F821" s="1009"/>
      <c r="G821" s="40" t="b">
        <f>IF(ISBLANK(Table2[[#This Row],[MergeCorpID]]=TRUE),"",AND(ISNUMBER(Table2[[#This Row],[MergeCorpID]])=TRUE,ISBLANK(Table2[[#This Row],[MergeName]])=FALSE))</f>
        <v>0</v>
      </c>
      <c r="H821" s="40">
        <f>IF(ISBLANK(Table2[[#This Row],[MergeCorpID]])=TRUE,0,IF(Table2[[#This Row],[SurvivingEdCorp]]=TRUE,1,2))</f>
        <v>2</v>
      </c>
      <c r="J821" s="4"/>
    </row>
    <row r="822" spans="2:10">
      <c r="B822" s="1012" t="s">
        <v>1146</v>
      </c>
      <c r="C822" s="1015">
        <v>2014</v>
      </c>
      <c r="D822" s="1014">
        <v>2016</v>
      </c>
      <c r="E822" s="1016">
        <v>511</v>
      </c>
      <c r="F822" s="1011"/>
      <c r="G822" s="40" t="b">
        <f>IF(ISBLANK(Table2[[#This Row],[MergeCorpID]]=TRUE),"",AND(ISNUMBER(Table2[[#This Row],[MergeCorpID]])=TRUE,ISBLANK(Table2[[#This Row],[MergeName]])=FALSE))</f>
        <v>0</v>
      </c>
      <c r="H822" s="40">
        <f>IF(ISBLANK(Table2[[#This Row],[MergeCorpID]])=TRUE,0,IF(Table2[[#This Row],[SurvivingEdCorp]]=TRUE,1,2))</f>
        <v>2</v>
      </c>
      <c r="J822" s="4"/>
    </row>
    <row r="823" spans="2:10">
      <c r="B823" s="1013" t="s">
        <v>1190</v>
      </c>
      <c r="C823" s="1010">
        <v>2016</v>
      </c>
      <c r="D823" s="1010">
        <v>2016</v>
      </c>
      <c r="E823" s="1017">
        <v>511</v>
      </c>
      <c r="F823" s="1009"/>
      <c r="G823" s="40" t="b">
        <f>IF(ISBLANK(Table2[[#This Row],[MergeCorpID]]=TRUE),"",AND(ISNUMBER(Table2[[#This Row],[MergeCorpID]])=TRUE,ISBLANK(Table2[[#This Row],[MergeName]])=FALSE))</f>
        <v>0</v>
      </c>
      <c r="H823" s="40">
        <f>IF(ISBLANK(Table2[[#This Row],[MergeCorpID]])=TRUE,0,IF(Table2[[#This Row],[SurvivingEdCorp]]=TRUE,1,2))</f>
        <v>2</v>
      </c>
      <c r="J823" s="4"/>
    </row>
    <row r="824" spans="2:10">
      <c r="B824" s="1012" t="s">
        <v>1062</v>
      </c>
      <c r="C824" s="1015">
        <v>2006</v>
      </c>
      <c r="D824" s="1014">
        <v>2021</v>
      </c>
      <c r="E824" s="1016">
        <v>532</v>
      </c>
      <c r="F824" s="1011"/>
      <c r="G824" s="40" t="b">
        <f>IF(ISBLANK(Table2[[#This Row],[MergeCorpID]]=TRUE),"",AND(ISNUMBER(Table2[[#This Row],[MergeCorpID]])=TRUE,ISBLANK(Table2[[#This Row],[MergeName]])=FALSE))</f>
        <v>0</v>
      </c>
      <c r="H824" s="40">
        <f>IF(ISBLANK(Table2[[#This Row],[MergeCorpID]])=TRUE,0,IF(Table2[[#This Row],[SurvivingEdCorp]]=TRUE,1,2))</f>
        <v>2</v>
      </c>
      <c r="J824" s="4"/>
    </row>
    <row r="825" spans="2:10">
      <c r="B825" s="1013" t="s">
        <v>1063</v>
      </c>
      <c r="C825" s="1010">
        <v>2010</v>
      </c>
      <c r="D825" s="1010"/>
      <c r="E825" s="1017"/>
      <c r="F825" s="1009"/>
      <c r="G825" s="40" t="b">
        <f>IF(ISBLANK(Table2[[#This Row],[MergeCorpID]]=TRUE),"",AND(ISNUMBER(Table2[[#This Row],[MergeCorpID]])=TRUE,ISBLANK(Table2[[#This Row],[MergeName]])=FALSE))</f>
        <v>0</v>
      </c>
      <c r="H825" s="40">
        <f>IF(ISBLANK(Table2[[#This Row],[MergeCorpID]])=TRUE,0,IF(Table2[[#This Row],[SurvivingEdCorp]]=TRUE,1,2))</f>
        <v>0</v>
      </c>
      <c r="J825" s="4"/>
    </row>
    <row r="826" spans="2:10">
      <c r="B826" s="1012" t="s">
        <v>1266</v>
      </c>
      <c r="C826" s="1015">
        <v>2000</v>
      </c>
      <c r="D826" s="1014">
        <v>2017</v>
      </c>
      <c r="E826" s="1016">
        <v>522</v>
      </c>
      <c r="F826" s="1011" t="s">
        <v>1267</v>
      </c>
      <c r="G826" s="40" t="b">
        <f>IF(ISBLANK(Table2[[#This Row],[MergeCorpID]]=TRUE),"",AND(ISNUMBER(Table2[[#This Row],[MergeCorpID]])=TRUE,ISBLANK(Table2[[#This Row],[MergeName]])=FALSE))</f>
        <v>1</v>
      </c>
      <c r="H826" s="40">
        <f>IF(ISBLANK(Table2[[#This Row],[MergeCorpID]])=TRUE,0,IF(Table2[[#This Row],[SurvivingEdCorp]]=TRUE,1,2))</f>
        <v>1</v>
      </c>
      <c r="J826" s="4"/>
    </row>
    <row r="827" spans="2:10">
      <c r="B827" s="1013" t="s">
        <v>1268</v>
      </c>
      <c r="C827" s="1010">
        <v>2016</v>
      </c>
      <c r="D827" s="1010">
        <v>2017</v>
      </c>
      <c r="E827" s="1017">
        <v>522</v>
      </c>
      <c r="F827" s="1009"/>
      <c r="G827" s="40" t="b">
        <f>IF(ISBLANK(Table2[[#This Row],[MergeCorpID]]=TRUE),"",AND(ISNUMBER(Table2[[#This Row],[MergeCorpID]])=TRUE,ISBLANK(Table2[[#This Row],[MergeName]])=FALSE))</f>
        <v>0</v>
      </c>
      <c r="H827" s="40">
        <f>IF(ISBLANK(Table2[[#This Row],[MergeCorpID]])=TRUE,0,IF(Table2[[#This Row],[SurvivingEdCorp]]=TRUE,1,2))</f>
        <v>2</v>
      </c>
      <c r="J827" s="4"/>
    </row>
    <row r="828" spans="2:10">
      <c r="B828" s="1012" t="s">
        <v>1159</v>
      </c>
      <c r="C828" s="1015">
        <v>2015</v>
      </c>
      <c r="D828" s="1014"/>
      <c r="E828" s="1016"/>
      <c r="F828" s="1011"/>
      <c r="G828" s="40" t="b">
        <f>IF(ISBLANK(Table2[[#This Row],[MergeCorpID]]=TRUE),"",AND(ISNUMBER(Table2[[#This Row],[MergeCorpID]])=TRUE,ISBLANK(Table2[[#This Row],[MergeName]])=FALSE))</f>
        <v>0</v>
      </c>
      <c r="H828" s="40">
        <f>IF(ISBLANK(Table2[[#This Row],[MergeCorpID]])=TRUE,0,IF(Table2[[#This Row],[SurvivingEdCorp]]=TRUE,1,2))</f>
        <v>0</v>
      </c>
      <c r="J828" s="4"/>
    </row>
    <row r="829" spans="2:10">
      <c r="B829" s="1013" t="s">
        <v>1064</v>
      </c>
      <c r="C829" s="1010">
        <v>2008</v>
      </c>
      <c r="D829" s="1010">
        <v>2016</v>
      </c>
      <c r="E829" s="1017">
        <v>509</v>
      </c>
      <c r="F829" s="1009"/>
      <c r="G829" s="40" t="b">
        <f>IF(ISBLANK(Table2[[#This Row],[MergeCorpID]]=TRUE),"",AND(ISNUMBER(Table2[[#This Row],[MergeCorpID]])=TRUE,ISBLANK(Table2[[#This Row],[MergeName]])=FALSE))</f>
        <v>0</v>
      </c>
      <c r="H829" s="40">
        <f>IF(ISBLANK(Table2[[#This Row],[MergeCorpID]])=TRUE,0,IF(Table2[[#This Row],[SurvivingEdCorp]]=TRUE,1,2))</f>
        <v>2</v>
      </c>
      <c r="J829" s="4"/>
    </row>
    <row r="830" spans="2:10">
      <c r="B830" s="1012" t="s">
        <v>1126</v>
      </c>
      <c r="C830" s="1015">
        <v>2012</v>
      </c>
      <c r="D830" s="1014">
        <v>2015</v>
      </c>
      <c r="E830" s="1016">
        <v>504</v>
      </c>
      <c r="F830" s="1011"/>
      <c r="G830" s="40" t="b">
        <f>IF(ISBLANK(Table2[[#This Row],[MergeCorpID]]=TRUE),"",AND(ISNUMBER(Table2[[#This Row],[MergeCorpID]])=TRUE,ISBLANK(Table2[[#This Row],[MergeName]])=FALSE))</f>
        <v>0</v>
      </c>
      <c r="H830" s="40">
        <f>IF(ISBLANK(Table2[[#This Row],[MergeCorpID]])=TRUE,0,IF(Table2[[#This Row],[SurvivingEdCorp]]=TRUE,1,2))</f>
        <v>2</v>
      </c>
      <c r="J830" s="4"/>
    </row>
    <row r="831" spans="2:10">
      <c r="B831" s="1013" t="s">
        <v>1138</v>
      </c>
      <c r="C831" s="1010">
        <v>2014</v>
      </c>
      <c r="D831" s="1010">
        <v>2015</v>
      </c>
      <c r="E831" s="1017">
        <v>506</v>
      </c>
      <c r="F831" s="1009"/>
      <c r="G831" s="40" t="b">
        <f>IF(ISBLANK(Table2[[#This Row],[MergeCorpID]]=TRUE),"",AND(ISNUMBER(Table2[[#This Row],[MergeCorpID]])=TRUE,ISBLANK(Table2[[#This Row],[MergeName]])=FALSE))</f>
        <v>0</v>
      </c>
      <c r="H831" s="40">
        <f>IF(ISBLANK(Table2[[#This Row],[MergeCorpID]])=TRUE,0,IF(Table2[[#This Row],[SurvivingEdCorp]]=TRUE,1,2))</f>
        <v>2</v>
      </c>
      <c r="J831" s="4"/>
    </row>
    <row r="832" spans="2:10">
      <c r="B832" s="1012" t="s">
        <v>1339</v>
      </c>
      <c r="C832" s="1015">
        <v>2020</v>
      </c>
      <c r="D832" s="1014">
        <v>2021</v>
      </c>
      <c r="E832" s="1016">
        <v>514</v>
      </c>
      <c r="F832" s="1011"/>
      <c r="G832" s="40" t="b">
        <f>IF(ISBLANK(Table2[[#This Row],[MergeCorpID]]=TRUE),"",AND(ISNUMBER(Table2[[#This Row],[MergeCorpID]])=TRUE,ISBLANK(Table2[[#This Row],[MergeName]])=FALSE))</f>
        <v>0</v>
      </c>
      <c r="H832" s="40">
        <f>IF(ISBLANK(Table2[[#This Row],[MergeCorpID]])=TRUE,0,IF(Table2[[#This Row],[SurvivingEdCorp]]=TRUE,1,2))</f>
        <v>2</v>
      </c>
      <c r="J832" s="4"/>
    </row>
    <row r="833" spans="2:10">
      <c r="B833" s="1013" t="s">
        <v>1229</v>
      </c>
      <c r="C833" s="1010">
        <v>2017</v>
      </c>
      <c r="D833" s="1010">
        <v>2018</v>
      </c>
      <c r="E833" s="1017">
        <v>514</v>
      </c>
      <c r="F833" s="1009"/>
      <c r="G833" s="40" t="b">
        <f>IF(ISBLANK(Table2[[#This Row],[MergeCorpID]]=TRUE),"",AND(ISNUMBER(Table2[[#This Row],[MergeCorpID]])=TRUE,ISBLANK(Table2[[#This Row],[MergeName]])=FALSE))</f>
        <v>0</v>
      </c>
      <c r="H833" s="40">
        <f>IF(ISBLANK(Table2[[#This Row],[MergeCorpID]])=TRUE,0,IF(Table2[[#This Row],[SurvivingEdCorp]]=TRUE,1,2))</f>
        <v>2</v>
      </c>
      <c r="J833" s="4"/>
    </row>
    <row r="834" spans="2:10">
      <c r="B834" s="1012" t="s">
        <v>1340</v>
      </c>
      <c r="C834" s="1015">
        <v>2020</v>
      </c>
      <c r="D834" s="1014">
        <v>2021</v>
      </c>
      <c r="E834" s="1016">
        <v>514</v>
      </c>
      <c r="F834" s="1011"/>
      <c r="G834" s="40" t="b">
        <f>IF(ISBLANK(Table2[[#This Row],[MergeCorpID]]=TRUE),"",AND(ISNUMBER(Table2[[#This Row],[MergeCorpID]])=TRUE,ISBLANK(Table2[[#This Row],[MergeName]])=FALSE))</f>
        <v>0</v>
      </c>
      <c r="H834" s="40">
        <f>IF(ISBLANK(Table2[[#This Row],[MergeCorpID]])=TRUE,0,IF(Table2[[#This Row],[SurvivingEdCorp]]=TRUE,1,2))</f>
        <v>2</v>
      </c>
      <c r="J834" s="4"/>
    </row>
    <row r="835" spans="2:10">
      <c r="B835" s="1013" t="s">
        <v>1334</v>
      </c>
      <c r="C835" s="1010">
        <v>2017</v>
      </c>
      <c r="D835" s="1010">
        <v>2018</v>
      </c>
      <c r="E835" s="1017">
        <v>514</v>
      </c>
      <c r="F835" s="1009" t="s">
        <v>1269</v>
      </c>
      <c r="G835" s="40" t="b">
        <f>IF(ISBLANK(Table2[[#This Row],[MergeCorpID]]=TRUE),"",AND(ISNUMBER(Table2[[#This Row],[MergeCorpID]])=TRUE,ISBLANK(Table2[[#This Row],[MergeName]])=FALSE))</f>
        <v>1</v>
      </c>
      <c r="H835" s="40">
        <f>IF(ISBLANK(Table2[[#This Row],[MergeCorpID]])=TRUE,0,IF(Table2[[#This Row],[SurvivingEdCorp]]=TRUE,1,2))</f>
        <v>1</v>
      </c>
      <c r="J835" s="4"/>
    </row>
    <row r="836" spans="2:10">
      <c r="B836" s="1012" t="s">
        <v>1065</v>
      </c>
      <c r="C836" s="1015">
        <v>2003</v>
      </c>
      <c r="D836" s="1014">
        <v>2016</v>
      </c>
      <c r="E836" s="1016">
        <v>517</v>
      </c>
      <c r="F836" s="1011" t="s">
        <v>1297</v>
      </c>
      <c r="G836" s="40" t="b">
        <f>IF(ISBLANK(Table2[[#This Row],[MergeCorpID]]=TRUE),"",AND(ISNUMBER(Table2[[#This Row],[MergeCorpID]])=TRUE,ISBLANK(Table2[[#This Row],[MergeName]])=FALSE))</f>
        <v>1</v>
      </c>
      <c r="H836" s="40">
        <f>IF(ISBLANK(Table2[[#This Row],[MergeCorpID]])=TRUE,0,IF(Table2[[#This Row],[SurvivingEdCorp]]=TRUE,1,2))</f>
        <v>1</v>
      </c>
      <c r="J836" s="4"/>
    </row>
    <row r="837" spans="2:10">
      <c r="B837" s="1013" t="s">
        <v>1160</v>
      </c>
      <c r="C837" s="1010">
        <v>2015</v>
      </c>
      <c r="D837" s="1010">
        <v>2016</v>
      </c>
      <c r="E837" s="1017">
        <v>517</v>
      </c>
      <c r="F837" s="1009"/>
      <c r="G837" s="40" t="b">
        <f>IF(ISBLANK(Table2[[#This Row],[MergeCorpID]]=TRUE),"",AND(ISNUMBER(Table2[[#This Row],[MergeCorpID]])=TRUE,ISBLANK(Table2[[#This Row],[MergeName]])=FALSE))</f>
        <v>0</v>
      </c>
      <c r="H837" s="40">
        <f>IF(ISBLANK(Table2[[#This Row],[MergeCorpID]])=TRUE,0,IF(Table2[[#This Row],[SurvivingEdCorp]]=TRUE,1,2))</f>
        <v>2</v>
      </c>
      <c r="J837" s="4"/>
    </row>
    <row r="838" spans="2:10">
      <c r="B838" s="1012" t="s">
        <v>1066</v>
      </c>
      <c r="C838" s="1015">
        <v>2004</v>
      </c>
      <c r="D838" s="1014">
        <v>2017</v>
      </c>
      <c r="E838" s="1016">
        <v>510</v>
      </c>
      <c r="F838" s="1011" t="s">
        <v>1270</v>
      </c>
      <c r="G838" s="40" t="b">
        <f>IF(ISBLANK(Table2[[#This Row],[MergeCorpID]]=TRUE),"",AND(ISNUMBER(Table2[[#This Row],[MergeCorpID]])=TRUE,ISBLANK(Table2[[#This Row],[MergeName]])=FALSE))</f>
        <v>1</v>
      </c>
      <c r="H838" s="40">
        <f>IF(ISBLANK(Table2[[#This Row],[MergeCorpID]])=TRUE,0,IF(Table2[[#This Row],[SurvivingEdCorp]]=TRUE,1,2))</f>
        <v>1</v>
      </c>
      <c r="J838" s="4"/>
    </row>
    <row r="839" spans="2:10">
      <c r="B839" s="1013" t="s">
        <v>1168</v>
      </c>
      <c r="C839" s="1010">
        <v>2016</v>
      </c>
      <c r="D839" s="1010">
        <v>2017</v>
      </c>
      <c r="E839" s="1017">
        <v>510</v>
      </c>
      <c r="F839" s="1009"/>
      <c r="G839" s="40" t="b">
        <f>IF(ISBLANK(Table2[[#This Row],[MergeCorpID]]=TRUE),"",AND(ISNUMBER(Table2[[#This Row],[MergeCorpID]])=TRUE,ISBLANK(Table2[[#This Row],[MergeName]])=FALSE))</f>
        <v>0</v>
      </c>
      <c r="H839" s="40">
        <f>IF(ISBLANK(Table2[[#This Row],[MergeCorpID]])=TRUE,0,IF(Table2[[#This Row],[SurvivingEdCorp]]=TRUE,1,2))</f>
        <v>2</v>
      </c>
      <c r="J839" s="4"/>
    </row>
    <row r="840" spans="2:10">
      <c r="B840" s="1012" t="s">
        <v>1225</v>
      </c>
      <c r="C840" s="1015">
        <v>2017</v>
      </c>
      <c r="D840" s="1014">
        <v>2018</v>
      </c>
      <c r="E840" s="1016">
        <v>510</v>
      </c>
      <c r="F840" s="1011"/>
      <c r="G840" s="40" t="b">
        <f>IF(ISBLANK(Table2[[#This Row],[MergeCorpID]]=TRUE),"",AND(ISNUMBER(Table2[[#This Row],[MergeCorpID]])=TRUE,ISBLANK(Table2[[#This Row],[MergeName]])=FALSE))</f>
        <v>0</v>
      </c>
      <c r="H840" s="40">
        <f>IF(ISBLANK(Table2[[#This Row],[MergeCorpID]])=TRUE,0,IF(Table2[[#This Row],[SurvivingEdCorp]]=TRUE,1,2))</f>
        <v>2</v>
      </c>
      <c r="J840" s="4"/>
    </row>
    <row r="841" spans="2:10">
      <c r="B841" s="1013" t="s">
        <v>1271</v>
      </c>
      <c r="C841" s="1010">
        <v>2018</v>
      </c>
      <c r="D841" s="1010">
        <v>2019</v>
      </c>
      <c r="E841" s="1017">
        <v>510</v>
      </c>
      <c r="F841" s="1009"/>
      <c r="G841" s="40" t="b">
        <f>IF(ISBLANK(Table2[[#This Row],[MergeCorpID]]=TRUE),"",AND(ISNUMBER(Table2[[#This Row],[MergeCorpID]])=TRUE,ISBLANK(Table2[[#This Row],[MergeName]])=FALSE))</f>
        <v>0</v>
      </c>
      <c r="H841" s="40">
        <f>IF(ISBLANK(Table2[[#This Row],[MergeCorpID]])=TRUE,0,IF(Table2[[#This Row],[SurvivingEdCorp]]=TRUE,1,2))</f>
        <v>2</v>
      </c>
      <c r="J841" s="4"/>
    </row>
    <row r="842" spans="2:10">
      <c r="B842" s="1012" t="s">
        <v>1298</v>
      </c>
      <c r="C842" s="1015">
        <v>2019</v>
      </c>
      <c r="D842" s="1014">
        <v>2020</v>
      </c>
      <c r="E842" s="1016">
        <v>510</v>
      </c>
      <c r="F842" s="1011"/>
      <c r="G842" s="40" t="b">
        <f>IF(ISBLANK(Table2[[#This Row],[MergeCorpID]]=TRUE),"",AND(ISNUMBER(Table2[[#This Row],[MergeCorpID]])=TRUE,ISBLANK(Table2[[#This Row],[MergeName]])=FALSE))</f>
        <v>0</v>
      </c>
      <c r="H842" s="40">
        <f>IF(ISBLANK(Table2[[#This Row],[MergeCorpID]])=TRUE,0,IF(Table2[[#This Row],[SurvivingEdCorp]]=TRUE,1,2))</f>
        <v>2</v>
      </c>
      <c r="J842" s="4"/>
    </row>
    <row r="843" spans="2:10">
      <c r="B843" s="1013" t="s">
        <v>1067</v>
      </c>
      <c r="C843" s="1010">
        <v>2001</v>
      </c>
      <c r="D843" s="1010">
        <v>2018</v>
      </c>
      <c r="E843" s="1017">
        <v>520</v>
      </c>
      <c r="F843" s="1009" t="s">
        <v>1272</v>
      </c>
      <c r="G843" s="40" t="b">
        <f>IF(ISBLANK(Table2[[#This Row],[MergeCorpID]]=TRUE),"",AND(ISNUMBER(Table2[[#This Row],[MergeCorpID]])=TRUE,ISBLANK(Table2[[#This Row],[MergeName]])=FALSE))</f>
        <v>1</v>
      </c>
      <c r="H843" s="40">
        <f>IF(ISBLANK(Table2[[#This Row],[MergeCorpID]])=TRUE,0,IF(Table2[[#This Row],[SurvivingEdCorp]]=TRUE,1,2))</f>
        <v>1</v>
      </c>
      <c r="J843" s="4"/>
    </row>
    <row r="844" spans="2:10">
      <c r="B844" s="1012" t="s">
        <v>1172</v>
      </c>
      <c r="C844" s="1015">
        <v>2016</v>
      </c>
      <c r="D844" s="1014">
        <v>2017</v>
      </c>
      <c r="E844" s="1016">
        <v>512</v>
      </c>
      <c r="F844" s="1011"/>
      <c r="G844" s="40" t="b">
        <f>IF(ISBLANK(Table2[[#This Row],[MergeCorpID]]=TRUE),"",AND(ISNUMBER(Table2[[#This Row],[MergeCorpID]])=TRUE,ISBLANK(Table2[[#This Row],[MergeName]])=FALSE))</f>
        <v>0</v>
      </c>
      <c r="H844" s="40">
        <f>IF(ISBLANK(Table2[[#This Row],[MergeCorpID]])=TRUE,0,IF(Table2[[#This Row],[SurvivingEdCorp]]=TRUE,1,2))</f>
        <v>2</v>
      </c>
      <c r="J844" s="4"/>
    </row>
    <row r="845" spans="2:10">
      <c r="B845" s="1013" t="s">
        <v>1068</v>
      </c>
      <c r="C845" s="1010">
        <v>2010</v>
      </c>
      <c r="D845" s="1010"/>
      <c r="E845" s="1017"/>
      <c r="F845" s="1009"/>
      <c r="G845" s="40" t="b">
        <f>IF(ISBLANK(Table2[[#This Row],[MergeCorpID]]=TRUE),"",AND(ISNUMBER(Table2[[#This Row],[MergeCorpID]])=TRUE,ISBLANK(Table2[[#This Row],[MergeName]])=FALSE))</f>
        <v>0</v>
      </c>
      <c r="H845" s="40">
        <f>IF(ISBLANK(Table2[[#This Row],[MergeCorpID]])=TRUE,0,IF(Table2[[#This Row],[SurvivingEdCorp]]=TRUE,1,2))</f>
        <v>0</v>
      </c>
      <c r="J845" s="4"/>
    </row>
    <row r="846" spans="2:10">
      <c r="B846" s="1012" t="s">
        <v>1074</v>
      </c>
      <c r="C846" s="1015">
        <v>2010</v>
      </c>
      <c r="D846" s="1014">
        <v>2016</v>
      </c>
      <c r="E846" s="1016">
        <v>509</v>
      </c>
      <c r="F846" s="1011"/>
      <c r="G846" s="40" t="b">
        <f>IF(ISBLANK(Table2[[#This Row],[MergeCorpID]]=TRUE),"",AND(ISNUMBER(Table2[[#This Row],[MergeCorpID]])=TRUE,ISBLANK(Table2[[#This Row],[MergeName]])=FALSE))</f>
        <v>0</v>
      </c>
      <c r="H846" s="40">
        <f>IF(ISBLANK(Table2[[#This Row],[MergeCorpID]])=TRUE,0,IF(Table2[[#This Row],[SurvivingEdCorp]]=TRUE,1,2))</f>
        <v>2</v>
      </c>
      <c r="J846" s="4"/>
    </row>
    <row r="847" spans="2:10">
      <c r="B847" s="1013" t="s">
        <v>1226</v>
      </c>
      <c r="C847" s="1010">
        <v>2017</v>
      </c>
      <c r="D847" s="1010"/>
      <c r="E847" s="1017"/>
      <c r="F847" s="1009"/>
      <c r="G847" s="40" t="b">
        <f>IF(ISBLANK(Table2[[#This Row],[MergeCorpID]]=TRUE),"",AND(ISNUMBER(Table2[[#This Row],[MergeCorpID]])=TRUE,ISBLANK(Table2[[#This Row],[MergeName]])=FALSE))</f>
        <v>0</v>
      </c>
      <c r="H847" s="40">
        <f>IF(ISBLANK(Table2[[#This Row],[MergeCorpID]])=TRUE,0,IF(Table2[[#This Row],[SurvivingEdCorp]]=TRUE,1,2))</f>
        <v>0</v>
      </c>
      <c r="J847" s="4"/>
    </row>
    <row r="848" spans="2:10">
      <c r="B848" s="1012" t="s">
        <v>1069</v>
      </c>
      <c r="C848" s="1015">
        <v>2003</v>
      </c>
      <c r="D848" s="1014"/>
      <c r="E848" s="1016"/>
      <c r="F848" s="1011"/>
      <c r="G848" s="40" t="b">
        <f>IF(ISBLANK(Table2[[#This Row],[MergeCorpID]]=TRUE),"",AND(ISNUMBER(Table2[[#This Row],[MergeCorpID]])=TRUE,ISBLANK(Table2[[#This Row],[MergeName]])=FALSE))</f>
        <v>0</v>
      </c>
      <c r="H848" s="40">
        <f>IF(ISBLANK(Table2[[#This Row],[MergeCorpID]])=TRUE,0,IF(Table2[[#This Row],[SurvivingEdCorp]]=TRUE,1,2))</f>
        <v>0</v>
      </c>
      <c r="J848" s="4"/>
    </row>
    <row r="849" spans="2:10">
      <c r="B849" s="1013" t="s">
        <v>1233</v>
      </c>
      <c r="C849" s="1010">
        <v>2016</v>
      </c>
      <c r="D849" s="1010">
        <v>2017</v>
      </c>
      <c r="E849" s="1017">
        <v>523</v>
      </c>
      <c r="F849" s="1009"/>
      <c r="G849" s="40" t="b">
        <f>IF(ISBLANK(Table2[[#This Row],[MergeCorpID]]=TRUE),"",AND(ISNUMBER(Table2[[#This Row],[MergeCorpID]])=TRUE,ISBLANK(Table2[[#This Row],[MergeName]])=FALSE))</f>
        <v>0</v>
      </c>
      <c r="H849" s="40">
        <f>IF(ISBLANK(Table2[[#This Row],[MergeCorpID]])=TRUE,0,IF(Table2[[#This Row],[SurvivingEdCorp]]=TRUE,1,2))</f>
        <v>2</v>
      </c>
      <c r="J849" s="4"/>
    </row>
    <row r="850" spans="2:10">
      <c r="B850" s="1012" t="s">
        <v>1232</v>
      </c>
      <c r="C850" s="1015">
        <v>2009</v>
      </c>
      <c r="D850" s="1014">
        <v>2017</v>
      </c>
      <c r="E850" s="1016">
        <v>523</v>
      </c>
      <c r="F850" s="1011" t="s">
        <v>1273</v>
      </c>
      <c r="G850" s="40" t="b">
        <f>IF(ISBLANK(Table2[[#This Row],[MergeCorpID]]=TRUE),"",AND(ISNUMBER(Table2[[#This Row],[MergeCorpID]])=TRUE,ISBLANK(Table2[[#This Row],[MergeName]])=FALSE))</f>
        <v>1</v>
      </c>
      <c r="H850" s="40">
        <f>IF(ISBLANK(Table2[[#This Row],[MergeCorpID]])=TRUE,0,IF(Table2[[#This Row],[SurvivingEdCorp]]=TRUE,1,2))</f>
        <v>1</v>
      </c>
      <c r="J850" s="4"/>
    </row>
    <row r="851" spans="2:10">
      <c r="B851" s="1013" t="s">
        <v>1299</v>
      </c>
      <c r="C851" s="1010">
        <v>2019</v>
      </c>
      <c r="D851" s="1010">
        <v>2020</v>
      </c>
      <c r="E851" s="1017">
        <v>523</v>
      </c>
      <c r="F851" s="1009"/>
      <c r="G851" s="40" t="b">
        <f>IF(ISBLANK(Table2[[#This Row],[MergeCorpID]]=TRUE),"",AND(ISNUMBER(Table2[[#This Row],[MergeCorpID]])=TRUE,ISBLANK(Table2[[#This Row],[MergeName]])=FALSE))</f>
        <v>0</v>
      </c>
      <c r="H851" s="40">
        <f>IF(ISBLANK(Table2[[#This Row],[MergeCorpID]])=TRUE,0,IF(Table2[[#This Row],[SurvivingEdCorp]]=TRUE,1,2))</f>
        <v>2</v>
      </c>
      <c r="J851" s="4"/>
    </row>
    <row r="852" spans="2:10">
      <c r="B852" s="1012" t="s">
        <v>1118</v>
      </c>
      <c r="C852" s="1015">
        <v>2011</v>
      </c>
      <c r="D852" s="1014"/>
      <c r="E852" s="1016"/>
      <c r="F852" s="1011"/>
      <c r="G852" s="40" t="b">
        <f>IF(ISBLANK(Table2[[#This Row],[MergeCorpID]]=TRUE),"",AND(ISNUMBER(Table2[[#This Row],[MergeCorpID]])=TRUE,ISBLANK(Table2[[#This Row],[MergeName]])=FALSE))</f>
        <v>0</v>
      </c>
      <c r="H852" s="40">
        <f>IF(ISBLANK(Table2[[#This Row],[MergeCorpID]])=TRUE,0,IF(Table2[[#This Row],[SurvivingEdCorp]]=TRUE,1,2))</f>
        <v>0</v>
      </c>
      <c r="J852" s="4"/>
    </row>
    <row r="853" spans="2:10">
      <c r="B853" s="1013" t="s">
        <v>1173</v>
      </c>
      <c r="C853" s="1010">
        <v>2016</v>
      </c>
      <c r="D853" s="1010">
        <v>2017</v>
      </c>
      <c r="E853" s="1017">
        <v>512</v>
      </c>
      <c r="F853" s="1009"/>
      <c r="G853" s="40" t="b">
        <f>IF(ISBLANK(Table2[[#This Row],[MergeCorpID]]=TRUE),"",AND(ISNUMBER(Table2[[#This Row],[MergeCorpID]])=TRUE,ISBLANK(Table2[[#This Row],[MergeName]])=FALSE))</f>
        <v>0</v>
      </c>
      <c r="H853" s="40">
        <f>IF(ISBLANK(Table2[[#This Row],[MergeCorpID]])=TRUE,0,IF(Table2[[#This Row],[SurvivingEdCorp]]=TRUE,1,2))</f>
        <v>2</v>
      </c>
      <c r="J853" s="4"/>
    </row>
    <row r="854" spans="2:10">
      <c r="B854" s="1012" t="s">
        <v>1070</v>
      </c>
      <c r="C854" s="1015">
        <v>2009</v>
      </c>
      <c r="D854" s="1014">
        <v>2016</v>
      </c>
      <c r="E854" s="1016">
        <v>509</v>
      </c>
      <c r="F854" s="1011"/>
      <c r="G854" s="40" t="b">
        <f>IF(ISBLANK(Table2[[#This Row],[MergeCorpID]]=TRUE),"",AND(ISNUMBER(Table2[[#This Row],[MergeCorpID]])=TRUE,ISBLANK(Table2[[#This Row],[MergeName]])=FALSE))</f>
        <v>0</v>
      </c>
      <c r="H854" s="40">
        <f>IF(ISBLANK(Table2[[#This Row],[MergeCorpID]])=TRUE,0,IF(Table2[[#This Row],[SurvivingEdCorp]]=TRUE,1,2))</f>
        <v>2</v>
      </c>
      <c r="J854" s="4"/>
    </row>
    <row r="855" spans="2:10">
      <c r="B855" s="1013" t="s">
        <v>1274</v>
      </c>
      <c r="C855" s="1010">
        <v>2018</v>
      </c>
      <c r="D855" s="1010"/>
      <c r="E855" s="1017"/>
      <c r="F855" s="1009"/>
      <c r="G855" s="40" t="b">
        <f>IF(ISBLANK(Table2[[#This Row],[MergeCorpID]]=TRUE),"",AND(ISNUMBER(Table2[[#This Row],[MergeCorpID]])=TRUE,ISBLANK(Table2[[#This Row],[MergeName]])=FALSE))</f>
        <v>0</v>
      </c>
      <c r="H855" s="40">
        <f>IF(ISBLANK(Table2[[#This Row],[MergeCorpID]])=TRUE,0,IF(Table2[[#This Row],[SurvivingEdCorp]]=TRUE,1,2))</f>
        <v>0</v>
      </c>
      <c r="J855" s="4"/>
    </row>
    <row r="856" spans="2:10">
      <c r="B856" s="1012" t="s">
        <v>1351</v>
      </c>
      <c r="C856" s="1015">
        <v>2020</v>
      </c>
      <c r="D856" s="1014"/>
      <c r="E856" s="1016"/>
      <c r="F856" s="1011"/>
      <c r="G856" s="40" t="b">
        <f>IF(ISBLANK(Table2[[#This Row],[MergeCorpID]]=TRUE),"",AND(ISNUMBER(Table2[[#This Row],[MergeCorpID]])=TRUE,ISBLANK(Table2[[#This Row],[MergeName]])=FALSE))</f>
        <v>0</v>
      </c>
      <c r="H856" s="40">
        <f>IF(ISBLANK(Table2[[#This Row],[MergeCorpID]])=TRUE,0,IF(Table2[[#This Row],[SurvivingEdCorp]]=TRUE,1,2))</f>
        <v>0</v>
      </c>
      <c r="J856" s="4"/>
    </row>
    <row r="857" spans="2:10">
      <c r="B857" s="1013" t="s">
        <v>1071</v>
      </c>
      <c r="C857" s="1010">
        <v>2003</v>
      </c>
      <c r="D857" s="1010"/>
      <c r="E857" s="1017"/>
      <c r="F857" s="1009"/>
      <c r="G857" s="40" t="b">
        <f>IF(ISBLANK(Table2[[#This Row],[MergeCorpID]]=TRUE),"",AND(ISNUMBER(Table2[[#This Row],[MergeCorpID]])=TRUE,ISBLANK(Table2[[#This Row],[MergeName]])=FALSE))</f>
        <v>0</v>
      </c>
      <c r="H857" s="40">
        <f>IF(ISBLANK(Table2[[#This Row],[MergeCorpID]])=TRUE,0,IF(Table2[[#This Row],[SurvivingEdCorp]]=TRUE,1,2))</f>
        <v>0</v>
      </c>
      <c r="J857" s="4"/>
    </row>
    <row r="858" spans="2:10">
      <c r="B858" s="1012" t="s">
        <v>1174</v>
      </c>
      <c r="C858" s="1015">
        <v>2016</v>
      </c>
      <c r="D858" s="1014">
        <v>2017</v>
      </c>
      <c r="E858" s="1016">
        <v>512</v>
      </c>
      <c r="F858" s="1011"/>
      <c r="G858" s="40" t="b">
        <f>IF(ISBLANK(Table2[[#This Row],[MergeCorpID]]=TRUE),"",AND(ISNUMBER(Table2[[#This Row],[MergeCorpID]])=TRUE,ISBLANK(Table2[[#This Row],[MergeName]])=FALSE))</f>
        <v>0</v>
      </c>
      <c r="H858" s="40">
        <f>IF(ISBLANK(Table2[[#This Row],[MergeCorpID]])=TRUE,0,IF(Table2[[#This Row],[SurvivingEdCorp]]=TRUE,1,2))</f>
        <v>2</v>
      </c>
      <c r="J858" s="4"/>
    </row>
    <row r="859" spans="2:10">
      <c r="B859" s="1013" t="s">
        <v>1130</v>
      </c>
      <c r="C859" s="1010">
        <v>2013</v>
      </c>
      <c r="D859" s="1010">
        <v>2017</v>
      </c>
      <c r="E859" s="1017">
        <v>512</v>
      </c>
      <c r="F859" s="1009" t="s">
        <v>1275</v>
      </c>
      <c r="G859" s="40" t="b">
        <f>IF(ISBLANK(Table2[[#This Row],[MergeCorpID]]=TRUE),"",AND(ISNUMBER(Table2[[#This Row],[MergeCorpID]])=TRUE,ISBLANK(Table2[[#This Row],[MergeName]])=FALSE))</f>
        <v>1</v>
      </c>
      <c r="H859" s="40">
        <f>IF(ISBLANK(Table2[[#This Row],[MergeCorpID]])=TRUE,0,IF(Table2[[#This Row],[SurvivingEdCorp]]=TRUE,1,2))</f>
        <v>1</v>
      </c>
      <c r="J859" s="4"/>
    </row>
    <row r="860" spans="2:10">
      <c r="B860" s="1012" t="s">
        <v>1341</v>
      </c>
      <c r="C860" s="1015">
        <v>2020</v>
      </c>
      <c r="D860" s="1014">
        <v>2020</v>
      </c>
      <c r="E860" s="1016">
        <v>531</v>
      </c>
      <c r="F860" s="1011" t="s">
        <v>1352</v>
      </c>
      <c r="G860" s="40" t="b">
        <f>IF(ISBLANK(Table2[[#This Row],[MergeCorpID]]=TRUE),"",AND(ISNUMBER(Table2[[#This Row],[MergeCorpID]])=TRUE,ISBLANK(Table2[[#This Row],[MergeName]])=FALSE))</f>
        <v>1</v>
      </c>
      <c r="H860" s="40">
        <f>IF(ISBLANK(Table2[[#This Row],[MergeCorpID]])=TRUE,0,IF(Table2[[#This Row],[SurvivingEdCorp]]=TRUE,1,2))</f>
        <v>1</v>
      </c>
      <c r="J860" s="4"/>
    </row>
    <row r="861" spans="2:10">
      <c r="B861" s="1013" t="s">
        <v>1350</v>
      </c>
      <c r="C861" s="1010">
        <v>2019</v>
      </c>
      <c r="D861" s="1010">
        <v>2020</v>
      </c>
      <c r="E861" s="1017">
        <v>531</v>
      </c>
      <c r="F861" s="1009"/>
      <c r="G861" s="40" t="b">
        <f>IF(ISBLANK(Table2[[#This Row],[MergeCorpID]]=TRUE),"",AND(ISNUMBER(Table2[[#This Row],[MergeCorpID]])=TRUE,ISBLANK(Table2[[#This Row],[MergeName]])=FALSE))</f>
        <v>0</v>
      </c>
      <c r="H861" s="40">
        <f>IF(ISBLANK(Table2[[#This Row],[MergeCorpID]])=TRUE,0,IF(Table2[[#This Row],[SurvivingEdCorp]]=TRUE,1,2))</f>
        <v>2</v>
      </c>
      <c r="J861" s="4"/>
    </row>
    <row r="862" spans="2:10">
      <c r="B862" s="1012" t="s">
        <v>1276</v>
      </c>
      <c r="C862" s="1015">
        <v>2019</v>
      </c>
      <c r="D862" s="1014"/>
      <c r="E862" s="1016"/>
      <c r="F862" s="1011"/>
      <c r="G862" s="40" t="b">
        <f>IF(ISBLANK(Table2[[#This Row],[MergeCorpID]]=TRUE),"",AND(ISNUMBER(Table2[[#This Row],[MergeCorpID]])=TRUE,ISBLANK(Table2[[#This Row],[MergeName]])=FALSE))</f>
        <v>0</v>
      </c>
      <c r="H862" s="40">
        <f>IF(ISBLANK(Table2[[#This Row],[MergeCorpID]])=TRUE,0,IF(Table2[[#This Row],[SurvivingEdCorp]]=TRUE,1,2))</f>
        <v>0</v>
      </c>
      <c r="J862" s="4"/>
    </row>
    <row r="863" spans="2:10">
      <c r="B863" s="1013" t="s">
        <v>1148</v>
      </c>
      <c r="C863" s="1010">
        <v>2014</v>
      </c>
      <c r="D863" s="1010">
        <v>2017</v>
      </c>
      <c r="E863" s="1017">
        <v>512</v>
      </c>
      <c r="F863" s="1009"/>
      <c r="G863" s="40" t="b">
        <f>IF(ISBLANK(Table2[[#This Row],[MergeCorpID]]=TRUE),"",AND(ISNUMBER(Table2[[#This Row],[MergeCorpID]])=TRUE,ISBLANK(Table2[[#This Row],[MergeName]])=FALSE))</f>
        <v>0</v>
      </c>
      <c r="H863" s="40">
        <f>IF(ISBLANK(Table2[[#This Row],[MergeCorpID]])=TRUE,0,IF(Table2[[#This Row],[SurvivingEdCorp]]=TRUE,1,2))</f>
        <v>2</v>
      </c>
      <c r="J863" s="4"/>
    </row>
    <row r="864" spans="2:10">
      <c r="B864" s="1012" t="s">
        <v>1131</v>
      </c>
      <c r="C864" s="1015">
        <v>2012</v>
      </c>
      <c r="D864" s="1014"/>
      <c r="E864" s="1016"/>
      <c r="F864" s="1011"/>
      <c r="G864" s="40" t="b">
        <f>IF(ISBLANK(Table2[[#This Row],[MergeCorpID]]=TRUE),"",AND(ISNUMBER(Table2[[#This Row],[MergeCorpID]])=TRUE,ISBLANK(Table2[[#This Row],[MergeName]])=FALSE))</f>
        <v>0</v>
      </c>
      <c r="H864" s="40">
        <f>IF(ISBLANK(Table2[[#This Row],[MergeCorpID]])=TRUE,0,IF(Table2[[#This Row],[SurvivingEdCorp]]=TRUE,1,2))</f>
        <v>0</v>
      </c>
      <c r="J864" s="4"/>
    </row>
    <row r="865" spans="2:10">
      <c r="B865" s="1013" t="s">
        <v>1132</v>
      </c>
      <c r="C865" s="1010">
        <v>2012</v>
      </c>
      <c r="D865" s="1010"/>
      <c r="E865" s="1017"/>
      <c r="F865" s="1009"/>
      <c r="G865" s="40" t="b">
        <f>IF(ISBLANK(Table2[[#This Row],[MergeCorpID]]=TRUE),"",AND(ISNUMBER(Table2[[#This Row],[MergeCorpID]])=TRUE,ISBLANK(Table2[[#This Row],[MergeName]])=FALSE))</f>
        <v>0</v>
      </c>
      <c r="H865" s="40">
        <f>IF(ISBLANK(Table2[[#This Row],[MergeCorpID]])=TRUE,0,IF(Table2[[#This Row],[SurvivingEdCorp]]=TRUE,1,2))</f>
        <v>0</v>
      </c>
      <c r="J865" s="4"/>
    </row>
    <row r="866" spans="2:10">
      <c r="B866" s="1012" t="s">
        <v>1072</v>
      </c>
      <c r="C866" s="1015">
        <v>2000</v>
      </c>
      <c r="D866" s="1014">
        <v>2015</v>
      </c>
      <c r="E866" s="1016">
        <v>504</v>
      </c>
      <c r="F866" s="1011"/>
      <c r="G866" s="40" t="b">
        <f>IF(ISBLANK(Table2[[#This Row],[MergeCorpID]]=TRUE),"",AND(ISNUMBER(Table2[[#This Row],[MergeCorpID]])=TRUE,ISBLANK(Table2[[#This Row],[MergeName]])=FALSE))</f>
        <v>0</v>
      </c>
      <c r="H866" s="40">
        <f>IF(ISBLANK(Table2[[#This Row],[MergeCorpID]])=TRUE,0,IF(Table2[[#This Row],[SurvivingEdCorp]]=TRUE,1,2))</f>
        <v>2</v>
      </c>
      <c r="J866" s="4"/>
    </row>
    <row r="867" spans="2:10">
      <c r="B867" s="1013" t="s">
        <v>1277</v>
      </c>
      <c r="C867" s="1010">
        <v>2017</v>
      </c>
      <c r="D867" s="1010"/>
      <c r="E867" s="1017"/>
      <c r="F867" s="1009"/>
      <c r="G867" s="40" t="b">
        <f>IF(ISBLANK(Table2[[#This Row],[MergeCorpID]]=TRUE),"",AND(ISNUMBER(Table2[[#This Row],[MergeCorpID]])=TRUE,ISBLANK(Table2[[#This Row],[MergeName]])=FALSE))</f>
        <v>0</v>
      </c>
      <c r="H867" s="40">
        <f>IF(ISBLANK(Table2[[#This Row],[MergeCorpID]])=TRUE,0,IF(Table2[[#This Row],[SurvivingEdCorp]]=TRUE,1,2))</f>
        <v>0</v>
      </c>
      <c r="J867" s="4"/>
    </row>
    <row r="868" spans="2:10">
      <c r="B868" s="1012" t="s">
        <v>1278</v>
      </c>
      <c r="C868" s="1015">
        <v>2018</v>
      </c>
      <c r="D868" s="1014">
        <v>2019</v>
      </c>
      <c r="E868" s="1016">
        <v>512</v>
      </c>
      <c r="F868" s="1011"/>
      <c r="G868" s="40" t="b">
        <f>IF(ISBLANK(Table2[[#This Row],[MergeCorpID]]=TRUE),"",AND(ISNUMBER(Table2[[#This Row],[MergeCorpID]])=TRUE,ISBLANK(Table2[[#This Row],[MergeName]])=FALSE))</f>
        <v>0</v>
      </c>
      <c r="H868" s="40">
        <f>IF(ISBLANK(Table2[[#This Row],[MergeCorpID]])=TRUE,0,IF(Table2[[#This Row],[SurvivingEdCorp]]=TRUE,1,2))</f>
        <v>2</v>
      </c>
      <c r="J868" s="4"/>
    </row>
    <row r="869" spans="2:10">
      <c r="B869" s="1013" t="s">
        <v>1300</v>
      </c>
      <c r="C869" s="1010">
        <v>2019</v>
      </c>
      <c r="D869" s="1010">
        <v>2020</v>
      </c>
      <c r="E869" s="1017">
        <v>520</v>
      </c>
      <c r="F869" s="1009"/>
      <c r="G869" s="40" t="b">
        <f>IF(ISBLANK(Table2[[#This Row],[MergeCorpID]]=TRUE),"",AND(ISNUMBER(Table2[[#This Row],[MergeCorpID]])=TRUE,ISBLANK(Table2[[#This Row],[MergeName]])=FALSE))</f>
        <v>0</v>
      </c>
      <c r="H869" s="40">
        <f>IF(ISBLANK(Table2[[#This Row],[MergeCorpID]])=TRUE,0,IF(Table2[[#This Row],[SurvivingEdCorp]]=TRUE,1,2))</f>
        <v>2</v>
      </c>
      <c r="J869" s="4"/>
    </row>
    <row r="870" spans="2:10">
      <c r="B870" s="1012" t="s">
        <v>1301</v>
      </c>
      <c r="C870" s="1015">
        <v>2017</v>
      </c>
      <c r="D870" s="1014">
        <v>2018</v>
      </c>
      <c r="E870" s="1016">
        <v>520</v>
      </c>
      <c r="F870" s="1011"/>
      <c r="G870" s="40" t="b">
        <f>IF(ISBLANK(Table2[[#This Row],[MergeCorpID]]=TRUE),"",AND(ISNUMBER(Table2[[#This Row],[MergeCorpID]])=TRUE,ISBLANK(Table2[[#This Row],[MergeName]])=FALSE))</f>
        <v>0</v>
      </c>
      <c r="H870" s="40">
        <f>IF(ISBLANK(Table2[[#This Row],[MergeCorpID]])=TRUE,0,IF(Table2[[#This Row],[SurvivingEdCorp]]=TRUE,1,2))</f>
        <v>2</v>
      </c>
      <c r="J870" s="4"/>
    </row>
    <row r="871" spans="2:10">
      <c r="B871" s="1013" t="s">
        <v>1244</v>
      </c>
      <c r="C871" s="1010">
        <v>2017</v>
      </c>
      <c r="D871" s="1010">
        <v>2018</v>
      </c>
      <c r="E871" s="1017">
        <v>520</v>
      </c>
      <c r="F871" s="1009"/>
      <c r="G871" s="40" t="b">
        <f>IF(ISBLANK(Table2[[#This Row],[MergeCorpID]]=TRUE),"",AND(ISNUMBER(Table2[[#This Row],[MergeCorpID]])=TRUE,ISBLANK(Table2[[#This Row],[MergeName]])=FALSE))</f>
        <v>0</v>
      </c>
      <c r="H871" s="40">
        <f>IF(ISBLANK(Table2[[#This Row],[MergeCorpID]])=TRUE,0,IF(Table2[[#This Row],[SurvivingEdCorp]]=TRUE,1,2))</f>
        <v>2</v>
      </c>
      <c r="J871" s="4"/>
    </row>
    <row r="872" spans="2:10">
      <c r="B872" s="1012" t="s">
        <v>1242</v>
      </c>
      <c r="C872" s="1015">
        <v>2017</v>
      </c>
      <c r="D872" s="1014">
        <v>2020</v>
      </c>
      <c r="E872" s="1016">
        <v>527</v>
      </c>
      <c r="F872" s="1011" t="s">
        <v>1302</v>
      </c>
      <c r="G872" s="40" t="b">
        <f>IF(ISBLANK(Table2[[#This Row],[MergeCorpID]]=TRUE),"",AND(ISNUMBER(Table2[[#This Row],[MergeCorpID]])=TRUE,ISBLANK(Table2[[#This Row],[MergeName]])=FALSE))</f>
        <v>1</v>
      </c>
      <c r="H872" s="40">
        <f>IF(ISBLANK(Table2[[#This Row],[MergeCorpID]])=TRUE,0,IF(Table2[[#This Row],[SurvivingEdCorp]]=TRUE,1,2))</f>
        <v>1</v>
      </c>
      <c r="J872" s="4"/>
    </row>
    <row r="873" spans="2:10">
      <c r="B873" s="1013" t="s">
        <v>1303</v>
      </c>
      <c r="C873" s="1010">
        <v>2019</v>
      </c>
      <c r="D873" s="1010">
        <v>2020</v>
      </c>
      <c r="E873" s="1017">
        <v>527</v>
      </c>
      <c r="F873" s="1009"/>
      <c r="G873" s="40" t="b">
        <f>IF(ISBLANK(Table2[[#This Row],[MergeCorpID]]=TRUE),"",AND(ISNUMBER(Table2[[#This Row],[MergeCorpID]])=TRUE,ISBLANK(Table2[[#This Row],[MergeName]])=FALSE))</f>
        <v>0</v>
      </c>
      <c r="H873" s="40">
        <f>IF(ISBLANK(Table2[[#This Row],[MergeCorpID]])=TRUE,0,IF(Table2[[#This Row],[SurvivingEdCorp]]=TRUE,1,2))</f>
        <v>2</v>
      </c>
      <c r="J873" s="4"/>
    </row>
    <row r="874" spans="2:10">
      <c r="B874" s="1012" t="s">
        <v>1337</v>
      </c>
      <c r="C874" s="1015">
        <v>2019</v>
      </c>
      <c r="D874" s="1014">
        <v>2020</v>
      </c>
      <c r="E874" s="1016">
        <v>512</v>
      </c>
      <c r="F874" s="1011"/>
      <c r="G874" s="40" t="b">
        <f>IF(ISBLANK(Table2[[#This Row],[MergeCorpID]]=TRUE),"",AND(ISNUMBER(Table2[[#This Row],[MergeCorpID]])=TRUE,ISBLANK(Table2[[#This Row],[MergeName]])=FALSE))</f>
        <v>0</v>
      </c>
      <c r="H874" s="40">
        <f>IF(ISBLANK(Table2[[#This Row],[MergeCorpID]])=TRUE,0,IF(Table2[[#This Row],[SurvivingEdCorp]]=TRUE,1,2))</f>
        <v>2</v>
      </c>
      <c r="J874" s="4"/>
    </row>
    <row r="875" spans="2:10">
      <c r="B875" s="1013" t="s">
        <v>1343</v>
      </c>
      <c r="C875" s="1010">
        <v>2019</v>
      </c>
      <c r="D875" s="1010">
        <v>2020</v>
      </c>
      <c r="E875" s="1017">
        <v>512</v>
      </c>
      <c r="F875" s="1009"/>
      <c r="G875" s="40" t="b">
        <f>IF(ISBLANK(Table2[[#This Row],[MergeCorpID]]=TRUE),"",AND(ISNUMBER(Table2[[#This Row],[MergeCorpID]])=TRUE,ISBLANK(Table2[[#This Row],[MergeName]])=FALSE))</f>
        <v>0</v>
      </c>
      <c r="H875" s="40">
        <f>IF(ISBLANK(Table2[[#This Row],[MergeCorpID]])=TRUE,0,IF(Table2[[#This Row],[SurvivingEdCorp]]=TRUE,1,2))</f>
        <v>2</v>
      </c>
      <c r="J875" s="4"/>
    </row>
    <row r="876" spans="2:10">
      <c r="B876" s="1012" t="s">
        <v>1119</v>
      </c>
      <c r="C876" s="1015">
        <v>2011</v>
      </c>
      <c r="D876" s="1014">
        <v>2014</v>
      </c>
      <c r="E876" s="1016">
        <v>508</v>
      </c>
      <c r="F876" s="1011" t="s">
        <v>1279</v>
      </c>
      <c r="G876" s="40" t="b">
        <f>IF(ISBLANK(Table2[[#This Row],[MergeCorpID]]=TRUE),"",AND(ISNUMBER(Table2[[#This Row],[MergeCorpID]])=TRUE,ISBLANK(Table2[[#This Row],[MergeName]])=FALSE))</f>
        <v>1</v>
      </c>
      <c r="H876" s="40">
        <f>IF(ISBLANK(Table2[[#This Row],[MergeCorpID]])=TRUE,0,IF(Table2[[#This Row],[SurvivingEdCorp]]=TRUE,1,2))</f>
        <v>1</v>
      </c>
      <c r="J876" s="4"/>
    </row>
    <row r="877" spans="2:10">
      <c r="B877" s="1013" t="s">
        <v>1145</v>
      </c>
      <c r="C877" s="1010">
        <v>2013</v>
      </c>
      <c r="D877" s="1010">
        <v>2014</v>
      </c>
      <c r="E877" s="1017">
        <v>508</v>
      </c>
      <c r="F877" s="1009"/>
      <c r="G877" s="40" t="b">
        <f>IF(ISBLANK(Table2[[#This Row],[MergeCorpID]]=TRUE),"",AND(ISNUMBER(Table2[[#This Row],[MergeCorpID]])=TRUE,ISBLANK(Table2[[#This Row],[MergeName]])=FALSE))</f>
        <v>0</v>
      </c>
      <c r="H877" s="40">
        <f>IF(ISBLANK(Table2[[#This Row],[MergeCorpID]])=TRUE,0,IF(Table2[[#This Row],[SurvivingEdCorp]]=TRUE,1,2))</f>
        <v>2</v>
      </c>
      <c r="J877" s="4"/>
    </row>
    <row r="878" spans="2:10">
      <c r="B878" s="1012" t="s">
        <v>1280</v>
      </c>
      <c r="C878" s="1015">
        <v>2018</v>
      </c>
      <c r="D878" s="1014"/>
      <c r="E878" s="1016"/>
      <c r="F878" s="1011"/>
      <c r="G878" s="40" t="b">
        <f>IF(ISBLANK(Table2[[#This Row],[MergeCorpID]]=TRUE),"",AND(ISNUMBER(Table2[[#This Row],[MergeCorpID]])=TRUE,ISBLANK(Table2[[#This Row],[MergeName]])=FALSE))</f>
        <v>0</v>
      </c>
      <c r="H878" s="40">
        <f>IF(ISBLANK(Table2[[#This Row],[MergeCorpID]])=TRUE,0,IF(Table2[[#This Row],[SurvivingEdCorp]]=TRUE,1,2))</f>
        <v>0</v>
      </c>
      <c r="J878" s="4"/>
    </row>
    <row r="879" spans="2:10">
      <c r="B879" s="1013" t="s">
        <v>1230</v>
      </c>
      <c r="C879" s="1010">
        <v>2017</v>
      </c>
      <c r="D879" s="1010">
        <v>2018</v>
      </c>
      <c r="E879" s="1017">
        <v>515</v>
      </c>
      <c r="F879" s="1009"/>
      <c r="G879" s="40" t="b">
        <f>IF(ISBLANK(Table2[[#This Row],[MergeCorpID]]=TRUE),"",AND(ISNUMBER(Table2[[#This Row],[MergeCorpID]])=TRUE,ISBLANK(Table2[[#This Row],[MergeName]])=FALSE))</f>
        <v>0</v>
      </c>
      <c r="H879" s="40">
        <f>IF(ISBLANK(Table2[[#This Row],[MergeCorpID]])=TRUE,0,IF(Table2[[#This Row],[SurvivingEdCorp]]=TRUE,1,2))</f>
        <v>2</v>
      </c>
      <c r="J879" s="4"/>
    </row>
    <row r="880" spans="2:10">
      <c r="B880" s="1012" t="s">
        <v>1223</v>
      </c>
      <c r="C880" s="1015">
        <v>2017</v>
      </c>
      <c r="D880" s="1014">
        <v>2018</v>
      </c>
      <c r="E880" s="1016">
        <v>515</v>
      </c>
      <c r="F880" s="1011" t="s">
        <v>1304</v>
      </c>
      <c r="G880" s="40" t="b">
        <f>IF(ISBLANK(Table2[[#This Row],[MergeCorpID]]=TRUE),"",AND(ISNUMBER(Table2[[#This Row],[MergeCorpID]])=TRUE,ISBLANK(Table2[[#This Row],[MergeName]])=FALSE))</f>
        <v>1</v>
      </c>
      <c r="H880" s="40">
        <f>IF(ISBLANK(Table2[[#This Row],[MergeCorpID]])=TRUE,0,IF(Table2[[#This Row],[SurvivingEdCorp]]=TRUE,1,2))</f>
        <v>1</v>
      </c>
      <c r="J880" s="4"/>
    </row>
    <row r="881" spans="2:10">
      <c r="B881" s="1013" t="s">
        <v>1075</v>
      </c>
      <c r="C881" s="1010">
        <v>2000</v>
      </c>
      <c r="D881" s="1010"/>
      <c r="E881" s="1017"/>
      <c r="F881" s="1009"/>
      <c r="G881" s="40" t="b">
        <f>IF(ISBLANK(Table2[[#This Row],[MergeCorpID]]=TRUE),"",AND(ISNUMBER(Table2[[#This Row],[MergeCorpID]])=TRUE,ISBLANK(Table2[[#This Row],[MergeName]])=FALSE))</f>
        <v>0</v>
      </c>
      <c r="H881" s="40">
        <f>IF(ISBLANK(Table2[[#This Row],[MergeCorpID]])=TRUE,0,IF(Table2[[#This Row],[SurvivingEdCorp]]=TRUE,1,2))</f>
        <v>0</v>
      </c>
      <c r="J881" s="4"/>
    </row>
    <row r="882" spans="2:10">
      <c r="B882" s="1012" t="s">
        <v>1076</v>
      </c>
      <c r="C882" s="1015">
        <v>2004</v>
      </c>
      <c r="D882" s="1014">
        <v>2016</v>
      </c>
      <c r="E882" s="1016">
        <v>509</v>
      </c>
      <c r="F882" s="1011"/>
      <c r="G882" s="40" t="b">
        <f>IF(ISBLANK(Table2[[#This Row],[MergeCorpID]]=TRUE),"",AND(ISNUMBER(Table2[[#This Row],[MergeCorpID]])=TRUE,ISBLANK(Table2[[#This Row],[MergeName]])=FALSE))</f>
        <v>0</v>
      </c>
      <c r="H882" s="40">
        <f>IF(ISBLANK(Table2[[#This Row],[MergeCorpID]])=TRUE,0,IF(Table2[[#This Row],[SurvivingEdCorp]]=TRUE,1,2))</f>
        <v>2</v>
      </c>
      <c r="J882" s="4"/>
    </row>
    <row r="883" spans="2:10">
      <c r="B883" s="1013" t="s">
        <v>1077</v>
      </c>
      <c r="C883" s="1010">
        <v>2009</v>
      </c>
      <c r="D883" s="1010">
        <v>2016</v>
      </c>
      <c r="E883" s="1017">
        <v>509</v>
      </c>
      <c r="F883" s="1009"/>
      <c r="G883" s="40" t="b">
        <f>IF(ISBLANK(Table2[[#This Row],[MergeCorpID]]=TRUE),"",AND(ISNUMBER(Table2[[#This Row],[MergeCorpID]])=TRUE,ISBLANK(Table2[[#This Row],[MergeName]])=FALSE))</f>
        <v>0</v>
      </c>
      <c r="H883" s="40">
        <f>IF(ISBLANK(Table2[[#This Row],[MergeCorpID]])=TRUE,0,IF(Table2[[#This Row],[SurvivingEdCorp]]=TRUE,1,2))</f>
        <v>2</v>
      </c>
      <c r="J883" s="4"/>
    </row>
    <row r="884" spans="2:10">
      <c r="B884" s="1012" t="s">
        <v>1164</v>
      </c>
      <c r="C884" s="1015">
        <v>2015</v>
      </c>
      <c r="D884" s="1014">
        <v>2016</v>
      </c>
      <c r="E884" s="1016">
        <v>507</v>
      </c>
      <c r="F884" s="1011"/>
      <c r="G884" s="40" t="b">
        <f>IF(ISBLANK(Table2[[#This Row],[MergeCorpID]]=TRUE),"",AND(ISNUMBER(Table2[[#This Row],[MergeCorpID]])=TRUE,ISBLANK(Table2[[#This Row],[MergeName]])=FALSE))</f>
        <v>0</v>
      </c>
      <c r="H884" s="40">
        <f>IF(ISBLANK(Table2[[#This Row],[MergeCorpID]])=TRUE,0,IF(Table2[[#This Row],[SurvivingEdCorp]]=TRUE,1,2))</f>
        <v>2</v>
      </c>
      <c r="J884" s="4"/>
    </row>
    <row r="885" spans="2:10">
      <c r="B885" s="1013" t="s">
        <v>1165</v>
      </c>
      <c r="C885" s="1010">
        <v>2015</v>
      </c>
      <c r="D885" s="1010">
        <v>2016</v>
      </c>
      <c r="E885" s="1017">
        <v>507</v>
      </c>
      <c r="F885" s="1009"/>
      <c r="G885" s="40" t="b">
        <f>IF(ISBLANK(Table2[[#This Row],[MergeCorpID]]=TRUE),"",AND(ISNUMBER(Table2[[#This Row],[MergeCorpID]])=TRUE,ISBLANK(Table2[[#This Row],[MergeName]])=FALSE))</f>
        <v>0</v>
      </c>
      <c r="H885" s="40">
        <f>IF(ISBLANK(Table2[[#This Row],[MergeCorpID]])=TRUE,0,IF(Table2[[#This Row],[SurvivingEdCorp]]=TRUE,1,2))</f>
        <v>2</v>
      </c>
      <c r="J885" s="4"/>
    </row>
    <row r="886" spans="2:10">
      <c r="B886" s="1012" t="s">
        <v>1133</v>
      </c>
      <c r="C886" s="1015">
        <v>2012</v>
      </c>
      <c r="D886" s="1014">
        <v>2016</v>
      </c>
      <c r="E886" s="1016">
        <v>507</v>
      </c>
      <c r="F886" s="1011"/>
      <c r="G886" s="40" t="b">
        <f>IF(ISBLANK(Table2[[#This Row],[MergeCorpID]]=TRUE),"",AND(ISNUMBER(Table2[[#This Row],[MergeCorpID]])=TRUE,ISBLANK(Table2[[#This Row],[MergeName]])=FALSE))</f>
        <v>0</v>
      </c>
      <c r="H886" s="40">
        <f>IF(ISBLANK(Table2[[#This Row],[MergeCorpID]])=TRUE,0,IF(Table2[[#This Row],[SurvivingEdCorp]]=TRUE,1,2))</f>
        <v>2</v>
      </c>
      <c r="J886" s="4"/>
    </row>
    <row r="887" spans="2:10">
      <c r="B887" s="1013" t="s">
        <v>1120</v>
      </c>
      <c r="C887" s="1010">
        <v>2011</v>
      </c>
      <c r="D887" s="1010">
        <v>2016</v>
      </c>
      <c r="E887" s="1017">
        <v>507</v>
      </c>
      <c r="F887" s="1009" t="s">
        <v>1281</v>
      </c>
      <c r="G887" s="40" t="b">
        <f>IF(ISBLANK(Table2[[#This Row],[MergeCorpID]]=TRUE),"",AND(ISNUMBER(Table2[[#This Row],[MergeCorpID]])=TRUE,ISBLANK(Table2[[#This Row],[MergeName]])=FALSE))</f>
        <v>1</v>
      </c>
      <c r="H887" s="40">
        <f>IF(ISBLANK(Table2[[#This Row],[MergeCorpID]])=TRUE,0,IF(Table2[[#This Row],[SurvivingEdCorp]]=TRUE,1,2))</f>
        <v>1</v>
      </c>
      <c r="J887" s="4"/>
    </row>
    <row r="888" spans="2:10">
      <c r="B888" s="1012" t="s">
        <v>1078</v>
      </c>
      <c r="C888" s="1015">
        <v>2001</v>
      </c>
      <c r="D888" s="1014">
        <v>2015</v>
      </c>
      <c r="E888" s="1016">
        <v>503</v>
      </c>
      <c r="F888" s="1011" t="s">
        <v>1282</v>
      </c>
      <c r="G888" s="40" t="b">
        <f>IF(ISBLANK(Table2[[#This Row],[MergeCorpID]]=TRUE),"",AND(ISNUMBER(Table2[[#This Row],[MergeCorpID]])=TRUE,ISBLANK(Table2[[#This Row],[MergeName]])=FALSE))</f>
        <v>1</v>
      </c>
      <c r="H888" s="40">
        <f>IF(ISBLANK(Table2[[#This Row],[MergeCorpID]])=TRUE,0,IF(Table2[[#This Row],[SurvivingEdCorp]]=TRUE,1,2))</f>
        <v>1</v>
      </c>
      <c r="J888" s="4"/>
    </row>
    <row r="889" spans="2:10">
      <c r="B889" s="1013" t="s">
        <v>1134</v>
      </c>
      <c r="C889" s="1010">
        <v>2012</v>
      </c>
      <c r="D889" s="1010">
        <v>2015</v>
      </c>
      <c r="E889" s="1017">
        <v>503</v>
      </c>
      <c r="F889" s="1009"/>
      <c r="G889" s="40" t="b">
        <f>IF(ISBLANK(Table2[[#This Row],[MergeCorpID]]=TRUE),"",AND(ISNUMBER(Table2[[#This Row],[MergeCorpID]])=TRUE,ISBLANK(Table2[[#This Row],[MergeName]])=FALSE))</f>
        <v>0</v>
      </c>
      <c r="H889" s="40">
        <f>IF(ISBLANK(Table2[[#This Row],[MergeCorpID]])=TRUE,0,IF(Table2[[#This Row],[SurvivingEdCorp]]=TRUE,1,2))</f>
        <v>2</v>
      </c>
      <c r="J889" s="4"/>
    </row>
    <row r="890" spans="2:10">
      <c r="B890" s="1012" t="s">
        <v>1150</v>
      </c>
      <c r="C890" s="1015">
        <v>2014</v>
      </c>
      <c r="D890" s="1014">
        <v>2015</v>
      </c>
      <c r="E890" s="1016">
        <v>503</v>
      </c>
      <c r="F890" s="1011"/>
      <c r="G890" s="40" t="b">
        <f>IF(ISBLANK(Table2[[#This Row],[MergeCorpID]]=TRUE),"",AND(ISNUMBER(Table2[[#This Row],[MergeCorpID]])=TRUE,ISBLANK(Table2[[#This Row],[MergeName]])=FALSE))</f>
        <v>0</v>
      </c>
      <c r="H890" s="40">
        <f>IF(ISBLANK(Table2[[#This Row],[MergeCorpID]])=TRUE,0,IF(Table2[[#This Row],[SurvivingEdCorp]]=TRUE,1,2))</f>
        <v>2</v>
      </c>
      <c r="J890" s="4"/>
    </row>
    <row r="891" spans="2:10">
      <c r="B891" s="1013" t="s">
        <v>1161</v>
      </c>
      <c r="C891" s="1010">
        <v>2015</v>
      </c>
      <c r="D891" s="1010"/>
      <c r="E891" s="1017"/>
      <c r="F891" s="1009"/>
      <c r="G891" s="40" t="b">
        <f>IF(ISBLANK(Table2[[#This Row],[MergeCorpID]]=TRUE),"",AND(ISNUMBER(Table2[[#This Row],[MergeCorpID]])=TRUE,ISBLANK(Table2[[#This Row],[MergeName]])=FALSE))</f>
        <v>0</v>
      </c>
      <c r="H891" s="40">
        <f>IF(ISBLANK(Table2[[#This Row],[MergeCorpID]])=TRUE,0,IF(Table2[[#This Row],[SurvivingEdCorp]]=TRUE,1,2))</f>
        <v>0</v>
      </c>
      <c r="J891" s="4"/>
    </row>
    <row r="892" spans="2:10">
      <c r="B892" s="1012" t="s">
        <v>1227</v>
      </c>
      <c r="C892" s="1015">
        <v>2017</v>
      </c>
      <c r="D892" s="1014"/>
      <c r="E892" s="1016"/>
      <c r="F892" s="1011"/>
      <c r="G892" s="40" t="b">
        <f>IF(ISBLANK(Table2[[#This Row],[MergeCorpID]]=TRUE),"",AND(ISNUMBER(Table2[[#This Row],[MergeCorpID]])=TRUE,ISBLANK(Table2[[#This Row],[MergeName]])=FALSE))</f>
        <v>0</v>
      </c>
      <c r="H892" s="40">
        <f>IF(ISBLANK(Table2[[#This Row],[MergeCorpID]])=TRUE,0,IF(Table2[[#This Row],[SurvivingEdCorp]]=TRUE,1,2))</f>
        <v>0</v>
      </c>
      <c r="J892" s="4"/>
    </row>
    <row r="893" spans="2:10">
      <c r="B893" s="1013" t="s">
        <v>1079</v>
      </c>
      <c r="C893" s="1010">
        <v>2005</v>
      </c>
      <c r="D893" s="1010">
        <v>2015</v>
      </c>
      <c r="E893" s="1017">
        <v>506</v>
      </c>
      <c r="F893" s="1009" t="s">
        <v>1283</v>
      </c>
      <c r="G893" s="40" t="b">
        <f>IF(ISBLANK(Table2[[#This Row],[MergeCorpID]]=TRUE),"",AND(ISNUMBER(Table2[[#This Row],[MergeCorpID]])=TRUE,ISBLANK(Table2[[#This Row],[MergeName]])=FALSE))</f>
        <v>1</v>
      </c>
      <c r="H893" s="40">
        <f>IF(ISBLANK(Table2[[#This Row],[MergeCorpID]])=TRUE,0,IF(Table2[[#This Row],[SurvivingEdCorp]]=TRUE,1,2))</f>
        <v>1</v>
      </c>
      <c r="J893" s="4"/>
    </row>
    <row r="894" spans="2:10">
      <c r="B894" s="1012" t="s">
        <v>1080</v>
      </c>
      <c r="C894" s="1015">
        <v>2009</v>
      </c>
      <c r="D894" s="1014">
        <v>2015</v>
      </c>
      <c r="E894" s="1016">
        <v>506</v>
      </c>
      <c r="F894" s="1011"/>
      <c r="G894" s="40" t="b">
        <f>IF(ISBLANK(Table2[[#This Row],[MergeCorpID]]=TRUE),"",AND(ISNUMBER(Table2[[#This Row],[MergeCorpID]])=TRUE,ISBLANK(Table2[[#This Row],[MergeName]])=FALSE))</f>
        <v>0</v>
      </c>
      <c r="H894" s="40">
        <f>IF(ISBLANK(Table2[[#This Row],[MergeCorpID]])=TRUE,0,IF(Table2[[#This Row],[SurvivingEdCorp]]=TRUE,1,2))</f>
        <v>2</v>
      </c>
      <c r="J894" s="4"/>
    </row>
    <row r="895" spans="2:10">
      <c r="B895" s="1013" t="s">
        <v>1346</v>
      </c>
      <c r="C895" s="1010">
        <v>2020</v>
      </c>
      <c r="D895" s="1010">
        <v>2021</v>
      </c>
      <c r="E895" s="1017">
        <v>506</v>
      </c>
      <c r="F895" s="1009"/>
      <c r="G895" s="40" t="b">
        <f>IF(ISBLANK(Table2[[#This Row],[MergeCorpID]]=TRUE),"",AND(ISNUMBER(Table2[[#This Row],[MergeCorpID]])=TRUE,ISBLANK(Table2[[#This Row],[MergeName]])=FALSE))</f>
        <v>0</v>
      </c>
      <c r="H895" s="40">
        <f>IF(ISBLANK(Table2[[#This Row],[MergeCorpID]])=TRUE,0,IF(Table2[[#This Row],[SurvivingEdCorp]]=TRUE,1,2))</f>
        <v>2</v>
      </c>
      <c r="J895" s="4"/>
    </row>
    <row r="896" spans="2:10">
      <c r="B896" s="1012" t="s">
        <v>1081</v>
      </c>
      <c r="C896" s="1015">
        <v>2004</v>
      </c>
      <c r="D896" s="1014"/>
      <c r="E896" s="1016"/>
      <c r="F896" s="1011"/>
      <c r="G896" s="40" t="b">
        <f>IF(ISBLANK(Table2[[#This Row],[MergeCorpID]]=TRUE),"",AND(ISNUMBER(Table2[[#This Row],[MergeCorpID]])=TRUE,ISBLANK(Table2[[#This Row],[MergeName]])=FALSE))</f>
        <v>0</v>
      </c>
      <c r="H896" s="40">
        <f>IF(ISBLANK(Table2[[#This Row],[MergeCorpID]])=TRUE,0,IF(Table2[[#This Row],[SurvivingEdCorp]]=TRUE,1,2))</f>
        <v>0</v>
      </c>
      <c r="J896" s="4"/>
    </row>
    <row r="897" spans="2:10">
      <c r="B897" s="1013" t="s">
        <v>1333</v>
      </c>
      <c r="C897" s="1010">
        <v>2008</v>
      </c>
      <c r="D897" s="1010"/>
      <c r="E897" s="1017"/>
      <c r="F897" s="1009"/>
      <c r="G897" s="40" t="b">
        <f>IF(ISBLANK(Table2[[#This Row],[MergeCorpID]]=TRUE),"",AND(ISNUMBER(Table2[[#This Row],[MergeCorpID]])=TRUE,ISBLANK(Table2[[#This Row],[MergeName]])=FALSE))</f>
        <v>0</v>
      </c>
      <c r="H897" s="40">
        <f>IF(ISBLANK(Table2[[#This Row],[MergeCorpID]])=TRUE,0,IF(Table2[[#This Row],[SurvivingEdCorp]]=TRUE,1,2))</f>
        <v>0</v>
      </c>
      <c r="J897" s="4"/>
    </row>
    <row r="898" spans="2:10">
      <c r="B898" s="1012" t="s">
        <v>1083</v>
      </c>
      <c r="C898" s="1015">
        <v>2000</v>
      </c>
      <c r="D898" s="1014"/>
      <c r="E898" s="1016"/>
      <c r="F898" s="1011"/>
      <c r="G898" s="40" t="b">
        <f>IF(ISBLANK(Table2[[#This Row],[MergeCorpID]]=TRUE),"",AND(ISNUMBER(Table2[[#This Row],[MergeCorpID]])=TRUE,ISBLANK(Table2[[#This Row],[MergeName]])=FALSE))</f>
        <v>0</v>
      </c>
      <c r="H898" s="40">
        <f>IF(ISBLANK(Table2[[#This Row],[MergeCorpID]])=TRUE,0,IF(Table2[[#This Row],[SurvivingEdCorp]]=TRUE,1,2))</f>
        <v>0</v>
      </c>
      <c r="J898" s="4"/>
    </row>
    <row r="899" spans="2:10">
      <c r="B899" s="1013" t="s">
        <v>1085</v>
      </c>
      <c r="C899" s="1010">
        <v>2005</v>
      </c>
      <c r="D899" s="1010"/>
      <c r="E899" s="1017"/>
      <c r="F899" s="1009"/>
      <c r="G899" s="40" t="b">
        <f>IF(ISBLANK(Table2[[#This Row],[MergeCorpID]]=TRUE),"",AND(ISNUMBER(Table2[[#This Row],[MergeCorpID]])=TRUE,ISBLANK(Table2[[#This Row],[MergeName]])=FALSE))</f>
        <v>0</v>
      </c>
      <c r="H899" s="40">
        <f>IF(ISBLANK(Table2[[#This Row],[MergeCorpID]])=TRUE,0,IF(Table2[[#This Row],[SurvivingEdCorp]]=TRUE,1,2))</f>
        <v>0</v>
      </c>
      <c r="J899" s="4"/>
    </row>
    <row r="900" spans="2:10">
      <c r="B900" s="1012" t="s">
        <v>1084</v>
      </c>
      <c r="C900" s="1015">
        <v>2001</v>
      </c>
      <c r="D900" s="1014">
        <v>2018</v>
      </c>
      <c r="E900" s="1016">
        <v>520</v>
      </c>
      <c r="F900" s="1011"/>
      <c r="G900" s="40" t="b">
        <f>IF(ISBLANK(Table2[[#This Row],[MergeCorpID]]=TRUE),"",AND(ISNUMBER(Table2[[#This Row],[MergeCorpID]])=TRUE,ISBLANK(Table2[[#This Row],[MergeName]])=FALSE))</f>
        <v>0</v>
      </c>
      <c r="H900" s="40">
        <f>IF(ISBLANK(Table2[[#This Row],[MergeCorpID]])=TRUE,0,IF(Table2[[#This Row],[SurvivingEdCorp]]=TRUE,1,2))</f>
        <v>2</v>
      </c>
      <c r="J900" s="4"/>
    </row>
    <row r="901" spans="2:10">
      <c r="B901" s="1013" t="s">
        <v>1284</v>
      </c>
      <c r="C901" s="1010">
        <v>2005</v>
      </c>
      <c r="D901" s="1010"/>
      <c r="E901" s="1017"/>
      <c r="F901" s="1009"/>
      <c r="G901" s="40" t="b">
        <f>IF(ISBLANK(Table2[[#This Row],[MergeCorpID]]=TRUE),"",AND(ISNUMBER(Table2[[#This Row],[MergeCorpID]])=TRUE,ISBLANK(Table2[[#This Row],[MergeName]])=FALSE))</f>
        <v>0</v>
      </c>
      <c r="H901" s="40">
        <f>IF(ISBLANK(Table2[[#This Row],[MergeCorpID]])=TRUE,0,IF(Table2[[#This Row],[SurvivingEdCorp]]=TRUE,1,2))</f>
        <v>0</v>
      </c>
      <c r="J901" s="4"/>
    </row>
    <row r="902" spans="2:10">
      <c r="B902" s="1012" t="s">
        <v>1305</v>
      </c>
      <c r="C902" s="1015">
        <v>2019</v>
      </c>
      <c r="D902" s="1014">
        <v>2020</v>
      </c>
      <c r="E902" s="1016">
        <v>530</v>
      </c>
      <c r="F902" s="1011"/>
      <c r="G902" s="40" t="b">
        <f>IF(ISBLANK(Table2[[#This Row],[MergeCorpID]]=TRUE),"",AND(ISNUMBER(Table2[[#This Row],[MergeCorpID]])=TRUE,ISBLANK(Table2[[#This Row],[MergeName]])=FALSE))</f>
        <v>0</v>
      </c>
      <c r="H902" s="40">
        <f>IF(ISBLANK(Table2[[#This Row],[MergeCorpID]])=TRUE,0,IF(Table2[[#This Row],[SurvivingEdCorp]]=TRUE,1,2))</f>
        <v>2</v>
      </c>
      <c r="J902" s="4"/>
    </row>
    <row r="903" spans="2:10">
      <c r="B903" s="1013" t="s">
        <v>1285</v>
      </c>
      <c r="C903" s="1010">
        <v>2003</v>
      </c>
      <c r="D903" s="1010">
        <v>2020</v>
      </c>
      <c r="E903" s="1017">
        <v>530</v>
      </c>
      <c r="F903" s="1009" t="s">
        <v>1306</v>
      </c>
      <c r="G903" s="40" t="b">
        <f>IF(ISBLANK(Table2[[#This Row],[MergeCorpID]]=TRUE),"",AND(ISNUMBER(Table2[[#This Row],[MergeCorpID]])=TRUE,ISBLANK(Table2[[#This Row],[MergeName]])=FALSE))</f>
        <v>1</v>
      </c>
      <c r="H903" s="40">
        <f>IF(ISBLANK(Table2[[#This Row],[MergeCorpID]])=TRUE,0,IF(Table2[[#This Row],[SurvivingEdCorp]]=TRUE,1,2))</f>
        <v>1</v>
      </c>
      <c r="J903" s="4"/>
    </row>
    <row r="904" spans="2:10">
      <c r="B904" s="1012" t="s">
        <v>1092</v>
      </c>
      <c r="C904" s="1015">
        <v>2007</v>
      </c>
      <c r="D904" s="1014"/>
      <c r="E904" s="1016"/>
      <c r="F904" s="1011"/>
      <c r="G904" s="40" t="b">
        <f>IF(ISBLANK(Table2[[#This Row],[MergeCorpID]]=TRUE),"",AND(ISNUMBER(Table2[[#This Row],[MergeCorpID]])=TRUE,ISBLANK(Table2[[#This Row],[MergeName]])=FALSE))</f>
        <v>0</v>
      </c>
      <c r="H904" s="40">
        <f>IF(ISBLANK(Table2[[#This Row],[MergeCorpID]])=TRUE,0,IF(Table2[[#This Row],[SurvivingEdCorp]]=TRUE,1,2))</f>
        <v>0</v>
      </c>
      <c r="J904" s="4"/>
    </row>
    <row r="905" spans="2:10">
      <c r="B905" s="1013" t="s">
        <v>1241</v>
      </c>
      <c r="C905" s="1010">
        <v>2017</v>
      </c>
      <c r="D905" s="1010"/>
      <c r="E905" s="1017"/>
      <c r="F905" s="1009"/>
      <c r="G905" s="40" t="b">
        <f>IF(ISBLANK(Table2[[#This Row],[MergeCorpID]]=TRUE),"",AND(ISNUMBER(Table2[[#This Row],[MergeCorpID]])=TRUE,ISBLANK(Table2[[#This Row],[MergeName]])=FALSE))</f>
        <v>0</v>
      </c>
      <c r="H905" s="40">
        <f>IF(ISBLANK(Table2[[#This Row],[MergeCorpID]])=TRUE,0,IF(Table2[[#This Row],[SurvivingEdCorp]]=TRUE,1,2))</f>
        <v>0</v>
      </c>
      <c r="J905" s="4"/>
    </row>
    <row r="906" spans="2:10">
      <c r="B906" s="1012" t="s">
        <v>1093</v>
      </c>
      <c r="C906" s="1015">
        <v>2001</v>
      </c>
      <c r="D906" s="1014"/>
      <c r="E906" s="1016"/>
      <c r="F906" s="1011"/>
      <c r="G906" s="40" t="b">
        <f>IF(ISBLANK(Table2[[#This Row],[MergeCorpID]]=TRUE),"",AND(ISNUMBER(Table2[[#This Row],[MergeCorpID]])=TRUE,ISBLANK(Table2[[#This Row],[MergeName]])=FALSE))</f>
        <v>0</v>
      </c>
      <c r="H906" s="40">
        <f>IF(ISBLANK(Table2[[#This Row],[MergeCorpID]])=TRUE,0,IF(Table2[[#This Row],[SurvivingEdCorp]]=TRUE,1,2))</f>
        <v>0</v>
      </c>
      <c r="J906" s="4"/>
    </row>
    <row r="907" spans="2:10">
      <c r="B907" s="1013" t="s">
        <v>1094</v>
      </c>
      <c r="C907" s="1010">
        <v>2007</v>
      </c>
      <c r="D907" s="1010"/>
      <c r="E907" s="1017"/>
      <c r="F907" s="1009"/>
      <c r="G907" s="40" t="b">
        <f>IF(ISBLANK(Table2[[#This Row],[MergeCorpID]]=TRUE),"",AND(ISNUMBER(Table2[[#This Row],[MergeCorpID]])=TRUE,ISBLANK(Table2[[#This Row],[MergeName]])=FALSE))</f>
        <v>0</v>
      </c>
      <c r="H907" s="40">
        <f>IF(ISBLANK(Table2[[#This Row],[MergeCorpID]])=TRUE,0,IF(Table2[[#This Row],[SurvivingEdCorp]]=TRUE,1,2))</f>
        <v>0</v>
      </c>
      <c r="J907" s="4"/>
    </row>
    <row r="908" spans="2:10">
      <c r="B908" s="1012" t="s">
        <v>1095</v>
      </c>
      <c r="C908" s="1015">
        <v>2008</v>
      </c>
      <c r="D908" s="1014"/>
      <c r="E908" s="1016"/>
      <c r="F908" s="1011"/>
      <c r="G908" s="40" t="b">
        <f>IF(ISBLANK(Table2[[#This Row],[MergeCorpID]]=TRUE),"",AND(ISNUMBER(Table2[[#This Row],[MergeCorpID]])=TRUE,ISBLANK(Table2[[#This Row],[MergeName]])=FALSE))</f>
        <v>0</v>
      </c>
      <c r="H908" s="40">
        <f>IF(ISBLANK(Table2[[#This Row],[MergeCorpID]])=TRUE,0,IF(Table2[[#This Row],[SurvivingEdCorp]]=TRUE,1,2))</f>
        <v>0</v>
      </c>
      <c r="J908" s="4"/>
    </row>
    <row r="909" spans="2:10">
      <c r="B909" s="1013" t="s">
        <v>1096</v>
      </c>
      <c r="C909" s="1010">
        <v>2009</v>
      </c>
      <c r="D909" s="1010"/>
      <c r="E909" s="1017"/>
      <c r="F909" s="1009"/>
      <c r="G909" s="40" t="b">
        <f>IF(ISBLANK(Table2[[#This Row],[MergeCorpID]]=TRUE),"",AND(ISNUMBER(Table2[[#This Row],[MergeCorpID]])=TRUE,ISBLANK(Table2[[#This Row],[MergeName]])=FALSE))</f>
        <v>0</v>
      </c>
      <c r="H909" s="40">
        <f>IF(ISBLANK(Table2[[#This Row],[MergeCorpID]])=TRUE,0,IF(Table2[[#This Row],[SurvivingEdCorp]]=TRUE,1,2))</f>
        <v>0</v>
      </c>
      <c r="J909" s="4"/>
    </row>
    <row r="910" spans="2:10">
      <c r="B910" s="1012" t="s">
        <v>1097</v>
      </c>
      <c r="C910" s="1015">
        <v>2011</v>
      </c>
      <c r="D910" s="1014"/>
      <c r="E910" s="1016"/>
      <c r="F910" s="1011"/>
      <c r="G910" s="40" t="b">
        <f>IF(ISBLANK(Table2[[#This Row],[MergeCorpID]]=TRUE),"",AND(ISNUMBER(Table2[[#This Row],[MergeCorpID]])=TRUE,ISBLANK(Table2[[#This Row],[MergeName]])=FALSE))</f>
        <v>0</v>
      </c>
      <c r="H910" s="40">
        <f>IF(ISBLANK(Table2[[#This Row],[MergeCorpID]])=TRUE,0,IF(Table2[[#This Row],[SurvivingEdCorp]]=TRUE,1,2))</f>
        <v>0</v>
      </c>
      <c r="J910" s="4"/>
    </row>
    <row r="911" spans="2:10">
      <c r="B911" s="1013" t="s">
        <v>1135</v>
      </c>
      <c r="C911" s="1010">
        <v>2012</v>
      </c>
      <c r="D911" s="1010"/>
      <c r="E911" s="1017"/>
      <c r="F911" s="1009"/>
      <c r="G911" s="40" t="b">
        <f>IF(ISBLANK(Table2[[#This Row],[MergeCorpID]]=TRUE),"",AND(ISNUMBER(Table2[[#This Row],[MergeCorpID]])=TRUE,ISBLANK(Table2[[#This Row],[MergeName]])=FALSE))</f>
        <v>0</v>
      </c>
      <c r="H911" s="40">
        <f>IF(ISBLANK(Table2[[#This Row],[MergeCorpID]])=TRUE,0,IF(Table2[[#This Row],[SurvivingEdCorp]]=TRUE,1,2))</f>
        <v>0</v>
      </c>
      <c r="J911" s="4"/>
    </row>
    <row r="912" spans="2:10">
      <c r="B912" s="1012" t="s">
        <v>1136</v>
      </c>
      <c r="C912" s="1015">
        <v>2013</v>
      </c>
      <c r="D912" s="1014"/>
      <c r="E912" s="1016"/>
      <c r="F912" s="1011"/>
      <c r="G912" s="40" t="b">
        <f>IF(ISBLANK(Table2[[#This Row],[MergeCorpID]]=TRUE),"",AND(ISNUMBER(Table2[[#This Row],[MergeCorpID]])=TRUE,ISBLANK(Table2[[#This Row],[MergeName]])=FALSE))</f>
        <v>0</v>
      </c>
      <c r="H912" s="40">
        <f>IF(ISBLANK(Table2[[#This Row],[MergeCorpID]])=TRUE,0,IF(Table2[[#This Row],[SurvivingEdCorp]]=TRUE,1,2))</f>
        <v>0</v>
      </c>
      <c r="J912" s="4"/>
    </row>
    <row r="913" spans="2:10">
      <c r="B913" s="1013" t="s">
        <v>1162</v>
      </c>
      <c r="C913" s="1010">
        <v>2015</v>
      </c>
      <c r="D913" s="1010"/>
      <c r="E913" s="1017"/>
      <c r="F913" s="1009"/>
      <c r="G913" s="40" t="b">
        <f>IF(ISBLANK(Table2[[#This Row],[MergeCorpID]]=TRUE),"",AND(ISNUMBER(Table2[[#This Row],[MergeCorpID]])=TRUE,ISBLANK(Table2[[#This Row],[MergeName]])=FALSE))</f>
        <v>0</v>
      </c>
      <c r="H913" s="40">
        <f>IF(ISBLANK(Table2[[#This Row],[MergeCorpID]])=TRUE,0,IF(Table2[[#This Row],[SurvivingEdCorp]]=TRUE,1,2))</f>
        <v>0</v>
      </c>
      <c r="J913" s="4"/>
    </row>
    <row r="914" spans="2:10">
      <c r="B914" s="1012" t="s">
        <v>1286</v>
      </c>
      <c r="C914" s="1015">
        <v>2017</v>
      </c>
      <c r="D914" s="1014"/>
      <c r="E914" s="1016"/>
      <c r="F914" s="1011"/>
      <c r="G914" s="40" t="b">
        <f>IF(ISBLANK(Table2[[#This Row],[MergeCorpID]]=TRUE),"",AND(ISNUMBER(Table2[[#This Row],[MergeCorpID]])=TRUE,ISBLANK(Table2[[#This Row],[MergeName]])=FALSE))</f>
        <v>0</v>
      </c>
      <c r="H914" s="40">
        <f>IF(ISBLANK(Table2[[#This Row],[MergeCorpID]])=TRUE,0,IF(Table2[[#This Row],[SurvivingEdCorp]]=TRUE,1,2))</f>
        <v>0</v>
      </c>
      <c r="J914" s="4"/>
    </row>
    <row r="915" spans="2:10">
      <c r="B915" s="1013" t="s">
        <v>1098</v>
      </c>
      <c r="C915" s="1010">
        <v>2000</v>
      </c>
      <c r="D915" s="1010"/>
      <c r="E915" s="1017"/>
      <c r="F915" s="1009"/>
      <c r="G915" s="40" t="b">
        <f>IF(ISBLANK(Table2[[#This Row],[MergeCorpID]]=TRUE),"",AND(ISNUMBER(Table2[[#This Row],[MergeCorpID]])=TRUE,ISBLANK(Table2[[#This Row],[MergeName]])=FALSE))</f>
        <v>0</v>
      </c>
      <c r="H915" s="40">
        <f>IF(ISBLANK(Table2[[#This Row],[MergeCorpID]])=TRUE,0,IF(Table2[[#This Row],[SurvivingEdCorp]]=TRUE,1,2))</f>
        <v>0</v>
      </c>
      <c r="J915" s="4"/>
    </row>
    <row r="916" spans="2:10">
      <c r="B916" s="1012" t="s">
        <v>1099</v>
      </c>
      <c r="C916" s="1015">
        <v>2007</v>
      </c>
      <c r="D916" s="1014">
        <v>2016</v>
      </c>
      <c r="E916" s="1016">
        <v>509</v>
      </c>
      <c r="F916" s="1011"/>
      <c r="G916" s="40" t="b">
        <f>IF(ISBLANK(Table2[[#This Row],[MergeCorpID]]=TRUE),"",AND(ISNUMBER(Table2[[#This Row],[MergeCorpID]])=TRUE,ISBLANK(Table2[[#This Row],[MergeName]])=FALSE))</f>
        <v>0</v>
      </c>
      <c r="H916" s="40">
        <f>IF(ISBLANK(Table2[[#This Row],[MergeCorpID]])=TRUE,0,IF(Table2[[#This Row],[SurvivingEdCorp]]=TRUE,1,2))</f>
        <v>2</v>
      </c>
      <c r="J916" s="4"/>
    </row>
    <row r="917" spans="2:10">
      <c r="B917" s="1013" t="s">
        <v>1307</v>
      </c>
      <c r="C917" s="1010">
        <v>2019</v>
      </c>
      <c r="D917" s="1010">
        <v>2020</v>
      </c>
      <c r="E917" s="1017">
        <v>526</v>
      </c>
      <c r="F917" s="1009"/>
      <c r="G917" s="40" t="b">
        <f>IF(ISBLANK(Table2[[#This Row],[MergeCorpID]]=TRUE),"",AND(ISNUMBER(Table2[[#This Row],[MergeCorpID]])=TRUE,ISBLANK(Table2[[#This Row],[MergeName]])=FALSE))</f>
        <v>0</v>
      </c>
      <c r="H917" s="40">
        <f>IF(ISBLANK(Table2[[#This Row],[MergeCorpID]])=TRUE,0,IF(Table2[[#This Row],[SurvivingEdCorp]]=TRUE,1,2))</f>
        <v>2</v>
      </c>
      <c r="J917" s="4"/>
    </row>
    <row r="918" spans="2:10">
      <c r="B918" s="1012" t="s">
        <v>1308</v>
      </c>
      <c r="C918" s="1015">
        <v>2019</v>
      </c>
      <c r="D918" s="1014">
        <v>2020</v>
      </c>
      <c r="E918" s="1016">
        <v>526</v>
      </c>
      <c r="F918" s="1011"/>
      <c r="G918" s="40" t="b">
        <f>IF(ISBLANK(Table2[[#This Row],[MergeCorpID]]=TRUE),"",AND(ISNUMBER(Table2[[#This Row],[MergeCorpID]])=TRUE,ISBLANK(Table2[[#This Row],[MergeName]])=FALSE))</f>
        <v>0</v>
      </c>
      <c r="H918" s="40">
        <f>IF(ISBLANK(Table2[[#This Row],[MergeCorpID]])=TRUE,0,IF(Table2[[#This Row],[SurvivingEdCorp]]=TRUE,1,2))</f>
        <v>2</v>
      </c>
      <c r="J918" s="4"/>
    </row>
    <row r="919" spans="2:10">
      <c r="B919" s="1013" t="s">
        <v>1310</v>
      </c>
      <c r="C919" s="1010">
        <v>2019</v>
      </c>
      <c r="D919" s="1010">
        <v>2020</v>
      </c>
      <c r="E919" s="1017">
        <v>526</v>
      </c>
      <c r="F919" s="1009" t="s">
        <v>1309</v>
      </c>
      <c r="G919" s="40" t="b">
        <f>IF(ISBLANK(Table2[[#This Row],[MergeCorpID]]=TRUE),"",AND(ISNUMBER(Table2[[#This Row],[MergeCorpID]])=TRUE,ISBLANK(Table2[[#This Row],[MergeName]])=FALSE))</f>
        <v>1</v>
      </c>
      <c r="H919" s="40">
        <f>IF(ISBLANK(Table2[[#This Row],[MergeCorpID]])=TRUE,0,IF(Table2[[#This Row],[SurvivingEdCorp]]=TRUE,1,2))</f>
        <v>1</v>
      </c>
      <c r="J919" s="4"/>
    </row>
    <row r="920" spans="2:10">
      <c r="B920" s="1012" t="s">
        <v>1311</v>
      </c>
      <c r="C920" s="1015">
        <v>2019</v>
      </c>
      <c r="D920" s="1014">
        <v>2020</v>
      </c>
      <c r="E920" s="1016">
        <v>526</v>
      </c>
      <c r="F920" s="1011"/>
      <c r="G920" s="40" t="b">
        <f>IF(ISBLANK(Table2[[#This Row],[MergeCorpID]]=TRUE),"",AND(ISNUMBER(Table2[[#This Row],[MergeCorpID]])=TRUE,ISBLANK(Table2[[#This Row],[MergeName]])=FALSE))</f>
        <v>0</v>
      </c>
      <c r="H920" s="40">
        <f>IF(ISBLANK(Table2[[#This Row],[MergeCorpID]])=TRUE,0,IF(Table2[[#This Row],[SurvivingEdCorp]]=TRUE,1,2))</f>
        <v>2</v>
      </c>
      <c r="J920" s="4"/>
    </row>
    <row r="921" spans="2:10">
      <c r="B921" s="1013" t="s">
        <v>1312</v>
      </c>
      <c r="C921" s="1010">
        <v>2019</v>
      </c>
      <c r="D921" s="1010">
        <v>2020</v>
      </c>
      <c r="E921" s="1017">
        <v>526</v>
      </c>
      <c r="F921" s="1009"/>
      <c r="G921" s="40" t="b">
        <f>IF(ISBLANK(Table2[[#This Row],[MergeCorpID]]=TRUE),"",AND(ISNUMBER(Table2[[#This Row],[MergeCorpID]])=TRUE,ISBLANK(Table2[[#This Row],[MergeName]])=FALSE))</f>
        <v>0</v>
      </c>
      <c r="H921" s="40">
        <f>IF(ISBLANK(Table2[[#This Row],[MergeCorpID]])=TRUE,0,IF(Table2[[#This Row],[SurvivingEdCorp]]=TRUE,1,2))</f>
        <v>2</v>
      </c>
      <c r="J921" s="4"/>
    </row>
    <row r="922" spans="2:10">
      <c r="B922" s="1012" t="s">
        <v>1349</v>
      </c>
      <c r="C922" s="1015">
        <v>2019</v>
      </c>
      <c r="D922" s="1014">
        <v>2020</v>
      </c>
      <c r="E922" s="1016">
        <v>526</v>
      </c>
      <c r="F922" s="1011"/>
      <c r="G922" s="40" t="b">
        <f>IF(ISBLANK(Table2[[#This Row],[MergeCorpID]]=TRUE),"",AND(ISNUMBER(Table2[[#This Row],[MergeCorpID]])=TRUE,ISBLANK(Table2[[#This Row],[MergeName]])=FALSE))</f>
        <v>0</v>
      </c>
      <c r="H922" s="40">
        <f>IF(ISBLANK(Table2[[#This Row],[MergeCorpID]])=TRUE,0,IF(Table2[[#This Row],[SurvivingEdCorp]]=TRUE,1,2))</f>
        <v>2</v>
      </c>
      <c r="J922" s="4"/>
    </row>
    <row r="923" spans="2:10">
      <c r="B923" s="1013" t="s">
        <v>1313</v>
      </c>
      <c r="C923" s="1010">
        <v>2003</v>
      </c>
      <c r="D923" s="1010">
        <v>2020</v>
      </c>
      <c r="E923" s="1017">
        <v>526</v>
      </c>
      <c r="F923" s="1009"/>
      <c r="G923" s="40" t="b">
        <f>IF(ISBLANK(Table2[[#This Row],[MergeCorpID]]=TRUE),"",AND(ISNUMBER(Table2[[#This Row],[MergeCorpID]])=TRUE,ISBLANK(Table2[[#This Row],[MergeName]])=FALSE))</f>
        <v>0</v>
      </c>
      <c r="H923" s="40">
        <f>IF(ISBLANK(Table2[[#This Row],[MergeCorpID]])=TRUE,0,IF(Table2[[#This Row],[SurvivingEdCorp]]=TRUE,1,2))</f>
        <v>2</v>
      </c>
      <c r="J923" s="4"/>
    </row>
    <row r="924" spans="2:10">
      <c r="B924" s="1012" t="s">
        <v>1100</v>
      </c>
      <c r="C924" s="1015">
        <v>2005</v>
      </c>
      <c r="D924" s="1014">
        <v>2021</v>
      </c>
      <c r="E924" s="1016">
        <v>532</v>
      </c>
      <c r="F924" s="1011"/>
      <c r="G924" s="40" t="b">
        <f>IF(ISBLANK(Table2[[#This Row],[MergeCorpID]]=TRUE),"",AND(ISNUMBER(Table2[[#This Row],[MergeCorpID]])=TRUE,ISBLANK(Table2[[#This Row],[MergeName]])=FALSE))</f>
        <v>0</v>
      </c>
      <c r="H924" s="40">
        <f>IF(ISBLANK(Table2[[#This Row],[MergeCorpID]])=TRUE,0,IF(Table2[[#This Row],[SurvivingEdCorp]]=TRUE,1,2))</f>
        <v>2</v>
      </c>
      <c r="J924" s="4"/>
    </row>
    <row r="925" spans="2:10">
      <c r="B925" s="1013" t="s">
        <v>1345</v>
      </c>
      <c r="C925" s="1010">
        <v>2020</v>
      </c>
      <c r="D925" s="1010"/>
      <c r="E925" s="1017"/>
      <c r="F925" s="1009"/>
      <c r="G925" s="40" t="b">
        <f>IF(ISBLANK(Table2[[#This Row],[MergeCorpID]]=TRUE),"",AND(ISNUMBER(Table2[[#This Row],[MergeCorpID]])=TRUE,ISBLANK(Table2[[#This Row],[MergeName]])=FALSE))</f>
        <v>0</v>
      </c>
      <c r="H925" s="40">
        <f>IF(ISBLANK(Table2[[#This Row],[MergeCorpID]])=TRUE,0,IF(Table2[[#This Row],[SurvivingEdCorp]]=TRUE,1,2))</f>
        <v>0</v>
      </c>
      <c r="J925" s="4"/>
    </row>
    <row r="926" spans="2:10">
      <c r="B926" s="1012" t="s">
        <v>1101</v>
      </c>
      <c r="C926" s="1015">
        <v>2006</v>
      </c>
      <c r="D926" s="1014">
        <v>2016</v>
      </c>
      <c r="E926" s="1016">
        <v>509</v>
      </c>
      <c r="F926" s="1011" t="s">
        <v>1287</v>
      </c>
      <c r="G926" s="40" t="b">
        <f>IF(ISBLANK(Table2[[#This Row],[MergeCorpID]]=TRUE),"",AND(ISNUMBER(Table2[[#This Row],[MergeCorpID]])=TRUE,ISBLANK(Table2[[#This Row],[MergeName]])=FALSE))</f>
        <v>1</v>
      </c>
      <c r="H926" s="40">
        <f>IF(ISBLANK(Table2[[#This Row],[MergeCorpID]])=TRUE,0,IF(Table2[[#This Row],[SurvivingEdCorp]]=TRUE,1,2))</f>
        <v>1</v>
      </c>
      <c r="J926" s="4"/>
    </row>
    <row r="927" spans="2:10">
      <c r="B927" s="1013" t="s">
        <v>1102</v>
      </c>
      <c r="C927" s="1010">
        <v>2009</v>
      </c>
      <c r="D927" s="1010">
        <v>2016</v>
      </c>
      <c r="E927" s="1017">
        <v>509</v>
      </c>
      <c r="F927" s="1009"/>
      <c r="G927" s="40" t="b">
        <f>IF(ISBLANK(Table2[[#This Row],[MergeCorpID]]=TRUE),"",AND(ISNUMBER(Table2[[#This Row],[MergeCorpID]])=TRUE,ISBLANK(Table2[[#This Row],[MergeName]])=FALSE))</f>
        <v>0</v>
      </c>
      <c r="H927" s="40">
        <f>IF(ISBLANK(Table2[[#This Row],[MergeCorpID]])=TRUE,0,IF(Table2[[#This Row],[SurvivingEdCorp]]=TRUE,1,2))</f>
        <v>2</v>
      </c>
      <c r="J927" s="4"/>
    </row>
    <row r="928" spans="2:10">
      <c r="B928" s="1012" t="s">
        <v>1104</v>
      </c>
      <c r="C928" s="1015">
        <v>2013</v>
      </c>
      <c r="D928" s="1014">
        <v>2016</v>
      </c>
      <c r="E928" s="1016">
        <v>509</v>
      </c>
      <c r="F928" s="1011"/>
      <c r="G928" s="40" t="b">
        <f>IF(ISBLANK(Table2[[#This Row],[MergeCorpID]]=TRUE),"",AND(ISNUMBER(Table2[[#This Row],[MergeCorpID]])=TRUE,ISBLANK(Table2[[#This Row],[MergeName]])=FALSE))</f>
        <v>0</v>
      </c>
      <c r="H928" s="40">
        <f>IF(ISBLANK(Table2[[#This Row],[MergeCorpID]])=TRUE,0,IF(Table2[[#This Row],[SurvivingEdCorp]]=TRUE,1,2))</f>
        <v>2</v>
      </c>
      <c r="J928" s="4"/>
    </row>
    <row r="929" spans="2:10">
      <c r="B929" s="1013" t="s">
        <v>1103</v>
      </c>
      <c r="C929" s="1010">
        <v>2010</v>
      </c>
      <c r="D929" s="1010">
        <v>2016</v>
      </c>
      <c r="E929" s="1017">
        <v>509</v>
      </c>
      <c r="F929" s="1009"/>
      <c r="G929" s="40" t="b">
        <f>IF(ISBLANK(Table2[[#This Row],[MergeCorpID]]=TRUE),"",AND(ISNUMBER(Table2[[#This Row],[MergeCorpID]])=TRUE,ISBLANK(Table2[[#This Row],[MergeName]])=FALSE))</f>
        <v>0</v>
      </c>
      <c r="H929" s="40">
        <f>IF(ISBLANK(Table2[[#This Row],[MergeCorpID]])=TRUE,0,IF(Table2[[#This Row],[SurvivingEdCorp]]=TRUE,1,2))</f>
        <v>2</v>
      </c>
      <c r="J929" s="4"/>
    </row>
    <row r="930" spans="2:10">
      <c r="B930" s="1012" t="s">
        <v>1342</v>
      </c>
      <c r="C930" s="1015">
        <v>2019</v>
      </c>
      <c r="D930" s="1014">
        <v>2020</v>
      </c>
      <c r="E930" s="1016">
        <v>512</v>
      </c>
      <c r="F930" s="1011"/>
      <c r="G930" s="40" t="b">
        <f>IF(ISBLANK(Table2[[#This Row],[MergeCorpID]]=TRUE),"",AND(ISNUMBER(Table2[[#This Row],[MergeCorpID]])=TRUE,ISBLANK(Table2[[#This Row],[MergeName]])=FALSE))</f>
        <v>0</v>
      </c>
      <c r="H930" s="40">
        <f>IF(ISBLANK(Table2[[#This Row],[MergeCorpID]])=TRUE,0,IF(Table2[[#This Row],[SurvivingEdCorp]]=TRUE,1,2))</f>
        <v>2</v>
      </c>
      <c r="J930" s="4"/>
    </row>
    <row r="931" spans="2:10">
      <c r="B931" s="1013" t="s">
        <v>1228</v>
      </c>
      <c r="C931" s="1010">
        <v>2017</v>
      </c>
      <c r="D931" s="1010"/>
      <c r="E931" s="1017"/>
      <c r="F931" s="1009"/>
      <c r="G931" s="40" t="b">
        <f>IF(ISBLANK(Table2[[#This Row],[MergeCorpID]]=TRUE),"",AND(ISNUMBER(Table2[[#This Row],[MergeCorpID]])=TRUE,ISBLANK(Table2[[#This Row],[MergeName]])=FALSE))</f>
        <v>0</v>
      </c>
      <c r="H931" s="40">
        <f>IF(ISBLANK(Table2[[#This Row],[MergeCorpID]])=TRUE,0,IF(Table2[[#This Row],[SurvivingEdCorp]]=TRUE,1,2))</f>
        <v>0</v>
      </c>
      <c r="J931" s="4"/>
    </row>
    <row r="932" spans="2:10">
      <c r="B932" s="1012" t="s">
        <v>1175</v>
      </c>
      <c r="C932" s="1015">
        <v>2016</v>
      </c>
      <c r="D932" s="1014">
        <v>2017</v>
      </c>
      <c r="E932" s="1016">
        <v>513</v>
      </c>
      <c r="F932" s="1011"/>
      <c r="G932" s="40" t="b">
        <f>IF(ISBLANK(Table2[[#This Row],[MergeCorpID]]=TRUE),"",AND(ISNUMBER(Table2[[#This Row],[MergeCorpID]])=TRUE,ISBLANK(Table2[[#This Row],[MergeName]])=FALSE))</f>
        <v>0</v>
      </c>
      <c r="H932" s="40">
        <f>IF(ISBLANK(Table2[[#This Row],[MergeCorpID]])=TRUE,0,IF(Table2[[#This Row],[SurvivingEdCorp]]=TRUE,1,2))</f>
        <v>2</v>
      </c>
      <c r="J932" s="4"/>
    </row>
    <row r="933" spans="2:10">
      <c r="B933" s="1013" t="s">
        <v>1137</v>
      </c>
      <c r="C933" s="1010">
        <v>2012</v>
      </c>
      <c r="D933" s="1010">
        <v>2017</v>
      </c>
      <c r="E933" s="1017">
        <v>513</v>
      </c>
      <c r="F933" s="1009" t="s">
        <v>1288</v>
      </c>
      <c r="G933" s="40" t="b">
        <f>IF(ISBLANK(Table2[[#This Row],[MergeCorpID]]=TRUE),"",AND(ISNUMBER(Table2[[#This Row],[MergeCorpID]])=TRUE,ISBLANK(Table2[[#This Row],[MergeName]])=FALSE))</f>
        <v>1</v>
      </c>
      <c r="H933" s="40">
        <f>IF(ISBLANK(Table2[[#This Row],[MergeCorpID]])=TRUE,0,IF(Table2[[#This Row],[SurvivingEdCorp]]=TRUE,1,2))</f>
        <v>1</v>
      </c>
      <c r="J933" s="4"/>
    </row>
    <row r="934" spans="2:10">
      <c r="B934" s="1012" t="s">
        <v>1105</v>
      </c>
      <c r="C934" s="1015">
        <v>2000</v>
      </c>
      <c r="D934" s="1014"/>
      <c r="E934" s="1016"/>
      <c r="F934" s="1011"/>
      <c r="G934" s="40" t="b">
        <f>IF(ISBLANK(Table2[[#This Row],[MergeCorpID]]=TRUE),"",AND(ISNUMBER(Table2[[#This Row],[MergeCorpID]])=TRUE,ISBLANK(Table2[[#This Row],[MergeName]])=FALSE))</f>
        <v>0</v>
      </c>
      <c r="H934" s="40">
        <f>IF(ISBLANK(Table2[[#This Row],[MergeCorpID]])=TRUE,0,IF(Table2[[#This Row],[SurvivingEdCorp]]=TRUE,1,2))</f>
        <v>0</v>
      </c>
      <c r="J934" s="4"/>
    </row>
    <row r="935" spans="2:10">
      <c r="B935" s="1013" t="s">
        <v>1149</v>
      </c>
      <c r="C935" s="1010">
        <v>2013</v>
      </c>
      <c r="D935" s="1010"/>
      <c r="E935" s="1017"/>
      <c r="F935" s="1009"/>
      <c r="G935" s="40" t="b">
        <f>IF(ISBLANK(Table2[[#This Row],[MergeCorpID]]=TRUE),"",AND(ISNUMBER(Table2[[#This Row],[MergeCorpID]])=TRUE,ISBLANK(Table2[[#This Row],[MergeName]])=FALSE))</f>
        <v>0</v>
      </c>
      <c r="H935" s="40">
        <f>IF(ISBLANK(Table2[[#This Row],[MergeCorpID]])=TRUE,0,IF(Table2[[#This Row],[SurvivingEdCorp]]=TRUE,1,2))</f>
        <v>0</v>
      </c>
      <c r="J935" s="4"/>
    </row>
    <row r="936" spans="2:10">
      <c r="B936" s="1012" t="s">
        <v>1106</v>
      </c>
      <c r="C936" s="1015">
        <v>2009</v>
      </c>
      <c r="D936" s="1014"/>
      <c r="E936" s="1016"/>
      <c r="F936" s="1011"/>
      <c r="G936" s="40" t="b">
        <f>IF(ISBLANK(Table2[[#This Row],[MergeCorpID]]=TRUE),"",AND(ISNUMBER(Table2[[#This Row],[MergeCorpID]])=TRUE,ISBLANK(Table2[[#This Row],[MergeName]])=FALSE))</f>
        <v>0</v>
      </c>
      <c r="H936" s="40">
        <f>IF(ISBLANK(Table2[[#This Row],[MergeCorpID]])=TRUE,0,IF(Table2[[#This Row],[SurvivingEdCorp]]=TRUE,1,2))</f>
        <v>0</v>
      </c>
      <c r="J936" s="4"/>
    </row>
    <row r="937" spans="2:10">
      <c r="B937" s="1013" t="s">
        <v>1236</v>
      </c>
      <c r="C937" s="1010">
        <v>2012</v>
      </c>
      <c r="D937" s="1010"/>
      <c r="E937" s="1017"/>
      <c r="F937" s="1009"/>
      <c r="G937" s="40" t="b">
        <f>IF(ISBLANK(Table2[[#This Row],[MergeCorpID]]=TRUE),"",AND(ISNUMBER(Table2[[#This Row],[MergeCorpID]])=TRUE,ISBLANK(Table2[[#This Row],[MergeName]])=FALSE))</f>
        <v>0</v>
      </c>
      <c r="H937" s="40">
        <f>IF(ISBLANK(Table2[[#This Row],[MergeCorpID]])=TRUE,0,IF(Table2[[#This Row],[SurvivingEdCorp]]=TRUE,1,2))</f>
        <v>0</v>
      </c>
      <c r="J937" s="4"/>
    </row>
    <row r="938" spans="2:10">
      <c r="B938" s="1012" t="s">
        <v>1237</v>
      </c>
      <c r="C938" s="1015">
        <v>2012</v>
      </c>
      <c r="D938" s="1014"/>
      <c r="E938" s="1016"/>
      <c r="F938" s="1011"/>
      <c r="G938" s="40" t="b">
        <f>IF(ISBLANK(Table2[[#This Row],[MergeCorpID]]=TRUE),"",AND(ISNUMBER(Table2[[#This Row],[MergeCorpID]])=TRUE,ISBLANK(Table2[[#This Row],[MergeName]])=FALSE))</f>
        <v>0</v>
      </c>
      <c r="H938" s="40">
        <f>IF(ISBLANK(Table2[[#This Row],[MergeCorpID]])=TRUE,0,IF(Table2[[#This Row],[SurvivingEdCorp]]=TRUE,1,2))</f>
        <v>0</v>
      </c>
      <c r="J938" s="4"/>
    </row>
    <row r="939" spans="2:10">
      <c r="B939" s="1013" t="s">
        <v>1121</v>
      </c>
      <c r="C939" s="1010">
        <v>2011</v>
      </c>
      <c r="D939" s="1010"/>
      <c r="E939" s="1017"/>
      <c r="F939" s="1009"/>
      <c r="G939" s="40" t="b">
        <f>IF(ISBLANK(Table2[[#This Row],[MergeCorpID]]=TRUE),"",AND(ISNUMBER(Table2[[#This Row],[MergeCorpID]])=TRUE,ISBLANK(Table2[[#This Row],[MergeName]])=FALSE))</f>
        <v>0</v>
      </c>
      <c r="H939" s="40">
        <f>IF(ISBLANK(Table2[[#This Row],[MergeCorpID]])=TRUE,0,IF(Table2[[#This Row],[SurvivingEdCorp]]=TRUE,1,2))</f>
        <v>0</v>
      </c>
      <c r="J939" s="4"/>
    </row>
    <row r="940" spans="2:10">
      <c r="B940" s="1012" t="s">
        <v>1122</v>
      </c>
      <c r="C940" s="1015">
        <v>2011</v>
      </c>
      <c r="D940" s="1014"/>
      <c r="E940" s="1016"/>
      <c r="F940" s="1011"/>
      <c r="G940" s="40" t="b">
        <f>IF(ISBLANK(Table2[[#This Row],[MergeCorpID]]=TRUE),"",AND(ISNUMBER(Table2[[#This Row],[MergeCorpID]])=TRUE,ISBLANK(Table2[[#This Row],[MergeName]])=FALSE))</f>
        <v>0</v>
      </c>
      <c r="H940" s="40">
        <f>IF(ISBLANK(Table2[[#This Row],[MergeCorpID]])=TRUE,0,IF(Table2[[#This Row],[SurvivingEdCorp]]=TRUE,1,2))</f>
        <v>0</v>
      </c>
      <c r="J940" s="4"/>
    </row>
    <row r="941" spans="2:10">
      <c r="B941" s="1013" t="s">
        <v>1107</v>
      </c>
      <c r="C941" s="1010">
        <v>2010</v>
      </c>
      <c r="D941" s="1010"/>
      <c r="E941" s="1017"/>
      <c r="F941" s="1009"/>
      <c r="G941" s="40" t="b">
        <f>IF(ISBLANK(Table2[[#This Row],[MergeCorpID]]=TRUE),"",AND(ISNUMBER(Table2[[#This Row],[MergeCorpID]])=TRUE,ISBLANK(Table2[[#This Row],[MergeName]])=FALSE))</f>
        <v>0</v>
      </c>
      <c r="H941" s="40">
        <f>IF(ISBLANK(Table2[[#This Row],[MergeCorpID]])=TRUE,0,IF(Table2[[#This Row],[SurvivingEdCorp]]=TRUE,1,2))</f>
        <v>0</v>
      </c>
      <c r="J941" s="4"/>
    </row>
    <row r="942" spans="2:10">
      <c r="B942" s="1012" t="s">
        <v>1167</v>
      </c>
      <c r="C942" s="1015">
        <v>2016</v>
      </c>
      <c r="D942" s="1014"/>
      <c r="E942" s="1016"/>
      <c r="F942" s="1011"/>
      <c r="G942" s="40" t="b">
        <f>IF(ISBLANK(Table2[[#This Row],[MergeCorpID]]=TRUE),"",AND(ISNUMBER(Table2[[#This Row],[MergeCorpID]])=TRUE,ISBLANK(Table2[[#This Row],[MergeName]])=FALSE))</f>
        <v>0</v>
      </c>
      <c r="H942" s="40">
        <f>IF(ISBLANK(Table2[[#This Row],[MergeCorpID]])=TRUE,0,IF(Table2[[#This Row],[SurvivingEdCorp]]=TRUE,1,2))</f>
        <v>0</v>
      </c>
      <c r="J942" s="4"/>
    </row>
    <row r="943" spans="2:10">
      <c r="B943" s="1013" t="s">
        <v>1335</v>
      </c>
      <c r="C943" s="1010">
        <v>2017</v>
      </c>
      <c r="D943" s="1010">
        <v>2018</v>
      </c>
      <c r="E943" s="1017">
        <v>516</v>
      </c>
      <c r="F943" s="1009" t="s">
        <v>1314</v>
      </c>
      <c r="G943" s="40" t="b">
        <f>IF(ISBLANK(Table2[[#This Row],[MergeCorpID]]=TRUE),"",AND(ISNUMBER(Table2[[#This Row],[MergeCorpID]])=TRUE,ISBLANK(Table2[[#This Row],[MergeName]])=FALSE))</f>
        <v>1</v>
      </c>
      <c r="H943" s="40">
        <f>IF(ISBLANK(Table2[[#This Row],[MergeCorpID]])=TRUE,0,IF(Table2[[#This Row],[SurvivingEdCorp]]=TRUE,1,2))</f>
        <v>1</v>
      </c>
      <c r="J943" s="4"/>
    </row>
    <row r="944" spans="2:10">
      <c r="B944" s="1012" t="s">
        <v>1336</v>
      </c>
      <c r="C944" s="1015">
        <v>2017</v>
      </c>
      <c r="D944" s="1014">
        <v>2018</v>
      </c>
      <c r="E944" s="1016">
        <v>516</v>
      </c>
      <c r="F944" s="1011"/>
      <c r="G944" s="40" t="b">
        <f>IF(ISBLANK(Table2[[#This Row],[MergeCorpID]]=TRUE),"",AND(ISNUMBER(Table2[[#This Row],[MergeCorpID]])=TRUE,ISBLANK(Table2[[#This Row],[MergeName]])=FALSE))</f>
        <v>0</v>
      </c>
      <c r="H944" s="40">
        <f>IF(ISBLANK(Table2[[#This Row],[MergeCorpID]])=TRUE,0,IF(Table2[[#This Row],[SurvivingEdCorp]]=TRUE,1,2))</f>
        <v>2</v>
      </c>
      <c r="J944" s="4"/>
    </row>
    <row r="945" spans="2:10">
      <c r="B945" s="1013" t="s">
        <v>1073</v>
      </c>
      <c r="C945" s="1010">
        <v>2010</v>
      </c>
      <c r="D945" s="1010">
        <v>2016</v>
      </c>
      <c r="E945" s="1017">
        <v>509</v>
      </c>
      <c r="F945" s="1009"/>
      <c r="G945" s="40" t="b">
        <f>IF(ISBLANK(Table2[[#This Row],[MergeCorpID]]=TRUE),"",AND(ISNUMBER(Table2[[#This Row],[MergeCorpID]])=TRUE,ISBLANK(Table2[[#This Row],[MergeName]])=FALSE))</f>
        <v>0</v>
      </c>
      <c r="H945" s="40">
        <f>IF(ISBLANK(Table2[[#This Row],[MergeCorpID]])=TRUE,0,IF(Table2[[#This Row],[SurvivingEdCorp]]=TRUE,1,2))</f>
        <v>2</v>
      </c>
      <c r="J945" s="4"/>
    </row>
    <row r="946" spans="2:10">
      <c r="B946" s="1012" t="s">
        <v>1108</v>
      </c>
      <c r="C946" s="1015">
        <v>2002</v>
      </c>
      <c r="D946" s="1014">
        <v>2019</v>
      </c>
      <c r="E946" s="1016">
        <v>524</v>
      </c>
      <c r="F946" s="1011" t="s">
        <v>1289</v>
      </c>
      <c r="G946" s="40" t="b">
        <f>IF(ISBLANK(Table2[[#This Row],[MergeCorpID]]=TRUE),"",AND(ISNUMBER(Table2[[#This Row],[MergeCorpID]])=TRUE,ISBLANK(Table2[[#This Row],[MergeName]])=FALSE))</f>
        <v>1</v>
      </c>
      <c r="H946" s="40">
        <f>IF(ISBLANK(Table2[[#This Row],[MergeCorpID]])=TRUE,0,IF(Table2[[#This Row],[SurvivingEdCorp]]=TRUE,1,2))</f>
        <v>1</v>
      </c>
      <c r="J946" s="4"/>
    </row>
    <row r="947" spans="2:10">
      <c r="B947" s="1013" t="s">
        <v>1290</v>
      </c>
      <c r="C947" s="1010">
        <v>2018</v>
      </c>
      <c r="D947" s="1010">
        <v>2019</v>
      </c>
      <c r="E947" s="1017">
        <v>524</v>
      </c>
      <c r="F947" s="1009"/>
      <c r="G947" s="40" t="b">
        <f>IF(ISBLANK(Table2[[#This Row],[MergeCorpID]]=TRUE),"",AND(ISNUMBER(Table2[[#This Row],[MergeCorpID]])=TRUE,ISBLANK(Table2[[#This Row],[MergeName]])=FALSE))</f>
        <v>0</v>
      </c>
      <c r="H947" s="40">
        <f>IF(ISBLANK(Table2[[#This Row],[MergeCorpID]])=TRUE,0,IF(Table2[[#This Row],[SurvivingEdCorp]]=TRUE,1,2))</f>
        <v>2</v>
      </c>
      <c r="J947" s="4"/>
    </row>
    <row r="948" spans="2:10">
      <c r="B948" s="1013" t="s">
        <v>1291</v>
      </c>
      <c r="C948" s="1010">
        <v>2017</v>
      </c>
      <c r="D948" s="1010"/>
      <c r="E948" s="1017"/>
      <c r="F948" s="1009"/>
      <c r="G948" s="40" t="b">
        <f>IF(ISBLANK(Table2[[#This Row],[MergeCorpID]]=TRUE),"",AND(ISNUMBER(Table2[[#This Row],[MergeCorpID]])=TRUE,ISBLANK(Table2[[#This Row],[MergeName]])=FALSE))</f>
        <v>0</v>
      </c>
      <c r="H948" s="40">
        <f>IF(ISBLANK(Table2[[#This Row],[MergeCorpID]])=TRUE,0,IF(Table2[[#This Row],[SurvivingEdCorp]]=TRUE,1,2))</f>
        <v>0</v>
      </c>
      <c r="J948" s="4"/>
    </row>
    <row r="949" spans="2:10">
      <c r="B949" s="1012" t="s">
        <v>1292</v>
      </c>
      <c r="C949" s="1015">
        <v>2018</v>
      </c>
      <c r="D949" s="1014"/>
      <c r="E949" s="1016"/>
      <c r="F949" s="1011"/>
      <c r="G949" s="40" t="b">
        <f>IF(ISBLANK(Table2[[#This Row],[MergeCorpID]]=TRUE),"",AND(ISNUMBER(Table2[[#This Row],[MergeCorpID]])=TRUE,ISBLANK(Table2[[#This Row],[MergeName]])=FALSE))</f>
        <v>0</v>
      </c>
      <c r="H949" s="40">
        <f>IF(ISBLANK(Table2[[#This Row],[MergeCorpID]])=TRUE,0,IF(Table2[[#This Row],[SurvivingEdCorp]]=TRUE,1,2))</f>
        <v>0</v>
      </c>
      <c r="J949" s="4"/>
    </row>
    <row r="950" spans="2:10">
      <c r="B950" s="1013" t="s">
        <v>1147</v>
      </c>
      <c r="C950" s="1010">
        <v>2016</v>
      </c>
      <c r="D950" s="1010">
        <v>2015</v>
      </c>
      <c r="E950" s="1017">
        <v>502</v>
      </c>
      <c r="F950" s="1009"/>
      <c r="G950" s="40" t="b">
        <f>IF(ISBLANK(Table2[[#This Row],[MergeCorpID]]=TRUE),"",AND(ISNUMBER(Table2[[#This Row],[MergeCorpID]])=TRUE,ISBLANK(Table2[[#This Row],[MergeName]])=FALSE))</f>
        <v>0</v>
      </c>
      <c r="H950" s="40">
        <f>IF(ISBLANK(Table2[[#This Row],[MergeCorpID]])=TRUE,0,IF(Table2[[#This Row],[SurvivingEdCorp]]=TRUE,1,2))</f>
        <v>2</v>
      </c>
      <c r="J950" s="4"/>
    </row>
    <row r="951" spans="2:10">
      <c r="B951" s="1012" t="s">
        <v>1109</v>
      </c>
      <c r="C951" s="1015">
        <v>2000</v>
      </c>
      <c r="D951" s="1014"/>
      <c r="E951" s="1016"/>
      <c r="F951" s="1011"/>
      <c r="G951" s="40" t="b">
        <f>IF(ISBLANK(Table2[[#This Row],[MergeCorpID]]=TRUE),"",AND(ISNUMBER(Table2[[#This Row],[MergeCorpID]])=TRUE,ISBLANK(Table2[[#This Row],[MergeName]])=FALSE))</f>
        <v>0</v>
      </c>
      <c r="H951" s="40">
        <f>IF(ISBLANK(Table2[[#This Row],[MergeCorpID]])=TRUE,0,IF(Table2[[#This Row],[SurvivingEdCorp]]=TRUE,1,2))</f>
        <v>0</v>
      </c>
      <c r="J951" s="4"/>
    </row>
    <row r="952" spans="2:10">
      <c r="B952" s="1013" t="s">
        <v>1354</v>
      </c>
      <c r="C952" s="1010">
        <v>1999</v>
      </c>
      <c r="D952" s="1010"/>
      <c r="E952" s="1017"/>
      <c r="F952" s="1009"/>
      <c r="G952" s="40" t="b">
        <f>IF(ISBLANK(Table2[[#This Row],[MergeCorpID]]=TRUE),"",AND(ISNUMBER(Table2[[#This Row],[MergeCorpID]])=TRUE,ISBLANK(Table2[[#This Row],[MergeName]])=FALSE))</f>
        <v>0</v>
      </c>
      <c r="H952" s="40">
        <f>IF(ISBLANK(Table2[[#This Row],[MergeCorpID]])=TRUE,0,IF(Table2[[#This Row],[SurvivingEdCorp]]=TRUE,1,2))</f>
        <v>0</v>
      </c>
      <c r="J952" s="4"/>
    </row>
    <row r="953" spans="2:10">
      <c r="B953" s="1012" t="s">
        <v>1110</v>
      </c>
      <c r="C953" s="1015">
        <v>2000</v>
      </c>
      <c r="D953" s="1014"/>
      <c r="E953" s="1016"/>
      <c r="F953" s="1011"/>
      <c r="G953" s="40" t="b">
        <f>IF(ISBLANK(Table2[[#This Row],[MergeCorpID]]=TRUE),"",AND(ISNUMBER(Table2[[#This Row],[MergeCorpID]])=TRUE,ISBLANK(Table2[[#This Row],[MergeName]])=FALSE))</f>
        <v>0</v>
      </c>
      <c r="H953" s="40">
        <f>IF(ISBLANK(Table2[[#This Row],[MergeCorpID]])=TRUE,0,IF(Table2[[#This Row],[SurvivingEdCorp]]=TRUE,1,2))</f>
        <v>0</v>
      </c>
      <c r="J953" s="4"/>
    </row>
    <row r="954" spans="2:10">
      <c r="B954" s="1013" t="s">
        <v>1163</v>
      </c>
      <c r="C954" s="1010">
        <v>2015</v>
      </c>
      <c r="D954" s="1010">
        <v>2020</v>
      </c>
      <c r="E954" s="1017">
        <v>529</v>
      </c>
      <c r="F954" s="1009" t="s">
        <v>1315</v>
      </c>
      <c r="G954" s="40" t="b">
        <f>IF(ISBLANK(Table2[[#This Row],[MergeCorpID]]=TRUE),"",AND(ISNUMBER(Table2[[#This Row],[MergeCorpID]])=TRUE,ISBLANK(Table2[[#This Row],[MergeName]])=FALSE))</f>
        <v>1</v>
      </c>
      <c r="H954" s="40">
        <f>IF(ISBLANK(Table2[[#This Row],[MergeCorpID]])=TRUE,0,IF(Table2[[#This Row],[SurvivingEdCorp]]=TRUE,1,2))</f>
        <v>1</v>
      </c>
      <c r="J954" s="4"/>
    </row>
    <row r="955" spans="2:10">
      <c r="B955" s="1012" t="s">
        <v>1316</v>
      </c>
      <c r="C955" s="1015">
        <v>2019</v>
      </c>
      <c r="D955" s="1014">
        <v>2020</v>
      </c>
      <c r="E955" s="1016">
        <v>529</v>
      </c>
      <c r="F955" s="1011"/>
      <c r="G955" s="40" t="b">
        <f>IF(ISBLANK(Table2[[#This Row],[MergeCorpID]]=TRUE),"",AND(ISNUMBER(Table2[[#This Row],[MergeCorpID]])=TRUE,ISBLANK(Table2[[#This Row],[MergeName]])=FALSE))</f>
        <v>0</v>
      </c>
      <c r="H955" s="40">
        <f>IF(ISBLANK(Table2[[#This Row],[MergeCorpID]])=TRUE,0,IF(Table2[[#This Row],[SurvivingEdCorp]]=TRUE,1,2))</f>
        <v>2</v>
      </c>
      <c r="J955" s="4"/>
    </row>
    <row r="956" spans="2:10">
      <c r="B956" s="1013" t="s">
        <v>1117</v>
      </c>
      <c r="C956" s="1010">
        <v>2011</v>
      </c>
      <c r="D956" s="1010">
        <v>2015</v>
      </c>
      <c r="E956" s="1017">
        <v>500</v>
      </c>
      <c r="F956" s="1009"/>
      <c r="G956" s="40" t="b">
        <f>IF(ISBLANK(Table2[[#This Row],[MergeCorpID]]=TRUE),"",AND(ISNUMBER(Table2[[#This Row],[MergeCorpID]])=TRUE,ISBLANK(Table2[[#This Row],[MergeName]])=FALSE))</f>
        <v>0</v>
      </c>
      <c r="H956" s="40">
        <f>IF(ISBLANK(Table2[[#This Row],[MergeCorpID]])=TRUE,0,IF(Table2[[#This Row],[SurvivingEdCorp]]=TRUE,1,2))</f>
        <v>2</v>
      </c>
      <c r="J956" s="4"/>
    </row>
    <row r="957" spans="2:10">
      <c r="B957" s="1012" t="s">
        <v>1127</v>
      </c>
      <c r="C957" s="1015">
        <v>2012</v>
      </c>
      <c r="D957" s="1014">
        <v>2015</v>
      </c>
      <c r="E957" s="1016">
        <v>500</v>
      </c>
      <c r="F957" s="1011"/>
      <c r="G957" s="40" t="b">
        <f>IF(ISBLANK(Table2[[#This Row],[MergeCorpID]]=TRUE),"",AND(ISNUMBER(Table2[[#This Row],[MergeCorpID]])=TRUE,ISBLANK(Table2[[#This Row],[MergeName]])=FALSE))</f>
        <v>0</v>
      </c>
      <c r="H957" s="40">
        <f>IF(ISBLANK(Table2[[#This Row],[MergeCorpID]])=TRUE,0,IF(Table2[[#This Row],[SurvivingEdCorp]]=TRUE,1,2))</f>
        <v>2</v>
      </c>
      <c r="J957" s="4"/>
    </row>
    <row r="958" spans="2:10">
      <c r="B958" s="1013" t="s">
        <v>1215</v>
      </c>
      <c r="C958" s="1010">
        <v>2016</v>
      </c>
      <c r="D958" s="1010">
        <v>2017</v>
      </c>
      <c r="E958" s="1017">
        <v>500</v>
      </c>
      <c r="F958" s="1009"/>
      <c r="G958" s="40" t="b">
        <f>IF(ISBLANK(Table2[[#This Row],[MergeCorpID]]=TRUE),"",AND(ISNUMBER(Table2[[#This Row],[MergeCorpID]])=TRUE,ISBLANK(Table2[[#This Row],[MergeName]])=FALSE))</f>
        <v>0</v>
      </c>
      <c r="H958" s="40">
        <f>IF(ISBLANK(Table2[[#This Row],[MergeCorpID]])=TRUE,0,IF(Table2[[#This Row],[SurvivingEdCorp]]=TRUE,1,2))</f>
        <v>2</v>
      </c>
      <c r="J958" s="4"/>
    </row>
    <row r="959" spans="2:10">
      <c r="B959" s="1012" t="s">
        <v>1154</v>
      </c>
      <c r="C959" s="1015">
        <v>2014</v>
      </c>
      <c r="D959" s="1014">
        <v>2015</v>
      </c>
      <c r="E959" s="1016">
        <v>500</v>
      </c>
      <c r="F959" s="1011"/>
      <c r="G959" s="40" t="b">
        <f>IF(ISBLANK(Table2[[#This Row],[MergeCorpID]]=TRUE),"",AND(ISNUMBER(Table2[[#This Row],[MergeCorpID]])=TRUE,ISBLANK(Table2[[#This Row],[MergeName]])=FALSE))</f>
        <v>0</v>
      </c>
      <c r="H959" s="40">
        <f>IF(ISBLANK(Table2[[#This Row],[MergeCorpID]])=TRUE,0,IF(Table2[[#This Row],[SurvivingEdCorp]]=TRUE,1,2))</f>
        <v>2</v>
      </c>
      <c r="J959" s="4"/>
    </row>
    <row r="960" spans="2:10">
      <c r="B960" s="1013" t="s">
        <v>1155</v>
      </c>
      <c r="C960" s="1010">
        <v>2014</v>
      </c>
      <c r="D960" s="1010">
        <v>2015</v>
      </c>
      <c r="E960" s="1017">
        <v>500</v>
      </c>
      <c r="F960" s="1009"/>
      <c r="G960" s="40" t="b">
        <f>IF(ISBLANK(Table2[[#This Row],[MergeCorpID]]=TRUE),"",AND(ISNUMBER(Table2[[#This Row],[MergeCorpID]])=TRUE,ISBLANK(Table2[[#This Row],[MergeName]])=FALSE))</f>
        <v>0</v>
      </c>
      <c r="H960" s="40">
        <f>IF(ISBLANK(Table2[[#This Row],[MergeCorpID]])=TRUE,0,IF(Table2[[#This Row],[SurvivingEdCorp]]=TRUE,1,2))</f>
        <v>2</v>
      </c>
      <c r="J960" s="4"/>
    </row>
    <row r="961" spans="2:10">
      <c r="B961" s="1012" t="s">
        <v>1091</v>
      </c>
      <c r="C961" s="1015">
        <v>2010</v>
      </c>
      <c r="D961" s="1014">
        <v>2015</v>
      </c>
      <c r="E961" s="1016">
        <v>500</v>
      </c>
      <c r="F961" s="1011"/>
      <c r="G961" s="40" t="b">
        <f>IF(ISBLANK(Table2[[#This Row],[MergeCorpID]]=TRUE),"",AND(ISNUMBER(Table2[[#This Row],[MergeCorpID]])=TRUE,ISBLANK(Table2[[#This Row],[MergeName]])=FALSE))</f>
        <v>0</v>
      </c>
      <c r="H961" s="40">
        <f>IF(ISBLANK(Table2[[#This Row],[MergeCorpID]])=TRUE,0,IF(Table2[[#This Row],[SurvivingEdCorp]]=TRUE,1,2))</f>
        <v>2</v>
      </c>
      <c r="J961" s="4"/>
    </row>
    <row r="962" spans="2:10">
      <c r="B962" s="1013" t="s">
        <v>1090</v>
      </c>
      <c r="C962" s="1010">
        <v>2010</v>
      </c>
      <c r="D962" s="1010">
        <v>2015</v>
      </c>
      <c r="E962" s="1017">
        <v>500</v>
      </c>
      <c r="F962" s="1009"/>
      <c r="G962" s="40" t="b">
        <f>IF(ISBLANK(Table2[[#This Row],[MergeCorpID]]=TRUE),"",AND(ISNUMBER(Table2[[#This Row],[MergeCorpID]])=TRUE,ISBLANK(Table2[[#This Row],[MergeName]])=FALSE))</f>
        <v>0</v>
      </c>
      <c r="H962" s="40">
        <f>IF(ISBLANK(Table2[[#This Row],[MergeCorpID]])=TRUE,0,IF(Table2[[#This Row],[SurvivingEdCorp]]=TRUE,1,2))</f>
        <v>2</v>
      </c>
      <c r="J962" s="4"/>
    </row>
    <row r="963" spans="2:10">
      <c r="B963" s="1012" t="s">
        <v>1144</v>
      </c>
      <c r="C963" s="1015">
        <v>2013</v>
      </c>
      <c r="D963" s="1014">
        <v>2013</v>
      </c>
      <c r="E963" s="1016">
        <v>500</v>
      </c>
      <c r="F963" s="1011"/>
      <c r="G963" s="40" t="b">
        <f>IF(ISBLANK(Table2[[#This Row],[MergeCorpID]]=TRUE),"",AND(ISNUMBER(Table2[[#This Row],[MergeCorpID]])=TRUE,ISBLANK(Table2[[#This Row],[MergeName]])=FALSE))</f>
        <v>0</v>
      </c>
      <c r="H963" s="40">
        <f>IF(ISBLANK(Table2[[#This Row],[MergeCorpID]])=TRUE,0,IF(Table2[[#This Row],[SurvivingEdCorp]]=TRUE,1,2))</f>
        <v>2</v>
      </c>
      <c r="J963" s="4"/>
    </row>
    <row r="964" spans="2:10">
      <c r="B964" s="1013" t="s">
        <v>1153</v>
      </c>
      <c r="C964" s="1010">
        <v>2014</v>
      </c>
      <c r="D964" s="1010">
        <v>2015</v>
      </c>
      <c r="E964" s="1017">
        <v>500</v>
      </c>
      <c r="F964" s="1009"/>
      <c r="G964" s="40" t="b">
        <f>IF(ISBLANK(Table2[[#This Row],[MergeCorpID]]=TRUE),"",AND(ISNUMBER(Table2[[#This Row],[MergeCorpID]])=TRUE,ISBLANK(Table2[[#This Row],[MergeName]])=FALSE))</f>
        <v>0</v>
      </c>
      <c r="H964" s="40">
        <f>IF(ISBLANK(Table2[[#This Row],[MergeCorpID]])=TRUE,0,IF(Table2[[#This Row],[SurvivingEdCorp]]=TRUE,1,2))</f>
        <v>2</v>
      </c>
      <c r="J964" s="4"/>
    </row>
    <row r="965" spans="2:10">
      <c r="B965" s="1012" t="s">
        <v>1216</v>
      </c>
      <c r="C965" s="1015">
        <v>2016</v>
      </c>
      <c r="D965" s="1014">
        <v>2017</v>
      </c>
      <c r="E965" s="1016">
        <v>500</v>
      </c>
      <c r="F965" s="1011"/>
      <c r="G965" s="40" t="b">
        <f>IF(ISBLANK(Table2[[#This Row],[MergeCorpID]]=TRUE),"",AND(ISNUMBER(Table2[[#This Row],[MergeCorpID]])=TRUE,ISBLANK(Table2[[#This Row],[MergeName]])=FALSE))</f>
        <v>0</v>
      </c>
      <c r="H965" s="40">
        <f>IF(ISBLANK(Table2[[#This Row],[MergeCorpID]])=TRUE,0,IF(Table2[[#This Row],[SurvivingEdCorp]]=TRUE,1,2))</f>
        <v>2</v>
      </c>
      <c r="J965" s="4"/>
    </row>
    <row r="966" spans="2:10">
      <c r="B966" s="1013" t="s">
        <v>1128</v>
      </c>
      <c r="C966" s="1010">
        <v>2012</v>
      </c>
      <c r="D966" s="1010">
        <v>2015</v>
      </c>
      <c r="E966" s="1017">
        <v>500</v>
      </c>
      <c r="F966" s="1009"/>
      <c r="G966" s="40" t="b">
        <f>IF(ISBLANK(Table2[[#This Row],[MergeCorpID]]=TRUE),"",AND(ISNUMBER(Table2[[#This Row],[MergeCorpID]])=TRUE,ISBLANK(Table2[[#This Row],[MergeName]])=FALSE))</f>
        <v>0</v>
      </c>
      <c r="H966" s="40">
        <f>IF(ISBLANK(Table2[[#This Row],[MergeCorpID]])=TRUE,0,IF(Table2[[#This Row],[SurvivingEdCorp]]=TRUE,1,2))</f>
        <v>2</v>
      </c>
      <c r="J966" s="4"/>
    </row>
    <row r="967" spans="2:10">
      <c r="B967" s="1012" t="s">
        <v>1141</v>
      </c>
      <c r="C967" s="1015">
        <v>2013</v>
      </c>
      <c r="D967" s="1014">
        <v>2013</v>
      </c>
      <c r="E967" s="1016">
        <v>500</v>
      </c>
      <c r="F967" s="1011"/>
      <c r="G967" s="40" t="b">
        <f>IF(ISBLANK(Table2[[#This Row],[MergeCorpID]]=TRUE),"",AND(ISNUMBER(Table2[[#This Row],[MergeCorpID]])=TRUE,ISBLANK(Table2[[#This Row],[MergeName]])=FALSE))</f>
        <v>0</v>
      </c>
      <c r="H967" s="40">
        <f>IF(ISBLANK(Table2[[#This Row],[MergeCorpID]])=TRUE,0,IF(Table2[[#This Row],[SurvivingEdCorp]]=TRUE,1,2))</f>
        <v>2</v>
      </c>
      <c r="J967" s="4"/>
    </row>
    <row r="968" spans="2:10">
      <c r="B968" s="1013" t="s">
        <v>1217</v>
      </c>
      <c r="C968" s="1010">
        <v>2016</v>
      </c>
      <c r="D968" s="1010">
        <v>2017</v>
      </c>
      <c r="E968" s="1017">
        <v>500</v>
      </c>
      <c r="F968" s="1009"/>
      <c r="G968" s="40" t="b">
        <f>IF(ISBLANK(Table2[[#This Row],[MergeCorpID]]=TRUE),"",AND(ISNUMBER(Table2[[#This Row],[MergeCorpID]])=TRUE,ISBLANK(Table2[[#This Row],[MergeName]])=FALSE))</f>
        <v>0</v>
      </c>
      <c r="H968" s="40">
        <f>IF(ISBLANK(Table2[[#This Row],[MergeCorpID]])=TRUE,0,IF(Table2[[#This Row],[SurvivingEdCorp]]=TRUE,1,2))</f>
        <v>2</v>
      </c>
      <c r="J968" s="4"/>
    </row>
    <row r="969" spans="2:10">
      <c r="B969" s="1012" t="s">
        <v>1218</v>
      </c>
      <c r="C969" s="1015">
        <v>2016</v>
      </c>
      <c r="D969" s="1014">
        <v>2017</v>
      </c>
      <c r="E969" s="1016">
        <v>500</v>
      </c>
      <c r="F969" s="1011"/>
      <c r="G969" s="40" t="b">
        <f>IF(ISBLANK(Table2[[#This Row],[MergeCorpID]]=TRUE),"",AND(ISNUMBER(Table2[[#This Row],[MergeCorpID]])=TRUE,ISBLANK(Table2[[#This Row],[MergeName]])=FALSE))</f>
        <v>0</v>
      </c>
      <c r="H969" s="40">
        <f>IF(ISBLANK(Table2[[#This Row],[MergeCorpID]])=TRUE,0,IF(Table2[[#This Row],[SurvivingEdCorp]]=TRUE,1,2))</f>
        <v>2</v>
      </c>
      <c r="J969" s="4"/>
    </row>
    <row r="970" spans="2:10">
      <c r="B970" s="1013" t="s">
        <v>1139</v>
      </c>
      <c r="C970" s="1010">
        <v>2013</v>
      </c>
      <c r="D970" s="1010">
        <v>2013</v>
      </c>
      <c r="E970" s="1017">
        <v>500</v>
      </c>
      <c r="F970" s="1009"/>
      <c r="G970" s="40" t="b">
        <f>IF(ISBLANK(Table2[[#This Row],[MergeCorpID]]=TRUE),"",AND(ISNUMBER(Table2[[#This Row],[MergeCorpID]])=TRUE,ISBLANK(Table2[[#This Row],[MergeName]])=FALSE))</f>
        <v>0</v>
      </c>
      <c r="H970" s="40">
        <f>IF(ISBLANK(Table2[[#This Row],[MergeCorpID]])=TRUE,0,IF(Table2[[#This Row],[SurvivingEdCorp]]=TRUE,1,2))</f>
        <v>2</v>
      </c>
      <c r="J970" s="4"/>
    </row>
    <row r="971" spans="2:10">
      <c r="B971" s="1012" t="s">
        <v>1158</v>
      </c>
      <c r="C971" s="1015">
        <v>2006</v>
      </c>
      <c r="D971" s="1014">
        <v>2013</v>
      </c>
      <c r="E971" s="1016">
        <v>500</v>
      </c>
      <c r="F971" s="1011"/>
      <c r="G971" s="40" t="b">
        <f>IF(ISBLANK(Table2[[#This Row],[MergeCorpID]]=TRUE),"",AND(ISNUMBER(Table2[[#This Row],[MergeCorpID]])=TRUE,ISBLANK(Table2[[#This Row],[MergeName]])=FALSE))</f>
        <v>0</v>
      </c>
      <c r="H971" s="40">
        <f>IF(ISBLANK(Table2[[#This Row],[MergeCorpID]])=TRUE,0,IF(Table2[[#This Row],[SurvivingEdCorp]]=TRUE,1,2))</f>
        <v>2</v>
      </c>
      <c r="J971" s="4"/>
    </row>
    <row r="972" spans="2:10">
      <c r="B972" s="1013" t="s">
        <v>1086</v>
      </c>
      <c r="C972" s="1010">
        <v>2008</v>
      </c>
      <c r="D972" s="1010">
        <v>2013</v>
      </c>
      <c r="E972" s="1017">
        <v>500</v>
      </c>
      <c r="F972" s="1009"/>
      <c r="G972" s="40" t="b">
        <f>IF(ISBLANK(Table2[[#This Row],[MergeCorpID]]=TRUE),"",AND(ISNUMBER(Table2[[#This Row],[MergeCorpID]])=TRUE,ISBLANK(Table2[[#This Row],[MergeName]])=FALSE))</f>
        <v>0</v>
      </c>
      <c r="H972" s="40">
        <f>IF(ISBLANK(Table2[[#This Row],[MergeCorpID]])=TRUE,0,IF(Table2[[#This Row],[SurvivingEdCorp]]=TRUE,1,2))</f>
        <v>2</v>
      </c>
      <c r="J972" s="4"/>
    </row>
    <row r="973" spans="2:10">
      <c r="B973" s="1012" t="s">
        <v>1087</v>
      </c>
      <c r="C973" s="1015">
        <v>2008</v>
      </c>
      <c r="D973" s="1014">
        <v>2013</v>
      </c>
      <c r="E973" s="1016">
        <v>500</v>
      </c>
      <c r="F973" s="1011" t="s">
        <v>1293</v>
      </c>
      <c r="G973" s="40" t="b">
        <f>IF(ISBLANK(Table2[[#This Row],[MergeCorpID]]=TRUE),"",AND(ISNUMBER(Table2[[#This Row],[MergeCorpID]])=TRUE,ISBLANK(Table2[[#This Row],[MergeName]])=FALSE))</f>
        <v>1</v>
      </c>
      <c r="H973" s="40">
        <f>IF(ISBLANK(Table2[[#This Row],[MergeCorpID]])=TRUE,0,IF(Table2[[#This Row],[SurvivingEdCorp]]=TRUE,1,2))</f>
        <v>1</v>
      </c>
      <c r="J973" s="4"/>
    </row>
    <row r="974" spans="2:10">
      <c r="B974" s="1013" t="s">
        <v>1088</v>
      </c>
      <c r="C974" s="1010">
        <v>2008</v>
      </c>
      <c r="D974" s="1010">
        <v>2013</v>
      </c>
      <c r="E974" s="1017">
        <v>500</v>
      </c>
      <c r="F974" s="1009"/>
      <c r="G974" s="40" t="b">
        <f>IF(ISBLANK(Table2[[#This Row],[MergeCorpID]]=TRUE),"",AND(ISNUMBER(Table2[[#This Row],[MergeCorpID]])=TRUE,ISBLANK(Table2[[#This Row],[MergeName]])=FALSE))</f>
        <v>0</v>
      </c>
      <c r="H974" s="40">
        <f>IF(ISBLANK(Table2[[#This Row],[MergeCorpID]])=TRUE,0,IF(Table2[[#This Row],[SurvivingEdCorp]]=TRUE,1,2))</f>
        <v>2</v>
      </c>
      <c r="J974" s="4"/>
    </row>
    <row r="975" spans="2:10">
      <c r="B975" s="1012" t="s">
        <v>1089</v>
      </c>
      <c r="C975" s="1015">
        <v>2010</v>
      </c>
      <c r="D975" s="1014">
        <v>2013</v>
      </c>
      <c r="E975" s="1016">
        <v>500</v>
      </c>
      <c r="F975" s="1011"/>
      <c r="G975" s="40" t="b">
        <f>IF(ISBLANK(Table2[[#This Row],[MergeCorpID]]=TRUE),"",AND(ISNUMBER(Table2[[#This Row],[MergeCorpID]])=TRUE,ISBLANK(Table2[[#This Row],[MergeName]])=FALSE))</f>
        <v>0</v>
      </c>
      <c r="H975" s="40">
        <f>IF(ISBLANK(Table2[[#This Row],[MergeCorpID]])=TRUE,0,IF(Table2[[#This Row],[SurvivingEdCorp]]=TRUE,1,2))</f>
        <v>2</v>
      </c>
      <c r="J975" s="4"/>
    </row>
    <row r="976" spans="2:10">
      <c r="B976" s="1013" t="s">
        <v>1222</v>
      </c>
      <c r="C976" s="1010">
        <v>2017</v>
      </c>
      <c r="D976" s="1010">
        <v>2018</v>
      </c>
      <c r="E976" s="1017">
        <v>500</v>
      </c>
      <c r="F976" s="1009"/>
      <c r="G976" s="40" t="b">
        <f>IF(ISBLANK(Table2[[#This Row],[MergeCorpID]]=TRUE),"",AND(ISNUMBER(Table2[[#This Row],[MergeCorpID]])=TRUE,ISBLANK(Table2[[#This Row],[MergeName]])=FALSE))</f>
        <v>0</v>
      </c>
      <c r="H976" s="40">
        <f>IF(ISBLANK(Table2[[#This Row],[MergeCorpID]])=TRUE,0,IF(Table2[[#This Row],[SurvivingEdCorp]]=TRUE,1,2))</f>
        <v>2</v>
      </c>
      <c r="J976" s="4"/>
    </row>
    <row r="977" spans="2:10">
      <c r="B977" s="1012" t="s">
        <v>1142</v>
      </c>
      <c r="C977" s="1015">
        <v>2013</v>
      </c>
      <c r="D977" s="1014">
        <v>2013</v>
      </c>
      <c r="E977" s="1016">
        <v>500</v>
      </c>
      <c r="F977" s="1011"/>
      <c r="G977" s="40" t="b">
        <f>IF(ISBLANK(Table2[[#This Row],[MergeCorpID]]=TRUE),"",AND(ISNUMBER(Table2[[#This Row],[MergeCorpID]])=TRUE,ISBLANK(Table2[[#This Row],[MergeName]])=FALSE))</f>
        <v>0</v>
      </c>
      <c r="H977" s="40">
        <f>IF(ISBLANK(Table2[[#This Row],[MergeCorpID]])=TRUE,0,IF(Table2[[#This Row],[SurvivingEdCorp]]=TRUE,1,2))</f>
        <v>2</v>
      </c>
      <c r="J977" s="4"/>
    </row>
    <row r="978" spans="2:10">
      <c r="B978" s="1013" t="s">
        <v>1221</v>
      </c>
      <c r="C978" s="1010">
        <v>2017</v>
      </c>
      <c r="D978" s="1010">
        <v>2018</v>
      </c>
      <c r="E978" s="1017">
        <v>500</v>
      </c>
      <c r="F978" s="1009"/>
      <c r="G978" s="40" t="b">
        <f>IF(ISBLANK(Table2[[#This Row],[MergeCorpID]]=TRUE),"",AND(ISNUMBER(Table2[[#This Row],[MergeCorpID]])=TRUE,ISBLANK(Table2[[#This Row],[MergeName]])=FALSE))</f>
        <v>0</v>
      </c>
      <c r="H978" s="40">
        <f>IF(ISBLANK(Table2[[#This Row],[MergeCorpID]])=TRUE,0,IF(Table2[[#This Row],[SurvivingEdCorp]]=TRUE,1,2))</f>
        <v>2</v>
      </c>
      <c r="J978" s="4"/>
    </row>
    <row r="979" spans="2:10">
      <c r="B979" s="1012" t="s">
        <v>1140</v>
      </c>
      <c r="C979" s="1015">
        <v>2013</v>
      </c>
      <c r="D979" s="1014">
        <v>2013</v>
      </c>
      <c r="E979" s="1016">
        <v>500</v>
      </c>
      <c r="F979" s="1011"/>
      <c r="G979" s="40" t="b">
        <f>IF(ISBLANK(Table2[[#This Row],[MergeCorpID]]=TRUE),"",AND(ISNUMBER(Table2[[#This Row],[MergeCorpID]])=TRUE,ISBLANK(Table2[[#This Row],[MergeName]])=FALSE))</f>
        <v>0</v>
      </c>
      <c r="H979" s="40">
        <f>IF(ISBLANK(Table2[[#This Row],[MergeCorpID]])=TRUE,0,IF(Table2[[#This Row],[SurvivingEdCorp]]=TRUE,1,2))</f>
        <v>2</v>
      </c>
      <c r="J979" s="4"/>
    </row>
    <row r="980" spans="2:10">
      <c r="B980" s="1013" t="s">
        <v>1156</v>
      </c>
      <c r="C980" s="1010">
        <v>2014</v>
      </c>
      <c r="D980" s="1010">
        <v>2015</v>
      </c>
      <c r="E980" s="1017">
        <v>500</v>
      </c>
      <c r="F980" s="1009"/>
      <c r="G980" s="40" t="b">
        <f>IF(ISBLANK(Table2[[#This Row],[MergeCorpID]]=TRUE),"",AND(ISNUMBER(Table2[[#This Row],[MergeCorpID]])=TRUE,ISBLANK(Table2[[#This Row],[MergeName]])=FALSE))</f>
        <v>0</v>
      </c>
      <c r="H980" s="40">
        <f>IF(ISBLANK(Table2[[#This Row],[MergeCorpID]])=TRUE,0,IF(Table2[[#This Row],[SurvivingEdCorp]]=TRUE,1,2))</f>
        <v>2</v>
      </c>
      <c r="J980" s="4"/>
    </row>
    <row r="981" spans="2:10">
      <c r="B981" s="1012" t="s">
        <v>1219</v>
      </c>
      <c r="C981" s="1015">
        <v>2016</v>
      </c>
      <c r="D981" s="1014">
        <v>2017</v>
      </c>
      <c r="E981" s="1016">
        <v>500</v>
      </c>
      <c r="F981" s="1011"/>
      <c r="G981" s="40" t="b">
        <f>IF(ISBLANK(Table2[[#This Row],[MergeCorpID]]=TRUE),"",AND(ISNUMBER(Table2[[#This Row],[MergeCorpID]])=TRUE,ISBLANK(Table2[[#This Row],[MergeName]])=FALSE))</f>
        <v>0</v>
      </c>
      <c r="H981" s="40">
        <f>IF(ISBLANK(Table2[[#This Row],[MergeCorpID]])=TRUE,0,IF(Table2[[#This Row],[SurvivingEdCorp]]=TRUE,1,2))</f>
        <v>2</v>
      </c>
      <c r="J981" s="4"/>
    </row>
    <row r="982" spans="2:10">
      <c r="B982" s="1013" t="s">
        <v>1157</v>
      </c>
      <c r="C982" s="1010">
        <v>2014</v>
      </c>
      <c r="D982" s="1010">
        <v>2015</v>
      </c>
      <c r="E982" s="1017">
        <v>500</v>
      </c>
      <c r="F982" s="1009"/>
      <c r="G982" s="40" t="b">
        <f>IF(ISBLANK(Table2[[#This Row],[MergeCorpID]]=TRUE),"",AND(ISNUMBER(Table2[[#This Row],[MergeCorpID]])=TRUE,ISBLANK(Table2[[#This Row],[MergeName]])=FALSE))</f>
        <v>0</v>
      </c>
      <c r="H982" s="40">
        <f>IF(ISBLANK(Table2[[#This Row],[MergeCorpID]])=TRUE,0,IF(Table2[[#This Row],[SurvivingEdCorp]]=TRUE,1,2))</f>
        <v>2</v>
      </c>
      <c r="J982" s="4"/>
    </row>
    <row r="983" spans="2:10">
      <c r="B983" s="1012" t="s">
        <v>1143</v>
      </c>
      <c r="C983" s="1015">
        <v>2013</v>
      </c>
      <c r="D983" s="1014">
        <v>2013</v>
      </c>
      <c r="E983" s="1016">
        <v>500</v>
      </c>
      <c r="F983" s="1011"/>
      <c r="G983" s="40" t="b">
        <f>IF(ISBLANK(Table2[[#This Row],[MergeCorpID]]=TRUE),"",AND(ISNUMBER(Table2[[#This Row],[MergeCorpID]])=TRUE,ISBLANK(Table2[[#This Row],[MergeName]])=FALSE))</f>
        <v>0</v>
      </c>
      <c r="H983" s="40">
        <f>IF(ISBLANK(Table2[[#This Row],[MergeCorpID]])=TRUE,0,IF(Table2[[#This Row],[SurvivingEdCorp]]=TRUE,1,2))</f>
        <v>2</v>
      </c>
      <c r="J983" s="4"/>
    </row>
    <row r="984" spans="2:10">
      <c r="B984" s="1013" t="s">
        <v>1124</v>
      </c>
      <c r="C984" s="1010">
        <v>2011</v>
      </c>
      <c r="D984" s="1010">
        <v>2015</v>
      </c>
      <c r="E984" s="1017">
        <v>500</v>
      </c>
      <c r="F984" s="1009"/>
      <c r="G984" s="40" t="b">
        <f>IF(ISBLANK(Table2[[#This Row],[MergeCorpID]]=TRUE),"",AND(ISNUMBER(Table2[[#This Row],[MergeCorpID]])=TRUE,ISBLANK(Table2[[#This Row],[MergeName]])=FALSE))</f>
        <v>0</v>
      </c>
      <c r="H984" s="40">
        <f>IF(ISBLANK(Table2[[#This Row],[MergeCorpID]])=TRUE,0,IF(Table2[[#This Row],[SurvivingEdCorp]]=TRUE,1,2))</f>
        <v>2</v>
      </c>
      <c r="J984" s="4"/>
    </row>
    <row r="985" spans="2:10">
      <c r="B985" s="1012" t="s">
        <v>1152</v>
      </c>
      <c r="C985" s="1015">
        <v>2014</v>
      </c>
      <c r="D985" s="1014">
        <v>2015</v>
      </c>
      <c r="E985" s="1016">
        <v>500</v>
      </c>
      <c r="F985" s="1011"/>
      <c r="G985" s="40" t="b">
        <f>IF(ISBLANK(Table2[[#This Row],[MergeCorpID]]=TRUE),"",AND(ISNUMBER(Table2[[#This Row],[MergeCorpID]])=TRUE,ISBLANK(Table2[[#This Row],[MergeName]])=FALSE))</f>
        <v>0</v>
      </c>
      <c r="H985" s="40">
        <f>IF(ISBLANK(Table2[[#This Row],[MergeCorpID]])=TRUE,0,IF(Table2[[#This Row],[SurvivingEdCorp]]=TRUE,1,2))</f>
        <v>2</v>
      </c>
      <c r="J985" s="4"/>
    </row>
    <row r="986" spans="2:10">
      <c r="B986" s="1013" t="s">
        <v>1129</v>
      </c>
      <c r="C986" s="1010">
        <v>2012</v>
      </c>
      <c r="D986" s="1010">
        <v>2015</v>
      </c>
      <c r="E986" s="1017">
        <v>500</v>
      </c>
      <c r="F986" s="1009"/>
      <c r="G986" s="40" t="b">
        <f>IF(ISBLANK(Table2[[#This Row],[MergeCorpID]]=TRUE),"",AND(ISNUMBER(Table2[[#This Row],[MergeCorpID]])=TRUE,ISBLANK(Table2[[#This Row],[MergeName]])=FALSE))</f>
        <v>0</v>
      </c>
      <c r="H986" s="40">
        <f>IF(ISBLANK(Table2[[#This Row],[MergeCorpID]])=TRUE,0,IF(Table2[[#This Row],[SurvivingEdCorp]]=TRUE,1,2))</f>
        <v>2</v>
      </c>
      <c r="J986" s="4"/>
    </row>
    <row r="987" spans="2:10">
      <c r="B987" s="1012" t="s">
        <v>1111</v>
      </c>
      <c r="C987" s="1015">
        <v>2001</v>
      </c>
      <c r="D987" s="1014"/>
      <c r="E987" s="1016"/>
      <c r="F987" s="1011"/>
      <c r="G987" s="40" t="b">
        <f>IF(ISBLANK(Table2[[#This Row],[MergeCorpID]]=TRUE),"",AND(ISNUMBER(Table2[[#This Row],[MergeCorpID]])=TRUE,ISBLANK(Table2[[#This Row],[MergeName]])=FALSE))</f>
        <v>0</v>
      </c>
      <c r="H987" s="40">
        <f>IF(ISBLANK(Table2[[#This Row],[MergeCorpID]])=TRUE,0,IF(Table2[[#This Row],[SurvivingEdCorp]]=TRUE,1,2))</f>
        <v>0</v>
      </c>
      <c r="J987" s="4"/>
    </row>
    <row r="988" spans="2:10">
      <c r="B988" s="1013" t="s">
        <v>1112</v>
      </c>
      <c r="C988" s="1010">
        <v>2006</v>
      </c>
      <c r="D988" s="1010">
        <v>2014</v>
      </c>
      <c r="E988" s="1017">
        <v>502</v>
      </c>
      <c r="F988" s="1009" t="s">
        <v>1294</v>
      </c>
      <c r="G988" s="40" t="b">
        <f>IF(ISBLANK(Table2[[#This Row],[MergeCorpID]]=TRUE),"",AND(ISNUMBER(Table2[[#This Row],[MergeCorpID]])=TRUE,ISBLANK(Table2[[#This Row],[MergeName]])=FALSE))</f>
        <v>1</v>
      </c>
      <c r="H988" s="40">
        <f>IF(ISBLANK(Table2[[#This Row],[MergeCorpID]])=TRUE,0,IF(Table2[[#This Row],[SurvivingEdCorp]]=TRUE,1,2))</f>
        <v>1</v>
      </c>
      <c r="J988" s="4"/>
    </row>
    <row r="989" spans="2:10">
      <c r="B989" s="1012" t="s">
        <v>1123</v>
      </c>
      <c r="C989" s="1015">
        <v>2011</v>
      </c>
      <c r="D989" s="1014">
        <v>2014</v>
      </c>
      <c r="E989" s="1016">
        <v>502</v>
      </c>
      <c r="F989" s="1011"/>
      <c r="G989" s="40" t="b">
        <f>IF(ISBLANK(Table2[[#This Row],[MergeCorpID]]=TRUE),"",AND(ISNUMBER(Table2[[#This Row],[MergeCorpID]])=TRUE,ISBLANK(Table2[[#This Row],[MergeName]])=FALSE))</f>
        <v>0</v>
      </c>
      <c r="H989" s="40">
        <f>IF(ISBLANK(Table2[[#This Row],[MergeCorpID]])=TRUE,0,IF(Table2[[#This Row],[SurvivingEdCorp]]=TRUE,1,2))</f>
        <v>2</v>
      </c>
      <c r="J989" s="4"/>
    </row>
    <row r="990" spans="2:10">
      <c r="B990" s="1013" t="s">
        <v>1113</v>
      </c>
      <c r="C990" s="1010">
        <v>2009</v>
      </c>
      <c r="D990" s="1010"/>
      <c r="E990" s="1017"/>
      <c r="F990" s="1009"/>
      <c r="G990" s="40" t="b">
        <f>IF(ISBLANK(Table2[[#This Row],[MergeCorpID]]=TRUE),"",AND(ISNUMBER(Table2[[#This Row],[MergeCorpID]])=TRUE,ISBLANK(Table2[[#This Row],[MergeName]])=FALSE))</f>
        <v>0</v>
      </c>
      <c r="H990" s="40">
        <f>IF(ISBLANK(Table2[[#This Row],[MergeCorpID]])=TRUE,0,IF(Table2[[#This Row],[SurvivingEdCorp]]=TRUE,1,2))</f>
        <v>0</v>
      </c>
      <c r="J990" s="4"/>
    </row>
    <row r="991" spans="2:10">
      <c r="B991" s="1012" t="s">
        <v>1317</v>
      </c>
      <c r="C991" s="1015">
        <v>2019</v>
      </c>
      <c r="D991" s="1014"/>
      <c r="E991" s="1016"/>
      <c r="F991" s="1011"/>
      <c r="G991" s="40" t="b">
        <f>IF(ISBLANK(Table2[[#This Row],[MergeCorpID]]=TRUE),"",AND(ISNUMBER(Table2[[#This Row],[MergeCorpID]])=TRUE,ISBLANK(Table2[[#This Row],[MergeName]])=FALSE))</f>
        <v>0</v>
      </c>
      <c r="H991" s="40">
        <f>IF(ISBLANK(Table2[[#This Row],[MergeCorpID]])=TRUE,0,IF(Table2[[#This Row],[SurvivingEdCorp]]=TRUE,1,2))</f>
        <v>0</v>
      </c>
      <c r="J991" s="4"/>
    </row>
    <row r="992" spans="2:10">
      <c r="B992" s="1013" t="s">
        <v>1115</v>
      </c>
      <c r="C992" s="1010">
        <v>2005</v>
      </c>
      <c r="D992" s="1010"/>
      <c r="E992" s="1017"/>
      <c r="F992" s="1009"/>
      <c r="G992" s="40" t="b">
        <f>IF(ISBLANK(Table2[[#This Row],[MergeCorpID]]=TRUE),"",AND(ISNUMBER(Table2[[#This Row],[MergeCorpID]])=TRUE,ISBLANK(Table2[[#This Row],[MergeName]])=FALSE))</f>
        <v>0</v>
      </c>
      <c r="H992" s="40">
        <f>IF(ISBLANK(Table2[[#This Row],[MergeCorpID]])=TRUE,0,IF(Table2[[#This Row],[SurvivingEdCorp]]=TRUE,1,2))</f>
        <v>0</v>
      </c>
      <c r="J992" s="4"/>
    </row>
    <row r="993" spans="2:10">
      <c r="B993" s="1012" t="s">
        <v>1082</v>
      </c>
      <c r="C993" s="1015">
        <v>2008</v>
      </c>
      <c r="D993" s="1014">
        <v>2020</v>
      </c>
      <c r="E993" s="1016">
        <v>528</v>
      </c>
      <c r="F993" s="1011" t="s">
        <v>1318</v>
      </c>
      <c r="G993" s="40" t="b">
        <f>IF(ISBLANK(Table2[[#This Row],[MergeCorpID]]=TRUE),"",AND(ISNUMBER(Table2[[#This Row],[MergeCorpID]])=TRUE,ISBLANK(Table2[[#This Row],[MergeName]])=FALSE))</f>
        <v>1</v>
      </c>
      <c r="H993" s="40">
        <f>IF(ISBLANK(Table2[[#This Row],[MergeCorpID]])=TRUE,0,IF(Table2[[#This Row],[SurvivingEdCorp]]=TRUE,1,2))</f>
        <v>1</v>
      </c>
      <c r="J993" s="4"/>
    </row>
    <row r="994" spans="2:10">
      <c r="B994" s="1013" t="s">
        <v>1319</v>
      </c>
      <c r="C994" s="1010">
        <v>2019</v>
      </c>
      <c r="D994" s="1010">
        <v>2020</v>
      </c>
      <c r="E994" s="1017">
        <v>528</v>
      </c>
      <c r="F994" s="1009"/>
      <c r="G994" s="40" t="b">
        <f>IF(ISBLANK(Table2[[#This Row],[MergeCorpID]]=TRUE),"",AND(ISNUMBER(Table2[[#This Row],[MergeCorpID]])=TRUE,ISBLANK(Table2[[#This Row],[MergeName]])=FALSE))</f>
        <v>0</v>
      </c>
      <c r="H994" s="40">
        <f>IF(ISBLANK(Table2[[#This Row],[MergeCorpID]])=TRUE,0,IF(Table2[[#This Row],[SurvivingEdCorp]]=TRUE,1,2))</f>
        <v>2</v>
      </c>
      <c r="J994" s="4"/>
    </row>
    <row r="995" spans="2:10">
      <c r="B995" s="1012" t="s">
        <v>1114</v>
      </c>
      <c r="C995" s="1015">
        <v>2010</v>
      </c>
      <c r="D995" s="1014"/>
      <c r="E995" s="1016"/>
      <c r="F995" s="1011"/>
      <c r="G995" s="40" t="b">
        <f>IF(ISBLANK(Table2[[#This Row],[MergeCorpID]]=TRUE),"",AND(ISNUMBER(Table2[[#This Row],[MergeCorpID]])=TRUE,ISBLANK(Table2[[#This Row],[MergeName]])=FALSE))</f>
        <v>0</v>
      </c>
      <c r="H995" s="40">
        <f>IF(ISBLANK(Table2[[#This Row],[MergeCorpID]])=TRUE,0,IF(Table2[[#This Row],[SurvivingEdCorp]]=TRUE,1,2))</f>
        <v>0</v>
      </c>
    </row>
    <row r="996" spans="2:10">
      <c r="B996" s="1013" t="s">
        <v>1295</v>
      </c>
      <c r="C996" s="1010">
        <v>2018</v>
      </c>
      <c r="D996" s="1010"/>
      <c r="E996" s="1017"/>
      <c r="F996" s="1009"/>
      <c r="G996" s="40" t="b">
        <f>IF(ISBLANK(Table2[[#This Row],[MergeCorpID]]=TRUE),"",AND(ISNUMBER(Table2[[#This Row],[MergeCorpID]])=TRUE,ISBLANK(Table2[[#This Row],[MergeName]])=FALSE))</f>
        <v>0</v>
      </c>
      <c r="H996" s="40">
        <f>IF(ISBLANK(Table2[[#This Row],[MergeCorpID]])=TRUE,0,IF(Table2[[#This Row],[SurvivingEdCorp]]=TRUE,1,2))</f>
        <v>0</v>
      </c>
    </row>
    <row r="997" spans="2:10">
      <c r="B997" s="1012" t="s">
        <v>1320</v>
      </c>
      <c r="C997" s="1015">
        <v>2019</v>
      </c>
      <c r="D997" s="1014"/>
      <c r="E997" s="1016"/>
      <c r="F997" s="1011"/>
      <c r="G997" s="40" t="b">
        <f>IF(ISBLANK(Table2[[#This Row],[MergeCorpID]]=TRUE),"",AND(ISNUMBER(Table2[[#This Row],[MergeCorpID]])=TRUE,ISBLANK(Table2[[#This Row],[MergeName]])=FALSE))</f>
        <v>0</v>
      </c>
      <c r="H997" s="40">
        <f>IF(ISBLANK(Table2[[#This Row],[MergeCorpID]])=TRUE,0,IF(Table2[[#This Row],[SurvivingEdCorp]]=TRUE,1,2))</f>
        <v>0</v>
      </c>
    </row>
    <row r="998" spans="2:10">
      <c r="B998" s="1013" t="s">
        <v>1344</v>
      </c>
      <c r="C998" s="1010">
        <v>2020</v>
      </c>
      <c r="D998" s="1010"/>
      <c r="E998" s="1017"/>
      <c r="F998" s="1009"/>
      <c r="G998" s="40" t="b">
        <f>IF(ISBLANK(Table2[[#This Row],[MergeCorpID]]=TRUE),"",AND(ISNUMBER(Table2[[#This Row],[MergeCorpID]])=TRUE,ISBLANK(Table2[[#This Row],[MergeName]])=FALSE))</f>
        <v>0</v>
      </c>
      <c r="H998" s="40">
        <f>IF(ISBLANK(Table2[[#This Row],[MergeCorpID]])=TRUE,0,IF(Table2[[#This Row],[SurvivingEdCorp]]=TRUE,1,2))</f>
        <v>0</v>
      </c>
    </row>
    <row r="999" spans="2:10">
      <c r="B999" s="1012" t="s">
        <v>1166</v>
      </c>
      <c r="C999" s="1015">
        <v>2016</v>
      </c>
      <c r="D999" s="1014">
        <v>2017</v>
      </c>
      <c r="E999" s="1016">
        <v>509</v>
      </c>
      <c r="F999" s="1011"/>
      <c r="G999" s="40" t="b">
        <f>IF(ISBLANK(Table2[[#This Row],[MergeCorpID]]=TRUE),"",AND(ISNUMBER(Table2[[#This Row],[MergeCorpID]])=TRUE,ISBLANK(Table2[[#This Row],[MergeName]])=FALSE))</f>
        <v>0</v>
      </c>
      <c r="H999" s="40">
        <f>IF(ISBLANK(Table2[[#This Row],[MergeCorpID]])=TRUE,0,IF(Table2[[#This Row],[SurvivingEdCorp]]=TRUE,1,2))</f>
        <v>2</v>
      </c>
    </row>
    <row r="1000" spans="2:10">
      <c r="B1000" s="1013" t="s">
        <v>1321</v>
      </c>
      <c r="C1000" s="1010">
        <v>2018</v>
      </c>
      <c r="D1000" s="1010">
        <v>2019</v>
      </c>
      <c r="E1000" s="1017">
        <v>525</v>
      </c>
      <c r="F1000" s="1009"/>
      <c r="G1000" s="40" t="b">
        <f>IF(ISBLANK(Table2[[#This Row],[MergeCorpID]]=TRUE),"",AND(ISNUMBER(Table2[[#This Row],[MergeCorpID]])=TRUE,ISBLANK(Table2[[#This Row],[MergeName]])=FALSE))</f>
        <v>0</v>
      </c>
      <c r="H1000" s="40">
        <f>IF(ISBLANK(Table2[[#This Row],[MergeCorpID]])=TRUE,0,IF(Table2[[#This Row],[SurvivingEdCorp]]=TRUE,1,2))</f>
        <v>2</v>
      </c>
    </row>
    <row r="1001" spans="2:10">
      <c r="B1001" s="1012" t="s">
        <v>1322</v>
      </c>
      <c r="C1001" s="1015">
        <v>2018</v>
      </c>
      <c r="D1001" s="1014">
        <v>2019</v>
      </c>
      <c r="E1001" s="1016">
        <v>525</v>
      </c>
      <c r="F1001" s="1011" t="s">
        <v>1296</v>
      </c>
      <c r="G1001" s="40" t="b">
        <f>IF(ISBLANK(Table2[[#This Row],[MergeCorpID]]=TRUE),"",AND(ISNUMBER(Table2[[#This Row],[MergeCorpID]])=TRUE,ISBLANK(Table2[[#This Row],[MergeName]])=FALSE))</f>
        <v>1</v>
      </c>
      <c r="H1001" s="40">
        <f>IF(ISBLANK(Table2[[#This Row],[MergeCorpID]])=TRUE,0,IF(Table2[[#This Row],[SurvivingEdCorp]]=TRUE,1,2))</f>
        <v>1</v>
      </c>
    </row>
    <row r="1002" spans="2:10">
      <c r="B1002" s="1013" t="s">
        <v>1347</v>
      </c>
      <c r="C1002" s="1010">
        <v>2020</v>
      </c>
      <c r="D1002" s="1010">
        <v>2021</v>
      </c>
      <c r="E1002" s="1017">
        <v>525</v>
      </c>
      <c r="F1002" s="1009"/>
      <c r="G1002" s="40" t="b">
        <f>IF(ISBLANK(Table2[[#This Row],[MergeCorpID]]=TRUE),"",AND(ISNUMBER(Table2[[#This Row],[MergeCorpID]])=TRUE,ISBLANK(Table2[[#This Row],[MergeName]])=FALSE))</f>
        <v>0</v>
      </c>
      <c r="H1002" s="40">
        <f>IF(ISBLANK(Table2[[#This Row],[MergeCorpID]])=TRUE,0,IF(Table2[[#This Row],[SurvivingEdCorp]]=TRUE,1,2))</f>
        <v>2</v>
      </c>
    </row>
    <row r="1003" spans="2:10">
      <c r="B1003" s="1012" t="s">
        <v>1348</v>
      </c>
      <c r="C1003" s="1015">
        <v>2020</v>
      </c>
      <c r="D1003" s="1014">
        <v>2021</v>
      </c>
      <c r="E1003" s="1016">
        <v>525</v>
      </c>
      <c r="F1003" s="1011"/>
      <c r="G1003" s="40" t="b">
        <f>IF(ISBLANK(Table2[[#This Row],[MergeCorpID]]=TRUE),"",AND(ISNUMBER(Table2[[#This Row],[MergeCorpID]])=TRUE,ISBLANK(Table2[[#This Row],[MergeName]])=FALSE))</f>
        <v>0</v>
      </c>
      <c r="H1003" s="40">
        <f>IF(ISBLANK(Table2[[#This Row],[MergeCorpID]])=TRUE,0,IF(Table2[[#This Row],[SurvivingEdCorp]]=TRUE,1,2))</f>
        <v>2</v>
      </c>
    </row>
  </sheetData>
  <sheetProtection algorithmName="SHA-512" hashValue="XOpUmp8GL8E3qi9RmD2qmaZa7anlWXTBQtdWGcSbqxhLUtpEAwG0lcWE6JQ3XPIONc/f6mbg+5OlQkQCos/lAQ==" saltValue="34/C2fyBh7r/4A0e+ChSvg==" spinCount="100000" sheet="1" objects="1" scenarios="1"/>
  <sortState ref="B802:H961">
    <sortCondition ref="B802:B961"/>
  </sortState>
  <mergeCells count="9">
    <mergeCell ref="D802:J802"/>
    <mergeCell ref="C50:C51"/>
    <mergeCell ref="K102:K107"/>
    <mergeCell ref="M11:O11"/>
    <mergeCell ref="M4:O4"/>
    <mergeCell ref="M12:O12"/>
    <mergeCell ref="D799:J799"/>
    <mergeCell ref="D800:J800"/>
    <mergeCell ref="D801:J801"/>
  </mergeCells>
  <conditionalFormatting sqref="D792">
    <cfRule type="expression" dxfId="45" priority="357">
      <formula>$R810="Closed"</formula>
    </cfRule>
  </conditionalFormatting>
  <conditionalFormatting sqref="B794">
    <cfRule type="expression" dxfId="44" priority="360">
      <formula>AA809="Closed"</formula>
    </cfRule>
  </conditionalFormatting>
  <conditionalFormatting sqref="B794">
    <cfRule type="expression" dxfId="43" priority="356">
      <formula>AA809="Closed"</formula>
    </cfRule>
  </conditionalFormatting>
  <conditionalFormatting sqref="B794">
    <cfRule type="expression" dxfId="42" priority="355">
      <formula>$R809="Closed"</formula>
    </cfRule>
  </conditionalFormatting>
  <conditionalFormatting sqref="B794">
    <cfRule type="expression" dxfId="41" priority="354">
      <formula>$R809="Closed"</formula>
    </cfRule>
  </conditionalFormatting>
  <conditionalFormatting sqref="B794">
    <cfRule type="expression" dxfId="40" priority="334">
      <formula>$R809="Transferred"</formula>
    </cfRule>
  </conditionalFormatting>
  <conditionalFormatting sqref="D792">
    <cfRule type="expression" dxfId="39" priority="408">
      <formula>$R810="Transferred"</formula>
    </cfRule>
  </conditionalFormatting>
  <conditionalFormatting sqref="D792">
    <cfRule type="expression" dxfId="38" priority="413">
      <formula>AA810="Closed"</formula>
    </cfRule>
  </conditionalFormatting>
  <conditionalFormatting sqref="C799:D802 C795:D795 C797:D797 D793:D795">
    <cfRule type="expression" dxfId="37" priority="415">
      <formula>#REF!="Closed"</formula>
    </cfRule>
  </conditionalFormatting>
  <conditionalFormatting sqref="D793:D795 C797:D797 C799:D802 C795">
    <cfRule type="expression" dxfId="36" priority="430">
      <formula>#REF!="Transferred"</formula>
    </cfRule>
  </conditionalFormatting>
  <conditionalFormatting sqref="D797 D799:D802 D793:D795">
    <cfRule type="expression" dxfId="35" priority="434">
      <formula>#REF!="Closed"</formula>
    </cfRule>
  </conditionalFormatting>
  <conditionalFormatting sqref="M15:M16">
    <cfRule type="expression" dxfId="34" priority="99">
      <formula>OR(#REF!="Closed",#REF!="Transferred")</formula>
    </cfRule>
  </conditionalFormatting>
  <conditionalFormatting sqref="F810">
    <cfRule type="expression" dxfId="33" priority="31">
      <formula>$S810="Closed"</formula>
    </cfRule>
  </conditionalFormatting>
  <conditionalFormatting sqref="F810">
    <cfRule type="expression" dxfId="32" priority="30">
      <formula>$S810="Transferred"</formula>
    </cfRule>
  </conditionalFormatting>
  <conditionalFormatting sqref="F810">
    <cfRule type="expression" dxfId="31" priority="29">
      <formula>$S810="Closed"</formula>
    </cfRule>
  </conditionalFormatting>
  <conditionalFormatting sqref="F810">
    <cfRule type="expression" dxfId="30" priority="34">
      <formula>R810="Closed"</formula>
    </cfRule>
  </conditionalFormatting>
  <conditionalFormatting sqref="F810">
    <cfRule type="expression" dxfId="29" priority="33">
      <formula>$S810="Closed"</formula>
    </cfRule>
  </conditionalFormatting>
  <conditionalFormatting sqref="F810">
    <cfRule type="expression" dxfId="28" priority="32">
      <formula>$S810="Transferred"</formula>
    </cfRule>
  </conditionalFormatting>
  <conditionalFormatting sqref="F810">
    <cfRule type="expression" dxfId="27" priority="28">
      <formula>OR($T810="Closed",$T810="Transferred")</formula>
    </cfRule>
  </conditionalFormatting>
  <conditionalFormatting sqref="B810">
    <cfRule type="expression" dxfId="26" priority="27">
      <formula>OR($S810="Closed",$S810="Transferred")</formula>
    </cfRule>
  </conditionalFormatting>
  <conditionalFormatting sqref="C810">
    <cfRule type="expression" dxfId="25" priority="26">
      <formula>OR($S810="Closed",$S810="Transferred")</formula>
    </cfRule>
  </conditionalFormatting>
  <conditionalFormatting sqref="D810">
    <cfRule type="expression" dxfId="24" priority="25">
      <formula>OR($S810="Closed",$S810="Transferred")</formula>
    </cfRule>
  </conditionalFormatting>
  <conditionalFormatting sqref="E810">
    <cfRule type="expression" dxfId="23" priority="24">
      <formula>OR($S810="Closed",$S810="Transferred")</formula>
    </cfRule>
  </conditionalFormatting>
  <conditionalFormatting sqref="F810">
    <cfRule type="expression" dxfId="22" priority="23">
      <formula>OR(#REF!="Closed",#REF!="Transferred")</formula>
    </cfRule>
  </conditionalFormatting>
  <conditionalFormatting sqref="F809">
    <cfRule type="expression" dxfId="21" priority="22">
      <formula>OR(#REF!="Closed",#REF!="Transferred")</formula>
    </cfRule>
  </conditionalFormatting>
  <conditionalFormatting sqref="B809">
    <cfRule type="expression" dxfId="20" priority="21">
      <formula>OR($S809="Closed",$S809="Transferred")</formula>
    </cfRule>
  </conditionalFormatting>
  <conditionalFormatting sqref="C809">
    <cfRule type="expression" dxfId="19" priority="20">
      <formula>OR($S809="Closed",$S809="Transferred")</formula>
    </cfRule>
  </conditionalFormatting>
  <conditionalFormatting sqref="D809">
    <cfRule type="expression" dxfId="18" priority="19">
      <formula>OR($S809="Closed",$S809="Transferred")</formula>
    </cfRule>
  </conditionalFormatting>
  <conditionalFormatting sqref="E809">
    <cfRule type="expression" dxfId="17" priority="18">
      <formula>OR($S809="Closed",$S809="Transferred")</formula>
    </cfRule>
  </conditionalFormatting>
  <conditionalFormatting sqref="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9 F951 F953 F955 F957 F959 F961 F963 F965 F967 F969 F971 F973 F975 F977 F979 F981 F983 F985 F987 F989 F991 F993 F995 F997 F999 F1001 F1003">
    <cfRule type="expression" dxfId="16" priority="14">
      <formula>$S812="Closed"</formula>
    </cfRule>
  </conditionalFormatting>
  <conditionalFormatting sqref="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9 F951 F953 F955 F957 F959 F961 F963 F965 F967 F969 F971 F973 F975 F977 F979 F981 F983 F985 F987 F989 F991 F993 F995 F997 F999 F1001 F1003">
    <cfRule type="expression" dxfId="15" priority="13">
      <formula>$S812="Transferred"</formula>
    </cfRule>
  </conditionalFormatting>
  <conditionalFormatting sqref="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9 F951 F953 F955 F957 F959 F961 F963 F965 F967 F969 F971 F973 F975 F977 F979 F981 F983 F985 F987 F989 F991 F993 F995 F997 F999 F1001 F1003">
    <cfRule type="expression" dxfId="14" priority="12">
      <formula>$S812="Closed"</formula>
    </cfRule>
  </conditionalFormatting>
  <conditionalFormatting sqref="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9 F951 F953 F955 F957 F959 F961 F963 F965 F967 F969 F971 F973 F975 F977 F979 F981 F983 F985 F987 F989 F991 F993 F995 F997 F999 F1001 F1003">
    <cfRule type="expression" dxfId="13" priority="17">
      <formula>R812="Closed"</formula>
    </cfRule>
  </conditionalFormatting>
  <conditionalFormatting sqref="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9 F951 F953 F955 F957 F959 F961 F963 F965 F967 F969 F971 F973 F975 F977 F979 F981 F983 F985 F987 F989 F991 F993 F995 F997 F999 F1001 F1003">
    <cfRule type="expression" dxfId="12" priority="16">
      <formula>$S812="Closed"</formula>
    </cfRule>
  </conditionalFormatting>
  <conditionalFormatting sqref="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9 F951 F953 F955 F957 F959 F961 F963 F965 F967 F969 F971 F973 F975 F977 F979 F981 F983 F985 F987 F989 F991 F993 F995 F997 F999 F1001 F1003">
    <cfRule type="expression" dxfId="11" priority="15">
      <formula>$S812="Transferred"</formula>
    </cfRule>
  </conditionalFormatting>
  <conditionalFormatting sqref="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9 F951 F953 F955 F957 F959 F961 F963 F965 F967 F969 F971 F973 F975 F977 F979 F981 F983 F985 F987 F989 F991 F993 F995 F997 F999 F1001 F1003">
    <cfRule type="expression" dxfId="10" priority="11">
      <formula>OR($T812="Closed",$T812="Transferred")</formula>
    </cfRule>
  </conditionalFormatting>
  <conditionalFormatting sqref="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9 B951 B953 B955 B957 B959 B961 B963 B965 B967 B969 B971 B973 B975 B977 B979 B981 B983 B985 B987 B989 B991 B993 B995 B997 B999 B1001 B1003">
    <cfRule type="expression" dxfId="9" priority="10">
      <formula>OR($S812="Closed",$S812="Transferred")</formula>
    </cfRule>
  </conditionalFormatting>
  <conditionalFormatting sqref="C812 C814 C816 C818 C820 C822 C824 C826 C828 C830 C832 C834 C836 C838 C840 C842 C844 C846 C848 C850 C852 C854 C856 C858 C860 C862 C864 C866 C868 C870 C872 C874 C876 C878 C880 C882 C884 C886 C888 C890 C892 C894 C896 C898 C900 C902 C904 C906 C908 C910 C912 C914 C916 C918 C920 C922 C924 C926 C928 C930 C932 C934 C936 C938 C940 C942 C944 C946 C949 C951 C953 C955 C957 C959 C961 C963 C965 C967 C969 C971 C973 C975 C977 C979 C981 C983 C985 C987 C989 C991 C993 C995 C997 C999 C1001 C1003">
    <cfRule type="expression" dxfId="8" priority="9">
      <formula>OR($S812="Closed",$S812="Transferred")</formula>
    </cfRule>
  </conditionalFormatting>
  <conditionalFormatting sqref="D812 D814 D816 D818 D820 D822 D824 D826 D828 D830 D832 D834 D836 D838 D840 D842 D844 D846 D848 D850 D852 D854 D856 D858 D860 D862 D864 D866 D868 D870 D872 D874 D876 D878 D880 D882 D884 D886 D888 D890 D892 D894 D896 D898 D900 D902 D904 D906 D908 D910 D912 D914 D916 D918 D920 D922 D924 D926 D928 D930 D932 D934 D936 D938 D940 D942 D944 D946 D949 D951 D953 D955 D957 D959 D961 D963 D965 D967 D969 D971 D973 D975 D977 D979 D981 D983 D985 D987 D989 D991 D993 D995 D997 D999 D1001 D1003">
    <cfRule type="expression" dxfId="7" priority="8">
      <formula>OR($S812="Closed",$S812="Transferred")</formula>
    </cfRule>
  </conditionalFormatting>
  <conditionalFormatting sqref="E812 E814 E816 E818 E820 E822 E824 E826 E828 E830 E832 E834 E836 E838 E840 E842 E844 E846 E848 E850 E852 E854 E856 E858 E860 E862 E864 E866 E868 E870 E872 E874 E876 E878 E880 E882 E884 E886 E888 E890 E892 E894 E896 E898 E900 E902 E904 E906 E908 E910 E912 E914 E916 E918 E920 E922 E924 E926 E928 E930 E932 E934 E936 E938 E940 E942 E944 E946 E949 E951 E953 E955 E957 E959 E961 E963 E965 E967 E969 E971 E973 E975 E977 E979 E981 E983 E985 E987 E989 E991 E993 E995 E997 E999 E1001 E1003">
    <cfRule type="expression" dxfId="6" priority="7">
      <formula>OR($S812="Closed",$S812="Transferred")</formula>
    </cfRule>
  </conditionalFormatting>
  <conditionalFormatting sqref="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9 F951 F953 F955 F957 F959 F961 F963 F965 F967 F969 F971 F973 F975 F977 F979 F981 F983 F985 F987 F989 F991 F993 F995 F997 F999 F1001 F1003">
    <cfRule type="expression" dxfId="5" priority="6">
      <formula>OR(#REF!="Closed",#REF!="Transferred")</formula>
    </cfRule>
  </conditionalFormatting>
  <conditionalFormatting sqref="F811 F813 F815 F817 F819 F821 F823 F825 F827 F829 F831 F833 F835 F837 F839 F841 F843 F845 F847 F849 F851 F853 F855 F857 F859 F861 F863 F865 F867 F869 F871 F873 F875 F877 F879 F881 F883 F885 F887 F889 F891 F893 F895 F897 F899 F901 F903 F905 F907 F909 F911 F913 F915 F917 F919 F921 F923 F925 F927 F929 F931 F933 F935 F937 F939 F941 F943 F945 F947:F948 F950 F952 F954 F956 F958 F960 F962 F964 F966 F968 F970 F972 F974 F976 F978 F980 F982 F984 F986 F988 F990 F992 F994 F996 F998 F1000 F1002">
    <cfRule type="expression" dxfId="4" priority="5">
      <formula>OR(#REF!="Closed",#REF!="Transferred")</formula>
    </cfRule>
  </conditionalFormatting>
  <conditionalFormatting sqref="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B948 B950 B952 B954 B956 B958 B960 B962 B964 B966 B968 B970 B972 B974 B976 B978 B980 B982 B984 B986 B988 B990 B992 B994 B996 B998 B1000 B1002">
    <cfRule type="expression" dxfId="3" priority="4">
      <formula>OR($S811="Closed",$S811="Transferred")</formula>
    </cfRule>
  </conditionalFormatting>
  <conditionalFormatting sqref="C811 C813 C815 C817 C819 C821 C823 C825 C827 C829 C831 C833 C835 C837 C839 C841 C843 C845 C847 C849 C851 C853 C855 C857 C859 C861 C863 C865 C867 C869 C871 C873 C875 C877 C879 C881 C883 C885 C887 C889 C891 C893 C895 C897 C899 C901 C903 C905 C907 C909 C911 C913 C915 C917 C919 C921 C923 C925 C927 C929 C931 C933 C935 C937 C939 C941 C943 C945 C947:C948 C950 C952 C954 C956 C958 C960 C962 C964 C966 C968 C970 C972 C974 C976 C978 C980 C982 C984 C986 C988 C990 C992 C994 C996 C998 C1000 C1002">
    <cfRule type="expression" dxfId="2" priority="3">
      <formula>OR($S811="Closed",$S811="Transferred")</formula>
    </cfRule>
  </conditionalFormatting>
  <conditionalFormatting sqref="D811 D813 D815 D817 D819 D821 D823 D825 D827 D829 D831 D833 D835 D837 D839 D841 D843 D845 D847 D849 D851 D853 D855 D857 D859 D861 D863 D865 D867 D869 D871 D873 D875 D877 D879 D881 D883 D885 D887 D889 D891 D893 D895 D897 D899 D901 D903 D905 D907 D909 D911 D913 D915 D917 D919 D921 D923 D925 D927 D929 D931 D933 D935 D937 D939 D941 D943 D945 D947:D948 D950 D952 D954 D956 D958 D960 D962 D964 D966 D968 D970 D972 D974 D976 D978 D980 D982 D984 D986 D988 D990 D992 D994 D996 D998 D1000 D1002">
    <cfRule type="expression" dxfId="1" priority="2">
      <formula>OR($S811="Closed",$S811="Transferred")</formula>
    </cfRule>
  </conditionalFormatting>
  <conditionalFormatting sqref="E811 E813 E815 E817 E819 E821 E823 E825 E827 E829 E831 E833 E835 E837 E839 E841 E843 E845 E847 E849 E851 E853 E855 E857 E859 E861 E863 E865 E867 E869 E871 E873 E875 E877 E879 E881 E883 E885 E887 E889 E891 E893 E895 E897 E899 E901 E903 E905 E907 E909 E911 E913 E915 E917 E919 E921 E923 E925 E927 E929 E931 E933 E935 E937 E939 E941 E943 E945 E947:E948 E950 E952 E954 E956 E958 E960 E962 E964 E966 E968 E970 E972 E974 E976 E978 E980 E982 E984 E986 E988 E990 E992 E994 E996 E998 E1000 E1002">
    <cfRule type="expression" dxfId="0" priority="1">
      <formula>OR($S811="Closed",$S811="Transferred")</formula>
    </cfRule>
  </conditionalFormatting>
  <dataValidations disablePrompts="1" count="2">
    <dataValidation type="list" sqref="K31">
      <formula1>$B$36</formula1>
    </dataValidation>
    <dataValidation showInputMessage="1" showErrorMessage="1" sqref="I28"/>
  </dataValidations>
  <hyperlinks>
    <hyperlink ref="G116" r:id="rId1"/>
  </hyperlinks>
  <pageMargins left="0.7" right="0.7" top="0.75" bottom="0.75" header="0.3" footer="0.3"/>
  <pageSetup orientation="portrait"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333333"/>
    <pageSetUpPr fitToPage="1"/>
  </sheetPr>
  <dimension ref="B1:K686"/>
  <sheetViews>
    <sheetView showGridLines="0" zoomScale="90" zoomScaleNormal="90" zoomScaleSheetLayoutView="85" zoomScalePageLayoutView="80" workbookViewId="0">
      <pane ySplit="5" topLeftCell="A6" activePane="bottomLeft" state="frozen"/>
      <selection activeCell="J16" sqref="J16"/>
      <selection pane="bottomLeft" activeCell="D685" sqref="D685"/>
    </sheetView>
  </sheetViews>
  <sheetFormatPr defaultColWidth="10.33203125" defaultRowHeight="15"/>
  <cols>
    <col min="1" max="1" width="3.6640625" style="166" customWidth="1"/>
    <col min="2" max="2" width="4.6640625" style="166" customWidth="1"/>
    <col min="3" max="3" width="12.88671875" style="166" bestFit="1" customWidth="1"/>
    <col min="4" max="4" width="44.5546875" style="166" customWidth="1"/>
    <col min="5" max="6" width="18.88671875" style="166" bestFit="1" customWidth="1"/>
    <col min="7" max="8" width="10.33203125" style="166"/>
    <col min="9" max="9" width="53.44140625" style="166" customWidth="1"/>
    <col min="10" max="210" width="10.33203125" style="166"/>
    <col min="211" max="211" width="3.6640625" style="166" customWidth="1"/>
    <col min="212" max="212" width="5.33203125" style="166" customWidth="1"/>
    <col min="213" max="213" width="9.44140625" style="166" bestFit="1" customWidth="1"/>
    <col min="214" max="214" width="25.6640625" style="166" bestFit="1" customWidth="1"/>
    <col min="215" max="216" width="21.6640625" style="166" customWidth="1"/>
    <col min="217" max="217" width="10.33203125" style="166" customWidth="1"/>
    <col min="218" max="218" width="5.33203125" style="166" customWidth="1"/>
    <col min="219" max="219" width="9.44140625" style="166" bestFit="1" customWidth="1"/>
    <col min="220" max="220" width="25.6640625" style="166" bestFit="1" customWidth="1"/>
    <col min="221" max="221" width="21" style="166" customWidth="1"/>
    <col min="222" max="222" width="20.33203125" style="166" customWidth="1"/>
    <col min="223" max="466" width="10.33203125" style="166"/>
    <col min="467" max="467" width="3.6640625" style="166" customWidth="1"/>
    <col min="468" max="468" width="5.33203125" style="166" customWidth="1"/>
    <col min="469" max="469" width="9.44140625" style="166" bestFit="1" customWidth="1"/>
    <col min="470" max="470" width="25.6640625" style="166" bestFit="1" customWidth="1"/>
    <col min="471" max="472" width="21.6640625" style="166" customWidth="1"/>
    <col min="473" max="473" width="10.33203125" style="166" customWidth="1"/>
    <col min="474" max="474" width="5.33203125" style="166" customWidth="1"/>
    <col min="475" max="475" width="9.44140625" style="166" bestFit="1" customWidth="1"/>
    <col min="476" max="476" width="25.6640625" style="166" bestFit="1" customWidth="1"/>
    <col min="477" max="477" width="21" style="166" customWidth="1"/>
    <col min="478" max="478" width="20.33203125" style="166" customWidth="1"/>
    <col min="479" max="722" width="10.33203125" style="166"/>
    <col min="723" max="723" width="3.6640625" style="166" customWidth="1"/>
    <col min="724" max="724" width="5.33203125" style="166" customWidth="1"/>
    <col min="725" max="725" width="9.44140625" style="166" bestFit="1" customWidth="1"/>
    <col min="726" max="726" width="25.6640625" style="166" bestFit="1" customWidth="1"/>
    <col min="727" max="728" width="21.6640625" style="166" customWidth="1"/>
    <col min="729" max="729" width="10.33203125" style="166" customWidth="1"/>
    <col min="730" max="730" width="5.33203125" style="166" customWidth="1"/>
    <col min="731" max="731" width="9.44140625" style="166" bestFit="1" customWidth="1"/>
    <col min="732" max="732" width="25.6640625" style="166" bestFit="1" customWidth="1"/>
    <col min="733" max="733" width="21" style="166" customWidth="1"/>
    <col min="734" max="734" width="20.33203125" style="166" customWidth="1"/>
    <col min="735" max="978" width="10.33203125" style="166"/>
    <col min="979" max="979" width="3.6640625" style="166" customWidth="1"/>
    <col min="980" max="980" width="5.33203125" style="166" customWidth="1"/>
    <col min="981" max="981" width="9.44140625" style="166" bestFit="1" customWidth="1"/>
    <col min="982" max="982" width="25.6640625" style="166" bestFit="1" customWidth="1"/>
    <col min="983" max="984" width="21.6640625" style="166" customWidth="1"/>
    <col min="985" max="985" width="10.33203125" style="166" customWidth="1"/>
    <col min="986" max="986" width="5.33203125" style="166" customWidth="1"/>
    <col min="987" max="987" width="9.44140625" style="166" bestFit="1" customWidth="1"/>
    <col min="988" max="988" width="25.6640625" style="166" bestFit="1" customWidth="1"/>
    <col min="989" max="989" width="21" style="166" customWidth="1"/>
    <col min="990" max="990" width="20.33203125" style="166" customWidth="1"/>
    <col min="991" max="1234" width="10.33203125" style="166"/>
    <col min="1235" max="1235" width="3.6640625" style="166" customWidth="1"/>
    <col min="1236" max="1236" width="5.33203125" style="166" customWidth="1"/>
    <col min="1237" max="1237" width="9.44140625" style="166" bestFit="1" customWidth="1"/>
    <col min="1238" max="1238" width="25.6640625" style="166" bestFit="1" customWidth="1"/>
    <col min="1239" max="1240" width="21.6640625" style="166" customWidth="1"/>
    <col min="1241" max="1241" width="10.33203125" style="166" customWidth="1"/>
    <col min="1242" max="1242" width="5.33203125" style="166" customWidth="1"/>
    <col min="1243" max="1243" width="9.44140625" style="166" bestFit="1" customWidth="1"/>
    <col min="1244" max="1244" width="25.6640625" style="166" bestFit="1" customWidth="1"/>
    <col min="1245" max="1245" width="21" style="166" customWidth="1"/>
    <col min="1246" max="1246" width="20.33203125" style="166" customWidth="1"/>
    <col min="1247" max="1490" width="10.33203125" style="166"/>
    <col min="1491" max="1491" width="3.6640625" style="166" customWidth="1"/>
    <col min="1492" max="1492" width="5.33203125" style="166" customWidth="1"/>
    <col min="1493" max="1493" width="9.44140625" style="166" bestFit="1" customWidth="1"/>
    <col min="1494" max="1494" width="25.6640625" style="166" bestFit="1" customWidth="1"/>
    <col min="1495" max="1496" width="21.6640625" style="166" customWidth="1"/>
    <col min="1497" max="1497" width="10.33203125" style="166" customWidth="1"/>
    <col min="1498" max="1498" width="5.33203125" style="166" customWidth="1"/>
    <col min="1499" max="1499" width="9.44140625" style="166" bestFit="1" customWidth="1"/>
    <col min="1500" max="1500" width="25.6640625" style="166" bestFit="1" customWidth="1"/>
    <col min="1501" max="1501" width="21" style="166" customWidth="1"/>
    <col min="1502" max="1502" width="20.33203125" style="166" customWidth="1"/>
    <col min="1503" max="1746" width="10.33203125" style="166"/>
    <col min="1747" max="1747" width="3.6640625" style="166" customWidth="1"/>
    <col min="1748" max="1748" width="5.33203125" style="166" customWidth="1"/>
    <col min="1749" max="1749" width="9.44140625" style="166" bestFit="1" customWidth="1"/>
    <col min="1750" max="1750" width="25.6640625" style="166" bestFit="1" customWidth="1"/>
    <col min="1751" max="1752" width="21.6640625" style="166" customWidth="1"/>
    <col min="1753" max="1753" width="10.33203125" style="166" customWidth="1"/>
    <col min="1754" max="1754" width="5.33203125" style="166" customWidth="1"/>
    <col min="1755" max="1755" width="9.44140625" style="166" bestFit="1" customWidth="1"/>
    <col min="1756" max="1756" width="25.6640625" style="166" bestFit="1" customWidth="1"/>
    <col min="1757" max="1757" width="21" style="166" customWidth="1"/>
    <col min="1758" max="1758" width="20.33203125" style="166" customWidth="1"/>
    <col min="1759" max="2002" width="10.33203125" style="166"/>
    <col min="2003" max="2003" width="3.6640625" style="166" customWidth="1"/>
    <col min="2004" max="2004" width="5.33203125" style="166" customWidth="1"/>
    <col min="2005" max="2005" width="9.44140625" style="166" bestFit="1" customWidth="1"/>
    <col min="2006" max="2006" width="25.6640625" style="166" bestFit="1" customWidth="1"/>
    <col min="2007" max="2008" width="21.6640625" style="166" customWidth="1"/>
    <col min="2009" max="2009" width="10.33203125" style="166" customWidth="1"/>
    <col min="2010" max="2010" width="5.33203125" style="166" customWidth="1"/>
    <col min="2011" max="2011" width="9.44140625" style="166" bestFit="1" customWidth="1"/>
    <col min="2012" max="2012" width="25.6640625" style="166" bestFit="1" customWidth="1"/>
    <col min="2013" max="2013" width="21" style="166" customWidth="1"/>
    <col min="2014" max="2014" width="20.33203125" style="166" customWidth="1"/>
    <col min="2015" max="2258" width="10.33203125" style="166"/>
    <col min="2259" max="2259" width="3.6640625" style="166" customWidth="1"/>
    <col min="2260" max="2260" width="5.33203125" style="166" customWidth="1"/>
    <col min="2261" max="2261" width="9.44140625" style="166" bestFit="1" customWidth="1"/>
    <col min="2262" max="2262" width="25.6640625" style="166" bestFit="1" customWidth="1"/>
    <col min="2263" max="2264" width="21.6640625" style="166" customWidth="1"/>
    <col min="2265" max="2265" width="10.33203125" style="166" customWidth="1"/>
    <col min="2266" max="2266" width="5.33203125" style="166" customWidth="1"/>
    <col min="2267" max="2267" width="9.44140625" style="166" bestFit="1" customWidth="1"/>
    <col min="2268" max="2268" width="25.6640625" style="166" bestFit="1" customWidth="1"/>
    <col min="2269" max="2269" width="21" style="166" customWidth="1"/>
    <col min="2270" max="2270" width="20.33203125" style="166" customWidth="1"/>
    <col min="2271" max="2514" width="10.33203125" style="166"/>
    <col min="2515" max="2515" width="3.6640625" style="166" customWidth="1"/>
    <col min="2516" max="2516" width="5.33203125" style="166" customWidth="1"/>
    <col min="2517" max="2517" width="9.44140625" style="166" bestFit="1" customWidth="1"/>
    <col min="2518" max="2518" width="25.6640625" style="166" bestFit="1" customWidth="1"/>
    <col min="2519" max="2520" width="21.6640625" style="166" customWidth="1"/>
    <col min="2521" max="2521" width="10.33203125" style="166" customWidth="1"/>
    <col min="2522" max="2522" width="5.33203125" style="166" customWidth="1"/>
    <col min="2523" max="2523" width="9.44140625" style="166" bestFit="1" customWidth="1"/>
    <col min="2524" max="2524" width="25.6640625" style="166" bestFit="1" customWidth="1"/>
    <col min="2525" max="2525" width="21" style="166" customWidth="1"/>
    <col min="2526" max="2526" width="20.33203125" style="166" customWidth="1"/>
    <col min="2527" max="2770" width="10.33203125" style="166"/>
    <col min="2771" max="2771" width="3.6640625" style="166" customWidth="1"/>
    <col min="2772" max="2772" width="5.33203125" style="166" customWidth="1"/>
    <col min="2773" max="2773" width="9.44140625" style="166" bestFit="1" customWidth="1"/>
    <col min="2774" max="2774" width="25.6640625" style="166" bestFit="1" customWidth="1"/>
    <col min="2775" max="2776" width="21.6640625" style="166" customWidth="1"/>
    <col min="2777" max="2777" width="10.33203125" style="166" customWidth="1"/>
    <col min="2778" max="2778" width="5.33203125" style="166" customWidth="1"/>
    <col min="2779" max="2779" width="9.44140625" style="166" bestFit="1" customWidth="1"/>
    <col min="2780" max="2780" width="25.6640625" style="166" bestFit="1" customWidth="1"/>
    <col min="2781" max="2781" width="21" style="166" customWidth="1"/>
    <col min="2782" max="2782" width="20.33203125" style="166" customWidth="1"/>
    <col min="2783" max="3026" width="10.33203125" style="166"/>
    <col min="3027" max="3027" width="3.6640625" style="166" customWidth="1"/>
    <col min="3028" max="3028" width="5.33203125" style="166" customWidth="1"/>
    <col min="3029" max="3029" width="9.44140625" style="166" bestFit="1" customWidth="1"/>
    <col min="3030" max="3030" width="25.6640625" style="166" bestFit="1" customWidth="1"/>
    <col min="3031" max="3032" width="21.6640625" style="166" customWidth="1"/>
    <col min="3033" max="3033" width="10.33203125" style="166" customWidth="1"/>
    <col min="3034" max="3034" width="5.33203125" style="166" customWidth="1"/>
    <col min="3035" max="3035" width="9.44140625" style="166" bestFit="1" customWidth="1"/>
    <col min="3036" max="3036" width="25.6640625" style="166" bestFit="1" customWidth="1"/>
    <col min="3037" max="3037" width="21" style="166" customWidth="1"/>
    <col min="3038" max="3038" width="20.33203125" style="166" customWidth="1"/>
    <col min="3039" max="3282" width="10.33203125" style="166"/>
    <col min="3283" max="3283" width="3.6640625" style="166" customWidth="1"/>
    <col min="3284" max="3284" width="5.33203125" style="166" customWidth="1"/>
    <col min="3285" max="3285" width="9.44140625" style="166" bestFit="1" customWidth="1"/>
    <col min="3286" max="3286" width="25.6640625" style="166" bestFit="1" customWidth="1"/>
    <col min="3287" max="3288" width="21.6640625" style="166" customWidth="1"/>
    <col min="3289" max="3289" width="10.33203125" style="166" customWidth="1"/>
    <col min="3290" max="3290" width="5.33203125" style="166" customWidth="1"/>
    <col min="3291" max="3291" width="9.44140625" style="166" bestFit="1" customWidth="1"/>
    <col min="3292" max="3292" width="25.6640625" style="166" bestFit="1" customWidth="1"/>
    <col min="3293" max="3293" width="21" style="166" customWidth="1"/>
    <col min="3294" max="3294" width="20.33203125" style="166" customWidth="1"/>
    <col min="3295" max="3538" width="10.33203125" style="166"/>
    <col min="3539" max="3539" width="3.6640625" style="166" customWidth="1"/>
    <col min="3540" max="3540" width="5.33203125" style="166" customWidth="1"/>
    <col min="3541" max="3541" width="9.44140625" style="166" bestFit="1" customWidth="1"/>
    <col min="3542" max="3542" width="25.6640625" style="166" bestFit="1" customWidth="1"/>
    <col min="3543" max="3544" width="21.6640625" style="166" customWidth="1"/>
    <col min="3545" max="3545" width="10.33203125" style="166" customWidth="1"/>
    <col min="3546" max="3546" width="5.33203125" style="166" customWidth="1"/>
    <col min="3547" max="3547" width="9.44140625" style="166" bestFit="1" customWidth="1"/>
    <col min="3548" max="3548" width="25.6640625" style="166" bestFit="1" customWidth="1"/>
    <col min="3549" max="3549" width="21" style="166" customWidth="1"/>
    <col min="3550" max="3550" width="20.33203125" style="166" customWidth="1"/>
    <col min="3551" max="3794" width="10.33203125" style="166"/>
    <col min="3795" max="3795" width="3.6640625" style="166" customWidth="1"/>
    <col min="3796" max="3796" width="5.33203125" style="166" customWidth="1"/>
    <col min="3797" max="3797" width="9.44140625" style="166" bestFit="1" customWidth="1"/>
    <col min="3798" max="3798" width="25.6640625" style="166" bestFit="1" customWidth="1"/>
    <col min="3799" max="3800" width="21.6640625" style="166" customWidth="1"/>
    <col min="3801" max="3801" width="10.33203125" style="166" customWidth="1"/>
    <col min="3802" max="3802" width="5.33203125" style="166" customWidth="1"/>
    <col min="3803" max="3803" width="9.44140625" style="166" bestFit="1" customWidth="1"/>
    <col min="3804" max="3804" width="25.6640625" style="166" bestFit="1" customWidth="1"/>
    <col min="3805" max="3805" width="21" style="166" customWidth="1"/>
    <col min="3806" max="3806" width="20.33203125" style="166" customWidth="1"/>
    <col min="3807" max="4050" width="10.33203125" style="166"/>
    <col min="4051" max="4051" width="3.6640625" style="166" customWidth="1"/>
    <col min="4052" max="4052" width="5.33203125" style="166" customWidth="1"/>
    <col min="4053" max="4053" width="9.44140625" style="166" bestFit="1" customWidth="1"/>
    <col min="4054" max="4054" width="25.6640625" style="166" bestFit="1" customWidth="1"/>
    <col min="4055" max="4056" width="21.6640625" style="166" customWidth="1"/>
    <col min="4057" max="4057" width="10.33203125" style="166" customWidth="1"/>
    <col min="4058" max="4058" width="5.33203125" style="166" customWidth="1"/>
    <col min="4059" max="4059" width="9.44140625" style="166" bestFit="1" customWidth="1"/>
    <col min="4060" max="4060" width="25.6640625" style="166" bestFit="1" customWidth="1"/>
    <col min="4061" max="4061" width="21" style="166" customWidth="1"/>
    <col min="4062" max="4062" width="20.33203125" style="166" customWidth="1"/>
    <col min="4063" max="4306" width="10.33203125" style="166"/>
    <col min="4307" max="4307" width="3.6640625" style="166" customWidth="1"/>
    <col min="4308" max="4308" width="5.33203125" style="166" customWidth="1"/>
    <col min="4309" max="4309" width="9.44140625" style="166" bestFit="1" customWidth="1"/>
    <col min="4310" max="4310" width="25.6640625" style="166" bestFit="1" customWidth="1"/>
    <col min="4311" max="4312" width="21.6640625" style="166" customWidth="1"/>
    <col min="4313" max="4313" width="10.33203125" style="166" customWidth="1"/>
    <col min="4314" max="4314" width="5.33203125" style="166" customWidth="1"/>
    <col min="4315" max="4315" width="9.44140625" style="166" bestFit="1" customWidth="1"/>
    <col min="4316" max="4316" width="25.6640625" style="166" bestFit="1" customWidth="1"/>
    <col min="4317" max="4317" width="21" style="166" customWidth="1"/>
    <col min="4318" max="4318" width="20.33203125" style="166" customWidth="1"/>
    <col min="4319" max="4562" width="10.33203125" style="166"/>
    <col min="4563" max="4563" width="3.6640625" style="166" customWidth="1"/>
    <col min="4564" max="4564" width="5.33203125" style="166" customWidth="1"/>
    <col min="4565" max="4565" width="9.44140625" style="166" bestFit="1" customWidth="1"/>
    <col min="4566" max="4566" width="25.6640625" style="166" bestFit="1" customWidth="1"/>
    <col min="4567" max="4568" width="21.6640625" style="166" customWidth="1"/>
    <col min="4569" max="4569" width="10.33203125" style="166" customWidth="1"/>
    <col min="4570" max="4570" width="5.33203125" style="166" customWidth="1"/>
    <col min="4571" max="4571" width="9.44140625" style="166" bestFit="1" customWidth="1"/>
    <col min="4572" max="4572" width="25.6640625" style="166" bestFit="1" customWidth="1"/>
    <col min="4573" max="4573" width="21" style="166" customWidth="1"/>
    <col min="4574" max="4574" width="20.33203125" style="166" customWidth="1"/>
    <col min="4575" max="4818" width="10.33203125" style="166"/>
    <col min="4819" max="4819" width="3.6640625" style="166" customWidth="1"/>
    <col min="4820" max="4820" width="5.33203125" style="166" customWidth="1"/>
    <col min="4821" max="4821" width="9.44140625" style="166" bestFit="1" customWidth="1"/>
    <col min="4822" max="4822" width="25.6640625" style="166" bestFit="1" customWidth="1"/>
    <col min="4823" max="4824" width="21.6640625" style="166" customWidth="1"/>
    <col min="4825" max="4825" width="10.33203125" style="166" customWidth="1"/>
    <col min="4826" max="4826" width="5.33203125" style="166" customWidth="1"/>
    <col min="4827" max="4827" width="9.44140625" style="166" bestFit="1" customWidth="1"/>
    <col min="4828" max="4828" width="25.6640625" style="166" bestFit="1" customWidth="1"/>
    <col min="4829" max="4829" width="21" style="166" customWidth="1"/>
    <col min="4830" max="4830" width="20.33203125" style="166" customWidth="1"/>
    <col min="4831" max="5074" width="10.33203125" style="166"/>
    <col min="5075" max="5075" width="3.6640625" style="166" customWidth="1"/>
    <col min="5076" max="5076" width="5.33203125" style="166" customWidth="1"/>
    <col min="5077" max="5077" width="9.44140625" style="166" bestFit="1" customWidth="1"/>
    <col min="5078" max="5078" width="25.6640625" style="166" bestFit="1" customWidth="1"/>
    <col min="5079" max="5080" width="21.6640625" style="166" customWidth="1"/>
    <col min="5081" max="5081" width="10.33203125" style="166" customWidth="1"/>
    <col min="5082" max="5082" width="5.33203125" style="166" customWidth="1"/>
    <col min="5083" max="5083" width="9.44140625" style="166" bestFit="1" customWidth="1"/>
    <col min="5084" max="5084" width="25.6640625" style="166" bestFit="1" customWidth="1"/>
    <col min="5085" max="5085" width="21" style="166" customWidth="1"/>
    <col min="5086" max="5086" width="20.33203125" style="166" customWidth="1"/>
    <col min="5087" max="5330" width="10.33203125" style="166"/>
    <col min="5331" max="5331" width="3.6640625" style="166" customWidth="1"/>
    <col min="5332" max="5332" width="5.33203125" style="166" customWidth="1"/>
    <col min="5333" max="5333" width="9.44140625" style="166" bestFit="1" customWidth="1"/>
    <col min="5334" max="5334" width="25.6640625" style="166" bestFit="1" customWidth="1"/>
    <col min="5335" max="5336" width="21.6640625" style="166" customWidth="1"/>
    <col min="5337" max="5337" width="10.33203125" style="166" customWidth="1"/>
    <col min="5338" max="5338" width="5.33203125" style="166" customWidth="1"/>
    <col min="5339" max="5339" width="9.44140625" style="166" bestFit="1" customWidth="1"/>
    <col min="5340" max="5340" width="25.6640625" style="166" bestFit="1" customWidth="1"/>
    <col min="5341" max="5341" width="21" style="166" customWidth="1"/>
    <col min="5342" max="5342" width="20.33203125" style="166" customWidth="1"/>
    <col min="5343" max="5586" width="10.33203125" style="166"/>
    <col min="5587" max="5587" width="3.6640625" style="166" customWidth="1"/>
    <col min="5588" max="5588" width="5.33203125" style="166" customWidth="1"/>
    <col min="5589" max="5589" width="9.44140625" style="166" bestFit="1" customWidth="1"/>
    <col min="5590" max="5590" width="25.6640625" style="166" bestFit="1" customWidth="1"/>
    <col min="5591" max="5592" width="21.6640625" style="166" customWidth="1"/>
    <col min="5593" max="5593" width="10.33203125" style="166" customWidth="1"/>
    <col min="5594" max="5594" width="5.33203125" style="166" customWidth="1"/>
    <col min="5595" max="5595" width="9.44140625" style="166" bestFit="1" customWidth="1"/>
    <col min="5596" max="5596" width="25.6640625" style="166" bestFit="1" customWidth="1"/>
    <col min="5597" max="5597" width="21" style="166" customWidth="1"/>
    <col min="5598" max="5598" width="20.33203125" style="166" customWidth="1"/>
    <col min="5599" max="5842" width="10.33203125" style="166"/>
    <col min="5843" max="5843" width="3.6640625" style="166" customWidth="1"/>
    <col min="5844" max="5844" width="5.33203125" style="166" customWidth="1"/>
    <col min="5845" max="5845" width="9.44140625" style="166" bestFit="1" customWidth="1"/>
    <col min="5846" max="5846" width="25.6640625" style="166" bestFit="1" customWidth="1"/>
    <col min="5847" max="5848" width="21.6640625" style="166" customWidth="1"/>
    <col min="5849" max="5849" width="10.33203125" style="166" customWidth="1"/>
    <col min="5850" max="5850" width="5.33203125" style="166" customWidth="1"/>
    <col min="5851" max="5851" width="9.44140625" style="166" bestFit="1" customWidth="1"/>
    <col min="5852" max="5852" width="25.6640625" style="166" bestFit="1" customWidth="1"/>
    <col min="5853" max="5853" width="21" style="166" customWidth="1"/>
    <col min="5854" max="5854" width="20.33203125" style="166" customWidth="1"/>
    <col min="5855" max="6098" width="10.33203125" style="166"/>
    <col min="6099" max="6099" width="3.6640625" style="166" customWidth="1"/>
    <col min="6100" max="6100" width="5.33203125" style="166" customWidth="1"/>
    <col min="6101" max="6101" width="9.44140625" style="166" bestFit="1" customWidth="1"/>
    <col min="6102" max="6102" width="25.6640625" style="166" bestFit="1" customWidth="1"/>
    <col min="6103" max="6104" width="21.6640625" style="166" customWidth="1"/>
    <col min="6105" max="6105" width="10.33203125" style="166" customWidth="1"/>
    <col min="6106" max="6106" width="5.33203125" style="166" customWidth="1"/>
    <col min="6107" max="6107" width="9.44140625" style="166" bestFit="1" customWidth="1"/>
    <col min="6108" max="6108" width="25.6640625" style="166" bestFit="1" customWidth="1"/>
    <col min="6109" max="6109" width="21" style="166" customWidth="1"/>
    <col min="6110" max="6110" width="20.33203125" style="166" customWidth="1"/>
    <col min="6111" max="6354" width="10.33203125" style="166"/>
    <col min="6355" max="6355" width="3.6640625" style="166" customWidth="1"/>
    <col min="6356" max="6356" width="5.33203125" style="166" customWidth="1"/>
    <col min="6357" max="6357" width="9.44140625" style="166" bestFit="1" customWidth="1"/>
    <col min="6358" max="6358" width="25.6640625" style="166" bestFit="1" customWidth="1"/>
    <col min="6359" max="6360" width="21.6640625" style="166" customWidth="1"/>
    <col min="6361" max="6361" width="10.33203125" style="166" customWidth="1"/>
    <col min="6362" max="6362" width="5.33203125" style="166" customWidth="1"/>
    <col min="6363" max="6363" width="9.44140625" style="166" bestFit="1" customWidth="1"/>
    <col min="6364" max="6364" width="25.6640625" style="166" bestFit="1" customWidth="1"/>
    <col min="6365" max="6365" width="21" style="166" customWidth="1"/>
    <col min="6366" max="6366" width="20.33203125" style="166" customWidth="1"/>
    <col min="6367" max="6610" width="10.33203125" style="166"/>
    <col min="6611" max="6611" width="3.6640625" style="166" customWidth="1"/>
    <col min="6612" max="6612" width="5.33203125" style="166" customWidth="1"/>
    <col min="6613" max="6613" width="9.44140625" style="166" bestFit="1" customWidth="1"/>
    <col min="6614" max="6614" width="25.6640625" style="166" bestFit="1" customWidth="1"/>
    <col min="6615" max="6616" width="21.6640625" style="166" customWidth="1"/>
    <col min="6617" max="6617" width="10.33203125" style="166" customWidth="1"/>
    <col min="6618" max="6618" width="5.33203125" style="166" customWidth="1"/>
    <col min="6619" max="6619" width="9.44140625" style="166" bestFit="1" customWidth="1"/>
    <col min="6620" max="6620" width="25.6640625" style="166" bestFit="1" customWidth="1"/>
    <col min="6621" max="6621" width="21" style="166" customWidth="1"/>
    <col min="6622" max="6622" width="20.33203125" style="166" customWidth="1"/>
    <col min="6623" max="6866" width="10.33203125" style="166"/>
    <col min="6867" max="6867" width="3.6640625" style="166" customWidth="1"/>
    <col min="6868" max="6868" width="5.33203125" style="166" customWidth="1"/>
    <col min="6869" max="6869" width="9.44140625" style="166" bestFit="1" customWidth="1"/>
    <col min="6870" max="6870" width="25.6640625" style="166" bestFit="1" customWidth="1"/>
    <col min="6871" max="6872" width="21.6640625" style="166" customWidth="1"/>
    <col min="6873" max="6873" width="10.33203125" style="166" customWidth="1"/>
    <col min="6874" max="6874" width="5.33203125" style="166" customWidth="1"/>
    <col min="6875" max="6875" width="9.44140625" style="166" bestFit="1" customWidth="1"/>
    <col min="6876" max="6876" width="25.6640625" style="166" bestFit="1" customWidth="1"/>
    <col min="6877" max="6877" width="21" style="166" customWidth="1"/>
    <col min="6878" max="6878" width="20.33203125" style="166" customWidth="1"/>
    <col min="6879" max="7122" width="10.33203125" style="166"/>
    <col min="7123" max="7123" width="3.6640625" style="166" customWidth="1"/>
    <col min="7124" max="7124" width="5.33203125" style="166" customWidth="1"/>
    <col min="7125" max="7125" width="9.44140625" style="166" bestFit="1" customWidth="1"/>
    <col min="7126" max="7126" width="25.6640625" style="166" bestFit="1" customWidth="1"/>
    <col min="7127" max="7128" width="21.6640625" style="166" customWidth="1"/>
    <col min="7129" max="7129" width="10.33203125" style="166" customWidth="1"/>
    <col min="7130" max="7130" width="5.33203125" style="166" customWidth="1"/>
    <col min="7131" max="7131" width="9.44140625" style="166" bestFit="1" customWidth="1"/>
    <col min="7132" max="7132" width="25.6640625" style="166" bestFit="1" customWidth="1"/>
    <col min="7133" max="7133" width="21" style="166" customWidth="1"/>
    <col min="7134" max="7134" width="20.33203125" style="166" customWidth="1"/>
    <col min="7135" max="7378" width="10.33203125" style="166"/>
    <col min="7379" max="7379" width="3.6640625" style="166" customWidth="1"/>
    <col min="7380" max="7380" width="5.33203125" style="166" customWidth="1"/>
    <col min="7381" max="7381" width="9.44140625" style="166" bestFit="1" customWidth="1"/>
    <col min="7382" max="7382" width="25.6640625" style="166" bestFit="1" customWidth="1"/>
    <col min="7383" max="7384" width="21.6640625" style="166" customWidth="1"/>
    <col min="7385" max="7385" width="10.33203125" style="166" customWidth="1"/>
    <col min="7386" max="7386" width="5.33203125" style="166" customWidth="1"/>
    <col min="7387" max="7387" width="9.44140625" style="166" bestFit="1" customWidth="1"/>
    <col min="7388" max="7388" width="25.6640625" style="166" bestFit="1" customWidth="1"/>
    <col min="7389" max="7389" width="21" style="166" customWidth="1"/>
    <col min="7390" max="7390" width="20.33203125" style="166" customWidth="1"/>
    <col min="7391" max="7634" width="10.33203125" style="166"/>
    <col min="7635" max="7635" width="3.6640625" style="166" customWidth="1"/>
    <col min="7636" max="7636" width="5.33203125" style="166" customWidth="1"/>
    <col min="7637" max="7637" width="9.44140625" style="166" bestFit="1" customWidth="1"/>
    <col min="7638" max="7638" width="25.6640625" style="166" bestFit="1" customWidth="1"/>
    <col min="7639" max="7640" width="21.6640625" style="166" customWidth="1"/>
    <col min="7641" max="7641" width="10.33203125" style="166" customWidth="1"/>
    <col min="7642" max="7642" width="5.33203125" style="166" customWidth="1"/>
    <col min="7643" max="7643" width="9.44140625" style="166" bestFit="1" customWidth="1"/>
    <col min="7644" max="7644" width="25.6640625" style="166" bestFit="1" customWidth="1"/>
    <col min="7645" max="7645" width="21" style="166" customWidth="1"/>
    <col min="7646" max="7646" width="20.33203125" style="166" customWidth="1"/>
    <col min="7647" max="7890" width="10.33203125" style="166"/>
    <col min="7891" max="7891" width="3.6640625" style="166" customWidth="1"/>
    <col min="7892" max="7892" width="5.33203125" style="166" customWidth="1"/>
    <col min="7893" max="7893" width="9.44140625" style="166" bestFit="1" customWidth="1"/>
    <col min="7894" max="7894" width="25.6640625" style="166" bestFit="1" customWidth="1"/>
    <col min="7895" max="7896" width="21.6640625" style="166" customWidth="1"/>
    <col min="7897" max="7897" width="10.33203125" style="166" customWidth="1"/>
    <col min="7898" max="7898" width="5.33203125" style="166" customWidth="1"/>
    <col min="7899" max="7899" width="9.44140625" style="166" bestFit="1" customWidth="1"/>
    <col min="7900" max="7900" width="25.6640625" style="166" bestFit="1" customWidth="1"/>
    <col min="7901" max="7901" width="21" style="166" customWidth="1"/>
    <col min="7902" max="7902" width="20.33203125" style="166" customWidth="1"/>
    <col min="7903" max="8146" width="10.33203125" style="166"/>
    <col min="8147" max="8147" width="3.6640625" style="166" customWidth="1"/>
    <col min="8148" max="8148" width="5.33203125" style="166" customWidth="1"/>
    <col min="8149" max="8149" width="9.44140625" style="166" bestFit="1" customWidth="1"/>
    <col min="8150" max="8150" width="25.6640625" style="166" bestFit="1" customWidth="1"/>
    <col min="8151" max="8152" width="21.6640625" style="166" customWidth="1"/>
    <col min="8153" max="8153" width="10.33203125" style="166" customWidth="1"/>
    <col min="8154" max="8154" width="5.33203125" style="166" customWidth="1"/>
    <col min="8155" max="8155" width="9.44140625" style="166" bestFit="1" customWidth="1"/>
    <col min="8156" max="8156" width="25.6640625" style="166" bestFit="1" customWidth="1"/>
    <col min="8157" max="8157" width="21" style="166" customWidth="1"/>
    <col min="8158" max="8158" width="20.33203125" style="166" customWidth="1"/>
    <col min="8159" max="8402" width="10.33203125" style="166"/>
    <col min="8403" max="8403" width="3.6640625" style="166" customWidth="1"/>
    <col min="8404" max="8404" width="5.33203125" style="166" customWidth="1"/>
    <col min="8405" max="8405" width="9.44140625" style="166" bestFit="1" customWidth="1"/>
    <col min="8406" max="8406" width="25.6640625" style="166" bestFit="1" customWidth="1"/>
    <col min="8407" max="8408" width="21.6640625" style="166" customWidth="1"/>
    <col min="8409" max="8409" width="10.33203125" style="166" customWidth="1"/>
    <col min="8410" max="8410" width="5.33203125" style="166" customWidth="1"/>
    <col min="8411" max="8411" width="9.44140625" style="166" bestFit="1" customWidth="1"/>
    <col min="8412" max="8412" width="25.6640625" style="166" bestFit="1" customWidth="1"/>
    <col min="8413" max="8413" width="21" style="166" customWidth="1"/>
    <col min="8414" max="8414" width="20.33203125" style="166" customWidth="1"/>
    <col min="8415" max="8658" width="10.33203125" style="166"/>
    <col min="8659" max="8659" width="3.6640625" style="166" customWidth="1"/>
    <col min="8660" max="8660" width="5.33203125" style="166" customWidth="1"/>
    <col min="8661" max="8661" width="9.44140625" style="166" bestFit="1" customWidth="1"/>
    <col min="8662" max="8662" width="25.6640625" style="166" bestFit="1" customWidth="1"/>
    <col min="8663" max="8664" width="21.6640625" style="166" customWidth="1"/>
    <col min="8665" max="8665" width="10.33203125" style="166" customWidth="1"/>
    <col min="8666" max="8666" width="5.33203125" style="166" customWidth="1"/>
    <col min="8667" max="8667" width="9.44140625" style="166" bestFit="1" customWidth="1"/>
    <col min="8668" max="8668" width="25.6640625" style="166" bestFit="1" customWidth="1"/>
    <col min="8669" max="8669" width="21" style="166" customWidth="1"/>
    <col min="8670" max="8670" width="20.33203125" style="166" customWidth="1"/>
    <col min="8671" max="8914" width="10.33203125" style="166"/>
    <col min="8915" max="8915" width="3.6640625" style="166" customWidth="1"/>
    <col min="8916" max="8916" width="5.33203125" style="166" customWidth="1"/>
    <col min="8917" max="8917" width="9.44140625" style="166" bestFit="1" customWidth="1"/>
    <col min="8918" max="8918" width="25.6640625" style="166" bestFit="1" customWidth="1"/>
    <col min="8919" max="8920" width="21.6640625" style="166" customWidth="1"/>
    <col min="8921" max="8921" width="10.33203125" style="166" customWidth="1"/>
    <col min="8922" max="8922" width="5.33203125" style="166" customWidth="1"/>
    <col min="8923" max="8923" width="9.44140625" style="166" bestFit="1" customWidth="1"/>
    <col min="8924" max="8924" width="25.6640625" style="166" bestFit="1" customWidth="1"/>
    <col min="8925" max="8925" width="21" style="166" customWidth="1"/>
    <col min="8926" max="8926" width="20.33203125" style="166" customWidth="1"/>
    <col min="8927" max="9170" width="10.33203125" style="166"/>
    <col min="9171" max="9171" width="3.6640625" style="166" customWidth="1"/>
    <col min="9172" max="9172" width="5.33203125" style="166" customWidth="1"/>
    <col min="9173" max="9173" width="9.44140625" style="166" bestFit="1" customWidth="1"/>
    <col min="9174" max="9174" width="25.6640625" style="166" bestFit="1" customWidth="1"/>
    <col min="9175" max="9176" width="21.6640625" style="166" customWidth="1"/>
    <col min="9177" max="9177" width="10.33203125" style="166" customWidth="1"/>
    <col min="9178" max="9178" width="5.33203125" style="166" customWidth="1"/>
    <col min="9179" max="9179" width="9.44140625" style="166" bestFit="1" customWidth="1"/>
    <col min="9180" max="9180" width="25.6640625" style="166" bestFit="1" customWidth="1"/>
    <col min="9181" max="9181" width="21" style="166" customWidth="1"/>
    <col min="9182" max="9182" width="20.33203125" style="166" customWidth="1"/>
    <col min="9183" max="9426" width="10.33203125" style="166"/>
    <col min="9427" max="9427" width="3.6640625" style="166" customWidth="1"/>
    <col min="9428" max="9428" width="5.33203125" style="166" customWidth="1"/>
    <col min="9429" max="9429" width="9.44140625" style="166" bestFit="1" customWidth="1"/>
    <col min="9430" max="9430" width="25.6640625" style="166" bestFit="1" customWidth="1"/>
    <col min="9431" max="9432" width="21.6640625" style="166" customWidth="1"/>
    <col min="9433" max="9433" width="10.33203125" style="166" customWidth="1"/>
    <col min="9434" max="9434" width="5.33203125" style="166" customWidth="1"/>
    <col min="9435" max="9435" width="9.44140625" style="166" bestFit="1" customWidth="1"/>
    <col min="9436" max="9436" width="25.6640625" style="166" bestFit="1" customWidth="1"/>
    <col min="9437" max="9437" width="21" style="166" customWidth="1"/>
    <col min="9438" max="9438" width="20.33203125" style="166" customWidth="1"/>
    <col min="9439" max="9682" width="10.33203125" style="166"/>
    <col min="9683" max="9683" width="3.6640625" style="166" customWidth="1"/>
    <col min="9684" max="9684" width="5.33203125" style="166" customWidth="1"/>
    <col min="9685" max="9685" width="9.44140625" style="166" bestFit="1" customWidth="1"/>
    <col min="9686" max="9686" width="25.6640625" style="166" bestFit="1" customWidth="1"/>
    <col min="9687" max="9688" width="21.6640625" style="166" customWidth="1"/>
    <col min="9689" max="9689" width="10.33203125" style="166" customWidth="1"/>
    <col min="9690" max="9690" width="5.33203125" style="166" customWidth="1"/>
    <col min="9691" max="9691" width="9.44140625" style="166" bestFit="1" customWidth="1"/>
    <col min="9692" max="9692" width="25.6640625" style="166" bestFit="1" customWidth="1"/>
    <col min="9693" max="9693" width="21" style="166" customWidth="1"/>
    <col min="9694" max="9694" width="20.33203125" style="166" customWidth="1"/>
    <col min="9695" max="9938" width="10.33203125" style="166"/>
    <col min="9939" max="9939" width="3.6640625" style="166" customWidth="1"/>
    <col min="9940" max="9940" width="5.33203125" style="166" customWidth="1"/>
    <col min="9941" max="9941" width="9.44140625" style="166" bestFit="1" customWidth="1"/>
    <col min="9942" max="9942" width="25.6640625" style="166" bestFit="1" customWidth="1"/>
    <col min="9943" max="9944" width="21.6640625" style="166" customWidth="1"/>
    <col min="9945" max="9945" width="10.33203125" style="166" customWidth="1"/>
    <col min="9946" max="9946" width="5.33203125" style="166" customWidth="1"/>
    <col min="9947" max="9947" width="9.44140625" style="166" bestFit="1" customWidth="1"/>
    <col min="9948" max="9948" width="25.6640625" style="166" bestFit="1" customWidth="1"/>
    <col min="9949" max="9949" width="21" style="166" customWidth="1"/>
    <col min="9950" max="9950" width="20.33203125" style="166" customWidth="1"/>
    <col min="9951" max="10194" width="10.33203125" style="166"/>
    <col min="10195" max="10195" width="3.6640625" style="166" customWidth="1"/>
    <col min="10196" max="10196" width="5.33203125" style="166" customWidth="1"/>
    <col min="10197" max="10197" width="9.44140625" style="166" bestFit="1" customWidth="1"/>
    <col min="10198" max="10198" width="25.6640625" style="166" bestFit="1" customWidth="1"/>
    <col min="10199" max="10200" width="21.6640625" style="166" customWidth="1"/>
    <col min="10201" max="10201" width="10.33203125" style="166" customWidth="1"/>
    <col min="10202" max="10202" width="5.33203125" style="166" customWidth="1"/>
    <col min="10203" max="10203" width="9.44140625" style="166" bestFit="1" customWidth="1"/>
    <col min="10204" max="10204" width="25.6640625" style="166" bestFit="1" customWidth="1"/>
    <col min="10205" max="10205" width="21" style="166" customWidth="1"/>
    <col min="10206" max="10206" width="20.33203125" style="166" customWidth="1"/>
    <col min="10207" max="10450" width="10.33203125" style="166"/>
    <col min="10451" max="10451" width="3.6640625" style="166" customWidth="1"/>
    <col min="10452" max="10452" width="5.33203125" style="166" customWidth="1"/>
    <col min="10453" max="10453" width="9.44140625" style="166" bestFit="1" customWidth="1"/>
    <col min="10454" max="10454" width="25.6640625" style="166" bestFit="1" customWidth="1"/>
    <col min="10455" max="10456" width="21.6640625" style="166" customWidth="1"/>
    <col min="10457" max="10457" width="10.33203125" style="166" customWidth="1"/>
    <col min="10458" max="10458" width="5.33203125" style="166" customWidth="1"/>
    <col min="10459" max="10459" width="9.44140625" style="166" bestFit="1" customWidth="1"/>
    <col min="10460" max="10460" width="25.6640625" style="166" bestFit="1" customWidth="1"/>
    <col min="10461" max="10461" width="21" style="166" customWidth="1"/>
    <col min="10462" max="10462" width="20.33203125" style="166" customWidth="1"/>
    <col min="10463" max="10706" width="10.33203125" style="166"/>
    <col min="10707" max="10707" width="3.6640625" style="166" customWidth="1"/>
    <col min="10708" max="10708" width="5.33203125" style="166" customWidth="1"/>
    <col min="10709" max="10709" width="9.44140625" style="166" bestFit="1" customWidth="1"/>
    <col min="10710" max="10710" width="25.6640625" style="166" bestFit="1" customWidth="1"/>
    <col min="10711" max="10712" width="21.6640625" style="166" customWidth="1"/>
    <col min="10713" max="10713" width="10.33203125" style="166" customWidth="1"/>
    <col min="10714" max="10714" width="5.33203125" style="166" customWidth="1"/>
    <col min="10715" max="10715" width="9.44140625" style="166" bestFit="1" customWidth="1"/>
    <col min="10716" max="10716" width="25.6640625" style="166" bestFit="1" customWidth="1"/>
    <col min="10717" max="10717" width="21" style="166" customWidth="1"/>
    <col min="10718" max="10718" width="20.33203125" style="166" customWidth="1"/>
    <col min="10719" max="10962" width="10.33203125" style="166"/>
    <col min="10963" max="10963" width="3.6640625" style="166" customWidth="1"/>
    <col min="10964" max="10964" width="5.33203125" style="166" customWidth="1"/>
    <col min="10965" max="10965" width="9.44140625" style="166" bestFit="1" customWidth="1"/>
    <col min="10966" max="10966" width="25.6640625" style="166" bestFit="1" customWidth="1"/>
    <col min="10967" max="10968" width="21.6640625" style="166" customWidth="1"/>
    <col min="10969" max="10969" width="10.33203125" style="166" customWidth="1"/>
    <col min="10970" max="10970" width="5.33203125" style="166" customWidth="1"/>
    <col min="10971" max="10971" width="9.44140625" style="166" bestFit="1" customWidth="1"/>
    <col min="10972" max="10972" width="25.6640625" style="166" bestFit="1" customWidth="1"/>
    <col min="10973" max="10973" width="21" style="166" customWidth="1"/>
    <col min="10974" max="10974" width="20.33203125" style="166" customWidth="1"/>
    <col min="10975" max="11218" width="10.33203125" style="166"/>
    <col min="11219" max="11219" width="3.6640625" style="166" customWidth="1"/>
    <col min="11220" max="11220" width="5.33203125" style="166" customWidth="1"/>
    <col min="11221" max="11221" width="9.44140625" style="166" bestFit="1" customWidth="1"/>
    <col min="11222" max="11222" width="25.6640625" style="166" bestFit="1" customWidth="1"/>
    <col min="11223" max="11224" width="21.6640625" style="166" customWidth="1"/>
    <col min="11225" max="11225" width="10.33203125" style="166" customWidth="1"/>
    <col min="11226" max="11226" width="5.33203125" style="166" customWidth="1"/>
    <col min="11227" max="11227" width="9.44140625" style="166" bestFit="1" customWidth="1"/>
    <col min="11228" max="11228" width="25.6640625" style="166" bestFit="1" customWidth="1"/>
    <col min="11229" max="11229" width="21" style="166" customWidth="1"/>
    <col min="11230" max="11230" width="20.33203125" style="166" customWidth="1"/>
    <col min="11231" max="11474" width="10.33203125" style="166"/>
    <col min="11475" max="11475" width="3.6640625" style="166" customWidth="1"/>
    <col min="11476" max="11476" width="5.33203125" style="166" customWidth="1"/>
    <col min="11477" max="11477" width="9.44140625" style="166" bestFit="1" customWidth="1"/>
    <col min="11478" max="11478" width="25.6640625" style="166" bestFit="1" customWidth="1"/>
    <col min="11479" max="11480" width="21.6640625" style="166" customWidth="1"/>
    <col min="11481" max="11481" width="10.33203125" style="166" customWidth="1"/>
    <col min="11482" max="11482" width="5.33203125" style="166" customWidth="1"/>
    <col min="11483" max="11483" width="9.44140625" style="166" bestFit="1" customWidth="1"/>
    <col min="11484" max="11484" width="25.6640625" style="166" bestFit="1" customWidth="1"/>
    <col min="11485" max="11485" width="21" style="166" customWidth="1"/>
    <col min="11486" max="11486" width="20.33203125" style="166" customWidth="1"/>
    <col min="11487" max="11730" width="10.33203125" style="166"/>
    <col min="11731" max="11731" width="3.6640625" style="166" customWidth="1"/>
    <col min="11732" max="11732" width="5.33203125" style="166" customWidth="1"/>
    <col min="11733" max="11733" width="9.44140625" style="166" bestFit="1" customWidth="1"/>
    <col min="11734" max="11734" width="25.6640625" style="166" bestFit="1" customWidth="1"/>
    <col min="11735" max="11736" width="21.6640625" style="166" customWidth="1"/>
    <col min="11737" max="11737" width="10.33203125" style="166" customWidth="1"/>
    <col min="11738" max="11738" width="5.33203125" style="166" customWidth="1"/>
    <col min="11739" max="11739" width="9.44140625" style="166" bestFit="1" customWidth="1"/>
    <col min="11740" max="11740" width="25.6640625" style="166" bestFit="1" customWidth="1"/>
    <col min="11741" max="11741" width="21" style="166" customWidth="1"/>
    <col min="11742" max="11742" width="20.33203125" style="166" customWidth="1"/>
    <col min="11743" max="11986" width="10.33203125" style="166"/>
    <col min="11987" max="11987" width="3.6640625" style="166" customWidth="1"/>
    <col min="11988" max="11988" width="5.33203125" style="166" customWidth="1"/>
    <col min="11989" max="11989" width="9.44140625" style="166" bestFit="1" customWidth="1"/>
    <col min="11990" max="11990" width="25.6640625" style="166" bestFit="1" customWidth="1"/>
    <col min="11991" max="11992" width="21.6640625" style="166" customWidth="1"/>
    <col min="11993" max="11993" width="10.33203125" style="166" customWidth="1"/>
    <col min="11994" max="11994" width="5.33203125" style="166" customWidth="1"/>
    <col min="11995" max="11995" width="9.44140625" style="166" bestFit="1" customWidth="1"/>
    <col min="11996" max="11996" width="25.6640625" style="166" bestFit="1" customWidth="1"/>
    <col min="11997" max="11997" width="21" style="166" customWidth="1"/>
    <col min="11998" max="11998" width="20.33203125" style="166" customWidth="1"/>
    <col min="11999" max="12242" width="10.33203125" style="166"/>
    <col min="12243" max="12243" width="3.6640625" style="166" customWidth="1"/>
    <col min="12244" max="12244" width="5.33203125" style="166" customWidth="1"/>
    <col min="12245" max="12245" width="9.44140625" style="166" bestFit="1" customWidth="1"/>
    <col min="12246" max="12246" width="25.6640625" style="166" bestFit="1" customWidth="1"/>
    <col min="12247" max="12248" width="21.6640625" style="166" customWidth="1"/>
    <col min="12249" max="12249" width="10.33203125" style="166" customWidth="1"/>
    <col min="12250" max="12250" width="5.33203125" style="166" customWidth="1"/>
    <col min="12251" max="12251" width="9.44140625" style="166" bestFit="1" customWidth="1"/>
    <col min="12252" max="12252" width="25.6640625" style="166" bestFit="1" customWidth="1"/>
    <col min="12253" max="12253" width="21" style="166" customWidth="1"/>
    <col min="12254" max="12254" width="20.33203125" style="166" customWidth="1"/>
    <col min="12255" max="12498" width="10.33203125" style="166"/>
    <col min="12499" max="12499" width="3.6640625" style="166" customWidth="1"/>
    <col min="12500" max="12500" width="5.33203125" style="166" customWidth="1"/>
    <col min="12501" max="12501" width="9.44140625" style="166" bestFit="1" customWidth="1"/>
    <col min="12502" max="12502" width="25.6640625" style="166" bestFit="1" customWidth="1"/>
    <col min="12503" max="12504" width="21.6640625" style="166" customWidth="1"/>
    <col min="12505" max="12505" width="10.33203125" style="166" customWidth="1"/>
    <col min="12506" max="12506" width="5.33203125" style="166" customWidth="1"/>
    <col min="12507" max="12507" width="9.44140625" style="166" bestFit="1" customWidth="1"/>
    <col min="12508" max="12508" width="25.6640625" style="166" bestFit="1" customWidth="1"/>
    <col min="12509" max="12509" width="21" style="166" customWidth="1"/>
    <col min="12510" max="12510" width="20.33203125" style="166" customWidth="1"/>
    <col min="12511" max="12754" width="10.33203125" style="166"/>
    <col min="12755" max="12755" width="3.6640625" style="166" customWidth="1"/>
    <col min="12756" max="12756" width="5.33203125" style="166" customWidth="1"/>
    <col min="12757" max="12757" width="9.44140625" style="166" bestFit="1" customWidth="1"/>
    <col min="12758" max="12758" width="25.6640625" style="166" bestFit="1" customWidth="1"/>
    <col min="12759" max="12760" width="21.6640625" style="166" customWidth="1"/>
    <col min="12761" max="12761" width="10.33203125" style="166" customWidth="1"/>
    <col min="12762" max="12762" width="5.33203125" style="166" customWidth="1"/>
    <col min="12763" max="12763" width="9.44140625" style="166" bestFit="1" customWidth="1"/>
    <col min="12764" max="12764" width="25.6640625" style="166" bestFit="1" customWidth="1"/>
    <col min="12765" max="12765" width="21" style="166" customWidth="1"/>
    <col min="12766" max="12766" width="20.33203125" style="166" customWidth="1"/>
    <col min="12767" max="13010" width="10.33203125" style="166"/>
    <col min="13011" max="13011" width="3.6640625" style="166" customWidth="1"/>
    <col min="13012" max="13012" width="5.33203125" style="166" customWidth="1"/>
    <col min="13013" max="13013" width="9.44140625" style="166" bestFit="1" customWidth="1"/>
    <col min="13014" max="13014" width="25.6640625" style="166" bestFit="1" customWidth="1"/>
    <col min="13015" max="13016" width="21.6640625" style="166" customWidth="1"/>
    <col min="13017" max="13017" width="10.33203125" style="166" customWidth="1"/>
    <col min="13018" max="13018" width="5.33203125" style="166" customWidth="1"/>
    <col min="13019" max="13019" width="9.44140625" style="166" bestFit="1" customWidth="1"/>
    <col min="13020" max="13020" width="25.6640625" style="166" bestFit="1" customWidth="1"/>
    <col min="13021" max="13021" width="21" style="166" customWidth="1"/>
    <col min="13022" max="13022" width="20.33203125" style="166" customWidth="1"/>
    <col min="13023" max="13266" width="10.33203125" style="166"/>
    <col min="13267" max="13267" width="3.6640625" style="166" customWidth="1"/>
    <col min="13268" max="13268" width="5.33203125" style="166" customWidth="1"/>
    <col min="13269" max="13269" width="9.44140625" style="166" bestFit="1" customWidth="1"/>
    <col min="13270" max="13270" width="25.6640625" style="166" bestFit="1" customWidth="1"/>
    <col min="13271" max="13272" width="21.6640625" style="166" customWidth="1"/>
    <col min="13273" max="13273" width="10.33203125" style="166" customWidth="1"/>
    <col min="13274" max="13274" width="5.33203125" style="166" customWidth="1"/>
    <col min="13275" max="13275" width="9.44140625" style="166" bestFit="1" customWidth="1"/>
    <col min="13276" max="13276" width="25.6640625" style="166" bestFit="1" customWidth="1"/>
    <col min="13277" max="13277" width="21" style="166" customWidth="1"/>
    <col min="13278" max="13278" width="20.33203125" style="166" customWidth="1"/>
    <col min="13279" max="13522" width="10.33203125" style="166"/>
    <col min="13523" max="13523" width="3.6640625" style="166" customWidth="1"/>
    <col min="13524" max="13524" width="5.33203125" style="166" customWidth="1"/>
    <col min="13525" max="13525" width="9.44140625" style="166" bestFit="1" customWidth="1"/>
    <col min="13526" max="13526" width="25.6640625" style="166" bestFit="1" customWidth="1"/>
    <col min="13527" max="13528" width="21.6640625" style="166" customWidth="1"/>
    <col min="13529" max="13529" width="10.33203125" style="166" customWidth="1"/>
    <col min="13530" max="13530" width="5.33203125" style="166" customWidth="1"/>
    <col min="13531" max="13531" width="9.44140625" style="166" bestFit="1" customWidth="1"/>
    <col min="13532" max="13532" width="25.6640625" style="166" bestFit="1" customWidth="1"/>
    <col min="13533" max="13533" width="21" style="166" customWidth="1"/>
    <col min="13534" max="13534" width="20.33203125" style="166" customWidth="1"/>
    <col min="13535" max="13778" width="10.33203125" style="166"/>
    <col min="13779" max="13779" width="3.6640625" style="166" customWidth="1"/>
    <col min="13780" max="13780" width="5.33203125" style="166" customWidth="1"/>
    <col min="13781" max="13781" width="9.44140625" style="166" bestFit="1" customWidth="1"/>
    <col min="13782" max="13782" width="25.6640625" style="166" bestFit="1" customWidth="1"/>
    <col min="13783" max="13784" width="21.6640625" style="166" customWidth="1"/>
    <col min="13785" max="13785" width="10.33203125" style="166" customWidth="1"/>
    <col min="13786" max="13786" width="5.33203125" style="166" customWidth="1"/>
    <col min="13787" max="13787" width="9.44140625" style="166" bestFit="1" customWidth="1"/>
    <col min="13788" max="13788" width="25.6640625" style="166" bestFit="1" customWidth="1"/>
    <col min="13789" max="13789" width="21" style="166" customWidth="1"/>
    <col min="13790" max="13790" width="20.33203125" style="166" customWidth="1"/>
    <col min="13791" max="14034" width="10.33203125" style="166"/>
    <col min="14035" max="14035" width="3.6640625" style="166" customWidth="1"/>
    <col min="14036" max="14036" width="5.33203125" style="166" customWidth="1"/>
    <col min="14037" max="14037" width="9.44140625" style="166" bestFit="1" customWidth="1"/>
    <col min="14038" max="14038" width="25.6640625" style="166" bestFit="1" customWidth="1"/>
    <col min="14039" max="14040" width="21.6640625" style="166" customWidth="1"/>
    <col min="14041" max="14041" width="10.33203125" style="166" customWidth="1"/>
    <col min="14042" max="14042" width="5.33203125" style="166" customWidth="1"/>
    <col min="14043" max="14043" width="9.44140625" style="166" bestFit="1" customWidth="1"/>
    <col min="14044" max="14044" width="25.6640625" style="166" bestFit="1" customWidth="1"/>
    <col min="14045" max="14045" width="21" style="166" customWidth="1"/>
    <col min="14046" max="14046" width="20.33203125" style="166" customWidth="1"/>
    <col min="14047" max="14290" width="10.33203125" style="166"/>
    <col min="14291" max="14291" width="3.6640625" style="166" customWidth="1"/>
    <col min="14292" max="14292" width="5.33203125" style="166" customWidth="1"/>
    <col min="14293" max="14293" width="9.44140625" style="166" bestFit="1" customWidth="1"/>
    <col min="14294" max="14294" width="25.6640625" style="166" bestFit="1" customWidth="1"/>
    <col min="14295" max="14296" width="21.6640625" style="166" customWidth="1"/>
    <col min="14297" max="14297" width="10.33203125" style="166" customWidth="1"/>
    <col min="14298" max="14298" width="5.33203125" style="166" customWidth="1"/>
    <col min="14299" max="14299" width="9.44140625" style="166" bestFit="1" customWidth="1"/>
    <col min="14300" max="14300" width="25.6640625" style="166" bestFit="1" customWidth="1"/>
    <col min="14301" max="14301" width="21" style="166" customWidth="1"/>
    <col min="14302" max="14302" width="20.33203125" style="166" customWidth="1"/>
    <col min="14303" max="14546" width="10.33203125" style="166"/>
    <col min="14547" max="14547" width="3.6640625" style="166" customWidth="1"/>
    <col min="14548" max="14548" width="5.33203125" style="166" customWidth="1"/>
    <col min="14549" max="14549" width="9.44140625" style="166" bestFit="1" customWidth="1"/>
    <col min="14550" max="14550" width="25.6640625" style="166" bestFit="1" customWidth="1"/>
    <col min="14551" max="14552" width="21.6640625" style="166" customWidth="1"/>
    <col min="14553" max="14553" width="10.33203125" style="166" customWidth="1"/>
    <col min="14554" max="14554" width="5.33203125" style="166" customWidth="1"/>
    <col min="14555" max="14555" width="9.44140625" style="166" bestFit="1" customWidth="1"/>
    <col min="14556" max="14556" width="25.6640625" style="166" bestFit="1" customWidth="1"/>
    <col min="14557" max="14557" width="21" style="166" customWidth="1"/>
    <col min="14558" max="14558" width="20.33203125" style="166" customWidth="1"/>
    <col min="14559" max="14802" width="10.33203125" style="166"/>
    <col min="14803" max="14803" width="3.6640625" style="166" customWidth="1"/>
    <col min="14804" max="14804" width="5.33203125" style="166" customWidth="1"/>
    <col min="14805" max="14805" width="9.44140625" style="166" bestFit="1" customWidth="1"/>
    <col min="14806" max="14806" width="25.6640625" style="166" bestFit="1" customWidth="1"/>
    <col min="14807" max="14808" width="21.6640625" style="166" customWidth="1"/>
    <col min="14809" max="14809" width="10.33203125" style="166" customWidth="1"/>
    <col min="14810" max="14810" width="5.33203125" style="166" customWidth="1"/>
    <col min="14811" max="14811" width="9.44140625" style="166" bestFit="1" customWidth="1"/>
    <col min="14812" max="14812" width="25.6640625" style="166" bestFit="1" customWidth="1"/>
    <col min="14813" max="14813" width="21" style="166" customWidth="1"/>
    <col min="14814" max="14814" width="20.33203125" style="166" customWidth="1"/>
    <col min="14815" max="15058" width="10.33203125" style="166"/>
    <col min="15059" max="15059" width="3.6640625" style="166" customWidth="1"/>
    <col min="15060" max="15060" width="5.33203125" style="166" customWidth="1"/>
    <col min="15061" max="15061" width="9.44140625" style="166" bestFit="1" customWidth="1"/>
    <col min="15062" max="15062" width="25.6640625" style="166" bestFit="1" customWidth="1"/>
    <col min="15063" max="15064" width="21.6640625" style="166" customWidth="1"/>
    <col min="15065" max="15065" width="10.33203125" style="166" customWidth="1"/>
    <col min="15066" max="15066" width="5.33203125" style="166" customWidth="1"/>
    <col min="15067" max="15067" width="9.44140625" style="166" bestFit="1" customWidth="1"/>
    <col min="15068" max="15068" width="25.6640625" style="166" bestFit="1" customWidth="1"/>
    <col min="15069" max="15069" width="21" style="166" customWidth="1"/>
    <col min="15070" max="15070" width="20.33203125" style="166" customWidth="1"/>
    <col min="15071" max="15314" width="10.33203125" style="166"/>
    <col min="15315" max="15315" width="3.6640625" style="166" customWidth="1"/>
    <col min="15316" max="15316" width="5.33203125" style="166" customWidth="1"/>
    <col min="15317" max="15317" width="9.44140625" style="166" bestFit="1" customWidth="1"/>
    <col min="15318" max="15318" width="25.6640625" style="166" bestFit="1" customWidth="1"/>
    <col min="15319" max="15320" width="21.6640625" style="166" customWidth="1"/>
    <col min="15321" max="15321" width="10.33203125" style="166" customWidth="1"/>
    <col min="15322" max="15322" width="5.33203125" style="166" customWidth="1"/>
    <col min="15323" max="15323" width="9.44140625" style="166" bestFit="1" customWidth="1"/>
    <col min="15324" max="15324" width="25.6640625" style="166" bestFit="1" customWidth="1"/>
    <col min="15325" max="15325" width="21" style="166" customWidth="1"/>
    <col min="15326" max="15326" width="20.33203125" style="166" customWidth="1"/>
    <col min="15327" max="15570" width="10.33203125" style="166"/>
    <col min="15571" max="15571" width="3.6640625" style="166" customWidth="1"/>
    <col min="15572" max="15572" width="5.33203125" style="166" customWidth="1"/>
    <col min="15573" max="15573" width="9.44140625" style="166" bestFit="1" customWidth="1"/>
    <col min="15574" max="15574" width="25.6640625" style="166" bestFit="1" customWidth="1"/>
    <col min="15575" max="15576" width="21.6640625" style="166" customWidth="1"/>
    <col min="15577" max="15577" width="10.33203125" style="166" customWidth="1"/>
    <col min="15578" max="15578" width="5.33203125" style="166" customWidth="1"/>
    <col min="15579" max="15579" width="9.44140625" style="166" bestFit="1" customWidth="1"/>
    <col min="15580" max="15580" width="25.6640625" style="166" bestFit="1" customWidth="1"/>
    <col min="15581" max="15581" width="21" style="166" customWidth="1"/>
    <col min="15582" max="15582" width="20.33203125" style="166" customWidth="1"/>
    <col min="15583" max="15826" width="10.33203125" style="166"/>
    <col min="15827" max="15827" width="3.6640625" style="166" customWidth="1"/>
    <col min="15828" max="15828" width="5.33203125" style="166" customWidth="1"/>
    <col min="15829" max="15829" width="9.44140625" style="166" bestFit="1" customWidth="1"/>
    <col min="15830" max="15830" width="25.6640625" style="166" bestFit="1" customWidth="1"/>
    <col min="15831" max="15832" width="21.6640625" style="166" customWidth="1"/>
    <col min="15833" max="15833" width="10.33203125" style="166" customWidth="1"/>
    <col min="15834" max="15834" width="5.33203125" style="166" customWidth="1"/>
    <col min="15835" max="15835" width="9.44140625" style="166" bestFit="1" customWidth="1"/>
    <col min="15836" max="15836" width="25.6640625" style="166" bestFit="1" customWidth="1"/>
    <col min="15837" max="15837" width="21" style="166" customWidth="1"/>
    <col min="15838" max="15838" width="20.33203125" style="166" customWidth="1"/>
    <col min="15839" max="16082" width="10.33203125" style="166"/>
    <col min="16083" max="16083" width="3.6640625" style="166" customWidth="1"/>
    <col min="16084" max="16084" width="5.33203125" style="166" customWidth="1"/>
    <col min="16085" max="16085" width="9.44140625" style="166" bestFit="1" customWidth="1"/>
    <col min="16086" max="16086" width="25.6640625" style="166" bestFit="1" customWidth="1"/>
    <col min="16087" max="16088" width="21.6640625" style="166" customWidth="1"/>
    <col min="16089" max="16089" width="10.33203125" style="166" customWidth="1"/>
    <col min="16090" max="16090" width="5.33203125" style="166" customWidth="1"/>
    <col min="16091" max="16091" width="9.44140625" style="166" bestFit="1" customWidth="1"/>
    <col min="16092" max="16092" width="25.6640625" style="166" bestFit="1" customWidth="1"/>
    <col min="16093" max="16093" width="21" style="166" customWidth="1"/>
    <col min="16094" max="16094" width="20.33203125" style="166" customWidth="1"/>
    <col min="16095" max="16384" width="10.33203125" style="166"/>
  </cols>
  <sheetData>
    <row r="1" spans="2:11">
      <c r="B1" s="165"/>
      <c r="C1" s="165"/>
      <c r="D1" s="165"/>
      <c r="E1" s="165"/>
      <c r="F1" s="165"/>
    </row>
    <row r="2" spans="2:11" ht="18">
      <c r="B2" s="165"/>
      <c r="C2" s="167" t="s">
        <v>131</v>
      </c>
      <c r="D2" s="167"/>
      <c r="E2" s="167"/>
      <c r="F2" s="167"/>
    </row>
    <row r="3" spans="2:11" ht="18">
      <c r="B3" s="165"/>
      <c r="C3" s="168" t="s">
        <v>1052</v>
      </c>
      <c r="D3" s="168"/>
      <c r="E3" s="168"/>
      <c r="F3" s="168"/>
    </row>
    <row r="4" spans="2:11">
      <c r="B4" s="165"/>
      <c r="C4" s="614"/>
      <c r="D4" s="614"/>
      <c r="E4" s="165"/>
      <c r="F4" s="165"/>
    </row>
    <row r="5" spans="2:11" ht="30">
      <c r="B5" s="165"/>
      <c r="C5" s="615" t="s">
        <v>108</v>
      </c>
      <c r="D5" s="615" t="s">
        <v>109</v>
      </c>
      <c r="E5" s="844" t="s">
        <v>1323</v>
      </c>
      <c r="F5" s="844" t="s">
        <v>2039</v>
      </c>
    </row>
    <row r="6" spans="2:11">
      <c r="B6" s="165"/>
      <c r="C6" s="1023" t="s">
        <v>1357</v>
      </c>
      <c r="D6" s="1021" t="s">
        <v>374</v>
      </c>
      <c r="E6" s="990">
        <v>12682</v>
      </c>
      <c r="F6" s="990">
        <v>12430</v>
      </c>
      <c r="H6" s="988"/>
      <c r="I6" s="988"/>
      <c r="J6" s="989"/>
      <c r="K6" s="989"/>
    </row>
    <row r="7" spans="2:11">
      <c r="B7" s="165"/>
      <c r="C7" s="1023" t="s">
        <v>1358</v>
      </c>
      <c r="D7" s="1021" t="s">
        <v>375</v>
      </c>
      <c r="E7" s="990">
        <v>13171</v>
      </c>
      <c r="F7" s="990">
        <v>12624</v>
      </c>
      <c r="H7" s="988"/>
      <c r="I7" s="988"/>
      <c r="J7" s="989"/>
      <c r="K7" s="989"/>
    </row>
    <row r="8" spans="2:11">
      <c r="B8" s="165"/>
      <c r="C8" s="1023" t="s">
        <v>1359</v>
      </c>
      <c r="D8" s="1021" t="s">
        <v>376</v>
      </c>
      <c r="E8" s="990">
        <v>15181</v>
      </c>
      <c r="F8" s="990">
        <v>13622</v>
      </c>
      <c r="H8" s="988"/>
      <c r="I8" s="988"/>
      <c r="J8" s="989"/>
      <c r="K8" s="989"/>
    </row>
    <row r="9" spans="2:11">
      <c r="B9" s="165"/>
      <c r="C9" s="1023" t="s">
        <v>1360</v>
      </c>
      <c r="D9" s="1021" t="s">
        <v>377</v>
      </c>
      <c r="E9" s="990">
        <v>11581</v>
      </c>
      <c r="F9" s="990">
        <v>11368</v>
      </c>
      <c r="H9" s="988"/>
      <c r="I9" s="988"/>
      <c r="J9" s="989"/>
      <c r="K9" s="989"/>
    </row>
    <row r="10" spans="2:11">
      <c r="B10" s="165"/>
      <c r="C10" s="1023" t="s">
        <v>1361</v>
      </c>
      <c r="D10" s="1021" t="s">
        <v>378</v>
      </c>
      <c r="E10" s="990">
        <v>15861</v>
      </c>
      <c r="F10" s="990">
        <v>15718</v>
      </c>
      <c r="H10" s="988"/>
      <c r="I10" s="988"/>
      <c r="J10" s="989"/>
      <c r="K10" s="989"/>
    </row>
    <row r="11" spans="2:11">
      <c r="B11" s="165"/>
      <c r="C11" s="1023" t="s">
        <v>1362</v>
      </c>
      <c r="D11" s="1021" t="s">
        <v>379</v>
      </c>
      <c r="E11" s="990">
        <v>11718</v>
      </c>
      <c r="F11" s="990">
        <v>11275</v>
      </c>
      <c r="H11" s="988"/>
      <c r="I11" s="988"/>
      <c r="J11" s="989"/>
      <c r="K11" s="989"/>
    </row>
    <row r="12" spans="2:11">
      <c r="B12" s="165"/>
      <c r="C12" s="1023" t="s">
        <v>1363</v>
      </c>
      <c r="D12" s="1021" t="s">
        <v>380</v>
      </c>
      <c r="E12" s="990">
        <v>11338</v>
      </c>
      <c r="F12" s="990">
        <v>10931</v>
      </c>
      <c r="H12" s="988"/>
      <c r="I12" s="988"/>
      <c r="J12" s="989"/>
      <c r="K12" s="989"/>
    </row>
    <row r="13" spans="2:11">
      <c r="B13" s="165"/>
      <c r="C13" s="1023" t="s">
        <v>1364</v>
      </c>
      <c r="D13" s="1021" t="s">
        <v>381</v>
      </c>
      <c r="E13" s="990">
        <v>13456</v>
      </c>
      <c r="F13" s="990">
        <v>12884</v>
      </c>
      <c r="H13" s="988"/>
      <c r="I13" s="988"/>
      <c r="J13" s="989"/>
      <c r="K13" s="989"/>
    </row>
    <row r="14" spans="2:11">
      <c r="B14" s="165"/>
      <c r="C14" s="1023" t="s">
        <v>1365</v>
      </c>
      <c r="D14" s="1021" t="s">
        <v>382</v>
      </c>
      <c r="E14" s="990">
        <v>13378</v>
      </c>
      <c r="F14" s="990">
        <v>13073</v>
      </c>
      <c r="H14" s="988"/>
      <c r="I14" s="988"/>
      <c r="J14" s="989"/>
      <c r="K14" s="989"/>
    </row>
    <row r="15" spans="2:11">
      <c r="B15" s="165"/>
      <c r="C15" s="1023" t="s">
        <v>1366</v>
      </c>
      <c r="D15" s="1021" t="s">
        <v>383</v>
      </c>
      <c r="E15" s="990">
        <v>12544</v>
      </c>
      <c r="F15" s="990">
        <v>12405</v>
      </c>
      <c r="H15" s="988"/>
      <c r="I15" s="988"/>
      <c r="J15" s="989"/>
      <c r="K15" s="989"/>
    </row>
    <row r="16" spans="2:11">
      <c r="B16" s="165"/>
      <c r="C16" s="1023" t="s">
        <v>1367</v>
      </c>
      <c r="D16" s="1021" t="s">
        <v>384</v>
      </c>
      <c r="E16" s="990">
        <v>11224</v>
      </c>
      <c r="F16" s="990">
        <v>10786</v>
      </c>
      <c r="H16" s="988"/>
      <c r="I16" s="988"/>
      <c r="J16" s="989"/>
      <c r="K16" s="989"/>
    </row>
    <row r="17" spans="2:11">
      <c r="B17" s="165"/>
      <c r="C17" s="1023" t="s">
        <v>1368</v>
      </c>
      <c r="D17" s="1021" t="s">
        <v>385</v>
      </c>
      <c r="E17" s="990">
        <v>12978</v>
      </c>
      <c r="F17" s="990">
        <v>12580</v>
      </c>
      <c r="H17" s="988"/>
      <c r="I17" s="988"/>
      <c r="J17" s="989"/>
      <c r="K17" s="989"/>
    </row>
    <row r="18" spans="2:11">
      <c r="B18" s="165"/>
      <c r="C18" s="1023" t="s">
        <v>1369</v>
      </c>
      <c r="D18" s="1021" t="s">
        <v>386</v>
      </c>
      <c r="E18" s="990">
        <v>64818</v>
      </c>
      <c r="F18" s="990">
        <v>62997</v>
      </c>
      <c r="H18" s="988"/>
      <c r="I18" s="988"/>
      <c r="J18" s="989"/>
      <c r="K18" s="989"/>
    </row>
    <row r="19" spans="2:11">
      <c r="B19" s="165"/>
      <c r="C19" s="1023" t="s">
        <v>1370</v>
      </c>
      <c r="D19" s="1021" t="s">
        <v>387</v>
      </c>
      <c r="E19" s="990">
        <v>12109</v>
      </c>
      <c r="F19" s="990">
        <v>11478</v>
      </c>
      <c r="H19" s="988"/>
      <c r="I19" s="988"/>
      <c r="J19" s="989"/>
      <c r="K19" s="989"/>
    </row>
    <row r="20" spans="2:11">
      <c r="B20" s="165"/>
      <c r="C20" s="1023" t="s">
        <v>1371</v>
      </c>
      <c r="D20" s="1021" t="s">
        <v>388</v>
      </c>
      <c r="E20" s="990">
        <v>19117</v>
      </c>
      <c r="F20" s="990">
        <v>18356</v>
      </c>
      <c r="H20" s="988"/>
      <c r="I20" s="988"/>
      <c r="J20" s="989"/>
      <c r="K20" s="989"/>
    </row>
    <row r="21" spans="2:11">
      <c r="B21" s="165"/>
      <c r="C21" s="1023" t="s">
        <v>1372</v>
      </c>
      <c r="D21" s="1021" t="s">
        <v>389</v>
      </c>
      <c r="E21" s="990">
        <v>10846</v>
      </c>
      <c r="F21" s="990">
        <v>10486</v>
      </c>
      <c r="H21" s="988"/>
      <c r="I21" s="988"/>
      <c r="J21" s="989"/>
      <c r="K21" s="989"/>
    </row>
    <row r="22" spans="2:11">
      <c r="B22" s="165"/>
      <c r="C22" s="1023" t="s">
        <v>1373</v>
      </c>
      <c r="D22" s="1021" t="s">
        <v>390</v>
      </c>
      <c r="E22" s="990">
        <v>21758</v>
      </c>
      <c r="F22" s="990">
        <v>20463</v>
      </c>
      <c r="H22" s="988"/>
      <c r="I22" s="988"/>
      <c r="J22" s="989"/>
      <c r="K22" s="989"/>
    </row>
    <row r="23" spans="2:11">
      <c r="B23" s="165"/>
      <c r="C23" s="1023" t="s">
        <v>1374</v>
      </c>
      <c r="D23" s="1021" t="s">
        <v>391</v>
      </c>
      <c r="E23" s="990">
        <v>13803</v>
      </c>
      <c r="F23" s="990">
        <v>13784</v>
      </c>
      <c r="H23" s="988"/>
      <c r="I23" s="988"/>
      <c r="J23" s="989"/>
      <c r="K23" s="989"/>
    </row>
    <row r="24" spans="2:11">
      <c r="B24" s="165"/>
      <c r="C24" s="1023" t="s">
        <v>1375</v>
      </c>
      <c r="D24" s="1021" t="s">
        <v>392</v>
      </c>
      <c r="E24" s="990">
        <v>22456</v>
      </c>
      <c r="F24" s="990">
        <v>21740</v>
      </c>
      <c r="H24" s="988"/>
      <c r="I24" s="988"/>
      <c r="J24" s="989"/>
      <c r="K24" s="989"/>
    </row>
    <row r="25" spans="2:11">
      <c r="B25" s="165"/>
      <c r="C25" s="1023" t="s">
        <v>1376</v>
      </c>
      <c r="D25" s="1021" t="s">
        <v>393</v>
      </c>
      <c r="E25" s="990">
        <v>12489</v>
      </c>
      <c r="F25" s="990">
        <v>12193</v>
      </c>
      <c r="H25" s="988"/>
      <c r="I25" s="988"/>
      <c r="J25" s="989"/>
      <c r="K25" s="989"/>
    </row>
    <row r="26" spans="2:11">
      <c r="B26" s="165"/>
      <c r="C26" s="1023" t="s">
        <v>1377</v>
      </c>
      <c r="D26" s="1021" t="s">
        <v>394</v>
      </c>
      <c r="E26" s="990">
        <v>11040</v>
      </c>
      <c r="F26" s="990">
        <v>10441</v>
      </c>
      <c r="H26" s="988"/>
      <c r="I26" s="988"/>
      <c r="J26" s="989"/>
      <c r="K26" s="989"/>
    </row>
    <row r="27" spans="2:11">
      <c r="B27" s="165"/>
      <c r="C27" s="1023" t="s">
        <v>1378</v>
      </c>
      <c r="D27" s="1021" t="s">
        <v>395</v>
      </c>
      <c r="E27" s="990">
        <v>12995</v>
      </c>
      <c r="F27" s="990">
        <v>12643</v>
      </c>
      <c r="H27" s="988"/>
      <c r="I27" s="988"/>
      <c r="J27" s="989"/>
      <c r="K27" s="989"/>
    </row>
    <row r="28" spans="2:11">
      <c r="B28" s="165"/>
      <c r="C28" s="1023" t="s">
        <v>1379</v>
      </c>
      <c r="D28" s="1021" t="s">
        <v>396</v>
      </c>
      <c r="E28" s="990">
        <v>10890</v>
      </c>
      <c r="F28" s="990">
        <v>10403</v>
      </c>
      <c r="H28" s="988"/>
      <c r="I28" s="988"/>
      <c r="J28" s="989"/>
      <c r="K28" s="989"/>
    </row>
    <row r="29" spans="2:11">
      <c r="B29" s="165"/>
      <c r="C29" s="1023" t="s">
        <v>1380</v>
      </c>
      <c r="D29" s="1021" t="s">
        <v>397</v>
      </c>
      <c r="E29" s="990">
        <v>11982</v>
      </c>
      <c r="F29" s="990">
        <v>11478</v>
      </c>
      <c r="H29" s="988"/>
      <c r="I29" s="988"/>
      <c r="J29" s="989"/>
      <c r="K29" s="989"/>
    </row>
    <row r="30" spans="2:11">
      <c r="B30" s="165"/>
      <c r="C30" s="1023" t="s">
        <v>1381</v>
      </c>
      <c r="D30" s="1021" t="s">
        <v>398</v>
      </c>
      <c r="E30" s="990">
        <v>14537</v>
      </c>
      <c r="F30" s="990">
        <v>14235</v>
      </c>
      <c r="H30" s="988"/>
      <c r="I30" s="988"/>
      <c r="J30" s="989"/>
      <c r="K30" s="989"/>
    </row>
    <row r="31" spans="2:11">
      <c r="B31" s="165"/>
      <c r="C31" s="1023" t="s">
        <v>1382</v>
      </c>
      <c r="D31" s="1021" t="s">
        <v>399</v>
      </c>
      <c r="E31" s="990">
        <v>11447</v>
      </c>
      <c r="F31" s="990">
        <v>11144</v>
      </c>
      <c r="H31" s="988"/>
      <c r="I31" s="988"/>
      <c r="J31" s="989"/>
      <c r="K31" s="989"/>
    </row>
    <row r="32" spans="2:11">
      <c r="B32" s="165"/>
      <c r="C32" s="1023" t="s">
        <v>1383</v>
      </c>
      <c r="D32" s="1021" t="s">
        <v>400</v>
      </c>
      <c r="E32" s="990">
        <v>14836</v>
      </c>
      <c r="F32" s="990">
        <v>14737</v>
      </c>
      <c r="H32" s="988"/>
      <c r="I32" s="988"/>
      <c r="J32" s="989"/>
      <c r="K32" s="989"/>
    </row>
    <row r="33" spans="2:11">
      <c r="B33" s="165"/>
      <c r="C33" s="1023" t="s">
        <v>1384</v>
      </c>
      <c r="D33" s="1021" t="s">
        <v>401</v>
      </c>
      <c r="E33" s="990">
        <v>12015</v>
      </c>
      <c r="F33" s="990">
        <v>11782</v>
      </c>
      <c r="H33" s="988"/>
      <c r="I33" s="988"/>
      <c r="J33" s="989"/>
      <c r="K33" s="989"/>
    </row>
    <row r="34" spans="2:11">
      <c r="B34" s="165"/>
      <c r="C34" s="1023" t="s">
        <v>1385</v>
      </c>
      <c r="D34" s="1021" t="s">
        <v>402</v>
      </c>
      <c r="E34" s="990">
        <v>18617</v>
      </c>
      <c r="F34" s="990">
        <v>18016</v>
      </c>
      <c r="H34" s="988"/>
      <c r="I34" s="988"/>
      <c r="J34" s="989"/>
      <c r="K34" s="989"/>
    </row>
    <row r="35" spans="2:11">
      <c r="B35" s="165"/>
      <c r="C35" s="1023" t="s">
        <v>1386</v>
      </c>
      <c r="D35" s="1021" t="s">
        <v>403</v>
      </c>
      <c r="E35" s="990">
        <v>12305</v>
      </c>
      <c r="F35" s="990">
        <v>12178</v>
      </c>
      <c r="H35" s="988"/>
      <c r="I35" s="988"/>
      <c r="J35" s="989"/>
      <c r="K35" s="989"/>
    </row>
    <row r="36" spans="2:11">
      <c r="B36" s="165"/>
      <c r="C36" s="1023" t="s">
        <v>1387</v>
      </c>
      <c r="D36" s="1021" t="s">
        <v>404</v>
      </c>
      <c r="E36" s="990">
        <v>16833</v>
      </c>
      <c r="F36" s="990">
        <v>16286</v>
      </c>
      <c r="H36" s="988"/>
      <c r="I36" s="988"/>
      <c r="J36" s="989"/>
      <c r="K36" s="989"/>
    </row>
    <row r="37" spans="2:11">
      <c r="B37" s="165"/>
      <c r="C37" s="1023" t="s">
        <v>1388</v>
      </c>
      <c r="D37" s="1021" t="s">
        <v>405</v>
      </c>
      <c r="E37" s="990">
        <v>12521</v>
      </c>
      <c r="F37" s="990">
        <v>12213</v>
      </c>
      <c r="H37" s="988"/>
      <c r="I37" s="988"/>
      <c r="J37" s="989"/>
      <c r="K37" s="989"/>
    </row>
    <row r="38" spans="2:11">
      <c r="B38" s="165"/>
      <c r="C38" s="1023" t="s">
        <v>1389</v>
      </c>
      <c r="D38" s="1021" t="s">
        <v>406</v>
      </c>
      <c r="E38" s="990">
        <v>13448</v>
      </c>
      <c r="F38" s="990">
        <v>12993</v>
      </c>
      <c r="H38" s="988"/>
      <c r="I38" s="988"/>
      <c r="J38" s="989"/>
      <c r="K38" s="989"/>
    </row>
    <row r="39" spans="2:11">
      <c r="B39" s="165"/>
      <c r="C39" s="1023" t="s">
        <v>1390</v>
      </c>
      <c r="D39" s="1021" t="s">
        <v>407</v>
      </c>
      <c r="E39" s="990">
        <v>13383</v>
      </c>
      <c r="F39" s="990">
        <v>12929</v>
      </c>
      <c r="H39" s="988"/>
      <c r="I39" s="988"/>
      <c r="J39" s="989"/>
      <c r="K39" s="989"/>
    </row>
    <row r="40" spans="2:11">
      <c r="B40" s="165"/>
      <c r="C40" s="1023" t="s">
        <v>1391</v>
      </c>
      <c r="D40" s="1021" t="s">
        <v>408</v>
      </c>
      <c r="E40" s="990">
        <v>13792</v>
      </c>
      <c r="F40" s="990">
        <v>13468</v>
      </c>
      <c r="H40" s="988"/>
      <c r="I40" s="988"/>
      <c r="J40" s="989"/>
      <c r="K40" s="989"/>
    </row>
    <row r="41" spans="2:11">
      <c r="B41" s="165"/>
      <c r="C41" s="1023" t="s">
        <v>1392</v>
      </c>
      <c r="D41" s="1021" t="s">
        <v>409</v>
      </c>
      <c r="E41" s="990">
        <v>10997</v>
      </c>
      <c r="F41" s="990">
        <v>10316</v>
      </c>
      <c r="H41" s="988"/>
      <c r="I41" s="988"/>
      <c r="J41" s="989"/>
      <c r="K41" s="989"/>
    </row>
    <row r="42" spans="2:11">
      <c r="B42" s="165"/>
      <c r="C42" s="1023" t="s">
        <v>1393</v>
      </c>
      <c r="D42" s="1021" t="s">
        <v>410</v>
      </c>
      <c r="E42" s="990">
        <v>17058</v>
      </c>
      <c r="F42" s="990">
        <v>16838</v>
      </c>
      <c r="H42" s="988"/>
      <c r="I42" s="988"/>
      <c r="J42" s="989"/>
      <c r="K42" s="989"/>
    </row>
    <row r="43" spans="2:11">
      <c r="B43" s="165"/>
      <c r="C43" s="1023" t="s">
        <v>1394</v>
      </c>
      <c r="D43" s="1021" t="s">
        <v>411</v>
      </c>
      <c r="E43" s="990">
        <v>19211</v>
      </c>
      <c r="F43" s="990">
        <v>18496</v>
      </c>
      <c r="H43" s="988"/>
      <c r="I43" s="988"/>
      <c r="J43" s="989"/>
      <c r="K43" s="989"/>
    </row>
    <row r="44" spans="2:11">
      <c r="B44" s="165"/>
      <c r="C44" s="1023" t="s">
        <v>1395</v>
      </c>
      <c r="D44" s="1021" t="s">
        <v>412</v>
      </c>
      <c r="E44" s="990">
        <v>12678</v>
      </c>
      <c r="F44" s="990">
        <v>12658</v>
      </c>
      <c r="H44" s="988"/>
      <c r="I44" s="988"/>
      <c r="J44" s="989"/>
      <c r="K44" s="989"/>
    </row>
    <row r="45" spans="2:11">
      <c r="B45" s="165"/>
      <c r="C45" s="1023" t="s">
        <v>1396</v>
      </c>
      <c r="D45" s="1021" t="s">
        <v>413</v>
      </c>
      <c r="E45" s="990">
        <v>11704</v>
      </c>
      <c r="F45" s="990">
        <v>11171</v>
      </c>
      <c r="H45" s="988"/>
      <c r="I45" s="988"/>
      <c r="J45" s="989"/>
      <c r="K45" s="989"/>
    </row>
    <row r="46" spans="2:11">
      <c r="B46" s="165"/>
      <c r="C46" s="1023" t="s">
        <v>1397</v>
      </c>
      <c r="D46" s="1021" t="s">
        <v>414</v>
      </c>
      <c r="E46" s="990">
        <v>22021</v>
      </c>
      <c r="F46" s="990">
        <v>21041</v>
      </c>
      <c r="H46" s="988"/>
      <c r="I46" s="988"/>
      <c r="J46" s="989"/>
      <c r="K46" s="989"/>
    </row>
    <row r="47" spans="2:11">
      <c r="B47" s="165"/>
      <c r="C47" s="1023" t="s">
        <v>1398</v>
      </c>
      <c r="D47" s="1021" t="s">
        <v>415</v>
      </c>
      <c r="E47" s="990">
        <v>13146</v>
      </c>
      <c r="F47" s="990">
        <v>13080</v>
      </c>
      <c r="H47" s="988"/>
      <c r="I47" s="988"/>
      <c r="J47" s="989"/>
      <c r="K47" s="989"/>
    </row>
    <row r="48" spans="2:11">
      <c r="B48" s="165"/>
      <c r="C48" s="1023" t="s">
        <v>1399</v>
      </c>
      <c r="D48" s="1021" t="s">
        <v>416</v>
      </c>
      <c r="E48" s="990">
        <v>12967</v>
      </c>
      <c r="F48" s="990">
        <v>12919</v>
      </c>
      <c r="H48" s="988"/>
      <c r="I48" s="988"/>
      <c r="J48" s="989"/>
      <c r="K48" s="989"/>
    </row>
    <row r="49" spans="2:11">
      <c r="B49" s="165"/>
      <c r="C49" s="1023" t="s">
        <v>1400</v>
      </c>
      <c r="D49" s="1021" t="s">
        <v>417</v>
      </c>
      <c r="E49" s="990">
        <v>11473</v>
      </c>
      <c r="F49" s="990">
        <v>10653</v>
      </c>
      <c r="H49" s="988"/>
      <c r="I49" s="988"/>
      <c r="J49" s="989"/>
      <c r="K49" s="989"/>
    </row>
    <row r="50" spans="2:11">
      <c r="B50" s="165"/>
      <c r="C50" s="1023" t="s">
        <v>1401</v>
      </c>
      <c r="D50" s="1021" t="s">
        <v>418</v>
      </c>
      <c r="E50" s="990">
        <v>21605</v>
      </c>
      <c r="F50" s="990">
        <v>21086</v>
      </c>
      <c r="H50" s="988"/>
      <c r="I50" s="988"/>
      <c r="J50" s="989"/>
      <c r="K50" s="989"/>
    </row>
    <row r="51" spans="2:11">
      <c r="B51" s="165"/>
      <c r="C51" s="1023" t="s">
        <v>1402</v>
      </c>
      <c r="D51" s="1021" t="s">
        <v>419</v>
      </c>
      <c r="E51" s="990">
        <v>15418</v>
      </c>
      <c r="F51" s="990">
        <v>14624</v>
      </c>
      <c r="H51" s="988"/>
      <c r="I51" s="988"/>
      <c r="J51" s="989"/>
      <c r="K51" s="989"/>
    </row>
    <row r="52" spans="2:11">
      <c r="B52" s="165"/>
      <c r="C52" s="1023" t="s">
        <v>1403</v>
      </c>
      <c r="D52" s="1021" t="s">
        <v>420</v>
      </c>
      <c r="E52" s="990">
        <v>13236</v>
      </c>
      <c r="F52" s="990">
        <v>12717</v>
      </c>
      <c r="H52" s="988"/>
      <c r="I52" s="988"/>
      <c r="J52" s="989"/>
      <c r="K52" s="989"/>
    </row>
    <row r="53" spans="2:11">
      <c r="B53" s="165"/>
      <c r="C53" s="1023" t="s">
        <v>1404</v>
      </c>
      <c r="D53" s="1021" t="s">
        <v>421</v>
      </c>
      <c r="E53" s="990">
        <v>14285</v>
      </c>
      <c r="F53" s="990">
        <v>13739</v>
      </c>
      <c r="H53" s="988"/>
      <c r="I53" s="988"/>
      <c r="J53" s="989"/>
      <c r="K53" s="989"/>
    </row>
    <row r="54" spans="2:11">
      <c r="B54" s="165"/>
      <c r="C54" s="1023" t="s">
        <v>1405</v>
      </c>
      <c r="D54" s="1021" t="s">
        <v>422</v>
      </c>
      <c r="E54" s="990">
        <v>15249</v>
      </c>
      <c r="F54" s="990">
        <v>14773</v>
      </c>
      <c r="H54" s="988"/>
      <c r="I54" s="988"/>
      <c r="J54" s="989"/>
      <c r="K54" s="989"/>
    </row>
    <row r="55" spans="2:11">
      <c r="B55" s="165"/>
      <c r="C55" s="1023" t="s">
        <v>1406</v>
      </c>
      <c r="D55" s="1021" t="s">
        <v>423</v>
      </c>
      <c r="E55" s="990">
        <v>13956</v>
      </c>
      <c r="F55" s="990">
        <v>13424</v>
      </c>
      <c r="H55" s="988"/>
      <c r="I55" s="988"/>
      <c r="J55" s="989"/>
      <c r="K55" s="989"/>
    </row>
    <row r="56" spans="2:11">
      <c r="B56" s="165"/>
      <c r="C56" s="1023" t="s">
        <v>1407</v>
      </c>
      <c r="D56" s="1021" t="s">
        <v>424</v>
      </c>
      <c r="E56" s="990">
        <v>18977</v>
      </c>
      <c r="F56" s="990">
        <v>18313</v>
      </c>
      <c r="H56" s="988"/>
      <c r="I56" s="988"/>
      <c r="J56" s="989"/>
      <c r="K56" s="989"/>
    </row>
    <row r="57" spans="2:11">
      <c r="B57" s="165"/>
      <c r="C57" s="1023" t="s">
        <v>1408</v>
      </c>
      <c r="D57" s="1021" t="s">
        <v>425</v>
      </c>
      <c r="E57" s="990">
        <v>11567</v>
      </c>
      <c r="F57" s="990">
        <v>11471</v>
      </c>
      <c r="H57" s="988"/>
      <c r="I57" s="988"/>
      <c r="J57" s="989"/>
      <c r="K57" s="989"/>
    </row>
    <row r="58" spans="2:11">
      <c r="B58" s="165"/>
      <c r="C58" s="1023" t="s">
        <v>1409</v>
      </c>
      <c r="D58" s="1021" t="s">
        <v>426</v>
      </c>
      <c r="E58" s="990">
        <v>22013</v>
      </c>
      <c r="F58" s="990">
        <v>21254</v>
      </c>
      <c r="H58" s="988"/>
      <c r="I58" s="988"/>
      <c r="J58" s="989"/>
      <c r="K58" s="989"/>
    </row>
    <row r="59" spans="2:11">
      <c r="B59" s="165"/>
      <c r="C59" s="1023" t="s">
        <v>1410</v>
      </c>
      <c r="D59" s="1021" t="s">
        <v>427</v>
      </c>
      <c r="E59" s="990">
        <v>12715</v>
      </c>
      <c r="F59" s="990">
        <v>12860</v>
      </c>
      <c r="H59" s="988"/>
      <c r="I59" s="988"/>
      <c r="J59" s="989"/>
      <c r="K59" s="989"/>
    </row>
    <row r="60" spans="2:11">
      <c r="B60" s="165"/>
      <c r="C60" s="1023" t="s">
        <v>1411</v>
      </c>
      <c r="D60" s="1021" t="s">
        <v>428</v>
      </c>
      <c r="E60" s="990">
        <v>22220</v>
      </c>
      <c r="F60" s="990">
        <v>22022</v>
      </c>
      <c r="H60" s="988"/>
      <c r="I60" s="988"/>
      <c r="J60" s="989"/>
      <c r="K60" s="989"/>
    </row>
    <row r="61" spans="2:11">
      <c r="B61" s="165"/>
      <c r="C61" s="1024" t="s">
        <v>1412</v>
      </c>
      <c r="D61" s="1021" t="s">
        <v>1413</v>
      </c>
      <c r="E61" s="990" t="s">
        <v>2038</v>
      </c>
      <c r="F61" s="990">
        <v>14416</v>
      </c>
      <c r="H61" s="988"/>
      <c r="I61" s="988"/>
      <c r="J61" s="989"/>
      <c r="K61" s="989"/>
    </row>
    <row r="62" spans="2:11">
      <c r="B62" s="165"/>
      <c r="C62" s="1023" t="s">
        <v>1414</v>
      </c>
      <c r="D62" s="1021" t="s">
        <v>429</v>
      </c>
      <c r="E62" s="990">
        <v>14700</v>
      </c>
      <c r="F62" s="990">
        <v>14033</v>
      </c>
      <c r="H62" s="988"/>
      <c r="I62" s="988"/>
      <c r="J62" s="989"/>
      <c r="K62" s="989"/>
    </row>
    <row r="63" spans="2:11">
      <c r="B63" s="165"/>
      <c r="C63" s="1023" t="s">
        <v>1415</v>
      </c>
      <c r="D63" s="1021" t="s">
        <v>430</v>
      </c>
      <c r="E63" s="990">
        <v>11739</v>
      </c>
      <c r="F63" s="990">
        <v>11504</v>
      </c>
      <c r="H63" s="988"/>
      <c r="I63" s="988"/>
      <c r="J63" s="989"/>
      <c r="K63" s="989"/>
    </row>
    <row r="64" spans="2:11">
      <c r="B64" s="165"/>
      <c r="C64" s="1023" t="s">
        <v>1416</v>
      </c>
      <c r="D64" s="1021" t="s">
        <v>431</v>
      </c>
      <c r="E64" s="990">
        <v>15460</v>
      </c>
      <c r="F64" s="990">
        <v>15205</v>
      </c>
      <c r="H64" s="988"/>
      <c r="I64" s="988"/>
      <c r="J64" s="989"/>
      <c r="K64" s="989"/>
    </row>
    <row r="65" spans="2:11">
      <c r="B65" s="165"/>
      <c r="C65" s="1023" t="s">
        <v>1417</v>
      </c>
      <c r="D65" s="1021" t="s">
        <v>432</v>
      </c>
      <c r="E65" s="990">
        <v>18560</v>
      </c>
      <c r="F65" s="990">
        <v>17866</v>
      </c>
      <c r="H65" s="988"/>
      <c r="I65" s="988"/>
      <c r="J65" s="989"/>
      <c r="K65" s="989"/>
    </row>
    <row r="66" spans="2:11">
      <c r="B66" s="165"/>
      <c r="C66" s="1023" t="s">
        <v>1418</v>
      </c>
      <c r="D66" s="1021" t="s">
        <v>433</v>
      </c>
      <c r="E66" s="990">
        <v>23980</v>
      </c>
      <c r="F66" s="990">
        <v>23141</v>
      </c>
      <c r="H66" s="988"/>
      <c r="I66" s="988"/>
      <c r="J66" s="989"/>
      <c r="K66" s="989"/>
    </row>
    <row r="67" spans="2:11">
      <c r="B67" s="165"/>
      <c r="C67" s="1023" t="s">
        <v>1419</v>
      </c>
      <c r="D67" s="1021" t="s">
        <v>434</v>
      </c>
      <c r="E67" s="990">
        <v>60500</v>
      </c>
      <c r="F67" s="990">
        <v>61922</v>
      </c>
      <c r="H67" s="988"/>
      <c r="I67" s="988"/>
      <c r="J67" s="989"/>
      <c r="K67" s="989"/>
    </row>
    <row r="68" spans="2:11">
      <c r="B68" s="165"/>
      <c r="C68" s="1023" t="s">
        <v>1420</v>
      </c>
      <c r="D68" s="1021" t="s">
        <v>435</v>
      </c>
      <c r="E68" s="990">
        <v>14231</v>
      </c>
      <c r="F68" s="990">
        <v>13784</v>
      </c>
      <c r="H68" s="988"/>
      <c r="I68" s="988"/>
      <c r="J68" s="989"/>
      <c r="K68" s="989"/>
    </row>
    <row r="69" spans="2:11">
      <c r="B69" s="165"/>
      <c r="C69" s="1023" t="s">
        <v>1421</v>
      </c>
      <c r="D69" s="1021" t="s">
        <v>436</v>
      </c>
      <c r="E69" s="990">
        <v>10177</v>
      </c>
      <c r="F69" s="990">
        <v>9775</v>
      </c>
      <c r="H69" s="988"/>
      <c r="I69" s="988"/>
      <c r="J69" s="989"/>
      <c r="K69" s="989"/>
    </row>
    <row r="70" spans="2:11">
      <c r="B70" s="165"/>
      <c r="C70" s="1023" t="s">
        <v>1422</v>
      </c>
      <c r="D70" s="1021" t="s">
        <v>437</v>
      </c>
      <c r="E70" s="990">
        <v>12641</v>
      </c>
      <c r="F70" s="990">
        <v>12173</v>
      </c>
      <c r="H70" s="988"/>
      <c r="I70" s="988"/>
      <c r="J70" s="989"/>
      <c r="K70" s="989"/>
    </row>
    <row r="71" spans="2:11">
      <c r="B71" s="165"/>
      <c r="C71" s="1023" t="s">
        <v>1423</v>
      </c>
      <c r="D71" s="1021" t="s">
        <v>438</v>
      </c>
      <c r="E71" s="990">
        <v>14314</v>
      </c>
      <c r="F71" s="990">
        <v>14043</v>
      </c>
      <c r="H71" s="988"/>
      <c r="I71" s="988"/>
      <c r="J71" s="989"/>
      <c r="K71" s="989"/>
    </row>
    <row r="72" spans="2:11">
      <c r="B72" s="165"/>
      <c r="C72" s="1023" t="s">
        <v>1424</v>
      </c>
      <c r="D72" s="1021" t="s">
        <v>439</v>
      </c>
      <c r="E72" s="990">
        <v>22921</v>
      </c>
      <c r="F72" s="990">
        <v>21777</v>
      </c>
      <c r="H72" s="988"/>
      <c r="I72" s="988"/>
      <c r="J72" s="989"/>
      <c r="K72" s="989"/>
    </row>
    <row r="73" spans="2:11">
      <c r="B73" s="165"/>
      <c r="C73" s="1023" t="s">
        <v>1425</v>
      </c>
      <c r="D73" s="1021" t="s">
        <v>440</v>
      </c>
      <c r="E73" s="990">
        <v>12714</v>
      </c>
      <c r="F73" s="990">
        <v>12770</v>
      </c>
      <c r="H73" s="988"/>
      <c r="I73" s="988"/>
      <c r="J73" s="989"/>
      <c r="K73" s="989"/>
    </row>
    <row r="74" spans="2:11">
      <c r="B74" s="165"/>
      <c r="C74" s="1023" t="s">
        <v>1426</v>
      </c>
      <c r="D74" s="1021" t="s">
        <v>441</v>
      </c>
      <c r="E74" s="990">
        <v>15362</v>
      </c>
      <c r="F74" s="990">
        <v>14903</v>
      </c>
      <c r="H74" s="988"/>
      <c r="I74" s="988"/>
      <c r="J74" s="989"/>
      <c r="K74" s="989"/>
    </row>
    <row r="75" spans="2:11">
      <c r="B75" s="165"/>
      <c r="C75" s="1023" t="s">
        <v>1427</v>
      </c>
      <c r="D75" s="1021" t="s">
        <v>442</v>
      </c>
      <c r="E75" s="990">
        <v>12273</v>
      </c>
      <c r="F75" s="990">
        <v>11948</v>
      </c>
      <c r="H75" s="988"/>
      <c r="I75" s="988"/>
      <c r="J75" s="989"/>
      <c r="K75" s="989"/>
    </row>
    <row r="76" spans="2:11">
      <c r="B76" s="165"/>
      <c r="C76" s="1023" t="s">
        <v>1428</v>
      </c>
      <c r="D76" s="1021" t="s">
        <v>443</v>
      </c>
      <c r="E76" s="990">
        <v>13139</v>
      </c>
      <c r="F76" s="990">
        <v>12943</v>
      </c>
      <c r="H76" s="988"/>
      <c r="I76" s="988"/>
      <c r="J76" s="989"/>
      <c r="K76" s="989"/>
    </row>
    <row r="77" spans="2:11">
      <c r="B77" s="165"/>
      <c r="C77" s="1023" t="s">
        <v>1429</v>
      </c>
      <c r="D77" s="1021" t="s">
        <v>444</v>
      </c>
      <c r="E77" s="990">
        <v>13494</v>
      </c>
      <c r="F77" s="990">
        <v>13200</v>
      </c>
      <c r="H77" s="988"/>
      <c r="I77" s="988"/>
      <c r="J77" s="989"/>
      <c r="K77" s="989"/>
    </row>
    <row r="78" spans="2:11">
      <c r="B78" s="165"/>
      <c r="C78" s="1023" t="s">
        <v>1430</v>
      </c>
      <c r="D78" s="1021" t="s">
        <v>445</v>
      </c>
      <c r="E78" s="990">
        <v>11766</v>
      </c>
      <c r="F78" s="990">
        <v>11553</v>
      </c>
      <c r="H78" s="988"/>
      <c r="I78" s="988"/>
      <c r="J78" s="989"/>
      <c r="K78" s="989"/>
    </row>
    <row r="79" spans="2:11">
      <c r="B79" s="165"/>
      <c r="C79" s="1023" t="s">
        <v>1431</v>
      </c>
      <c r="D79" s="1021" t="s">
        <v>446</v>
      </c>
      <c r="E79" s="990">
        <v>21789</v>
      </c>
      <c r="F79" s="990">
        <v>20972</v>
      </c>
      <c r="H79" s="988"/>
      <c r="I79" s="988"/>
      <c r="J79" s="989"/>
      <c r="K79" s="989"/>
    </row>
    <row r="80" spans="2:11">
      <c r="B80" s="165"/>
      <c r="C80" s="1023" t="s">
        <v>1432</v>
      </c>
      <c r="D80" s="1021" t="s">
        <v>447</v>
      </c>
      <c r="E80" s="990">
        <v>12713</v>
      </c>
      <c r="F80" s="990">
        <v>12163</v>
      </c>
      <c r="H80" s="988"/>
      <c r="I80" s="988"/>
      <c r="J80" s="989"/>
      <c r="K80" s="989"/>
    </row>
    <row r="81" spans="2:11">
      <c r="B81" s="165"/>
      <c r="C81" s="1023" t="s">
        <v>1433</v>
      </c>
      <c r="D81" s="1021" t="s">
        <v>448</v>
      </c>
      <c r="E81" s="990">
        <v>11311</v>
      </c>
      <c r="F81" s="990">
        <v>10874</v>
      </c>
      <c r="H81" s="988"/>
      <c r="I81" s="988"/>
      <c r="J81" s="989"/>
      <c r="K81" s="989"/>
    </row>
    <row r="82" spans="2:11">
      <c r="B82" s="165"/>
      <c r="C82" s="1023" t="s">
        <v>1434</v>
      </c>
      <c r="D82" s="1021" t="s">
        <v>449</v>
      </c>
      <c r="E82" s="990">
        <v>11832</v>
      </c>
      <c r="F82" s="990">
        <v>11628</v>
      </c>
      <c r="H82" s="988"/>
      <c r="I82" s="988"/>
      <c r="J82" s="989"/>
      <c r="K82" s="989"/>
    </row>
    <row r="83" spans="2:11">
      <c r="B83" s="165"/>
      <c r="C83" s="1023" t="s">
        <v>1435</v>
      </c>
      <c r="D83" s="1021" t="s">
        <v>450</v>
      </c>
      <c r="E83" s="990">
        <v>13921</v>
      </c>
      <c r="F83" s="990">
        <v>13552</v>
      </c>
      <c r="H83" s="988"/>
      <c r="I83" s="988"/>
      <c r="J83" s="989"/>
      <c r="K83" s="989"/>
    </row>
    <row r="84" spans="2:11">
      <c r="B84" s="165"/>
      <c r="C84" s="1023" t="s">
        <v>1436</v>
      </c>
      <c r="D84" s="1021" t="s">
        <v>451</v>
      </c>
      <c r="E84" s="990">
        <v>12226</v>
      </c>
      <c r="F84" s="990">
        <v>11634</v>
      </c>
      <c r="H84" s="988"/>
      <c r="I84" s="988"/>
      <c r="J84" s="989"/>
      <c r="K84" s="989"/>
    </row>
    <row r="85" spans="2:11">
      <c r="B85" s="165"/>
      <c r="C85" s="1023" t="s">
        <v>1437</v>
      </c>
      <c r="D85" s="1021" t="s">
        <v>452</v>
      </c>
      <c r="E85" s="990">
        <v>11934</v>
      </c>
      <c r="F85" s="990">
        <v>11176</v>
      </c>
      <c r="H85" s="988"/>
      <c r="I85" s="988"/>
      <c r="J85" s="989"/>
      <c r="K85" s="989"/>
    </row>
    <row r="86" spans="2:11">
      <c r="B86" s="165"/>
      <c r="C86" s="1023" t="s">
        <v>1438</v>
      </c>
      <c r="D86" s="1021" t="s">
        <v>453</v>
      </c>
      <c r="E86" s="990">
        <v>12650</v>
      </c>
      <c r="F86" s="990">
        <v>12336</v>
      </c>
      <c r="H86" s="988"/>
      <c r="I86" s="988"/>
      <c r="J86" s="989"/>
      <c r="K86" s="989"/>
    </row>
    <row r="87" spans="2:11">
      <c r="B87" s="165"/>
      <c r="C87" s="1023" t="s">
        <v>1439</v>
      </c>
      <c r="D87" s="1021" t="s">
        <v>454</v>
      </c>
      <c r="E87" s="990">
        <v>12460</v>
      </c>
      <c r="F87" s="990">
        <v>11958</v>
      </c>
      <c r="H87" s="988"/>
      <c r="I87" s="988"/>
      <c r="J87" s="989"/>
      <c r="K87" s="989"/>
    </row>
    <row r="88" spans="2:11">
      <c r="B88" s="165"/>
      <c r="C88" s="1023" t="s">
        <v>1440</v>
      </c>
      <c r="D88" s="1021" t="s">
        <v>455</v>
      </c>
      <c r="E88" s="990">
        <v>13524</v>
      </c>
      <c r="F88" s="990">
        <v>13114</v>
      </c>
      <c r="H88" s="988"/>
      <c r="I88" s="988"/>
      <c r="J88" s="989"/>
      <c r="K88" s="989"/>
    </row>
    <row r="89" spans="2:11">
      <c r="B89" s="165"/>
      <c r="C89" s="1023" t="s">
        <v>1441</v>
      </c>
      <c r="D89" s="1021" t="s">
        <v>456</v>
      </c>
      <c r="E89" s="990">
        <v>11753</v>
      </c>
      <c r="F89" s="990">
        <v>11603</v>
      </c>
      <c r="H89" s="988"/>
      <c r="I89" s="988"/>
      <c r="J89" s="989"/>
      <c r="K89" s="989"/>
    </row>
    <row r="90" spans="2:11">
      <c r="B90" s="165"/>
      <c r="C90" s="1023" t="s">
        <v>1442</v>
      </c>
      <c r="D90" s="1021" t="s">
        <v>457</v>
      </c>
      <c r="E90" s="990">
        <v>12849</v>
      </c>
      <c r="F90" s="990">
        <v>12547</v>
      </c>
      <c r="H90" s="988"/>
      <c r="I90" s="988"/>
      <c r="J90" s="989"/>
      <c r="K90" s="989"/>
    </row>
    <row r="91" spans="2:11">
      <c r="B91" s="165"/>
      <c r="C91" s="1023" t="s">
        <v>1443</v>
      </c>
      <c r="D91" s="1021" t="s">
        <v>458</v>
      </c>
      <c r="E91" s="990">
        <v>16643</v>
      </c>
      <c r="F91" s="990">
        <v>16142</v>
      </c>
      <c r="H91" s="988"/>
      <c r="I91" s="988"/>
      <c r="J91" s="989"/>
      <c r="K91" s="989"/>
    </row>
    <row r="92" spans="2:11">
      <c r="B92" s="165"/>
      <c r="C92" s="1023" t="s">
        <v>1444</v>
      </c>
      <c r="D92" s="1021" t="s">
        <v>459</v>
      </c>
      <c r="E92" s="990">
        <v>13041</v>
      </c>
      <c r="F92" s="990">
        <v>12937</v>
      </c>
      <c r="H92" s="988"/>
      <c r="I92" s="988"/>
      <c r="J92" s="989"/>
      <c r="K92" s="989"/>
    </row>
    <row r="93" spans="2:11">
      <c r="B93" s="165"/>
      <c r="C93" s="1023" t="s">
        <v>1445</v>
      </c>
      <c r="D93" s="1021" t="s">
        <v>460</v>
      </c>
      <c r="E93" s="990">
        <v>21670</v>
      </c>
      <c r="F93" s="990">
        <v>20896</v>
      </c>
      <c r="H93" s="988"/>
      <c r="I93" s="988"/>
      <c r="J93" s="989"/>
      <c r="K93" s="989"/>
    </row>
    <row r="94" spans="2:11">
      <c r="B94" s="165"/>
      <c r="C94" s="1023" t="s">
        <v>1446</v>
      </c>
      <c r="D94" s="1021" t="s">
        <v>461</v>
      </c>
      <c r="E94" s="990">
        <v>17035</v>
      </c>
      <c r="F94" s="990">
        <v>16550</v>
      </c>
      <c r="H94" s="988"/>
      <c r="I94" s="988"/>
      <c r="J94" s="989"/>
      <c r="K94" s="989"/>
    </row>
    <row r="95" spans="2:11">
      <c r="B95" s="165"/>
      <c r="C95" s="1023" t="s">
        <v>1447</v>
      </c>
      <c r="D95" s="1021" t="s">
        <v>462</v>
      </c>
      <c r="E95" s="990">
        <v>8545</v>
      </c>
      <c r="F95" s="990">
        <v>7560</v>
      </c>
      <c r="H95" s="988"/>
      <c r="I95" s="988"/>
      <c r="J95" s="989"/>
      <c r="K95" s="989"/>
    </row>
    <row r="96" spans="2:11">
      <c r="B96" s="165"/>
      <c r="C96" s="1023" t="s">
        <v>1448</v>
      </c>
      <c r="D96" s="1021" t="s">
        <v>463</v>
      </c>
      <c r="E96" s="990">
        <v>12608</v>
      </c>
      <c r="F96" s="990">
        <v>12893</v>
      </c>
      <c r="H96" s="988"/>
      <c r="I96" s="988"/>
      <c r="J96" s="989"/>
      <c r="K96" s="989"/>
    </row>
    <row r="97" spans="2:11">
      <c r="B97" s="165"/>
      <c r="C97" s="1023" t="s">
        <v>1449</v>
      </c>
      <c r="D97" s="1021" t="s">
        <v>464</v>
      </c>
      <c r="E97" s="990">
        <v>12034</v>
      </c>
      <c r="F97" s="990">
        <v>11557</v>
      </c>
      <c r="H97" s="988"/>
      <c r="I97" s="988"/>
      <c r="J97" s="989"/>
      <c r="K97" s="989"/>
    </row>
    <row r="98" spans="2:11">
      <c r="B98" s="165"/>
      <c r="C98" s="1023" t="s">
        <v>1450</v>
      </c>
      <c r="D98" s="1021" t="s">
        <v>465</v>
      </c>
      <c r="E98" s="990">
        <v>15429</v>
      </c>
      <c r="F98" s="990">
        <v>14758</v>
      </c>
      <c r="H98" s="988"/>
      <c r="I98" s="988"/>
      <c r="J98" s="989"/>
      <c r="K98" s="989"/>
    </row>
    <row r="99" spans="2:11">
      <c r="B99" s="165"/>
      <c r="C99" s="1023" t="s">
        <v>1451</v>
      </c>
      <c r="D99" s="1021" t="s">
        <v>466</v>
      </c>
      <c r="E99" s="990">
        <v>12427</v>
      </c>
      <c r="F99" s="990">
        <v>11961</v>
      </c>
      <c r="H99" s="988"/>
      <c r="I99" s="988"/>
      <c r="J99" s="989"/>
      <c r="K99" s="989"/>
    </row>
    <row r="100" spans="2:11">
      <c r="B100" s="165"/>
      <c r="C100" s="1023" t="s">
        <v>1452</v>
      </c>
      <c r="D100" s="1021" t="s">
        <v>467</v>
      </c>
      <c r="E100" s="990">
        <v>11840</v>
      </c>
      <c r="F100" s="990">
        <v>11433</v>
      </c>
      <c r="H100" s="988"/>
      <c r="I100" s="988"/>
      <c r="J100" s="989"/>
      <c r="K100" s="989"/>
    </row>
    <row r="101" spans="2:11">
      <c r="B101" s="165"/>
      <c r="C101" s="1023" t="s">
        <v>1453</v>
      </c>
      <c r="D101" s="1021" t="s">
        <v>468</v>
      </c>
      <c r="E101" s="990">
        <v>16371</v>
      </c>
      <c r="F101" s="990">
        <v>15834</v>
      </c>
      <c r="H101" s="988"/>
      <c r="I101" s="988"/>
      <c r="J101" s="989"/>
      <c r="K101" s="989"/>
    </row>
    <row r="102" spans="2:11">
      <c r="B102" s="165"/>
      <c r="C102" s="1023" t="s">
        <v>1454</v>
      </c>
      <c r="D102" s="1021" t="s">
        <v>469</v>
      </c>
      <c r="E102" s="990">
        <v>22553</v>
      </c>
      <c r="F102" s="990">
        <v>22124</v>
      </c>
      <c r="H102" s="988"/>
      <c r="I102" s="988"/>
      <c r="J102" s="989"/>
      <c r="K102" s="989"/>
    </row>
    <row r="103" spans="2:11">
      <c r="B103" s="165"/>
      <c r="C103" s="1023" t="s">
        <v>1455</v>
      </c>
      <c r="D103" s="1021" t="s">
        <v>470</v>
      </c>
      <c r="E103" s="990">
        <v>11010</v>
      </c>
      <c r="F103" s="990">
        <v>10555</v>
      </c>
      <c r="H103" s="988"/>
      <c r="I103" s="988"/>
      <c r="J103" s="989"/>
      <c r="K103" s="989"/>
    </row>
    <row r="104" spans="2:11">
      <c r="B104" s="165"/>
      <c r="C104" s="1023" t="s">
        <v>1456</v>
      </c>
      <c r="D104" s="1021" t="s">
        <v>132</v>
      </c>
      <c r="E104" s="990">
        <v>10280</v>
      </c>
      <c r="F104" s="990">
        <v>9750</v>
      </c>
      <c r="H104" s="988"/>
      <c r="I104" s="988"/>
      <c r="J104" s="989"/>
      <c r="K104" s="989"/>
    </row>
    <row r="105" spans="2:11">
      <c r="B105" s="165"/>
      <c r="C105" s="1023" t="s">
        <v>1457</v>
      </c>
      <c r="D105" s="1021" t="s">
        <v>471</v>
      </c>
      <c r="E105" s="990">
        <v>20491</v>
      </c>
      <c r="F105" s="990">
        <v>19821</v>
      </c>
      <c r="H105" s="988"/>
      <c r="I105" s="988"/>
      <c r="J105" s="989"/>
      <c r="K105" s="989"/>
    </row>
    <row r="106" spans="2:11">
      <c r="B106" s="165"/>
      <c r="C106" s="1023" t="s">
        <v>1458</v>
      </c>
      <c r="D106" s="1021" t="s">
        <v>472</v>
      </c>
      <c r="E106" s="990">
        <v>12684</v>
      </c>
      <c r="F106" s="990">
        <v>12496</v>
      </c>
      <c r="H106" s="988"/>
      <c r="I106" s="988"/>
      <c r="J106" s="989"/>
      <c r="K106" s="989"/>
    </row>
    <row r="107" spans="2:11">
      <c r="B107" s="165"/>
      <c r="C107" s="1023" t="s">
        <v>1459</v>
      </c>
      <c r="D107" s="1021" t="s">
        <v>473</v>
      </c>
      <c r="E107" s="990">
        <v>12390</v>
      </c>
      <c r="F107" s="990">
        <v>12140</v>
      </c>
      <c r="H107" s="988"/>
      <c r="I107" s="988"/>
      <c r="J107" s="989"/>
      <c r="K107" s="989"/>
    </row>
    <row r="108" spans="2:11">
      <c r="B108" s="165"/>
      <c r="C108" s="1023" t="s">
        <v>1460</v>
      </c>
      <c r="D108" s="1021" t="s">
        <v>474</v>
      </c>
      <c r="E108" s="990">
        <v>14297</v>
      </c>
      <c r="F108" s="990">
        <v>13659</v>
      </c>
      <c r="H108" s="988"/>
      <c r="I108" s="988"/>
      <c r="J108" s="989"/>
      <c r="K108" s="989"/>
    </row>
    <row r="109" spans="2:11">
      <c r="B109" s="165"/>
      <c r="C109" s="1023" t="s">
        <v>1461</v>
      </c>
      <c r="D109" s="1021" t="s">
        <v>475</v>
      </c>
      <c r="E109" s="990">
        <v>15761</v>
      </c>
      <c r="F109" s="990">
        <v>14727</v>
      </c>
      <c r="H109" s="988"/>
      <c r="I109" s="988"/>
      <c r="J109" s="989"/>
      <c r="K109" s="989"/>
    </row>
    <row r="110" spans="2:11">
      <c r="B110" s="165"/>
      <c r="C110" s="1023" t="s">
        <v>1462</v>
      </c>
      <c r="D110" s="1021" t="s">
        <v>476</v>
      </c>
      <c r="E110" s="990">
        <v>13042</v>
      </c>
      <c r="F110" s="990">
        <v>12587</v>
      </c>
      <c r="H110" s="988"/>
      <c r="I110" s="988"/>
      <c r="J110" s="989"/>
      <c r="K110" s="989"/>
    </row>
    <row r="111" spans="2:11">
      <c r="B111" s="165"/>
      <c r="C111" s="1023" t="s">
        <v>1463</v>
      </c>
      <c r="D111" s="1021" t="s">
        <v>477</v>
      </c>
      <c r="E111" s="990">
        <v>11564</v>
      </c>
      <c r="F111" s="990">
        <v>11410</v>
      </c>
      <c r="H111" s="988"/>
      <c r="I111" s="988"/>
      <c r="J111" s="989"/>
      <c r="K111" s="989"/>
    </row>
    <row r="112" spans="2:11">
      <c r="B112" s="165"/>
      <c r="C112" s="1023" t="s">
        <v>1464</v>
      </c>
      <c r="D112" s="1021" t="s">
        <v>478</v>
      </c>
      <c r="E112" s="990">
        <v>11989</v>
      </c>
      <c r="F112" s="990">
        <v>11720</v>
      </c>
      <c r="H112" s="988"/>
      <c r="I112" s="988"/>
      <c r="J112" s="989"/>
      <c r="K112" s="989"/>
    </row>
    <row r="113" spans="2:11">
      <c r="B113" s="165"/>
      <c r="C113" s="1023" t="s">
        <v>1465</v>
      </c>
      <c r="D113" s="1021" t="s">
        <v>479</v>
      </c>
      <c r="E113" s="990">
        <v>12841</v>
      </c>
      <c r="F113" s="990">
        <v>12530</v>
      </c>
      <c r="H113" s="988"/>
      <c r="I113" s="988"/>
      <c r="J113" s="989"/>
      <c r="K113" s="989"/>
    </row>
    <row r="114" spans="2:11">
      <c r="B114" s="165"/>
      <c r="C114" s="1023" t="s">
        <v>1466</v>
      </c>
      <c r="D114" s="1021" t="s">
        <v>480</v>
      </c>
      <c r="E114" s="990">
        <v>12297</v>
      </c>
      <c r="F114" s="990">
        <v>11832</v>
      </c>
      <c r="H114" s="988"/>
      <c r="I114" s="988"/>
      <c r="J114" s="989"/>
      <c r="K114" s="989"/>
    </row>
    <row r="115" spans="2:11">
      <c r="B115" s="165"/>
      <c r="C115" s="1023" t="s">
        <v>1467</v>
      </c>
      <c r="D115" s="1021" t="s">
        <v>481</v>
      </c>
      <c r="E115" s="990">
        <v>12130</v>
      </c>
      <c r="F115" s="990">
        <v>11707</v>
      </c>
      <c r="H115" s="988"/>
      <c r="I115" s="988"/>
      <c r="J115" s="989"/>
      <c r="K115" s="989"/>
    </row>
    <row r="116" spans="2:11">
      <c r="B116" s="165"/>
      <c r="C116" s="1023" t="s">
        <v>1468</v>
      </c>
      <c r="D116" s="1021" t="s">
        <v>482</v>
      </c>
      <c r="E116" s="990">
        <v>14132</v>
      </c>
      <c r="F116" s="990">
        <v>13773</v>
      </c>
      <c r="H116" s="988"/>
      <c r="I116" s="988"/>
      <c r="J116" s="989"/>
      <c r="K116" s="989"/>
    </row>
    <row r="117" spans="2:11">
      <c r="B117" s="165"/>
      <c r="C117" s="1023" t="s">
        <v>1469</v>
      </c>
      <c r="D117" s="1021" t="s">
        <v>483</v>
      </c>
      <c r="E117" s="990">
        <v>14934</v>
      </c>
      <c r="F117" s="990">
        <v>14241</v>
      </c>
      <c r="H117" s="988"/>
      <c r="I117" s="988"/>
      <c r="J117" s="989"/>
      <c r="K117" s="989"/>
    </row>
    <row r="118" spans="2:11">
      <c r="B118" s="165"/>
      <c r="C118" s="1023" t="s">
        <v>1470</v>
      </c>
      <c r="D118" s="1021" t="s">
        <v>484</v>
      </c>
      <c r="E118" s="990">
        <v>12379</v>
      </c>
      <c r="F118" s="990">
        <v>12082</v>
      </c>
      <c r="H118" s="988"/>
      <c r="I118" s="988"/>
      <c r="J118" s="989"/>
      <c r="K118" s="989"/>
    </row>
    <row r="119" spans="2:11">
      <c r="B119" s="165"/>
      <c r="C119" s="1023" t="s">
        <v>1471</v>
      </c>
      <c r="D119" s="1021" t="s">
        <v>485</v>
      </c>
      <c r="E119" s="990">
        <v>11508</v>
      </c>
      <c r="F119" s="990">
        <v>11095</v>
      </c>
      <c r="H119" s="988"/>
      <c r="I119" s="988"/>
      <c r="J119" s="989"/>
      <c r="K119" s="989"/>
    </row>
    <row r="120" spans="2:11">
      <c r="B120" s="165"/>
      <c r="C120" s="1023" t="s">
        <v>1472</v>
      </c>
      <c r="D120" s="1021" t="s">
        <v>486</v>
      </c>
      <c r="E120" s="990">
        <v>14390</v>
      </c>
      <c r="F120" s="990">
        <v>13987</v>
      </c>
      <c r="H120" s="988"/>
      <c r="I120" s="988"/>
      <c r="J120" s="989"/>
      <c r="K120" s="989"/>
    </row>
    <row r="121" spans="2:11">
      <c r="B121" s="165"/>
      <c r="C121" s="1023" t="s">
        <v>1473</v>
      </c>
      <c r="D121" s="1021" t="s">
        <v>487</v>
      </c>
      <c r="E121" s="990">
        <v>10533</v>
      </c>
      <c r="F121" s="990">
        <v>10283</v>
      </c>
      <c r="H121" s="988"/>
      <c r="I121" s="988"/>
      <c r="J121" s="989"/>
      <c r="K121" s="989"/>
    </row>
    <row r="122" spans="2:11">
      <c r="B122" s="165"/>
      <c r="C122" s="1023" t="s">
        <v>1474</v>
      </c>
      <c r="D122" s="1021" t="s">
        <v>488</v>
      </c>
      <c r="E122" s="990">
        <v>14694</v>
      </c>
      <c r="F122" s="990">
        <v>14287</v>
      </c>
      <c r="H122" s="988"/>
      <c r="I122" s="988"/>
      <c r="J122" s="989"/>
      <c r="K122" s="989"/>
    </row>
    <row r="123" spans="2:11">
      <c r="B123" s="165"/>
      <c r="C123" s="1023" t="s">
        <v>1475</v>
      </c>
      <c r="D123" s="1021" t="s">
        <v>489</v>
      </c>
      <c r="E123" s="990">
        <v>11746</v>
      </c>
      <c r="F123" s="990">
        <v>11582</v>
      </c>
      <c r="H123" s="988"/>
      <c r="I123" s="988"/>
      <c r="J123" s="989"/>
      <c r="K123" s="989"/>
    </row>
    <row r="124" spans="2:11">
      <c r="B124" s="165"/>
      <c r="C124" s="1023" t="s">
        <v>1476</v>
      </c>
      <c r="D124" s="1021" t="s">
        <v>490</v>
      </c>
      <c r="E124" s="990">
        <v>18350</v>
      </c>
      <c r="F124" s="990">
        <v>17464</v>
      </c>
      <c r="H124" s="988"/>
      <c r="I124" s="988"/>
      <c r="J124" s="989"/>
      <c r="K124" s="989"/>
    </row>
    <row r="125" spans="2:11">
      <c r="B125" s="165"/>
      <c r="C125" s="1023" t="s">
        <v>1477</v>
      </c>
      <c r="D125" s="1021" t="s">
        <v>491</v>
      </c>
      <c r="E125" s="990">
        <v>12603</v>
      </c>
      <c r="F125" s="990">
        <v>12566</v>
      </c>
      <c r="H125" s="988"/>
      <c r="I125" s="988"/>
      <c r="J125" s="989"/>
      <c r="K125" s="989"/>
    </row>
    <row r="126" spans="2:11">
      <c r="B126" s="165"/>
      <c r="C126" s="1023" t="s">
        <v>1478</v>
      </c>
      <c r="D126" s="1021" t="s">
        <v>492</v>
      </c>
      <c r="E126" s="990">
        <v>15407</v>
      </c>
      <c r="F126" s="990">
        <v>15221</v>
      </c>
      <c r="H126" s="988"/>
      <c r="I126" s="988"/>
      <c r="J126" s="989"/>
      <c r="K126" s="989"/>
    </row>
    <row r="127" spans="2:11">
      <c r="B127" s="165"/>
      <c r="C127" s="1023" t="s">
        <v>1479</v>
      </c>
      <c r="D127" s="1021" t="s">
        <v>493</v>
      </c>
      <c r="E127" s="990">
        <v>16053</v>
      </c>
      <c r="F127" s="990">
        <v>15677</v>
      </c>
      <c r="H127" s="988"/>
      <c r="I127" s="988"/>
      <c r="J127" s="989"/>
      <c r="K127" s="989"/>
    </row>
    <row r="128" spans="2:11">
      <c r="B128" s="165"/>
      <c r="C128" s="1023" t="s">
        <v>1480</v>
      </c>
      <c r="D128" s="1021" t="s">
        <v>494</v>
      </c>
      <c r="E128" s="990">
        <v>12400</v>
      </c>
      <c r="F128" s="990">
        <v>12085</v>
      </c>
      <c r="H128" s="988"/>
      <c r="I128" s="988"/>
      <c r="J128" s="989"/>
      <c r="K128" s="989"/>
    </row>
    <row r="129" spans="2:11">
      <c r="B129" s="165"/>
      <c r="C129" s="1023" t="s">
        <v>1481</v>
      </c>
      <c r="D129" s="1021" t="s">
        <v>495</v>
      </c>
      <c r="E129" s="990">
        <v>13494</v>
      </c>
      <c r="F129" s="990">
        <v>13274</v>
      </c>
      <c r="H129" s="988"/>
      <c r="I129" s="988"/>
      <c r="J129" s="989"/>
      <c r="K129" s="989"/>
    </row>
    <row r="130" spans="2:11">
      <c r="B130" s="165"/>
      <c r="C130" s="1023" t="s">
        <v>1482</v>
      </c>
      <c r="D130" s="1021" t="s">
        <v>496</v>
      </c>
      <c r="E130" s="990">
        <v>22341</v>
      </c>
      <c r="F130" s="990">
        <v>21365</v>
      </c>
      <c r="H130" s="988"/>
      <c r="I130" s="988"/>
      <c r="J130" s="989"/>
      <c r="K130" s="989"/>
    </row>
    <row r="131" spans="2:11">
      <c r="B131" s="165"/>
      <c r="C131" s="1023" t="s">
        <v>1483</v>
      </c>
      <c r="D131" s="1021" t="s">
        <v>497</v>
      </c>
      <c r="E131" s="990">
        <v>20069</v>
      </c>
      <c r="F131" s="990">
        <v>19577</v>
      </c>
      <c r="H131" s="988"/>
      <c r="I131" s="988"/>
      <c r="J131" s="989"/>
      <c r="K131" s="989"/>
    </row>
    <row r="132" spans="2:11">
      <c r="B132" s="165"/>
      <c r="C132" s="1023" t="s">
        <v>1484</v>
      </c>
      <c r="D132" s="1021" t="s">
        <v>498</v>
      </c>
      <c r="E132" s="990">
        <v>16966</v>
      </c>
      <c r="F132" s="990">
        <v>16320</v>
      </c>
      <c r="H132" s="988"/>
      <c r="I132" s="988"/>
      <c r="J132" s="989"/>
      <c r="K132" s="989"/>
    </row>
    <row r="133" spans="2:11">
      <c r="B133" s="165"/>
      <c r="C133" s="1023" t="s">
        <v>1485</v>
      </c>
      <c r="D133" s="1021" t="s">
        <v>499</v>
      </c>
      <c r="E133" s="990">
        <v>17811</v>
      </c>
      <c r="F133" s="990">
        <v>17414</v>
      </c>
      <c r="H133" s="988"/>
      <c r="I133" s="988"/>
      <c r="J133" s="989"/>
      <c r="K133" s="989"/>
    </row>
    <row r="134" spans="2:11">
      <c r="B134" s="165"/>
      <c r="C134" s="1023" t="s">
        <v>1486</v>
      </c>
      <c r="D134" s="1021" t="s">
        <v>500</v>
      </c>
      <c r="E134" s="990">
        <v>13221</v>
      </c>
      <c r="F134" s="990">
        <v>12947</v>
      </c>
      <c r="H134" s="988"/>
      <c r="I134" s="988"/>
      <c r="J134" s="989"/>
      <c r="K134" s="989"/>
    </row>
    <row r="135" spans="2:11">
      <c r="B135" s="165"/>
      <c r="C135" s="1023" t="s">
        <v>1487</v>
      </c>
      <c r="D135" s="1021" t="s">
        <v>501</v>
      </c>
      <c r="E135" s="990">
        <v>11281</v>
      </c>
      <c r="F135" s="990">
        <v>11005</v>
      </c>
      <c r="H135" s="988"/>
      <c r="I135" s="988"/>
      <c r="J135" s="989"/>
      <c r="K135" s="989"/>
    </row>
    <row r="136" spans="2:11">
      <c r="B136" s="165"/>
      <c r="C136" s="1023" t="s">
        <v>1488</v>
      </c>
      <c r="D136" s="1021" t="s">
        <v>502</v>
      </c>
      <c r="E136" s="990">
        <v>16560</v>
      </c>
      <c r="F136" s="990">
        <v>16428</v>
      </c>
      <c r="H136" s="988"/>
      <c r="I136" s="988"/>
      <c r="J136" s="989"/>
      <c r="K136" s="989"/>
    </row>
    <row r="137" spans="2:11">
      <c r="B137" s="165"/>
      <c r="C137" s="1023" t="s">
        <v>1489</v>
      </c>
      <c r="D137" s="1021" t="s">
        <v>503</v>
      </c>
      <c r="E137" s="990">
        <v>11959</v>
      </c>
      <c r="F137" s="990">
        <v>11417</v>
      </c>
      <c r="H137" s="988"/>
      <c r="I137" s="988"/>
      <c r="J137" s="989"/>
      <c r="K137" s="989"/>
    </row>
    <row r="138" spans="2:11">
      <c r="B138" s="165"/>
      <c r="C138" s="1023" t="s">
        <v>1490</v>
      </c>
      <c r="D138" s="1021" t="s">
        <v>504</v>
      </c>
      <c r="E138" s="990">
        <v>12514</v>
      </c>
      <c r="F138" s="990">
        <v>12246</v>
      </c>
      <c r="H138" s="988"/>
      <c r="I138" s="988"/>
      <c r="J138" s="989"/>
      <c r="K138" s="989"/>
    </row>
    <row r="139" spans="2:11">
      <c r="B139" s="165"/>
      <c r="C139" s="1023" t="s">
        <v>1491</v>
      </c>
      <c r="D139" s="1021" t="s">
        <v>505</v>
      </c>
      <c r="E139" s="990">
        <v>12900</v>
      </c>
      <c r="F139" s="990">
        <v>12362</v>
      </c>
      <c r="H139" s="988"/>
      <c r="I139" s="988"/>
      <c r="J139" s="989"/>
      <c r="K139" s="989"/>
    </row>
    <row r="140" spans="2:11">
      <c r="B140" s="165"/>
      <c r="C140" s="1023" t="s">
        <v>1492</v>
      </c>
      <c r="D140" s="1021" t="s">
        <v>506</v>
      </c>
      <c r="E140" s="990">
        <v>11448</v>
      </c>
      <c r="F140" s="990">
        <v>11031</v>
      </c>
      <c r="H140" s="988"/>
      <c r="I140" s="988"/>
      <c r="J140" s="989"/>
      <c r="K140" s="989"/>
    </row>
    <row r="141" spans="2:11">
      <c r="B141" s="165"/>
      <c r="C141" s="1023" t="s">
        <v>1493</v>
      </c>
      <c r="D141" s="1021" t="s">
        <v>507</v>
      </c>
      <c r="E141" s="990">
        <v>13336</v>
      </c>
      <c r="F141" s="990">
        <v>12895</v>
      </c>
      <c r="H141" s="988"/>
      <c r="I141" s="988"/>
      <c r="J141" s="989"/>
      <c r="K141" s="989"/>
    </row>
    <row r="142" spans="2:11">
      <c r="B142" s="165"/>
      <c r="C142" s="1023" t="s">
        <v>1494</v>
      </c>
      <c r="D142" s="1021" t="s">
        <v>508</v>
      </c>
      <c r="E142" s="990">
        <v>17258</v>
      </c>
      <c r="F142" s="990">
        <v>16514</v>
      </c>
      <c r="H142" s="988"/>
      <c r="I142" s="988"/>
      <c r="J142" s="989"/>
      <c r="K142" s="989"/>
    </row>
    <row r="143" spans="2:11">
      <c r="B143" s="165"/>
      <c r="C143" s="1023" t="s">
        <v>1495</v>
      </c>
      <c r="D143" s="1021" t="s">
        <v>509</v>
      </c>
      <c r="E143" s="990">
        <v>17818</v>
      </c>
      <c r="F143" s="990">
        <v>17793</v>
      </c>
      <c r="H143" s="988"/>
      <c r="I143" s="988"/>
      <c r="J143" s="989"/>
      <c r="K143" s="989"/>
    </row>
    <row r="144" spans="2:11">
      <c r="B144" s="165"/>
      <c r="C144" s="1023" t="s">
        <v>1496</v>
      </c>
      <c r="D144" s="1021" t="s">
        <v>510</v>
      </c>
      <c r="E144" s="990">
        <v>13567</v>
      </c>
      <c r="F144" s="990">
        <v>13174</v>
      </c>
      <c r="H144" s="988"/>
      <c r="I144" s="988"/>
      <c r="J144" s="989"/>
      <c r="K144" s="989"/>
    </row>
    <row r="145" spans="2:11">
      <c r="B145" s="165"/>
      <c r="C145" s="1023" t="s">
        <v>1497</v>
      </c>
      <c r="D145" s="1021" t="s">
        <v>511</v>
      </c>
      <c r="E145" s="990">
        <v>13539</v>
      </c>
      <c r="F145" s="990">
        <v>12930</v>
      </c>
      <c r="H145" s="988"/>
      <c r="I145" s="988"/>
      <c r="J145" s="989"/>
      <c r="K145" s="989"/>
    </row>
    <row r="146" spans="2:11">
      <c r="B146" s="165"/>
      <c r="C146" s="1023" t="s">
        <v>1498</v>
      </c>
      <c r="D146" s="1021" t="s">
        <v>512</v>
      </c>
      <c r="E146" s="990">
        <v>11668</v>
      </c>
      <c r="F146" s="990">
        <v>11374</v>
      </c>
      <c r="H146" s="988"/>
      <c r="I146" s="988"/>
      <c r="J146" s="989"/>
      <c r="K146" s="989"/>
    </row>
    <row r="147" spans="2:11">
      <c r="B147" s="165"/>
      <c r="C147" s="1023" t="s">
        <v>1499</v>
      </c>
      <c r="D147" s="1021" t="s">
        <v>513</v>
      </c>
      <c r="E147" s="990">
        <v>17511</v>
      </c>
      <c r="F147" s="990">
        <v>16837</v>
      </c>
      <c r="H147" s="988"/>
      <c r="I147" s="988"/>
      <c r="J147" s="989"/>
      <c r="K147" s="989"/>
    </row>
    <row r="148" spans="2:11">
      <c r="B148" s="165"/>
      <c r="C148" s="1023" t="s">
        <v>1500</v>
      </c>
      <c r="D148" s="1021" t="s">
        <v>514</v>
      </c>
      <c r="E148" s="990">
        <v>15652</v>
      </c>
      <c r="F148" s="990">
        <v>15333</v>
      </c>
      <c r="H148" s="988"/>
      <c r="I148" s="988"/>
      <c r="J148" s="989"/>
      <c r="K148" s="989"/>
    </row>
    <row r="149" spans="2:11">
      <c r="B149" s="165"/>
      <c r="C149" s="1023" t="s">
        <v>1501</v>
      </c>
      <c r="D149" s="1021" t="s">
        <v>515</v>
      </c>
      <c r="E149" s="990">
        <v>11578</v>
      </c>
      <c r="F149" s="990">
        <v>11072</v>
      </c>
      <c r="H149" s="988"/>
      <c r="I149" s="988"/>
      <c r="J149" s="989"/>
      <c r="K149" s="989"/>
    </row>
    <row r="150" spans="2:11">
      <c r="B150" s="165"/>
      <c r="C150" s="1023" t="s">
        <v>1502</v>
      </c>
      <c r="D150" s="1021" t="s">
        <v>516</v>
      </c>
      <c r="E150" s="990">
        <v>15879</v>
      </c>
      <c r="F150" s="990">
        <v>15161</v>
      </c>
      <c r="H150" s="988"/>
      <c r="I150" s="988"/>
      <c r="J150" s="989"/>
      <c r="K150" s="989"/>
    </row>
    <row r="151" spans="2:11">
      <c r="B151" s="165"/>
      <c r="C151" s="1023" t="s">
        <v>1503</v>
      </c>
      <c r="D151" s="1021" t="s">
        <v>517</v>
      </c>
      <c r="E151" s="990">
        <v>14234</v>
      </c>
      <c r="F151" s="990">
        <v>13211</v>
      </c>
      <c r="H151" s="988"/>
      <c r="I151" s="988"/>
      <c r="J151" s="989"/>
      <c r="K151" s="989"/>
    </row>
    <row r="152" spans="2:11">
      <c r="B152" s="165"/>
      <c r="C152" s="1023" t="s">
        <v>1504</v>
      </c>
      <c r="D152" s="1021" t="s">
        <v>518</v>
      </c>
      <c r="E152" s="990">
        <v>20713</v>
      </c>
      <c r="F152" s="990">
        <v>20230</v>
      </c>
      <c r="H152" s="988"/>
      <c r="I152" s="988"/>
      <c r="J152" s="989"/>
      <c r="K152" s="989"/>
    </row>
    <row r="153" spans="2:11">
      <c r="B153" s="165"/>
      <c r="C153" s="1023" t="s">
        <v>1505</v>
      </c>
      <c r="D153" s="1021" t="s">
        <v>519</v>
      </c>
      <c r="E153" s="990">
        <v>11981</v>
      </c>
      <c r="F153" s="990">
        <v>11709</v>
      </c>
      <c r="H153" s="988"/>
      <c r="I153" s="988"/>
      <c r="J153" s="989"/>
      <c r="K153" s="989"/>
    </row>
    <row r="154" spans="2:11">
      <c r="B154" s="165"/>
      <c r="C154" s="1023" t="s">
        <v>1506</v>
      </c>
      <c r="D154" s="1021" t="s">
        <v>520</v>
      </c>
      <c r="E154" s="990">
        <v>12868</v>
      </c>
      <c r="F154" s="990">
        <v>12434</v>
      </c>
      <c r="H154" s="988"/>
      <c r="I154" s="988"/>
      <c r="J154" s="989"/>
      <c r="K154" s="989"/>
    </row>
    <row r="155" spans="2:11">
      <c r="B155" s="165"/>
      <c r="C155" s="1023" t="s">
        <v>1507</v>
      </c>
      <c r="D155" s="1021" t="s">
        <v>521</v>
      </c>
      <c r="E155" s="990">
        <v>18180</v>
      </c>
      <c r="F155" s="990">
        <v>17667</v>
      </c>
      <c r="H155" s="988"/>
      <c r="I155" s="988"/>
      <c r="J155" s="989"/>
      <c r="K155" s="989"/>
    </row>
    <row r="156" spans="2:11">
      <c r="B156" s="165"/>
      <c r="C156" s="1023" t="s">
        <v>1508</v>
      </c>
      <c r="D156" s="1021" t="s">
        <v>522</v>
      </c>
      <c r="E156" s="990">
        <v>12767</v>
      </c>
      <c r="F156" s="990">
        <v>12222</v>
      </c>
      <c r="H156" s="988"/>
      <c r="I156" s="988"/>
      <c r="J156" s="989"/>
      <c r="K156" s="989"/>
    </row>
    <row r="157" spans="2:11">
      <c r="B157" s="165"/>
      <c r="C157" s="1023" t="s">
        <v>1509</v>
      </c>
      <c r="D157" s="1021" t="s">
        <v>523</v>
      </c>
      <c r="E157" s="990">
        <v>9912</v>
      </c>
      <c r="F157" s="990">
        <v>9579</v>
      </c>
      <c r="H157" s="988"/>
      <c r="I157" s="988"/>
      <c r="J157" s="989"/>
      <c r="K157" s="989"/>
    </row>
    <row r="158" spans="2:11">
      <c r="B158" s="165"/>
      <c r="C158" s="1023" t="s">
        <v>1510</v>
      </c>
      <c r="D158" s="1021" t="s">
        <v>524</v>
      </c>
      <c r="E158" s="990">
        <v>11597</v>
      </c>
      <c r="F158" s="990">
        <v>10902</v>
      </c>
      <c r="H158" s="988"/>
      <c r="I158" s="988"/>
      <c r="J158" s="989"/>
      <c r="K158" s="989"/>
    </row>
    <row r="159" spans="2:11">
      <c r="B159" s="165"/>
      <c r="C159" s="1023" t="s">
        <v>1511</v>
      </c>
      <c r="D159" s="1021" t="s">
        <v>525</v>
      </c>
      <c r="E159" s="990">
        <v>14291</v>
      </c>
      <c r="F159" s="990">
        <v>13741</v>
      </c>
      <c r="H159" s="988"/>
      <c r="I159" s="988"/>
      <c r="J159" s="989"/>
      <c r="K159" s="989"/>
    </row>
    <row r="160" spans="2:11">
      <c r="B160" s="165"/>
      <c r="C160" s="1023" t="s">
        <v>1512</v>
      </c>
      <c r="D160" s="1021" t="s">
        <v>526</v>
      </c>
      <c r="E160" s="990">
        <v>11709</v>
      </c>
      <c r="F160" s="990">
        <v>11280</v>
      </c>
      <c r="H160" s="988"/>
      <c r="I160" s="988"/>
      <c r="J160" s="989"/>
      <c r="K160" s="989"/>
    </row>
    <row r="161" spans="2:11">
      <c r="B161" s="165"/>
      <c r="C161" s="1023" t="s">
        <v>1513</v>
      </c>
      <c r="D161" s="1021" t="s">
        <v>527</v>
      </c>
      <c r="E161" s="990">
        <v>12519</v>
      </c>
      <c r="F161" s="990">
        <v>11946</v>
      </c>
      <c r="H161" s="988"/>
      <c r="I161" s="988"/>
      <c r="J161" s="989"/>
      <c r="K161" s="989"/>
    </row>
    <row r="162" spans="2:11">
      <c r="B162" s="165"/>
      <c r="C162" s="1023" t="s">
        <v>1514</v>
      </c>
      <c r="D162" s="1021" t="s">
        <v>528</v>
      </c>
      <c r="E162" s="990">
        <v>13156</v>
      </c>
      <c r="F162" s="990">
        <v>12711</v>
      </c>
      <c r="H162" s="988"/>
      <c r="I162" s="988"/>
      <c r="J162" s="989"/>
      <c r="K162" s="989"/>
    </row>
    <row r="163" spans="2:11">
      <c r="B163" s="165"/>
      <c r="C163" s="1023" t="s">
        <v>1515</v>
      </c>
      <c r="D163" s="1021" t="s">
        <v>529</v>
      </c>
      <c r="E163" s="990">
        <v>25069</v>
      </c>
      <c r="F163" s="990">
        <v>24126</v>
      </c>
      <c r="H163" s="988"/>
      <c r="I163" s="988"/>
      <c r="J163" s="989"/>
      <c r="K163" s="989"/>
    </row>
    <row r="164" spans="2:11">
      <c r="B164" s="165"/>
      <c r="C164" s="1023" t="s">
        <v>1516</v>
      </c>
      <c r="D164" s="1021" t="s">
        <v>530</v>
      </c>
      <c r="E164" s="990">
        <v>13180</v>
      </c>
      <c r="F164" s="990">
        <v>12847</v>
      </c>
      <c r="H164" s="988"/>
      <c r="I164" s="988"/>
      <c r="J164" s="989"/>
      <c r="K164" s="989"/>
    </row>
    <row r="165" spans="2:11">
      <c r="B165" s="165"/>
      <c r="C165" s="1023" t="s">
        <v>1517</v>
      </c>
      <c r="D165" s="1021" t="s">
        <v>531</v>
      </c>
      <c r="E165" s="990">
        <v>15810</v>
      </c>
      <c r="F165" s="990">
        <v>15059</v>
      </c>
      <c r="H165" s="988"/>
      <c r="I165" s="988"/>
      <c r="J165" s="989"/>
      <c r="K165" s="989"/>
    </row>
    <row r="166" spans="2:11">
      <c r="B166" s="165"/>
      <c r="C166" s="1023" t="s">
        <v>1518</v>
      </c>
      <c r="D166" s="1021" t="s">
        <v>532</v>
      </c>
      <c r="E166" s="990">
        <v>17275</v>
      </c>
      <c r="F166" s="990">
        <v>16688</v>
      </c>
      <c r="H166" s="988"/>
      <c r="I166" s="988"/>
      <c r="J166" s="989"/>
      <c r="K166" s="989"/>
    </row>
    <row r="167" spans="2:11">
      <c r="B167" s="165"/>
      <c r="C167" s="1023" t="s">
        <v>1519</v>
      </c>
      <c r="D167" s="1021" t="s">
        <v>533</v>
      </c>
      <c r="E167" s="990">
        <v>18342</v>
      </c>
      <c r="F167" s="990">
        <v>17416</v>
      </c>
      <c r="H167" s="988"/>
      <c r="I167" s="988"/>
      <c r="J167" s="989"/>
      <c r="K167" s="989"/>
    </row>
    <row r="168" spans="2:11">
      <c r="B168" s="165"/>
      <c r="C168" s="1023" t="s">
        <v>1520</v>
      </c>
      <c r="D168" s="1021" t="s">
        <v>534</v>
      </c>
      <c r="E168" s="990">
        <v>23252</v>
      </c>
      <c r="F168" s="990">
        <v>23361</v>
      </c>
      <c r="H168" s="988"/>
      <c r="I168" s="988"/>
      <c r="J168" s="989"/>
      <c r="K168" s="989"/>
    </row>
    <row r="169" spans="2:11">
      <c r="B169" s="165"/>
      <c r="C169" s="1023" t="s">
        <v>1521</v>
      </c>
      <c r="D169" s="1021" t="s">
        <v>535</v>
      </c>
      <c r="E169" s="990">
        <v>17768</v>
      </c>
      <c r="F169" s="990">
        <v>17260</v>
      </c>
      <c r="H169" s="988"/>
      <c r="I169" s="988"/>
      <c r="J169" s="989"/>
      <c r="K169" s="989"/>
    </row>
    <row r="170" spans="2:11">
      <c r="B170" s="165"/>
      <c r="C170" s="1023" t="s">
        <v>1522</v>
      </c>
      <c r="D170" s="1021" t="s">
        <v>536</v>
      </c>
      <c r="E170" s="990">
        <v>14501</v>
      </c>
      <c r="F170" s="990">
        <v>13983</v>
      </c>
      <c r="H170" s="988"/>
      <c r="I170" s="988"/>
      <c r="J170" s="989"/>
      <c r="K170" s="989"/>
    </row>
    <row r="171" spans="2:11">
      <c r="B171" s="165"/>
      <c r="C171" s="1023" t="s">
        <v>1523</v>
      </c>
      <c r="D171" s="1021" t="s">
        <v>537</v>
      </c>
      <c r="E171" s="990">
        <v>19644</v>
      </c>
      <c r="F171" s="990">
        <v>19057</v>
      </c>
      <c r="H171" s="988"/>
      <c r="I171" s="988"/>
      <c r="J171" s="989"/>
      <c r="K171" s="989"/>
    </row>
    <row r="172" spans="2:11">
      <c r="B172" s="165"/>
      <c r="C172" s="1023" t="s">
        <v>1524</v>
      </c>
      <c r="D172" s="1021" t="s">
        <v>538</v>
      </c>
      <c r="E172" s="990">
        <v>15118</v>
      </c>
      <c r="F172" s="990">
        <v>14881</v>
      </c>
      <c r="H172" s="988"/>
      <c r="I172" s="988"/>
      <c r="J172" s="989"/>
      <c r="K172" s="989"/>
    </row>
    <row r="173" spans="2:11">
      <c r="B173" s="165"/>
      <c r="C173" s="1023" t="s">
        <v>1525</v>
      </c>
      <c r="D173" s="1021" t="s">
        <v>539</v>
      </c>
      <c r="E173" s="990">
        <v>22589</v>
      </c>
      <c r="F173" s="990">
        <v>21911</v>
      </c>
      <c r="H173" s="988"/>
      <c r="I173" s="988"/>
      <c r="J173" s="989"/>
      <c r="K173" s="989"/>
    </row>
    <row r="174" spans="2:11">
      <c r="B174" s="165"/>
      <c r="C174" s="1023" t="s">
        <v>1526</v>
      </c>
      <c r="D174" s="1021" t="s">
        <v>540</v>
      </c>
      <c r="E174" s="990">
        <v>19340</v>
      </c>
      <c r="F174" s="990">
        <v>18893</v>
      </c>
      <c r="H174" s="988"/>
      <c r="I174" s="988"/>
      <c r="J174" s="989"/>
      <c r="K174" s="989"/>
    </row>
    <row r="175" spans="2:11">
      <c r="B175" s="165"/>
      <c r="C175" s="1023" t="s">
        <v>1527</v>
      </c>
      <c r="D175" s="1021" t="s">
        <v>541</v>
      </c>
      <c r="E175" s="990">
        <v>14544</v>
      </c>
      <c r="F175" s="990">
        <v>13513</v>
      </c>
      <c r="H175" s="988"/>
      <c r="I175" s="988"/>
      <c r="J175" s="989"/>
      <c r="K175" s="989"/>
    </row>
    <row r="176" spans="2:11">
      <c r="B176" s="165"/>
      <c r="C176" s="1023" t="s">
        <v>1528</v>
      </c>
      <c r="D176" s="1021" t="s">
        <v>542</v>
      </c>
      <c r="E176" s="990">
        <v>10731</v>
      </c>
      <c r="F176" s="990">
        <v>10601</v>
      </c>
      <c r="H176" s="988"/>
      <c r="I176" s="988"/>
      <c r="J176" s="989"/>
      <c r="K176" s="989"/>
    </row>
    <row r="177" spans="2:11">
      <c r="B177" s="165"/>
      <c r="C177" s="1023" t="s">
        <v>1529</v>
      </c>
      <c r="D177" s="1021" t="s">
        <v>543</v>
      </c>
      <c r="E177" s="990">
        <v>19618</v>
      </c>
      <c r="F177" s="990">
        <v>19177</v>
      </c>
      <c r="H177" s="988"/>
      <c r="I177" s="988"/>
      <c r="J177" s="989"/>
      <c r="K177" s="989"/>
    </row>
    <row r="178" spans="2:11">
      <c r="B178" s="165"/>
      <c r="C178" s="1023" t="s">
        <v>1530</v>
      </c>
      <c r="D178" s="1021" t="s">
        <v>544</v>
      </c>
      <c r="E178" s="990">
        <v>22759</v>
      </c>
      <c r="F178" s="990">
        <v>22946</v>
      </c>
      <c r="H178" s="988"/>
      <c r="I178" s="988"/>
      <c r="J178" s="989"/>
      <c r="K178" s="989"/>
    </row>
    <row r="179" spans="2:11">
      <c r="B179" s="165"/>
      <c r="C179" s="1023" t="s">
        <v>1531</v>
      </c>
      <c r="D179" s="1021" t="s">
        <v>545</v>
      </c>
      <c r="E179" s="990">
        <v>12740</v>
      </c>
      <c r="F179" s="990">
        <v>12267</v>
      </c>
      <c r="H179" s="988"/>
      <c r="I179" s="988"/>
      <c r="J179" s="989"/>
      <c r="K179" s="989"/>
    </row>
    <row r="180" spans="2:11">
      <c r="B180" s="165"/>
      <c r="C180" s="1023" t="s">
        <v>1532</v>
      </c>
      <c r="D180" s="1021" t="s">
        <v>546</v>
      </c>
      <c r="E180" s="990">
        <v>11987</v>
      </c>
      <c r="F180" s="990">
        <v>11591</v>
      </c>
      <c r="H180" s="988"/>
      <c r="I180" s="988"/>
      <c r="J180" s="989"/>
      <c r="K180" s="989"/>
    </row>
    <row r="181" spans="2:11">
      <c r="B181" s="165"/>
      <c r="C181" s="1023" t="s">
        <v>1533</v>
      </c>
      <c r="D181" s="1021" t="s">
        <v>547</v>
      </c>
      <c r="E181" s="990">
        <v>12674</v>
      </c>
      <c r="F181" s="990">
        <v>12453</v>
      </c>
      <c r="H181" s="988"/>
      <c r="I181" s="988"/>
      <c r="J181" s="989"/>
      <c r="K181" s="989"/>
    </row>
    <row r="182" spans="2:11">
      <c r="B182" s="165"/>
      <c r="C182" s="1023" t="s">
        <v>1534</v>
      </c>
      <c r="D182" s="1021" t="s">
        <v>548</v>
      </c>
      <c r="E182" s="990">
        <v>15247</v>
      </c>
      <c r="F182" s="990">
        <v>14340</v>
      </c>
      <c r="H182" s="988"/>
      <c r="I182" s="988"/>
      <c r="J182" s="989"/>
      <c r="K182" s="989"/>
    </row>
    <row r="183" spans="2:11">
      <c r="B183" s="165"/>
      <c r="C183" s="1023" t="s">
        <v>1535</v>
      </c>
      <c r="D183" s="1021" t="s">
        <v>549</v>
      </c>
      <c r="E183" s="990">
        <v>14601</v>
      </c>
      <c r="F183" s="990" t="s">
        <v>2038</v>
      </c>
      <c r="H183" s="988"/>
      <c r="I183" s="988"/>
      <c r="J183" s="989"/>
      <c r="K183" s="989"/>
    </row>
    <row r="184" spans="2:11">
      <c r="B184" s="165"/>
      <c r="C184" s="1023" t="s">
        <v>1536</v>
      </c>
      <c r="D184" s="1021" t="s">
        <v>550</v>
      </c>
      <c r="E184" s="990">
        <v>16781</v>
      </c>
      <c r="F184" s="990">
        <v>16667</v>
      </c>
      <c r="H184" s="988"/>
      <c r="I184" s="988"/>
      <c r="J184" s="989"/>
      <c r="K184" s="989"/>
    </row>
    <row r="185" spans="2:11">
      <c r="B185" s="165"/>
      <c r="C185" s="1023" t="s">
        <v>1537</v>
      </c>
      <c r="D185" s="1021" t="s">
        <v>551</v>
      </c>
      <c r="E185" s="990">
        <v>12962</v>
      </c>
      <c r="F185" s="990">
        <v>12507</v>
      </c>
      <c r="H185" s="988"/>
      <c r="I185" s="988"/>
      <c r="J185" s="989"/>
      <c r="K185" s="989"/>
    </row>
    <row r="186" spans="2:11">
      <c r="B186" s="165"/>
      <c r="C186" s="1023" t="s">
        <v>1538</v>
      </c>
      <c r="D186" s="1021" t="s">
        <v>552</v>
      </c>
      <c r="E186" s="990">
        <v>12680</v>
      </c>
      <c r="F186" s="990">
        <v>12400</v>
      </c>
      <c r="H186" s="988"/>
      <c r="I186" s="988"/>
      <c r="J186" s="989"/>
      <c r="K186" s="989"/>
    </row>
    <row r="187" spans="2:11">
      <c r="B187" s="165"/>
      <c r="C187" s="1023" t="s">
        <v>1539</v>
      </c>
      <c r="D187" s="1021" t="s">
        <v>553</v>
      </c>
      <c r="E187" s="990">
        <v>11455</v>
      </c>
      <c r="F187" s="990">
        <v>10941</v>
      </c>
      <c r="H187" s="988"/>
      <c r="I187" s="988"/>
      <c r="J187" s="989"/>
      <c r="K187" s="989"/>
    </row>
    <row r="188" spans="2:11">
      <c r="B188" s="165"/>
      <c r="C188" s="1023" t="s">
        <v>1540</v>
      </c>
      <c r="D188" s="1021" t="s">
        <v>554</v>
      </c>
      <c r="E188" s="990">
        <v>15908</v>
      </c>
      <c r="F188" s="990">
        <v>15331</v>
      </c>
      <c r="H188" s="988"/>
      <c r="I188" s="988"/>
      <c r="J188" s="989"/>
      <c r="K188" s="989"/>
    </row>
    <row r="189" spans="2:11">
      <c r="B189" s="165"/>
      <c r="C189" s="1023" t="s">
        <v>1541</v>
      </c>
      <c r="D189" s="1021" t="s">
        <v>555</v>
      </c>
      <c r="E189" s="990">
        <v>23620</v>
      </c>
      <c r="F189" s="990">
        <v>23254</v>
      </c>
      <c r="H189" s="988"/>
      <c r="I189" s="988"/>
      <c r="J189" s="989"/>
      <c r="K189" s="989"/>
    </row>
    <row r="190" spans="2:11">
      <c r="B190" s="165"/>
      <c r="C190" s="1023" t="s">
        <v>1542</v>
      </c>
      <c r="D190" s="1021" t="s">
        <v>556</v>
      </c>
      <c r="E190" s="990">
        <v>16244</v>
      </c>
      <c r="F190" s="990">
        <v>15610</v>
      </c>
      <c r="H190" s="988"/>
      <c r="I190" s="988"/>
      <c r="J190" s="989"/>
      <c r="K190" s="989"/>
    </row>
    <row r="191" spans="2:11">
      <c r="B191" s="165"/>
      <c r="C191" s="1023" t="s">
        <v>1543</v>
      </c>
      <c r="D191" s="1021" t="s">
        <v>557</v>
      </c>
      <c r="E191" s="990">
        <v>12815</v>
      </c>
      <c r="F191" s="990">
        <v>12461</v>
      </c>
      <c r="H191" s="988"/>
      <c r="I191" s="988"/>
      <c r="J191" s="989"/>
      <c r="K191" s="989"/>
    </row>
    <row r="192" spans="2:11">
      <c r="B192" s="165"/>
      <c r="C192" s="1023" t="s">
        <v>1544</v>
      </c>
      <c r="D192" s="1021" t="s">
        <v>558</v>
      </c>
      <c r="E192" s="990">
        <v>13894</v>
      </c>
      <c r="F192" s="990">
        <v>13284</v>
      </c>
      <c r="H192" s="988"/>
      <c r="I192" s="988"/>
      <c r="J192" s="989"/>
      <c r="K192" s="989"/>
    </row>
    <row r="193" spans="2:11">
      <c r="B193" s="165"/>
      <c r="C193" s="1023" t="s">
        <v>1545</v>
      </c>
      <c r="D193" s="1021" t="s">
        <v>559</v>
      </c>
      <c r="E193" s="990">
        <v>12209</v>
      </c>
      <c r="F193" s="990">
        <v>11663</v>
      </c>
      <c r="H193" s="988"/>
      <c r="I193" s="988"/>
      <c r="J193" s="989"/>
      <c r="K193" s="989"/>
    </row>
    <row r="194" spans="2:11">
      <c r="B194" s="165"/>
      <c r="C194" s="1023" t="s">
        <v>1546</v>
      </c>
      <c r="D194" s="1021" t="s">
        <v>560</v>
      </c>
      <c r="E194" s="990">
        <v>10908</v>
      </c>
      <c r="F194" s="990">
        <v>10658</v>
      </c>
      <c r="H194" s="988"/>
      <c r="I194" s="988"/>
      <c r="J194" s="989"/>
      <c r="K194" s="989"/>
    </row>
    <row r="195" spans="2:11">
      <c r="B195" s="165"/>
      <c r="C195" s="1023" t="s">
        <v>1547</v>
      </c>
      <c r="D195" s="1021" t="s">
        <v>561</v>
      </c>
      <c r="E195" s="990">
        <v>21181</v>
      </c>
      <c r="F195" s="990">
        <v>20149</v>
      </c>
      <c r="H195" s="988"/>
      <c r="I195" s="988"/>
      <c r="J195" s="989"/>
      <c r="K195" s="989"/>
    </row>
    <row r="196" spans="2:11">
      <c r="B196" s="165"/>
      <c r="C196" s="1023" t="s">
        <v>1548</v>
      </c>
      <c r="D196" s="1021" t="s">
        <v>562</v>
      </c>
      <c r="E196" s="990">
        <v>18604</v>
      </c>
      <c r="F196" s="990">
        <v>18029</v>
      </c>
      <c r="H196" s="988"/>
      <c r="I196" s="988"/>
      <c r="J196" s="989"/>
      <c r="K196" s="989"/>
    </row>
    <row r="197" spans="2:11">
      <c r="B197" s="165"/>
      <c r="C197" s="1023" t="s">
        <v>1549</v>
      </c>
      <c r="D197" s="1021" t="s">
        <v>563</v>
      </c>
      <c r="E197" s="990">
        <v>12285</v>
      </c>
      <c r="F197" s="990">
        <v>12025</v>
      </c>
      <c r="H197" s="988"/>
      <c r="I197" s="988"/>
      <c r="J197" s="989"/>
      <c r="K197" s="989"/>
    </row>
    <row r="198" spans="2:11">
      <c r="B198" s="165"/>
      <c r="C198" s="1023" t="s">
        <v>1550</v>
      </c>
      <c r="D198" s="1021" t="s">
        <v>564</v>
      </c>
      <c r="E198" s="990">
        <v>10284</v>
      </c>
      <c r="F198" s="990">
        <v>9898</v>
      </c>
      <c r="H198" s="988"/>
      <c r="I198" s="988"/>
      <c r="J198" s="989"/>
      <c r="K198" s="989"/>
    </row>
    <row r="199" spans="2:11">
      <c r="B199" s="165"/>
      <c r="C199" s="1023" t="s">
        <v>1551</v>
      </c>
      <c r="D199" s="1021" t="s">
        <v>565</v>
      </c>
      <c r="E199" s="990">
        <v>112323</v>
      </c>
      <c r="F199" s="990">
        <v>110380</v>
      </c>
      <c r="H199" s="988"/>
      <c r="I199" s="988"/>
      <c r="J199" s="989"/>
      <c r="K199" s="989"/>
    </row>
    <row r="200" spans="2:11">
      <c r="B200" s="165"/>
      <c r="C200" s="1023" t="s">
        <v>1552</v>
      </c>
      <c r="D200" s="1021" t="s">
        <v>566</v>
      </c>
      <c r="E200" s="990">
        <v>0</v>
      </c>
      <c r="F200" s="990">
        <v>0</v>
      </c>
      <c r="H200" s="988"/>
      <c r="I200" s="988"/>
      <c r="J200" s="989"/>
      <c r="K200" s="989"/>
    </row>
    <row r="201" spans="2:11">
      <c r="B201" s="165"/>
      <c r="C201" s="1023" t="s">
        <v>1553</v>
      </c>
      <c r="D201" s="1021" t="s">
        <v>567</v>
      </c>
      <c r="E201" s="990">
        <v>16332</v>
      </c>
      <c r="F201" s="990">
        <v>15793</v>
      </c>
      <c r="H201" s="988"/>
      <c r="I201" s="988"/>
      <c r="J201" s="989"/>
      <c r="K201" s="989"/>
    </row>
    <row r="202" spans="2:11">
      <c r="B202" s="165"/>
      <c r="C202" s="1023" t="s">
        <v>1554</v>
      </c>
      <c r="D202" s="1021" t="s">
        <v>568</v>
      </c>
      <c r="E202" s="990">
        <v>15507</v>
      </c>
      <c r="F202" s="990">
        <v>14884</v>
      </c>
      <c r="H202" s="988"/>
      <c r="I202" s="988"/>
      <c r="J202" s="989"/>
      <c r="K202" s="989"/>
    </row>
    <row r="203" spans="2:11">
      <c r="B203" s="165"/>
      <c r="C203" s="1023" t="s">
        <v>1555</v>
      </c>
      <c r="D203" s="1021" t="s">
        <v>569</v>
      </c>
      <c r="E203" s="990">
        <v>11961</v>
      </c>
      <c r="F203" s="990">
        <v>11357</v>
      </c>
      <c r="H203" s="988"/>
      <c r="I203" s="988"/>
      <c r="J203" s="989"/>
      <c r="K203" s="989"/>
    </row>
    <row r="204" spans="2:11">
      <c r="B204" s="165"/>
      <c r="C204" s="1023" t="s">
        <v>1556</v>
      </c>
      <c r="D204" s="1021" t="s">
        <v>570</v>
      </c>
      <c r="E204" s="990">
        <v>11693</v>
      </c>
      <c r="F204" s="990">
        <v>11501</v>
      </c>
      <c r="H204" s="988"/>
      <c r="I204" s="988"/>
      <c r="J204" s="989"/>
      <c r="K204" s="989"/>
    </row>
    <row r="205" spans="2:11">
      <c r="B205" s="165"/>
      <c r="C205" s="1023" t="s">
        <v>1557</v>
      </c>
      <c r="D205" s="1021" t="s">
        <v>571</v>
      </c>
      <c r="E205" s="990">
        <v>14740</v>
      </c>
      <c r="F205" s="990">
        <v>14286</v>
      </c>
      <c r="H205" s="988"/>
      <c r="I205" s="988"/>
      <c r="J205" s="989"/>
      <c r="K205" s="989"/>
    </row>
    <row r="206" spans="2:11">
      <c r="B206" s="165"/>
      <c r="C206" s="1023" t="s">
        <v>1558</v>
      </c>
      <c r="D206" s="1021" t="s">
        <v>572</v>
      </c>
      <c r="E206" s="990">
        <v>13033</v>
      </c>
      <c r="F206" s="990">
        <v>12702</v>
      </c>
      <c r="H206" s="988"/>
      <c r="I206" s="988"/>
      <c r="J206" s="989"/>
      <c r="K206" s="989"/>
    </row>
    <row r="207" spans="2:11">
      <c r="B207" s="165"/>
      <c r="C207" s="1023" t="s">
        <v>1559</v>
      </c>
      <c r="D207" s="1021" t="s">
        <v>573</v>
      </c>
      <c r="E207" s="990">
        <v>14230</v>
      </c>
      <c r="F207" s="990">
        <v>13336</v>
      </c>
      <c r="H207" s="988"/>
      <c r="I207" s="988"/>
      <c r="J207" s="989"/>
      <c r="K207" s="989"/>
    </row>
    <row r="208" spans="2:11">
      <c r="B208" s="165"/>
      <c r="C208" s="1023" t="s">
        <v>1560</v>
      </c>
      <c r="D208" s="1021" t="s">
        <v>574</v>
      </c>
      <c r="E208" s="990">
        <v>10329</v>
      </c>
      <c r="F208" s="990">
        <v>9917</v>
      </c>
      <c r="H208" s="988"/>
      <c r="I208" s="988"/>
      <c r="J208" s="989"/>
      <c r="K208" s="989"/>
    </row>
    <row r="209" spans="2:11">
      <c r="B209" s="165"/>
      <c r="C209" s="1023" t="s">
        <v>1561</v>
      </c>
      <c r="D209" s="1021" t="s">
        <v>575</v>
      </c>
      <c r="E209" s="990">
        <v>13820</v>
      </c>
      <c r="F209" s="990">
        <v>13363</v>
      </c>
      <c r="H209" s="988"/>
      <c r="I209" s="988"/>
      <c r="J209" s="989"/>
      <c r="K209" s="989"/>
    </row>
    <row r="210" spans="2:11">
      <c r="B210" s="165"/>
      <c r="C210" s="1023" t="s">
        <v>1562</v>
      </c>
      <c r="D210" s="1021" t="s">
        <v>576</v>
      </c>
      <c r="E210" s="990">
        <v>14804</v>
      </c>
      <c r="F210" s="990">
        <v>14082</v>
      </c>
      <c r="H210" s="988"/>
      <c r="I210" s="988"/>
      <c r="J210" s="989"/>
      <c r="K210" s="989"/>
    </row>
    <row r="211" spans="2:11">
      <c r="B211" s="165"/>
      <c r="C211" s="1023" t="s">
        <v>1563</v>
      </c>
      <c r="D211" s="1021" t="s">
        <v>577</v>
      </c>
      <c r="E211" s="990">
        <v>12348</v>
      </c>
      <c r="F211" s="990">
        <v>12121</v>
      </c>
      <c r="H211" s="988"/>
      <c r="I211" s="988"/>
      <c r="J211" s="989"/>
      <c r="K211" s="989"/>
    </row>
    <row r="212" spans="2:11">
      <c r="B212" s="165"/>
      <c r="C212" s="1023" t="s">
        <v>1564</v>
      </c>
      <c r="D212" s="1021" t="s">
        <v>578</v>
      </c>
      <c r="E212" s="990">
        <v>13431</v>
      </c>
      <c r="F212" s="990">
        <v>13051</v>
      </c>
      <c r="H212" s="988"/>
      <c r="I212" s="988"/>
      <c r="J212" s="989"/>
      <c r="K212" s="989"/>
    </row>
    <row r="213" spans="2:11">
      <c r="B213" s="165"/>
      <c r="C213" s="1023" t="s">
        <v>1565</v>
      </c>
      <c r="D213" s="1021" t="s">
        <v>579</v>
      </c>
      <c r="E213" s="990">
        <v>17468</v>
      </c>
      <c r="F213" s="990">
        <v>17026</v>
      </c>
      <c r="H213" s="988"/>
      <c r="I213" s="988"/>
      <c r="J213" s="989"/>
      <c r="K213" s="989"/>
    </row>
    <row r="214" spans="2:11">
      <c r="B214" s="165"/>
      <c r="C214" s="1023" t="s">
        <v>1566</v>
      </c>
      <c r="D214" s="1021" t="s">
        <v>580</v>
      </c>
      <c r="E214" s="990">
        <v>11671</v>
      </c>
      <c r="F214" s="990">
        <v>11043</v>
      </c>
      <c r="H214" s="988"/>
      <c r="I214" s="988"/>
      <c r="J214" s="989"/>
      <c r="K214" s="989"/>
    </row>
    <row r="215" spans="2:11">
      <c r="B215" s="165"/>
      <c r="C215" s="1023" t="s">
        <v>1567</v>
      </c>
      <c r="D215" s="1021" t="s">
        <v>581</v>
      </c>
      <c r="E215" s="990">
        <v>14294</v>
      </c>
      <c r="F215" s="990">
        <v>13859</v>
      </c>
      <c r="H215" s="988"/>
      <c r="I215" s="988"/>
      <c r="J215" s="989"/>
      <c r="K215" s="989"/>
    </row>
    <row r="216" spans="2:11">
      <c r="B216" s="165"/>
      <c r="C216" s="1023" t="s">
        <v>1568</v>
      </c>
      <c r="D216" s="1021" t="s">
        <v>582</v>
      </c>
      <c r="E216" s="990">
        <v>9831</v>
      </c>
      <c r="F216" s="990">
        <v>9685</v>
      </c>
      <c r="H216" s="988"/>
      <c r="I216" s="988"/>
      <c r="J216" s="989"/>
      <c r="K216" s="989"/>
    </row>
    <row r="217" spans="2:11">
      <c r="B217" s="165"/>
      <c r="C217" s="1023" t="s">
        <v>1569</v>
      </c>
      <c r="D217" s="1021" t="s">
        <v>583</v>
      </c>
      <c r="E217" s="990">
        <v>13107</v>
      </c>
      <c r="F217" s="990">
        <v>12555</v>
      </c>
      <c r="H217" s="988"/>
      <c r="I217" s="988"/>
      <c r="J217" s="989"/>
      <c r="K217" s="989"/>
    </row>
    <row r="218" spans="2:11">
      <c r="B218" s="165"/>
      <c r="C218" s="1023" t="s">
        <v>1570</v>
      </c>
      <c r="D218" s="1021" t="s">
        <v>584</v>
      </c>
      <c r="E218" s="990">
        <v>11385</v>
      </c>
      <c r="F218" s="990">
        <v>10758</v>
      </c>
      <c r="H218" s="988"/>
      <c r="I218" s="988"/>
      <c r="J218" s="989"/>
      <c r="K218" s="989"/>
    </row>
    <row r="219" spans="2:11">
      <c r="B219" s="165"/>
      <c r="C219" s="1023" t="s">
        <v>1571</v>
      </c>
      <c r="D219" s="1021" t="s">
        <v>585</v>
      </c>
      <c r="E219" s="990">
        <v>11350</v>
      </c>
      <c r="F219" s="990">
        <v>11038</v>
      </c>
      <c r="H219" s="988"/>
      <c r="I219" s="988"/>
      <c r="J219" s="989"/>
      <c r="K219" s="989"/>
    </row>
    <row r="220" spans="2:11">
      <c r="B220" s="165"/>
      <c r="C220" s="1023" t="s">
        <v>1572</v>
      </c>
      <c r="D220" s="1021" t="s">
        <v>586</v>
      </c>
      <c r="E220" s="990">
        <v>18966</v>
      </c>
      <c r="F220" s="990">
        <v>18291</v>
      </c>
      <c r="H220" s="988"/>
      <c r="I220" s="988"/>
      <c r="J220" s="989"/>
      <c r="K220" s="989"/>
    </row>
    <row r="221" spans="2:11">
      <c r="B221" s="165"/>
      <c r="C221" s="1023" t="s">
        <v>1573</v>
      </c>
      <c r="D221" s="1021" t="s">
        <v>587</v>
      </c>
      <c r="E221" s="990">
        <v>23191</v>
      </c>
      <c r="F221" s="990">
        <v>22062</v>
      </c>
      <c r="H221" s="988"/>
      <c r="I221" s="988"/>
      <c r="J221" s="989"/>
      <c r="K221" s="989"/>
    </row>
    <row r="222" spans="2:11">
      <c r="B222" s="165"/>
      <c r="C222" s="1023" t="s">
        <v>1574</v>
      </c>
      <c r="D222" s="1021" t="s">
        <v>588</v>
      </c>
      <c r="E222" s="990">
        <v>14068</v>
      </c>
      <c r="F222" s="990">
        <v>13303</v>
      </c>
      <c r="H222" s="988"/>
      <c r="I222" s="988"/>
      <c r="J222" s="989"/>
      <c r="K222" s="989"/>
    </row>
    <row r="223" spans="2:11">
      <c r="B223" s="165"/>
      <c r="C223" s="1023" t="s">
        <v>1575</v>
      </c>
      <c r="D223" s="1021" t="s">
        <v>589</v>
      </c>
      <c r="E223" s="990">
        <v>10041</v>
      </c>
      <c r="F223" s="990">
        <v>9817</v>
      </c>
      <c r="H223" s="988"/>
      <c r="I223" s="988"/>
      <c r="J223" s="989"/>
      <c r="K223" s="989"/>
    </row>
    <row r="224" spans="2:11">
      <c r="B224" s="165"/>
      <c r="C224" s="1023" t="s">
        <v>1576</v>
      </c>
      <c r="D224" s="1021" t="s">
        <v>590</v>
      </c>
      <c r="E224" s="990">
        <v>12656</v>
      </c>
      <c r="F224" s="990">
        <v>12379</v>
      </c>
      <c r="H224" s="988"/>
      <c r="I224" s="988"/>
      <c r="J224" s="989"/>
      <c r="K224" s="989"/>
    </row>
    <row r="225" spans="2:11">
      <c r="B225" s="165"/>
      <c r="C225" s="1023" t="s">
        <v>1577</v>
      </c>
      <c r="D225" s="1021" t="s">
        <v>591</v>
      </c>
      <c r="E225" s="990">
        <v>14014</v>
      </c>
      <c r="F225" s="990">
        <v>13546</v>
      </c>
      <c r="H225" s="988"/>
      <c r="I225" s="988"/>
      <c r="J225" s="989"/>
      <c r="K225" s="989"/>
    </row>
    <row r="226" spans="2:11">
      <c r="B226" s="165"/>
      <c r="C226" s="1023" t="s">
        <v>1578</v>
      </c>
      <c r="D226" s="1021" t="s">
        <v>592</v>
      </c>
      <c r="E226" s="990">
        <v>14760</v>
      </c>
      <c r="F226" s="990">
        <v>14663</v>
      </c>
      <c r="H226" s="988"/>
      <c r="I226" s="988"/>
      <c r="J226" s="989"/>
      <c r="K226" s="989"/>
    </row>
    <row r="227" spans="2:11">
      <c r="B227" s="165"/>
      <c r="C227" s="1023" t="s">
        <v>1579</v>
      </c>
      <c r="D227" s="1021" t="s">
        <v>593</v>
      </c>
      <c r="E227" s="990">
        <v>13633</v>
      </c>
      <c r="F227" s="990">
        <v>13731</v>
      </c>
      <c r="H227" s="988"/>
      <c r="I227" s="988"/>
      <c r="J227" s="989"/>
      <c r="K227" s="989"/>
    </row>
    <row r="228" spans="2:11">
      <c r="B228" s="165"/>
      <c r="C228" s="1023" t="s">
        <v>1580</v>
      </c>
      <c r="D228" s="1021" t="s">
        <v>594</v>
      </c>
      <c r="E228" s="990">
        <v>15826</v>
      </c>
      <c r="F228" s="990">
        <v>15160</v>
      </c>
      <c r="H228" s="988"/>
      <c r="I228" s="988"/>
      <c r="J228" s="989"/>
      <c r="K228" s="989"/>
    </row>
    <row r="229" spans="2:11">
      <c r="B229" s="165"/>
      <c r="C229" s="1023" t="s">
        <v>1581</v>
      </c>
      <c r="D229" s="1021" t="s">
        <v>595</v>
      </c>
      <c r="E229" s="990">
        <v>12616</v>
      </c>
      <c r="F229" s="990">
        <v>12708</v>
      </c>
      <c r="H229" s="988"/>
      <c r="I229" s="988"/>
      <c r="J229" s="989"/>
      <c r="K229" s="989"/>
    </row>
    <row r="230" spans="2:11">
      <c r="B230" s="165"/>
      <c r="C230" s="1023" t="s">
        <v>1582</v>
      </c>
      <c r="D230" s="1021" t="s">
        <v>596</v>
      </c>
      <c r="E230" s="990">
        <v>16836</v>
      </c>
      <c r="F230" s="990">
        <v>15860</v>
      </c>
      <c r="H230" s="988"/>
      <c r="I230" s="988"/>
      <c r="J230" s="989"/>
      <c r="K230" s="989"/>
    </row>
    <row r="231" spans="2:11">
      <c r="B231" s="165"/>
      <c r="C231" s="1023" t="s">
        <v>1583</v>
      </c>
      <c r="D231" s="1021" t="s">
        <v>597</v>
      </c>
      <c r="E231" s="990">
        <v>19693</v>
      </c>
      <c r="F231" s="990">
        <v>19148</v>
      </c>
      <c r="H231" s="988"/>
      <c r="I231" s="988"/>
      <c r="J231" s="989"/>
      <c r="K231" s="989"/>
    </row>
    <row r="232" spans="2:11">
      <c r="B232" s="165"/>
      <c r="C232" s="1023" t="s">
        <v>1584</v>
      </c>
      <c r="D232" s="1021" t="s">
        <v>598</v>
      </c>
      <c r="E232" s="990">
        <v>13064</v>
      </c>
      <c r="F232" s="990">
        <v>12770</v>
      </c>
      <c r="H232" s="988"/>
      <c r="I232" s="988"/>
      <c r="J232" s="989"/>
      <c r="K232" s="989"/>
    </row>
    <row r="233" spans="2:11">
      <c r="B233" s="165"/>
      <c r="C233" s="1023" t="s">
        <v>1585</v>
      </c>
      <c r="D233" s="1021" t="s">
        <v>599</v>
      </c>
      <c r="E233" s="990">
        <v>13373</v>
      </c>
      <c r="F233" s="990">
        <v>13326</v>
      </c>
      <c r="H233" s="988"/>
      <c r="I233" s="988"/>
      <c r="J233" s="989"/>
      <c r="K233" s="989"/>
    </row>
    <row r="234" spans="2:11">
      <c r="B234" s="165"/>
      <c r="C234" s="1023" t="s">
        <v>1586</v>
      </c>
      <c r="D234" s="1021" t="s">
        <v>600</v>
      </c>
      <c r="E234" s="990">
        <v>11098</v>
      </c>
      <c r="F234" s="990">
        <v>10582</v>
      </c>
      <c r="H234" s="988"/>
      <c r="I234" s="988"/>
      <c r="J234" s="989"/>
      <c r="K234" s="989"/>
    </row>
    <row r="235" spans="2:11">
      <c r="B235" s="165"/>
      <c r="C235" s="1023" t="s">
        <v>1587</v>
      </c>
      <c r="D235" s="1021" t="s">
        <v>601</v>
      </c>
      <c r="E235" s="990">
        <v>13470</v>
      </c>
      <c r="F235" s="990">
        <v>13376</v>
      </c>
      <c r="H235" s="988"/>
      <c r="I235" s="988"/>
      <c r="J235" s="989"/>
      <c r="K235" s="989"/>
    </row>
    <row r="236" spans="2:11">
      <c r="B236" s="165"/>
      <c r="C236" s="1023" t="s">
        <v>1588</v>
      </c>
      <c r="D236" s="1021" t="s">
        <v>602</v>
      </c>
      <c r="E236" s="990">
        <v>14581</v>
      </c>
      <c r="F236" s="990">
        <v>14636</v>
      </c>
      <c r="H236" s="988"/>
      <c r="I236" s="988"/>
      <c r="J236" s="989"/>
      <c r="K236" s="989"/>
    </row>
    <row r="237" spans="2:11">
      <c r="B237" s="165"/>
      <c r="C237" s="1023" t="s">
        <v>1589</v>
      </c>
      <c r="D237" s="1021" t="s">
        <v>603</v>
      </c>
      <c r="E237" s="990">
        <v>11586</v>
      </c>
      <c r="F237" s="990">
        <v>11371</v>
      </c>
      <c r="H237" s="988"/>
      <c r="I237" s="988"/>
      <c r="J237" s="989"/>
      <c r="K237" s="989"/>
    </row>
    <row r="238" spans="2:11">
      <c r="B238" s="165"/>
      <c r="C238" s="1023" t="s">
        <v>1590</v>
      </c>
      <c r="D238" s="1021" t="s">
        <v>604</v>
      </c>
      <c r="E238" s="990">
        <v>12810</v>
      </c>
      <c r="F238" s="990">
        <v>12266</v>
      </c>
      <c r="H238" s="988"/>
      <c r="I238" s="988"/>
      <c r="J238" s="989"/>
      <c r="K238" s="989"/>
    </row>
    <row r="239" spans="2:11">
      <c r="B239" s="165"/>
      <c r="C239" s="1023" t="s">
        <v>1591</v>
      </c>
      <c r="D239" s="1021" t="s">
        <v>605</v>
      </c>
      <c r="E239" s="990">
        <v>11492</v>
      </c>
      <c r="F239" s="990">
        <v>11214</v>
      </c>
      <c r="H239" s="988"/>
      <c r="I239" s="988"/>
      <c r="J239" s="989"/>
      <c r="K239" s="989"/>
    </row>
    <row r="240" spans="2:11">
      <c r="B240" s="165"/>
      <c r="C240" s="1023" t="s">
        <v>1592</v>
      </c>
      <c r="D240" s="1021" t="s">
        <v>606</v>
      </c>
      <c r="E240" s="990">
        <v>11599</v>
      </c>
      <c r="F240" s="990">
        <v>10974</v>
      </c>
      <c r="H240" s="988"/>
      <c r="I240" s="988"/>
      <c r="J240" s="989"/>
      <c r="K240" s="989"/>
    </row>
    <row r="241" spans="2:11">
      <c r="B241" s="165"/>
      <c r="C241" s="1023" t="s">
        <v>1593</v>
      </c>
      <c r="D241" s="1021" t="s">
        <v>607</v>
      </c>
      <c r="E241" s="990">
        <v>24038</v>
      </c>
      <c r="F241" s="990">
        <v>22925</v>
      </c>
      <c r="H241" s="988"/>
      <c r="I241" s="988"/>
      <c r="J241" s="989"/>
      <c r="K241" s="989"/>
    </row>
    <row r="242" spans="2:11">
      <c r="B242" s="165"/>
      <c r="C242" s="1023" t="s">
        <v>1594</v>
      </c>
      <c r="D242" s="1021" t="s">
        <v>608</v>
      </c>
      <c r="E242" s="990">
        <v>12432</v>
      </c>
      <c r="F242" s="990">
        <v>11997</v>
      </c>
      <c r="H242" s="988"/>
      <c r="I242" s="988"/>
      <c r="J242" s="989"/>
      <c r="K242" s="989"/>
    </row>
    <row r="243" spans="2:11">
      <c r="B243" s="165"/>
      <c r="C243" s="1023" t="s">
        <v>1595</v>
      </c>
      <c r="D243" s="1021" t="s">
        <v>609</v>
      </c>
      <c r="E243" s="990">
        <v>13694</v>
      </c>
      <c r="F243" s="990">
        <v>13293</v>
      </c>
      <c r="H243" s="988"/>
      <c r="I243" s="988"/>
      <c r="J243" s="989"/>
      <c r="K243" s="989"/>
    </row>
    <row r="244" spans="2:11">
      <c r="B244" s="165"/>
      <c r="C244" s="1023" t="s">
        <v>1596</v>
      </c>
      <c r="D244" s="1021" t="s">
        <v>610</v>
      </c>
      <c r="E244" s="990">
        <v>23712</v>
      </c>
      <c r="F244" s="990">
        <v>22515</v>
      </c>
      <c r="H244" s="988"/>
      <c r="I244" s="988"/>
      <c r="J244" s="989"/>
      <c r="K244" s="989"/>
    </row>
    <row r="245" spans="2:11">
      <c r="B245" s="165"/>
      <c r="C245" s="1023" t="s">
        <v>1597</v>
      </c>
      <c r="D245" s="1021" t="s">
        <v>611</v>
      </c>
      <c r="E245" s="990">
        <v>11964</v>
      </c>
      <c r="F245" s="990">
        <v>11601</v>
      </c>
      <c r="H245" s="988"/>
      <c r="I245" s="988"/>
      <c r="J245" s="989"/>
      <c r="K245" s="989"/>
    </row>
    <row r="246" spans="2:11">
      <c r="B246" s="165"/>
      <c r="C246" s="1023" t="s">
        <v>1598</v>
      </c>
      <c r="D246" s="1021" t="s">
        <v>612</v>
      </c>
      <c r="E246" s="990">
        <v>19234</v>
      </c>
      <c r="F246" s="990">
        <v>19422</v>
      </c>
      <c r="H246" s="988"/>
      <c r="I246" s="988"/>
      <c r="J246" s="989"/>
      <c r="K246" s="989"/>
    </row>
    <row r="247" spans="2:11">
      <c r="B247" s="165"/>
      <c r="C247" s="1023" t="s">
        <v>1599</v>
      </c>
      <c r="D247" s="1021" t="s">
        <v>613</v>
      </c>
      <c r="E247" s="990">
        <v>14718</v>
      </c>
      <c r="F247" s="990">
        <v>13900</v>
      </c>
      <c r="H247" s="988"/>
      <c r="I247" s="988"/>
      <c r="J247" s="989"/>
      <c r="K247" s="989"/>
    </row>
    <row r="248" spans="2:11">
      <c r="B248" s="165"/>
      <c r="C248" s="1023" t="s">
        <v>1600</v>
      </c>
      <c r="D248" s="1021" t="s">
        <v>614</v>
      </c>
      <c r="E248" s="990">
        <v>13456</v>
      </c>
      <c r="F248" s="990">
        <v>13021</v>
      </c>
      <c r="H248" s="988"/>
      <c r="I248" s="988"/>
      <c r="J248" s="989"/>
      <c r="K248" s="989"/>
    </row>
    <row r="249" spans="2:11">
      <c r="B249" s="165"/>
      <c r="C249" s="1023" t="s">
        <v>1601</v>
      </c>
      <c r="D249" s="1021" t="s">
        <v>615</v>
      </c>
      <c r="E249" s="990">
        <v>19825</v>
      </c>
      <c r="F249" s="990">
        <v>18760</v>
      </c>
      <c r="H249" s="988"/>
      <c r="I249" s="988"/>
      <c r="J249" s="989"/>
      <c r="K249" s="989"/>
    </row>
    <row r="250" spans="2:11">
      <c r="B250" s="165"/>
      <c r="C250" s="1023" t="s">
        <v>1602</v>
      </c>
      <c r="D250" s="1021" t="s">
        <v>616</v>
      </c>
      <c r="E250" s="990">
        <v>11232</v>
      </c>
      <c r="F250" s="990">
        <v>11101</v>
      </c>
      <c r="H250" s="988"/>
      <c r="I250" s="988"/>
      <c r="J250" s="989"/>
      <c r="K250" s="989"/>
    </row>
    <row r="251" spans="2:11">
      <c r="B251" s="165"/>
      <c r="C251" s="1023" t="s">
        <v>1603</v>
      </c>
      <c r="D251" s="1021" t="s">
        <v>617</v>
      </c>
      <c r="E251" s="990">
        <v>12912</v>
      </c>
      <c r="F251" s="990">
        <v>12686</v>
      </c>
      <c r="H251" s="988"/>
      <c r="I251" s="988"/>
      <c r="J251" s="989"/>
      <c r="K251" s="989"/>
    </row>
    <row r="252" spans="2:11">
      <c r="B252" s="165"/>
      <c r="C252" s="1023" t="s">
        <v>1604</v>
      </c>
      <c r="D252" s="1021" t="s">
        <v>618</v>
      </c>
      <c r="E252" s="990">
        <v>15362</v>
      </c>
      <c r="F252" s="990">
        <v>15042</v>
      </c>
      <c r="H252" s="988"/>
      <c r="I252" s="988"/>
      <c r="J252" s="989"/>
      <c r="K252" s="989"/>
    </row>
    <row r="253" spans="2:11">
      <c r="B253" s="165"/>
      <c r="C253" s="1023" t="s">
        <v>1605</v>
      </c>
      <c r="D253" s="1021" t="s">
        <v>619</v>
      </c>
      <c r="E253" s="990">
        <v>15891</v>
      </c>
      <c r="F253" s="990">
        <v>15642</v>
      </c>
      <c r="H253" s="988"/>
      <c r="I253" s="988"/>
      <c r="J253" s="989"/>
      <c r="K253" s="989"/>
    </row>
    <row r="254" spans="2:11">
      <c r="B254" s="165"/>
      <c r="C254" s="1023" t="s">
        <v>1606</v>
      </c>
      <c r="D254" s="1021" t="s">
        <v>620</v>
      </c>
      <c r="E254" s="990">
        <v>16514</v>
      </c>
      <c r="F254" s="990">
        <v>15786</v>
      </c>
      <c r="H254" s="988"/>
      <c r="I254" s="988"/>
      <c r="J254" s="989"/>
      <c r="K254" s="989"/>
    </row>
    <row r="255" spans="2:11">
      <c r="B255" s="165"/>
      <c r="C255" s="1023" t="s">
        <v>1607</v>
      </c>
      <c r="D255" s="1021" t="s">
        <v>621</v>
      </c>
      <c r="E255" s="990">
        <v>11240</v>
      </c>
      <c r="F255" s="990">
        <v>10975</v>
      </c>
      <c r="H255" s="988"/>
      <c r="I255" s="988"/>
      <c r="J255" s="989"/>
      <c r="K255" s="989"/>
    </row>
    <row r="256" spans="2:11">
      <c r="B256" s="165"/>
      <c r="C256" s="1023" t="s">
        <v>1608</v>
      </c>
      <c r="D256" s="1021" t="s">
        <v>622</v>
      </c>
      <c r="E256" s="990">
        <v>14270</v>
      </c>
      <c r="F256" s="990">
        <v>13878</v>
      </c>
      <c r="H256" s="988"/>
      <c r="I256" s="988"/>
      <c r="J256" s="989"/>
      <c r="K256" s="989"/>
    </row>
    <row r="257" spans="2:11">
      <c r="B257" s="165"/>
      <c r="C257" s="1023" t="s">
        <v>1609</v>
      </c>
      <c r="D257" s="1021" t="s">
        <v>623</v>
      </c>
      <c r="E257" s="990">
        <v>14196</v>
      </c>
      <c r="F257" s="990">
        <v>13967</v>
      </c>
      <c r="H257" s="988"/>
      <c r="I257" s="988"/>
      <c r="J257" s="989"/>
      <c r="K257" s="989"/>
    </row>
    <row r="258" spans="2:11">
      <c r="B258" s="165"/>
      <c r="C258" s="1023" t="s">
        <v>1610</v>
      </c>
      <c r="D258" s="1021" t="s">
        <v>624</v>
      </c>
      <c r="E258" s="990">
        <v>16324</v>
      </c>
      <c r="F258" s="990">
        <v>15849</v>
      </c>
      <c r="H258" s="988"/>
      <c r="I258" s="988"/>
      <c r="J258" s="989"/>
      <c r="K258" s="989"/>
    </row>
    <row r="259" spans="2:11">
      <c r="B259" s="165"/>
      <c r="C259" s="1023" t="s">
        <v>1611</v>
      </c>
      <c r="D259" s="1021" t="s">
        <v>625</v>
      </c>
      <c r="E259" s="990">
        <v>17912</v>
      </c>
      <c r="F259" s="990">
        <v>17362</v>
      </c>
      <c r="H259" s="988"/>
      <c r="I259" s="988"/>
      <c r="J259" s="989"/>
      <c r="K259" s="989"/>
    </row>
    <row r="260" spans="2:11">
      <c r="B260" s="165"/>
      <c r="C260" s="1023" t="s">
        <v>1612</v>
      </c>
      <c r="D260" s="1021" t="s">
        <v>626</v>
      </c>
      <c r="E260" s="990">
        <v>15147</v>
      </c>
      <c r="F260" s="990">
        <v>14321</v>
      </c>
      <c r="H260" s="988"/>
      <c r="I260" s="988"/>
      <c r="J260" s="989"/>
      <c r="K260" s="989"/>
    </row>
    <row r="261" spans="2:11">
      <c r="B261" s="165"/>
      <c r="C261" s="1023" t="s">
        <v>1613</v>
      </c>
      <c r="D261" s="1021" t="s">
        <v>627</v>
      </c>
      <c r="E261" s="990">
        <v>11411</v>
      </c>
      <c r="F261" s="990">
        <v>10891</v>
      </c>
      <c r="H261" s="988"/>
      <c r="I261" s="988"/>
      <c r="J261" s="989"/>
      <c r="K261" s="989"/>
    </row>
    <row r="262" spans="2:11">
      <c r="B262" s="165"/>
      <c r="C262" s="1023" t="s">
        <v>1614</v>
      </c>
      <c r="D262" s="1021" t="s">
        <v>628</v>
      </c>
      <c r="E262" s="990">
        <v>15461</v>
      </c>
      <c r="F262" s="990">
        <v>14931</v>
      </c>
      <c r="H262" s="988"/>
      <c r="I262" s="988"/>
      <c r="J262" s="989"/>
      <c r="K262" s="989"/>
    </row>
    <row r="263" spans="2:11">
      <c r="B263" s="165"/>
      <c r="C263" s="1023" t="s">
        <v>1615</v>
      </c>
      <c r="D263" s="1021" t="s">
        <v>629</v>
      </c>
      <c r="E263" s="990">
        <v>10997</v>
      </c>
      <c r="F263" s="990">
        <v>10031</v>
      </c>
      <c r="H263" s="988"/>
      <c r="I263" s="988"/>
      <c r="J263" s="989"/>
      <c r="K263" s="989"/>
    </row>
    <row r="264" spans="2:11">
      <c r="B264" s="165"/>
      <c r="C264" s="1023" t="s">
        <v>1616</v>
      </c>
      <c r="D264" s="1021" t="s">
        <v>630</v>
      </c>
      <c r="E264" s="990">
        <v>24901</v>
      </c>
      <c r="F264" s="990">
        <v>23945</v>
      </c>
      <c r="H264" s="988"/>
      <c r="I264" s="988"/>
      <c r="J264" s="989"/>
      <c r="K264" s="989"/>
    </row>
    <row r="265" spans="2:11">
      <c r="B265" s="165"/>
      <c r="C265" s="1023" t="s">
        <v>1617</v>
      </c>
      <c r="D265" s="1021" t="s">
        <v>631</v>
      </c>
      <c r="E265" s="990">
        <v>14374</v>
      </c>
      <c r="F265" s="990">
        <v>14299</v>
      </c>
      <c r="H265" s="988"/>
      <c r="I265" s="988"/>
      <c r="J265" s="989"/>
      <c r="K265" s="989"/>
    </row>
    <row r="266" spans="2:11">
      <c r="B266" s="165"/>
      <c r="C266" s="1023" t="s">
        <v>1618</v>
      </c>
      <c r="D266" s="1021" t="s">
        <v>632</v>
      </c>
      <c r="E266" s="990">
        <v>13633</v>
      </c>
      <c r="F266" s="990">
        <v>13340</v>
      </c>
      <c r="H266" s="988"/>
      <c r="I266" s="988"/>
      <c r="J266" s="989"/>
      <c r="K266" s="989"/>
    </row>
    <row r="267" spans="2:11">
      <c r="B267" s="165"/>
      <c r="C267" s="1023" t="s">
        <v>1619</v>
      </c>
      <c r="D267" s="1021" t="s">
        <v>633</v>
      </c>
      <c r="E267" s="990">
        <v>21377</v>
      </c>
      <c r="F267" s="990">
        <v>20996</v>
      </c>
      <c r="H267" s="988"/>
      <c r="I267" s="988"/>
      <c r="J267" s="989"/>
      <c r="K267" s="989"/>
    </row>
    <row r="268" spans="2:11">
      <c r="B268" s="165"/>
      <c r="C268" s="1023" t="s">
        <v>1620</v>
      </c>
      <c r="D268" s="1021" t="s">
        <v>634</v>
      </c>
      <c r="E268" s="990">
        <v>18259</v>
      </c>
      <c r="F268" s="990">
        <v>17823</v>
      </c>
      <c r="H268" s="988"/>
      <c r="I268" s="988"/>
      <c r="J268" s="989"/>
      <c r="K268" s="989"/>
    </row>
    <row r="269" spans="2:11">
      <c r="B269" s="165"/>
      <c r="C269" s="1023" t="s">
        <v>1621</v>
      </c>
      <c r="D269" s="1021" t="s">
        <v>635</v>
      </c>
      <c r="E269" s="990">
        <v>18190</v>
      </c>
      <c r="F269" s="990">
        <v>17586</v>
      </c>
      <c r="H269" s="988"/>
      <c r="I269" s="988"/>
      <c r="J269" s="989"/>
      <c r="K269" s="989"/>
    </row>
    <row r="270" spans="2:11">
      <c r="B270" s="165"/>
      <c r="C270" s="1023" t="s">
        <v>1622</v>
      </c>
      <c r="D270" s="1021" t="s">
        <v>636</v>
      </c>
      <c r="E270" s="990">
        <v>19578</v>
      </c>
      <c r="F270" s="990">
        <v>19770</v>
      </c>
      <c r="H270" s="988"/>
      <c r="I270" s="988"/>
      <c r="J270" s="989"/>
      <c r="K270" s="989"/>
    </row>
    <row r="271" spans="2:11">
      <c r="B271" s="165"/>
      <c r="C271" s="1023" t="s">
        <v>1623</v>
      </c>
      <c r="D271" s="1021" t="s">
        <v>637</v>
      </c>
      <c r="E271" s="990">
        <v>19547</v>
      </c>
      <c r="F271" s="990">
        <v>18992</v>
      </c>
      <c r="H271" s="988"/>
      <c r="I271" s="988"/>
      <c r="J271" s="989"/>
      <c r="K271" s="989"/>
    </row>
    <row r="272" spans="2:11">
      <c r="B272" s="165"/>
      <c r="C272" s="1023" t="s">
        <v>1624</v>
      </c>
      <c r="D272" s="1021" t="s">
        <v>638</v>
      </c>
      <c r="E272" s="990">
        <v>10958</v>
      </c>
      <c r="F272" s="990">
        <v>10616</v>
      </c>
      <c r="H272" s="988"/>
      <c r="I272" s="988"/>
      <c r="J272" s="989"/>
      <c r="K272" s="989"/>
    </row>
    <row r="273" spans="2:11">
      <c r="B273" s="165"/>
      <c r="C273" s="1023" t="s">
        <v>1625</v>
      </c>
      <c r="D273" s="1021" t="s">
        <v>639</v>
      </c>
      <c r="E273" s="990">
        <v>14048</v>
      </c>
      <c r="F273" s="990">
        <v>13902</v>
      </c>
      <c r="H273" s="988"/>
      <c r="I273" s="988"/>
      <c r="J273" s="989"/>
      <c r="K273" s="989"/>
    </row>
    <row r="274" spans="2:11">
      <c r="B274" s="165"/>
      <c r="C274" s="1023" t="s">
        <v>1626</v>
      </c>
      <c r="D274" s="1021" t="s">
        <v>640</v>
      </c>
      <c r="E274" s="990">
        <v>18621</v>
      </c>
      <c r="F274" s="990">
        <v>17764</v>
      </c>
      <c r="H274" s="988"/>
      <c r="I274" s="988"/>
      <c r="J274" s="989"/>
      <c r="K274" s="989"/>
    </row>
    <row r="275" spans="2:11">
      <c r="B275" s="165"/>
      <c r="C275" s="1023" t="s">
        <v>1627</v>
      </c>
      <c r="D275" s="1021" t="s">
        <v>641</v>
      </c>
      <c r="E275" s="990">
        <v>12242</v>
      </c>
      <c r="F275" s="990">
        <v>11869</v>
      </c>
      <c r="H275" s="988"/>
      <c r="I275" s="988"/>
      <c r="J275" s="989"/>
      <c r="K275" s="989"/>
    </row>
    <row r="276" spans="2:11">
      <c r="B276" s="165"/>
      <c r="C276" s="1023" t="s">
        <v>1628</v>
      </c>
      <c r="D276" s="1021" t="s">
        <v>642</v>
      </c>
      <c r="E276" s="990">
        <v>24249</v>
      </c>
      <c r="F276" s="990">
        <v>23541</v>
      </c>
      <c r="H276" s="988"/>
      <c r="I276" s="988"/>
      <c r="J276" s="989"/>
      <c r="K276" s="989"/>
    </row>
    <row r="277" spans="2:11">
      <c r="B277" s="165"/>
      <c r="C277" s="1023" t="s">
        <v>1629</v>
      </c>
      <c r="D277" s="1021" t="s">
        <v>643</v>
      </c>
      <c r="E277" s="990">
        <v>16374</v>
      </c>
      <c r="F277" s="990">
        <v>15866</v>
      </c>
      <c r="H277" s="988"/>
      <c r="I277" s="988"/>
      <c r="J277" s="989"/>
      <c r="K277" s="989"/>
    </row>
    <row r="278" spans="2:11">
      <c r="B278" s="165"/>
      <c r="C278" s="1023" t="s">
        <v>1630</v>
      </c>
      <c r="D278" s="1021" t="s">
        <v>644</v>
      </c>
      <c r="E278" s="990">
        <v>13878</v>
      </c>
      <c r="F278" s="990">
        <v>13588</v>
      </c>
      <c r="H278" s="988"/>
      <c r="I278" s="988"/>
      <c r="J278" s="989"/>
      <c r="K278" s="989"/>
    </row>
    <row r="279" spans="2:11">
      <c r="B279" s="165"/>
      <c r="C279" s="1023" t="s">
        <v>1631</v>
      </c>
      <c r="D279" s="1021" t="s">
        <v>645</v>
      </c>
      <c r="E279" s="990">
        <v>15974</v>
      </c>
      <c r="F279" s="990">
        <v>15210</v>
      </c>
      <c r="H279" s="988"/>
      <c r="I279" s="988"/>
      <c r="J279" s="989"/>
      <c r="K279" s="989"/>
    </row>
    <row r="280" spans="2:11">
      <c r="B280" s="165"/>
      <c r="C280" s="1023" t="s">
        <v>1632</v>
      </c>
      <c r="D280" s="1021" t="s">
        <v>646</v>
      </c>
      <c r="E280" s="990">
        <v>11888</v>
      </c>
      <c r="F280" s="990">
        <v>11524</v>
      </c>
      <c r="H280" s="988"/>
      <c r="I280" s="988"/>
      <c r="J280" s="989"/>
      <c r="K280" s="989"/>
    </row>
    <row r="281" spans="2:11">
      <c r="B281" s="165"/>
      <c r="C281" s="1023" t="s">
        <v>1633</v>
      </c>
      <c r="D281" s="1021" t="s">
        <v>647</v>
      </c>
      <c r="E281" s="990">
        <v>11301</v>
      </c>
      <c r="F281" s="990">
        <v>11237</v>
      </c>
      <c r="H281" s="988"/>
      <c r="I281" s="988"/>
      <c r="J281" s="989"/>
      <c r="K281" s="989"/>
    </row>
    <row r="282" spans="2:11">
      <c r="B282" s="165"/>
      <c r="C282" s="1023" t="s">
        <v>1634</v>
      </c>
      <c r="D282" s="1021" t="s">
        <v>648</v>
      </c>
      <c r="E282" s="990">
        <v>12232</v>
      </c>
      <c r="F282" s="990">
        <v>12055</v>
      </c>
      <c r="H282" s="988"/>
      <c r="I282" s="988"/>
      <c r="J282" s="989"/>
      <c r="K282" s="989"/>
    </row>
    <row r="283" spans="2:11">
      <c r="B283" s="165"/>
      <c r="C283" s="1023" t="s">
        <v>1635</v>
      </c>
      <c r="D283" s="1021" t="s">
        <v>649</v>
      </c>
      <c r="E283" s="990">
        <v>11815</v>
      </c>
      <c r="F283" s="990">
        <v>11663</v>
      </c>
      <c r="H283" s="988"/>
      <c r="I283" s="988"/>
      <c r="J283" s="989"/>
      <c r="K283" s="989"/>
    </row>
    <row r="284" spans="2:11">
      <c r="B284" s="165"/>
      <c r="C284" s="1023" t="s">
        <v>1636</v>
      </c>
      <c r="D284" s="1021" t="s">
        <v>650</v>
      </c>
      <c r="E284" s="990">
        <v>11223</v>
      </c>
      <c r="F284" s="990">
        <v>10554</v>
      </c>
      <c r="H284" s="988"/>
      <c r="I284" s="988"/>
      <c r="J284" s="989"/>
      <c r="K284" s="989"/>
    </row>
    <row r="285" spans="2:11">
      <c r="B285" s="165"/>
      <c r="C285" s="1023" t="s">
        <v>1637</v>
      </c>
      <c r="D285" s="1021" t="s">
        <v>651</v>
      </c>
      <c r="E285" s="990">
        <v>12682</v>
      </c>
      <c r="F285" s="990">
        <v>12171</v>
      </c>
      <c r="H285" s="988"/>
      <c r="I285" s="988"/>
      <c r="J285" s="989"/>
      <c r="K285" s="989"/>
    </row>
    <row r="286" spans="2:11">
      <c r="B286" s="165"/>
      <c r="C286" s="1023" t="s">
        <v>1638</v>
      </c>
      <c r="D286" s="1021" t="s">
        <v>652</v>
      </c>
      <c r="E286" s="990">
        <v>13440</v>
      </c>
      <c r="F286" s="990">
        <v>12966</v>
      </c>
      <c r="H286" s="988"/>
      <c r="I286" s="988"/>
      <c r="J286" s="989"/>
      <c r="K286" s="989"/>
    </row>
    <row r="287" spans="2:11">
      <c r="B287" s="165"/>
      <c r="C287" s="1023" t="s">
        <v>1639</v>
      </c>
      <c r="D287" s="1021" t="s">
        <v>653</v>
      </c>
      <c r="E287" s="990">
        <v>11881</v>
      </c>
      <c r="F287" s="990">
        <v>11332</v>
      </c>
      <c r="H287" s="988"/>
      <c r="I287" s="988"/>
      <c r="J287" s="989"/>
      <c r="K287" s="989"/>
    </row>
    <row r="288" spans="2:11">
      <c r="B288" s="165"/>
      <c r="C288" s="1023" t="s">
        <v>1640</v>
      </c>
      <c r="D288" s="1021" t="s">
        <v>654</v>
      </c>
      <c r="E288" s="990">
        <v>11337</v>
      </c>
      <c r="F288" s="990">
        <v>11032</v>
      </c>
      <c r="H288" s="988"/>
      <c r="I288" s="988"/>
      <c r="J288" s="989"/>
      <c r="K288" s="989"/>
    </row>
    <row r="289" spans="2:11">
      <c r="B289" s="165"/>
      <c r="C289" s="1023" t="s">
        <v>1641</v>
      </c>
      <c r="D289" s="1021" t="s">
        <v>655</v>
      </c>
      <c r="E289" s="990">
        <v>13349</v>
      </c>
      <c r="F289" s="990">
        <v>13066</v>
      </c>
      <c r="H289" s="988"/>
      <c r="I289" s="988"/>
      <c r="J289" s="989"/>
      <c r="K289" s="989"/>
    </row>
    <row r="290" spans="2:11">
      <c r="B290" s="165"/>
      <c r="C290" s="1023" t="s">
        <v>1642</v>
      </c>
      <c r="D290" s="1021" t="s">
        <v>656</v>
      </c>
      <c r="E290" s="990">
        <v>11266</v>
      </c>
      <c r="F290" s="990">
        <v>10760</v>
      </c>
      <c r="H290" s="988"/>
      <c r="I290" s="988"/>
      <c r="J290" s="989"/>
      <c r="K290" s="989"/>
    </row>
    <row r="291" spans="2:11">
      <c r="B291" s="165"/>
      <c r="C291" s="1023" t="s">
        <v>1643</v>
      </c>
      <c r="D291" s="1021" t="s">
        <v>657</v>
      </c>
      <c r="E291" s="990">
        <v>11787</v>
      </c>
      <c r="F291" s="990">
        <v>11814</v>
      </c>
      <c r="H291" s="988"/>
      <c r="I291" s="988"/>
      <c r="J291" s="989"/>
      <c r="K291" s="989"/>
    </row>
    <row r="292" spans="2:11">
      <c r="B292" s="165"/>
      <c r="C292" s="1023" t="s">
        <v>1644</v>
      </c>
      <c r="D292" s="1021" t="s">
        <v>658</v>
      </c>
      <c r="E292" s="990">
        <v>15315</v>
      </c>
      <c r="F292" s="990">
        <v>15052</v>
      </c>
      <c r="H292" s="988"/>
      <c r="I292" s="988"/>
      <c r="J292" s="989"/>
      <c r="K292" s="989"/>
    </row>
    <row r="293" spans="2:11">
      <c r="B293" s="165"/>
      <c r="C293" s="1023" t="s">
        <v>1645</v>
      </c>
      <c r="D293" s="1021" t="s">
        <v>659</v>
      </c>
      <c r="E293" s="990">
        <v>11284</v>
      </c>
      <c r="F293" s="990">
        <v>11018</v>
      </c>
      <c r="H293" s="988"/>
      <c r="I293" s="988"/>
      <c r="J293" s="989"/>
      <c r="K293" s="989"/>
    </row>
    <row r="294" spans="2:11">
      <c r="B294" s="165"/>
      <c r="C294" s="1023" t="s">
        <v>1646</v>
      </c>
      <c r="D294" s="1021" t="s">
        <v>660</v>
      </c>
      <c r="E294" s="990">
        <v>17729</v>
      </c>
      <c r="F294" s="990">
        <v>17034</v>
      </c>
      <c r="H294" s="988"/>
      <c r="I294" s="988"/>
      <c r="J294" s="989"/>
      <c r="K294" s="989"/>
    </row>
    <row r="295" spans="2:11">
      <c r="B295" s="165"/>
      <c r="C295" s="1023" t="s">
        <v>1647</v>
      </c>
      <c r="D295" s="1021" t="s">
        <v>661</v>
      </c>
      <c r="E295" s="990">
        <v>19264</v>
      </c>
      <c r="F295" s="990">
        <v>18686</v>
      </c>
      <c r="H295" s="988"/>
      <c r="I295" s="988"/>
      <c r="J295" s="989"/>
      <c r="K295" s="989"/>
    </row>
    <row r="296" spans="2:11">
      <c r="B296" s="165"/>
      <c r="C296" s="1023" t="s">
        <v>1648</v>
      </c>
      <c r="D296" s="1021" t="s">
        <v>662</v>
      </c>
      <c r="E296" s="990">
        <v>13315</v>
      </c>
      <c r="F296" s="990">
        <v>12990</v>
      </c>
      <c r="H296" s="988"/>
      <c r="I296" s="988"/>
      <c r="J296" s="989"/>
      <c r="K296" s="989"/>
    </row>
    <row r="297" spans="2:11">
      <c r="B297" s="165"/>
      <c r="C297" s="1023" t="s">
        <v>1649</v>
      </c>
      <c r="D297" s="1021" t="s">
        <v>663</v>
      </c>
      <c r="E297" s="990">
        <v>24816</v>
      </c>
      <c r="F297" s="990">
        <v>23607</v>
      </c>
      <c r="H297" s="988"/>
      <c r="I297" s="988"/>
      <c r="J297" s="989"/>
      <c r="K297" s="989"/>
    </row>
    <row r="298" spans="2:11">
      <c r="B298" s="165"/>
      <c r="C298" s="1023" t="s">
        <v>1650</v>
      </c>
      <c r="D298" s="1021" t="s">
        <v>664</v>
      </c>
      <c r="E298" s="990">
        <v>8252</v>
      </c>
      <c r="F298" s="990">
        <v>7853</v>
      </c>
      <c r="H298" s="988"/>
      <c r="I298" s="988"/>
      <c r="J298" s="989"/>
      <c r="K298" s="989"/>
    </row>
    <row r="299" spans="2:11">
      <c r="B299" s="165"/>
      <c r="C299" s="1023" t="s">
        <v>1651</v>
      </c>
      <c r="D299" s="1021" t="s">
        <v>665</v>
      </c>
      <c r="E299" s="990">
        <v>28366</v>
      </c>
      <c r="F299" s="990">
        <v>27543</v>
      </c>
      <c r="H299" s="988"/>
      <c r="I299" s="988"/>
      <c r="J299" s="989"/>
      <c r="K299" s="989"/>
    </row>
    <row r="300" spans="2:11">
      <c r="B300" s="165"/>
      <c r="C300" s="1023" t="s">
        <v>1652</v>
      </c>
      <c r="D300" s="1021" t="s">
        <v>666</v>
      </c>
      <c r="E300" s="990">
        <v>11300</v>
      </c>
      <c r="F300" s="990">
        <v>11084</v>
      </c>
      <c r="H300" s="988"/>
      <c r="I300" s="988"/>
      <c r="J300" s="989"/>
      <c r="K300" s="989"/>
    </row>
    <row r="301" spans="2:11">
      <c r="B301" s="165"/>
      <c r="C301" s="1023" t="s">
        <v>1653</v>
      </c>
      <c r="D301" s="1021" t="s">
        <v>667</v>
      </c>
      <c r="E301" s="990">
        <v>22321</v>
      </c>
      <c r="F301" s="990">
        <v>21629</v>
      </c>
      <c r="H301" s="988"/>
      <c r="I301" s="988"/>
      <c r="J301" s="989"/>
      <c r="K301" s="989"/>
    </row>
    <row r="302" spans="2:11">
      <c r="B302" s="165"/>
      <c r="C302" s="1023" t="s">
        <v>1654</v>
      </c>
      <c r="D302" s="1021" t="s">
        <v>668</v>
      </c>
      <c r="E302" s="990">
        <v>29561</v>
      </c>
      <c r="F302" s="990">
        <v>29259</v>
      </c>
      <c r="H302" s="988"/>
      <c r="I302" s="988"/>
      <c r="J302" s="989"/>
      <c r="K302" s="989"/>
    </row>
    <row r="303" spans="2:11">
      <c r="B303" s="165"/>
      <c r="C303" s="1023" t="s">
        <v>1655</v>
      </c>
      <c r="D303" s="1021" t="s">
        <v>669</v>
      </c>
      <c r="E303" s="990">
        <v>16985</v>
      </c>
      <c r="F303" s="990">
        <v>16321</v>
      </c>
      <c r="H303" s="988"/>
      <c r="I303" s="988"/>
      <c r="J303" s="989"/>
      <c r="K303" s="989"/>
    </row>
    <row r="304" spans="2:11">
      <c r="B304" s="165"/>
      <c r="C304" s="1023" t="s">
        <v>1656</v>
      </c>
      <c r="D304" s="1021" t="s">
        <v>670</v>
      </c>
      <c r="E304" s="990">
        <v>15915</v>
      </c>
      <c r="F304" s="990">
        <v>15495</v>
      </c>
      <c r="H304" s="988"/>
      <c r="I304" s="988"/>
      <c r="J304" s="989"/>
      <c r="K304" s="989"/>
    </row>
    <row r="305" spans="2:11">
      <c r="B305" s="165"/>
      <c r="C305" s="1023" t="s">
        <v>1657</v>
      </c>
      <c r="D305" s="1021" t="s">
        <v>671</v>
      </c>
      <c r="E305" s="990">
        <v>14508</v>
      </c>
      <c r="F305" s="990">
        <v>14550</v>
      </c>
      <c r="H305" s="988"/>
      <c r="I305" s="988"/>
      <c r="J305" s="989"/>
      <c r="K305" s="989"/>
    </row>
    <row r="306" spans="2:11">
      <c r="B306" s="165"/>
      <c r="C306" s="1023" t="s">
        <v>1658</v>
      </c>
      <c r="D306" s="1021" t="s">
        <v>672</v>
      </c>
      <c r="E306" s="990">
        <v>11374</v>
      </c>
      <c r="F306" s="990">
        <v>11093</v>
      </c>
      <c r="H306" s="988"/>
      <c r="I306" s="988"/>
      <c r="J306" s="989"/>
      <c r="K306" s="989"/>
    </row>
    <row r="307" spans="2:11">
      <c r="B307" s="165"/>
      <c r="C307" s="1023" t="s">
        <v>1659</v>
      </c>
      <c r="D307" s="1021" t="s">
        <v>673</v>
      </c>
      <c r="E307" s="990">
        <v>12496</v>
      </c>
      <c r="F307" s="990">
        <v>12111</v>
      </c>
      <c r="H307" s="988"/>
      <c r="I307" s="988"/>
      <c r="J307" s="989"/>
      <c r="K307" s="989"/>
    </row>
    <row r="308" spans="2:11">
      <c r="B308" s="165"/>
      <c r="C308" s="1023" t="s">
        <v>1660</v>
      </c>
      <c r="D308" s="1021" t="s">
        <v>674</v>
      </c>
      <c r="E308" s="990">
        <v>11770</v>
      </c>
      <c r="F308" s="990">
        <v>11609</v>
      </c>
      <c r="H308" s="988"/>
      <c r="I308" s="988"/>
      <c r="J308" s="989"/>
      <c r="K308" s="989"/>
    </row>
    <row r="309" spans="2:11">
      <c r="B309" s="165"/>
      <c r="C309" s="1023" t="s">
        <v>1661</v>
      </c>
      <c r="D309" s="1021" t="s">
        <v>675</v>
      </c>
      <c r="E309" s="990">
        <v>14197</v>
      </c>
      <c r="F309" s="990">
        <v>13781</v>
      </c>
      <c r="H309" s="988"/>
      <c r="I309" s="988"/>
      <c r="J309" s="989"/>
      <c r="K309" s="989"/>
    </row>
    <row r="310" spans="2:11">
      <c r="B310" s="165"/>
      <c r="C310" s="1023" t="s">
        <v>1662</v>
      </c>
      <c r="D310" s="1021" t="s">
        <v>676</v>
      </c>
      <c r="E310" s="990">
        <v>24970</v>
      </c>
      <c r="F310" s="990">
        <v>23964</v>
      </c>
      <c r="H310" s="988"/>
      <c r="I310" s="988"/>
      <c r="J310" s="989"/>
      <c r="K310" s="989"/>
    </row>
    <row r="311" spans="2:11">
      <c r="B311" s="165"/>
      <c r="C311" s="1023" t="s">
        <v>1663</v>
      </c>
      <c r="D311" s="1021" t="s">
        <v>677</v>
      </c>
      <c r="E311" s="990">
        <v>19535</v>
      </c>
      <c r="F311" s="990">
        <v>18593</v>
      </c>
      <c r="H311" s="988"/>
      <c r="I311" s="988"/>
      <c r="J311" s="989"/>
      <c r="K311" s="989"/>
    </row>
    <row r="312" spans="2:11">
      <c r="B312" s="165"/>
      <c r="C312" s="1023" t="s">
        <v>1664</v>
      </c>
      <c r="D312" s="1021" t="s">
        <v>678</v>
      </c>
      <c r="E312" s="990">
        <v>13590</v>
      </c>
      <c r="F312" s="990">
        <v>13290</v>
      </c>
      <c r="H312" s="988"/>
      <c r="I312" s="988"/>
      <c r="J312" s="989"/>
      <c r="K312" s="989"/>
    </row>
    <row r="313" spans="2:11">
      <c r="B313" s="165"/>
      <c r="C313" s="1023" t="s">
        <v>1665</v>
      </c>
      <c r="D313" s="1021" t="s">
        <v>679</v>
      </c>
      <c r="E313" s="990">
        <v>11827</v>
      </c>
      <c r="F313" s="990">
        <v>11224</v>
      </c>
      <c r="H313" s="988"/>
      <c r="I313" s="988"/>
      <c r="J313" s="989"/>
      <c r="K313" s="989"/>
    </row>
    <row r="314" spans="2:11">
      <c r="B314" s="165"/>
      <c r="C314" s="1023" t="s">
        <v>1666</v>
      </c>
      <c r="D314" s="1021" t="s">
        <v>680</v>
      </c>
      <c r="E314" s="990">
        <v>12871</v>
      </c>
      <c r="F314" s="990">
        <v>12436</v>
      </c>
      <c r="H314" s="988"/>
      <c r="I314" s="988"/>
      <c r="J314" s="989"/>
      <c r="K314" s="989"/>
    </row>
    <row r="315" spans="2:11">
      <c r="B315" s="165"/>
      <c r="C315" s="1023" t="s">
        <v>1667</v>
      </c>
      <c r="D315" s="1021" t="s">
        <v>681</v>
      </c>
      <c r="E315" s="990">
        <v>21350</v>
      </c>
      <c r="F315" s="990">
        <v>20575</v>
      </c>
      <c r="H315" s="988"/>
      <c r="I315" s="988"/>
      <c r="J315" s="989"/>
      <c r="K315" s="989"/>
    </row>
    <row r="316" spans="2:11">
      <c r="B316" s="165"/>
      <c r="C316" s="1023" t="s">
        <v>1668</v>
      </c>
      <c r="D316" s="1021" t="s">
        <v>682</v>
      </c>
      <c r="E316" s="990">
        <v>21182</v>
      </c>
      <c r="F316" s="990">
        <v>20949</v>
      </c>
      <c r="H316" s="988"/>
      <c r="I316" s="988"/>
      <c r="J316" s="989"/>
      <c r="K316" s="989"/>
    </row>
    <row r="317" spans="2:11">
      <c r="B317" s="165"/>
      <c r="C317" s="1023" t="s">
        <v>1669</v>
      </c>
      <c r="D317" s="1021" t="s">
        <v>683</v>
      </c>
      <c r="E317" s="990">
        <v>13382</v>
      </c>
      <c r="F317" s="990">
        <v>12987</v>
      </c>
      <c r="H317" s="988"/>
      <c r="I317" s="988"/>
      <c r="J317" s="989"/>
      <c r="K317" s="989"/>
    </row>
    <row r="318" spans="2:11">
      <c r="B318" s="165"/>
      <c r="C318" s="1023" t="s">
        <v>1670</v>
      </c>
      <c r="D318" s="1021" t="s">
        <v>684</v>
      </c>
      <c r="E318" s="990">
        <v>10596</v>
      </c>
      <c r="F318" s="990">
        <v>10058</v>
      </c>
      <c r="H318" s="988"/>
      <c r="I318" s="988"/>
      <c r="J318" s="989"/>
      <c r="K318" s="989"/>
    </row>
    <row r="319" spans="2:11">
      <c r="B319" s="165"/>
      <c r="C319" s="1023" t="s">
        <v>1671</v>
      </c>
      <c r="D319" s="1021" t="s">
        <v>685</v>
      </c>
      <c r="E319" s="990">
        <v>13152</v>
      </c>
      <c r="F319" s="990">
        <v>12700</v>
      </c>
      <c r="H319" s="988"/>
      <c r="I319" s="988"/>
      <c r="J319" s="989"/>
      <c r="K319" s="989"/>
    </row>
    <row r="320" spans="2:11">
      <c r="B320" s="165"/>
      <c r="C320" s="1023" t="s">
        <v>1672</v>
      </c>
      <c r="D320" s="1021" t="s">
        <v>686</v>
      </c>
      <c r="E320" s="990">
        <v>15327</v>
      </c>
      <c r="F320" s="990">
        <v>14794</v>
      </c>
      <c r="H320" s="988"/>
      <c r="I320" s="988"/>
      <c r="J320" s="989"/>
      <c r="K320" s="989"/>
    </row>
    <row r="321" spans="2:11">
      <c r="B321" s="165"/>
      <c r="C321" s="1023" t="s">
        <v>1673</v>
      </c>
      <c r="D321" s="1021" t="s">
        <v>687</v>
      </c>
      <c r="E321" s="990">
        <v>16370</v>
      </c>
      <c r="F321" s="990">
        <v>16046</v>
      </c>
      <c r="H321" s="988"/>
      <c r="I321" s="988"/>
      <c r="J321" s="989"/>
      <c r="K321" s="989"/>
    </row>
    <row r="322" spans="2:11">
      <c r="B322" s="165"/>
      <c r="C322" s="1023" t="s">
        <v>1674</v>
      </c>
      <c r="D322" s="1021" t="s">
        <v>688</v>
      </c>
      <c r="E322" s="990">
        <v>39674</v>
      </c>
      <c r="F322" s="990">
        <v>40035</v>
      </c>
      <c r="H322" s="988"/>
      <c r="I322" s="988"/>
      <c r="J322" s="989"/>
      <c r="K322" s="989"/>
    </row>
    <row r="323" spans="2:11">
      <c r="B323" s="165"/>
      <c r="C323" s="1023" t="s">
        <v>1675</v>
      </c>
      <c r="D323" s="1021" t="s">
        <v>689</v>
      </c>
      <c r="E323" s="990">
        <v>10970</v>
      </c>
      <c r="F323" s="990">
        <v>10632</v>
      </c>
      <c r="H323" s="988"/>
      <c r="I323" s="988"/>
      <c r="J323" s="989"/>
      <c r="K323" s="989"/>
    </row>
    <row r="324" spans="2:11">
      <c r="B324" s="165"/>
      <c r="C324" s="1023" t="s">
        <v>1676</v>
      </c>
      <c r="D324" s="1021" t="s">
        <v>690</v>
      </c>
      <c r="E324" s="990">
        <v>13627</v>
      </c>
      <c r="F324" s="990">
        <v>13211</v>
      </c>
      <c r="H324" s="988"/>
      <c r="I324" s="988"/>
      <c r="J324" s="989"/>
      <c r="K324" s="989"/>
    </row>
    <row r="325" spans="2:11">
      <c r="B325" s="165"/>
      <c r="C325" s="1023" t="s">
        <v>1677</v>
      </c>
      <c r="D325" s="1021" t="s">
        <v>691</v>
      </c>
      <c r="E325" s="990">
        <v>17688</v>
      </c>
      <c r="F325" s="990">
        <v>17600</v>
      </c>
      <c r="H325" s="988"/>
      <c r="I325" s="988"/>
      <c r="J325" s="989"/>
      <c r="K325" s="989"/>
    </row>
    <row r="326" spans="2:11">
      <c r="B326" s="165"/>
      <c r="C326" s="1023" t="s">
        <v>1678</v>
      </c>
      <c r="D326" s="1021" t="s">
        <v>692</v>
      </c>
      <c r="E326" s="990">
        <v>13945</v>
      </c>
      <c r="F326" s="990">
        <v>13419</v>
      </c>
      <c r="H326" s="988"/>
      <c r="I326" s="988"/>
      <c r="J326" s="989"/>
      <c r="K326" s="989"/>
    </row>
    <row r="327" spans="2:11">
      <c r="B327" s="165"/>
      <c r="C327" s="1023" t="s">
        <v>1679</v>
      </c>
      <c r="D327" s="1021" t="s">
        <v>693</v>
      </c>
      <c r="E327" s="990">
        <v>16637</v>
      </c>
      <c r="F327" s="990">
        <v>16198</v>
      </c>
      <c r="H327" s="988"/>
      <c r="I327" s="988"/>
      <c r="J327" s="989"/>
      <c r="K327" s="989"/>
    </row>
    <row r="328" spans="2:11">
      <c r="B328" s="165"/>
      <c r="C328" s="1023" t="s">
        <v>1680</v>
      </c>
      <c r="D328" s="1021" t="s">
        <v>694</v>
      </c>
      <c r="E328" s="990">
        <v>26964</v>
      </c>
      <c r="F328" s="990">
        <v>26595</v>
      </c>
      <c r="H328" s="988"/>
      <c r="I328" s="988"/>
      <c r="J328" s="989"/>
      <c r="K328" s="989"/>
    </row>
    <row r="329" spans="2:11">
      <c r="B329" s="165"/>
      <c r="C329" s="1023" t="s">
        <v>1681</v>
      </c>
      <c r="D329" s="1021" t="s">
        <v>695</v>
      </c>
      <c r="E329" s="990">
        <v>15913</v>
      </c>
      <c r="F329" s="990">
        <v>15310</v>
      </c>
      <c r="H329" s="988"/>
      <c r="I329" s="988"/>
      <c r="J329" s="989"/>
      <c r="K329" s="989"/>
    </row>
    <row r="330" spans="2:11">
      <c r="B330" s="165"/>
      <c r="C330" s="1023" t="s">
        <v>1682</v>
      </c>
      <c r="D330" s="1021" t="s">
        <v>696</v>
      </c>
      <c r="E330" s="990">
        <v>10053</v>
      </c>
      <c r="F330" s="990">
        <v>9698</v>
      </c>
      <c r="H330" s="988"/>
      <c r="I330" s="988"/>
      <c r="J330" s="989"/>
      <c r="K330" s="989"/>
    </row>
    <row r="331" spans="2:11">
      <c r="B331" s="165"/>
      <c r="C331" s="1023" t="s">
        <v>1683</v>
      </c>
      <c r="D331" s="1021" t="s">
        <v>697</v>
      </c>
      <c r="E331" s="990">
        <v>12562</v>
      </c>
      <c r="F331" s="990">
        <v>12293</v>
      </c>
      <c r="H331" s="988"/>
      <c r="I331" s="988"/>
      <c r="J331" s="989"/>
      <c r="K331" s="989"/>
    </row>
    <row r="332" spans="2:11">
      <c r="B332" s="165"/>
      <c r="C332" s="1023" t="s">
        <v>1684</v>
      </c>
      <c r="D332" s="1021" t="s">
        <v>698</v>
      </c>
      <c r="E332" s="990">
        <v>10738</v>
      </c>
      <c r="F332" s="990">
        <v>10696</v>
      </c>
      <c r="H332" s="988"/>
      <c r="I332" s="988"/>
      <c r="J332" s="989"/>
      <c r="K332" s="989"/>
    </row>
    <row r="333" spans="2:11">
      <c r="B333" s="165"/>
      <c r="C333" s="1023" t="s">
        <v>1685</v>
      </c>
      <c r="D333" s="1021" t="s">
        <v>699</v>
      </c>
      <c r="E333" s="990">
        <v>12216</v>
      </c>
      <c r="F333" s="990">
        <v>11633</v>
      </c>
      <c r="H333" s="988"/>
      <c r="I333" s="988"/>
      <c r="J333" s="989"/>
      <c r="K333" s="989"/>
    </row>
    <row r="334" spans="2:11">
      <c r="B334" s="165"/>
      <c r="C334" s="1023" t="s">
        <v>1686</v>
      </c>
      <c r="D334" s="1021" t="s">
        <v>700</v>
      </c>
      <c r="E334" s="990">
        <v>23196</v>
      </c>
      <c r="F334" s="990">
        <v>21438</v>
      </c>
      <c r="H334" s="988"/>
      <c r="I334" s="988"/>
      <c r="J334" s="989"/>
      <c r="K334" s="989"/>
    </row>
    <row r="335" spans="2:11">
      <c r="B335" s="165"/>
      <c r="C335" s="1023" t="s">
        <v>1687</v>
      </c>
      <c r="D335" s="1021" t="s">
        <v>701</v>
      </c>
      <c r="E335" s="990">
        <v>12619</v>
      </c>
      <c r="F335" s="990">
        <v>12309</v>
      </c>
      <c r="H335" s="988"/>
      <c r="I335" s="988"/>
      <c r="J335" s="989"/>
      <c r="K335" s="989"/>
    </row>
    <row r="336" spans="2:11">
      <c r="B336" s="165"/>
      <c r="C336" s="1023" t="s">
        <v>1688</v>
      </c>
      <c r="D336" s="1021" t="s">
        <v>702</v>
      </c>
      <c r="E336" s="990">
        <v>12275</v>
      </c>
      <c r="F336" s="990">
        <v>11556</v>
      </c>
      <c r="H336" s="988"/>
      <c r="I336" s="988"/>
      <c r="J336" s="989"/>
      <c r="K336" s="989"/>
    </row>
    <row r="337" spans="2:11">
      <c r="B337" s="165"/>
      <c r="C337" s="1023" t="s">
        <v>1689</v>
      </c>
      <c r="D337" s="1021" t="s">
        <v>703</v>
      </c>
      <c r="E337" s="990">
        <v>18738</v>
      </c>
      <c r="F337" s="990">
        <v>18062</v>
      </c>
      <c r="H337" s="988"/>
      <c r="I337" s="988"/>
      <c r="J337" s="989"/>
      <c r="K337" s="989"/>
    </row>
    <row r="338" spans="2:11">
      <c r="B338" s="165"/>
      <c r="C338" s="1023" t="s">
        <v>1690</v>
      </c>
      <c r="D338" s="1021" t="s">
        <v>704</v>
      </c>
      <c r="E338" s="990">
        <v>13106</v>
      </c>
      <c r="F338" s="990">
        <v>12801</v>
      </c>
      <c r="H338" s="988"/>
      <c r="I338" s="988"/>
      <c r="J338" s="989"/>
      <c r="K338" s="989"/>
    </row>
    <row r="339" spans="2:11">
      <c r="B339" s="165"/>
      <c r="C339" s="1023" t="s">
        <v>1691</v>
      </c>
      <c r="D339" s="1021" t="s">
        <v>705</v>
      </c>
      <c r="E339" s="990">
        <v>18854</v>
      </c>
      <c r="F339" s="990">
        <v>18658</v>
      </c>
      <c r="H339" s="988"/>
      <c r="I339" s="988"/>
      <c r="J339" s="989"/>
      <c r="K339" s="989"/>
    </row>
    <row r="340" spans="2:11">
      <c r="B340" s="165"/>
      <c r="C340" s="1023" t="s">
        <v>1692</v>
      </c>
      <c r="D340" s="1021" t="s">
        <v>706</v>
      </c>
      <c r="E340" s="990">
        <v>15706</v>
      </c>
      <c r="F340" s="990">
        <v>15101</v>
      </c>
      <c r="H340" s="988"/>
      <c r="I340" s="988"/>
      <c r="J340" s="989"/>
      <c r="K340" s="989"/>
    </row>
    <row r="341" spans="2:11">
      <c r="B341" s="165"/>
      <c r="C341" s="1023" t="s">
        <v>1693</v>
      </c>
      <c r="D341" s="1021" t="s">
        <v>707</v>
      </c>
      <c r="E341" s="990">
        <v>14370</v>
      </c>
      <c r="F341" s="990">
        <v>14186</v>
      </c>
      <c r="H341" s="988"/>
      <c r="I341" s="988"/>
      <c r="J341" s="989"/>
      <c r="K341" s="989"/>
    </row>
    <row r="342" spans="2:11">
      <c r="B342" s="165"/>
      <c r="C342" s="1023" t="s">
        <v>1694</v>
      </c>
      <c r="D342" s="1021" t="s">
        <v>708</v>
      </c>
      <c r="E342" s="990">
        <v>13130</v>
      </c>
      <c r="F342" s="990">
        <v>12803</v>
      </c>
      <c r="H342" s="988"/>
      <c r="I342" s="988"/>
      <c r="J342" s="989"/>
      <c r="K342" s="989"/>
    </row>
    <row r="343" spans="2:11">
      <c r="B343" s="165"/>
      <c r="C343" s="1023" t="s">
        <v>1695</v>
      </c>
      <c r="D343" s="1021" t="s">
        <v>709</v>
      </c>
      <c r="E343" s="990">
        <v>14222</v>
      </c>
      <c r="F343" s="990">
        <v>13990</v>
      </c>
      <c r="H343" s="988"/>
      <c r="I343" s="988"/>
      <c r="J343" s="989"/>
      <c r="K343" s="989"/>
    </row>
    <row r="344" spans="2:11">
      <c r="B344" s="165"/>
      <c r="C344" s="1023" t="s">
        <v>1696</v>
      </c>
      <c r="D344" s="1021" t="s">
        <v>710</v>
      </c>
      <c r="E344" s="990">
        <v>17949</v>
      </c>
      <c r="F344" s="990">
        <v>17515</v>
      </c>
      <c r="H344" s="988"/>
      <c r="I344" s="988"/>
      <c r="J344" s="989"/>
      <c r="K344" s="989"/>
    </row>
    <row r="345" spans="2:11">
      <c r="B345" s="165"/>
      <c r="C345" s="1023" t="s">
        <v>1697</v>
      </c>
      <c r="D345" s="1021" t="s">
        <v>711</v>
      </c>
      <c r="E345" s="990">
        <v>13029</v>
      </c>
      <c r="F345" s="990">
        <v>12599</v>
      </c>
      <c r="H345" s="988"/>
      <c r="I345" s="988"/>
      <c r="J345" s="989"/>
      <c r="K345" s="989"/>
    </row>
    <row r="346" spans="2:11">
      <c r="B346" s="165"/>
      <c r="C346" s="1023" t="s">
        <v>1698</v>
      </c>
      <c r="D346" s="1021" t="s">
        <v>712</v>
      </c>
      <c r="E346" s="990">
        <v>11292</v>
      </c>
      <c r="F346" s="990">
        <v>10948</v>
      </c>
      <c r="H346" s="988"/>
      <c r="I346" s="988"/>
      <c r="J346" s="989"/>
      <c r="K346" s="989"/>
    </row>
    <row r="347" spans="2:11">
      <c r="B347" s="165"/>
      <c r="C347" s="1023" t="s">
        <v>1699</v>
      </c>
      <c r="D347" s="1021" t="s">
        <v>713</v>
      </c>
      <c r="E347" s="990">
        <v>24404</v>
      </c>
      <c r="F347" s="990">
        <v>23718</v>
      </c>
      <c r="H347" s="988"/>
      <c r="I347" s="988"/>
      <c r="J347" s="989"/>
      <c r="K347" s="989"/>
    </row>
    <row r="348" spans="2:11">
      <c r="B348" s="165"/>
      <c r="C348" s="1023" t="s">
        <v>1700</v>
      </c>
      <c r="D348" s="1021" t="s">
        <v>714</v>
      </c>
      <c r="E348" s="990">
        <v>23822</v>
      </c>
      <c r="F348" s="990">
        <v>22898</v>
      </c>
      <c r="H348" s="988"/>
      <c r="I348" s="988"/>
      <c r="J348" s="989"/>
      <c r="K348" s="989"/>
    </row>
    <row r="349" spans="2:11">
      <c r="B349" s="165"/>
      <c r="C349" s="1023" t="s">
        <v>1701</v>
      </c>
      <c r="D349" s="1021" t="s">
        <v>715</v>
      </c>
      <c r="E349" s="990">
        <v>43455</v>
      </c>
      <c r="F349" s="990">
        <v>41208</v>
      </c>
      <c r="H349" s="988"/>
      <c r="I349" s="988"/>
      <c r="J349" s="989"/>
      <c r="K349" s="989"/>
    </row>
    <row r="350" spans="2:11">
      <c r="B350" s="165"/>
      <c r="C350" s="1023" t="s">
        <v>1702</v>
      </c>
      <c r="D350" s="1021" t="s">
        <v>716</v>
      </c>
      <c r="E350" s="990">
        <v>16127</v>
      </c>
      <c r="F350" s="990">
        <v>15530</v>
      </c>
      <c r="H350" s="988"/>
      <c r="I350" s="988"/>
      <c r="J350" s="989"/>
      <c r="K350" s="989"/>
    </row>
    <row r="351" spans="2:11">
      <c r="B351" s="165"/>
      <c r="C351" s="1023" t="s">
        <v>1703</v>
      </c>
      <c r="D351" s="1021" t="s">
        <v>717</v>
      </c>
      <c r="E351" s="990">
        <v>11235</v>
      </c>
      <c r="F351" s="990">
        <v>10832</v>
      </c>
      <c r="H351" s="988"/>
      <c r="I351" s="988"/>
      <c r="J351" s="989"/>
      <c r="K351" s="989"/>
    </row>
    <row r="352" spans="2:11">
      <c r="B352" s="165"/>
      <c r="C352" s="1023" t="s">
        <v>1704</v>
      </c>
      <c r="D352" s="1021" t="s">
        <v>718</v>
      </c>
      <c r="E352" s="990">
        <v>13725</v>
      </c>
      <c r="F352" s="990">
        <v>13744</v>
      </c>
      <c r="H352" s="988"/>
      <c r="I352" s="988"/>
      <c r="J352" s="989"/>
      <c r="K352" s="989"/>
    </row>
    <row r="353" spans="2:11">
      <c r="B353" s="165"/>
      <c r="C353" s="1023" t="s">
        <v>1705</v>
      </c>
      <c r="D353" s="1021" t="s">
        <v>719</v>
      </c>
      <c r="E353" s="990">
        <v>19342</v>
      </c>
      <c r="F353" s="990">
        <v>18686</v>
      </c>
      <c r="H353" s="988"/>
      <c r="I353" s="988"/>
      <c r="J353" s="989"/>
      <c r="K353" s="989"/>
    </row>
    <row r="354" spans="2:11">
      <c r="B354" s="165"/>
      <c r="C354" s="1023" t="s">
        <v>1706</v>
      </c>
      <c r="D354" s="1021" t="s">
        <v>720</v>
      </c>
      <c r="E354" s="990">
        <v>17224</v>
      </c>
      <c r="F354" s="990">
        <v>17219</v>
      </c>
      <c r="H354" s="988"/>
      <c r="I354" s="988"/>
      <c r="J354" s="989"/>
      <c r="K354" s="989"/>
    </row>
    <row r="355" spans="2:11">
      <c r="B355" s="165"/>
      <c r="C355" s="1023" t="s">
        <v>1707</v>
      </c>
      <c r="D355" s="1021" t="s">
        <v>721</v>
      </c>
      <c r="E355" s="990">
        <v>12288</v>
      </c>
      <c r="F355" s="990">
        <v>12042</v>
      </c>
      <c r="H355" s="988"/>
      <c r="I355" s="988"/>
      <c r="J355" s="989"/>
      <c r="K355" s="989"/>
    </row>
    <row r="356" spans="2:11">
      <c r="B356" s="165"/>
      <c r="C356" s="1023" t="s">
        <v>1708</v>
      </c>
      <c r="D356" s="1021" t="s">
        <v>722</v>
      </c>
      <c r="E356" s="990">
        <v>12247</v>
      </c>
      <c r="F356" s="990">
        <v>12027</v>
      </c>
      <c r="H356" s="988"/>
      <c r="I356" s="988"/>
      <c r="J356" s="989"/>
      <c r="K356" s="989"/>
    </row>
    <row r="357" spans="2:11">
      <c r="B357" s="165"/>
      <c r="C357" s="1023" t="s">
        <v>1709</v>
      </c>
      <c r="D357" s="1021" t="s">
        <v>723</v>
      </c>
      <c r="E357" s="990">
        <v>12264</v>
      </c>
      <c r="F357" s="990">
        <v>11889</v>
      </c>
      <c r="H357" s="988"/>
      <c r="I357" s="988"/>
      <c r="J357" s="989"/>
      <c r="K357" s="989"/>
    </row>
    <row r="358" spans="2:11">
      <c r="B358" s="165"/>
      <c r="C358" s="1023" t="s">
        <v>1710</v>
      </c>
      <c r="D358" s="1021" t="s">
        <v>724</v>
      </c>
      <c r="E358" s="990">
        <v>12180</v>
      </c>
      <c r="F358" s="990">
        <v>12114</v>
      </c>
      <c r="H358" s="988"/>
      <c r="I358" s="988"/>
      <c r="J358" s="989"/>
      <c r="K358" s="989"/>
    </row>
    <row r="359" spans="2:11">
      <c r="B359" s="165"/>
      <c r="C359" s="1023" t="s">
        <v>1711</v>
      </c>
      <c r="D359" s="1021" t="s">
        <v>725</v>
      </c>
      <c r="E359" s="990">
        <v>15402</v>
      </c>
      <c r="F359" s="990">
        <v>14767</v>
      </c>
      <c r="H359" s="988"/>
      <c r="I359" s="988"/>
      <c r="J359" s="989"/>
      <c r="K359" s="989"/>
    </row>
    <row r="360" spans="2:11">
      <c r="B360" s="165"/>
      <c r="C360" s="1023" t="s">
        <v>1712</v>
      </c>
      <c r="D360" s="1021" t="s">
        <v>726</v>
      </c>
      <c r="E360" s="990">
        <v>12073</v>
      </c>
      <c r="F360" s="990">
        <v>11910</v>
      </c>
      <c r="H360" s="988"/>
      <c r="I360" s="988"/>
      <c r="J360" s="989"/>
      <c r="K360" s="989"/>
    </row>
    <row r="361" spans="2:11">
      <c r="B361" s="165"/>
      <c r="C361" s="1023" t="s">
        <v>1713</v>
      </c>
      <c r="D361" s="1021" t="s">
        <v>727</v>
      </c>
      <c r="E361" s="990">
        <v>11617</v>
      </c>
      <c r="F361" s="990">
        <v>11244</v>
      </c>
      <c r="H361" s="988"/>
      <c r="I361" s="988"/>
      <c r="J361" s="989"/>
      <c r="K361" s="989"/>
    </row>
    <row r="362" spans="2:11">
      <c r="B362" s="165"/>
      <c r="C362" s="1023" t="s">
        <v>1714</v>
      </c>
      <c r="D362" s="1021" t="s">
        <v>728</v>
      </c>
      <c r="E362" s="990">
        <v>22175</v>
      </c>
      <c r="F362" s="990">
        <v>21578</v>
      </c>
      <c r="H362" s="988"/>
      <c r="I362" s="988"/>
      <c r="J362" s="989"/>
      <c r="K362" s="989"/>
    </row>
    <row r="363" spans="2:11">
      <c r="B363" s="165"/>
      <c r="C363" s="1023" t="s">
        <v>1715</v>
      </c>
      <c r="D363" s="1021" t="s">
        <v>729</v>
      </c>
      <c r="E363" s="990">
        <v>19718</v>
      </c>
      <c r="F363" s="990">
        <v>18975</v>
      </c>
      <c r="H363" s="988"/>
      <c r="I363" s="988"/>
      <c r="J363" s="989"/>
      <c r="K363" s="989"/>
    </row>
    <row r="364" spans="2:11">
      <c r="B364" s="165"/>
      <c r="C364" s="1023" t="s">
        <v>1716</v>
      </c>
      <c r="D364" s="1021" t="s">
        <v>730</v>
      </c>
      <c r="E364" s="990">
        <v>12205</v>
      </c>
      <c r="F364" s="990">
        <v>12212</v>
      </c>
      <c r="H364" s="988"/>
      <c r="I364" s="988"/>
      <c r="J364" s="989"/>
      <c r="K364" s="989"/>
    </row>
    <row r="365" spans="2:11">
      <c r="B365" s="165"/>
      <c r="C365" s="1023" t="s">
        <v>1717</v>
      </c>
      <c r="D365" s="1021" t="s">
        <v>731</v>
      </c>
      <c r="E365" s="990">
        <v>22442</v>
      </c>
      <c r="F365" s="990">
        <v>21434</v>
      </c>
      <c r="H365" s="988"/>
      <c r="I365" s="988"/>
      <c r="J365" s="989"/>
      <c r="K365" s="989"/>
    </row>
    <row r="366" spans="2:11">
      <c r="B366" s="165"/>
      <c r="C366" s="1023" t="s">
        <v>1718</v>
      </c>
      <c r="D366" s="1021" t="s">
        <v>732</v>
      </c>
      <c r="E366" s="990">
        <v>13853</v>
      </c>
      <c r="F366" s="990">
        <v>13805</v>
      </c>
      <c r="H366" s="988"/>
      <c r="I366" s="988"/>
      <c r="J366" s="989"/>
      <c r="K366" s="989"/>
    </row>
    <row r="367" spans="2:11">
      <c r="B367" s="165"/>
      <c r="C367" s="1023" t="s">
        <v>1719</v>
      </c>
      <c r="D367" s="1021" t="s">
        <v>733</v>
      </c>
      <c r="E367" s="990">
        <v>11480</v>
      </c>
      <c r="F367" s="990">
        <v>11239</v>
      </c>
      <c r="H367" s="988"/>
      <c r="I367" s="988"/>
      <c r="J367" s="989"/>
      <c r="K367" s="989"/>
    </row>
    <row r="368" spans="2:11">
      <c r="B368" s="165"/>
      <c r="C368" s="1023" t="s">
        <v>1720</v>
      </c>
      <c r="D368" s="1021" t="s">
        <v>734</v>
      </c>
      <c r="E368" s="990">
        <v>14483</v>
      </c>
      <c r="F368" s="990">
        <v>14219</v>
      </c>
      <c r="H368" s="988"/>
      <c r="I368" s="988"/>
      <c r="J368" s="989"/>
      <c r="K368" s="989"/>
    </row>
    <row r="369" spans="2:11">
      <c r="B369" s="165"/>
      <c r="C369" s="1023" t="s">
        <v>1721</v>
      </c>
      <c r="D369" s="1021" t="s">
        <v>735</v>
      </c>
      <c r="E369" s="990">
        <v>12653</v>
      </c>
      <c r="F369" s="990">
        <v>12244</v>
      </c>
      <c r="H369" s="988"/>
      <c r="I369" s="988"/>
      <c r="J369" s="989"/>
      <c r="K369" s="989"/>
    </row>
    <row r="370" spans="2:11">
      <c r="B370" s="165"/>
      <c r="C370" s="1023" t="s">
        <v>1722</v>
      </c>
      <c r="D370" s="1021" t="s">
        <v>736</v>
      </c>
      <c r="E370" s="990">
        <v>17177</v>
      </c>
      <c r="F370" s="990">
        <v>16667</v>
      </c>
      <c r="H370" s="988"/>
      <c r="I370" s="988"/>
      <c r="J370" s="989"/>
      <c r="K370" s="989"/>
    </row>
    <row r="371" spans="2:11">
      <c r="B371" s="165"/>
      <c r="C371" s="1023" t="s">
        <v>1723</v>
      </c>
      <c r="D371" s="1021" t="s">
        <v>737</v>
      </c>
      <c r="E371" s="990">
        <v>17164</v>
      </c>
      <c r="F371" s="990">
        <v>16639</v>
      </c>
      <c r="H371" s="988"/>
      <c r="I371" s="988"/>
      <c r="J371" s="989"/>
      <c r="K371" s="989"/>
    </row>
    <row r="372" spans="2:11">
      <c r="B372" s="165"/>
      <c r="C372" s="1023" t="s">
        <v>1724</v>
      </c>
      <c r="D372" s="1021" t="s">
        <v>738</v>
      </c>
      <c r="E372" s="990">
        <v>11853</v>
      </c>
      <c r="F372" s="990">
        <v>11362</v>
      </c>
      <c r="H372" s="988"/>
      <c r="I372" s="988"/>
      <c r="J372" s="989"/>
      <c r="K372" s="989"/>
    </row>
    <row r="373" spans="2:11">
      <c r="B373" s="165"/>
      <c r="C373" s="1023" t="s">
        <v>1725</v>
      </c>
      <c r="D373" s="1021" t="s">
        <v>739</v>
      </c>
      <c r="E373" s="990">
        <v>17462</v>
      </c>
      <c r="F373" s="990">
        <v>16894</v>
      </c>
      <c r="H373" s="988"/>
      <c r="I373" s="988"/>
      <c r="J373" s="989"/>
      <c r="K373" s="989"/>
    </row>
    <row r="374" spans="2:11">
      <c r="B374" s="165"/>
      <c r="C374" s="1023" t="s">
        <v>1726</v>
      </c>
      <c r="D374" s="1021" t="s">
        <v>740</v>
      </c>
      <c r="E374" s="990">
        <v>11553</v>
      </c>
      <c r="F374" s="990">
        <v>11261</v>
      </c>
      <c r="H374" s="988"/>
      <c r="I374" s="988"/>
      <c r="J374" s="989"/>
      <c r="K374" s="989"/>
    </row>
    <row r="375" spans="2:11">
      <c r="B375" s="165"/>
      <c r="C375" s="1023" t="s">
        <v>1727</v>
      </c>
      <c r="D375" s="1021" t="s">
        <v>741</v>
      </c>
      <c r="E375" s="990">
        <v>12438</v>
      </c>
      <c r="F375" s="990">
        <v>12445</v>
      </c>
      <c r="H375" s="988"/>
      <c r="I375" s="988"/>
      <c r="J375" s="989"/>
      <c r="K375" s="989"/>
    </row>
    <row r="376" spans="2:11">
      <c r="B376" s="165"/>
      <c r="C376" s="1023" t="s">
        <v>1728</v>
      </c>
      <c r="D376" s="1021" t="s">
        <v>742</v>
      </c>
      <c r="E376" s="990">
        <v>11428</v>
      </c>
      <c r="F376" s="990">
        <v>11588</v>
      </c>
      <c r="H376" s="988"/>
      <c r="I376" s="988"/>
      <c r="J376" s="989"/>
      <c r="K376" s="989"/>
    </row>
    <row r="377" spans="2:11">
      <c r="B377" s="165"/>
      <c r="C377" s="1023" t="s">
        <v>1729</v>
      </c>
      <c r="D377" s="1021" t="s">
        <v>743</v>
      </c>
      <c r="E377" s="990">
        <v>12438</v>
      </c>
      <c r="F377" s="990">
        <v>11923</v>
      </c>
      <c r="H377" s="988"/>
      <c r="I377" s="988"/>
      <c r="J377" s="989"/>
      <c r="K377" s="989"/>
    </row>
    <row r="378" spans="2:11">
      <c r="B378" s="165"/>
      <c r="C378" s="1023" t="s">
        <v>1730</v>
      </c>
      <c r="D378" s="1021" t="s">
        <v>744</v>
      </c>
      <c r="E378" s="990">
        <v>17850</v>
      </c>
      <c r="F378" s="990">
        <v>17232</v>
      </c>
      <c r="H378" s="988"/>
      <c r="I378" s="988"/>
      <c r="J378" s="989"/>
      <c r="K378" s="989"/>
    </row>
    <row r="379" spans="2:11">
      <c r="B379" s="165"/>
      <c r="C379" s="1023" t="s">
        <v>1731</v>
      </c>
      <c r="D379" s="1021" t="s">
        <v>745</v>
      </c>
      <c r="E379" s="990">
        <v>19620</v>
      </c>
      <c r="F379" s="990">
        <v>18965</v>
      </c>
      <c r="H379" s="988"/>
      <c r="I379" s="988"/>
      <c r="J379" s="989"/>
      <c r="K379" s="989"/>
    </row>
    <row r="380" spans="2:11">
      <c r="B380" s="165"/>
      <c r="C380" s="1023" t="s">
        <v>1732</v>
      </c>
      <c r="D380" s="1021" t="s">
        <v>746</v>
      </c>
      <c r="E380" s="990">
        <v>12779</v>
      </c>
      <c r="F380" s="990">
        <v>12273</v>
      </c>
      <c r="H380" s="988"/>
      <c r="I380" s="988"/>
      <c r="J380" s="989"/>
      <c r="K380" s="989"/>
    </row>
    <row r="381" spans="2:11">
      <c r="B381" s="165"/>
      <c r="C381" s="1023" t="s">
        <v>1733</v>
      </c>
      <c r="D381" s="1021" t="s">
        <v>747</v>
      </c>
      <c r="E381" s="990">
        <v>14544</v>
      </c>
      <c r="F381" s="990">
        <v>14279</v>
      </c>
      <c r="H381" s="988"/>
      <c r="I381" s="988"/>
      <c r="J381" s="989"/>
      <c r="K381" s="989"/>
    </row>
    <row r="382" spans="2:11">
      <c r="B382" s="165"/>
      <c r="C382" s="1023" t="s">
        <v>1734</v>
      </c>
      <c r="D382" s="1021" t="s">
        <v>748</v>
      </c>
      <c r="E382" s="990">
        <v>13884</v>
      </c>
      <c r="F382" s="990">
        <v>13466</v>
      </c>
      <c r="H382" s="988"/>
      <c r="I382" s="988"/>
      <c r="J382" s="989"/>
      <c r="K382" s="989"/>
    </row>
    <row r="383" spans="2:11">
      <c r="B383" s="165"/>
      <c r="C383" s="1023" t="s">
        <v>1735</v>
      </c>
      <c r="D383" s="1021" t="s">
        <v>749</v>
      </c>
      <c r="E383" s="990">
        <v>14492</v>
      </c>
      <c r="F383" s="990">
        <v>14402</v>
      </c>
      <c r="H383" s="988"/>
      <c r="I383" s="988"/>
      <c r="J383" s="989"/>
      <c r="K383" s="989"/>
    </row>
    <row r="384" spans="2:11">
      <c r="B384" s="165"/>
      <c r="C384" s="1023" t="s">
        <v>1736</v>
      </c>
      <c r="D384" s="1021" t="s">
        <v>750</v>
      </c>
      <c r="E384" s="990">
        <v>13793</v>
      </c>
      <c r="F384" s="990">
        <v>13623</v>
      </c>
      <c r="H384" s="988"/>
      <c r="I384" s="988"/>
      <c r="J384" s="989"/>
      <c r="K384" s="989"/>
    </row>
    <row r="385" spans="2:11">
      <c r="B385" s="165"/>
      <c r="C385" s="1023" t="s">
        <v>1737</v>
      </c>
      <c r="D385" s="1021" t="s">
        <v>751</v>
      </c>
      <c r="E385" s="990">
        <v>13749</v>
      </c>
      <c r="F385" s="990">
        <v>13326</v>
      </c>
      <c r="H385" s="988"/>
      <c r="I385" s="988"/>
      <c r="J385" s="989"/>
      <c r="K385" s="989"/>
    </row>
    <row r="386" spans="2:11">
      <c r="B386" s="165"/>
      <c r="C386" s="1023" t="s">
        <v>1738</v>
      </c>
      <c r="D386" s="1021" t="s">
        <v>752</v>
      </c>
      <c r="E386" s="990">
        <v>14676</v>
      </c>
      <c r="F386" s="990">
        <v>14186</v>
      </c>
      <c r="H386" s="988"/>
      <c r="I386" s="988"/>
      <c r="J386" s="989"/>
      <c r="K386" s="989"/>
    </row>
    <row r="387" spans="2:11">
      <c r="B387" s="165"/>
      <c r="C387" s="1023" t="s">
        <v>1739</v>
      </c>
      <c r="D387" s="1021" t="s">
        <v>753</v>
      </c>
      <c r="E387" s="990">
        <v>25273</v>
      </c>
      <c r="F387" s="990">
        <v>24282</v>
      </c>
      <c r="H387" s="988"/>
      <c r="I387" s="988"/>
      <c r="J387" s="989"/>
      <c r="K387" s="989"/>
    </row>
    <row r="388" spans="2:11">
      <c r="B388" s="165"/>
      <c r="C388" s="1023" t="s">
        <v>1740</v>
      </c>
      <c r="D388" s="1021" t="s">
        <v>754</v>
      </c>
      <c r="E388" s="990">
        <v>25930</v>
      </c>
      <c r="F388" s="990">
        <v>24859</v>
      </c>
      <c r="H388" s="988"/>
      <c r="I388" s="988"/>
      <c r="J388" s="989"/>
      <c r="K388" s="989"/>
    </row>
    <row r="389" spans="2:11">
      <c r="B389" s="165"/>
      <c r="C389" s="1023" t="s">
        <v>1741</v>
      </c>
      <c r="D389" s="1021" t="s">
        <v>755</v>
      </c>
      <c r="E389" s="990">
        <v>12537</v>
      </c>
      <c r="F389" s="990">
        <v>12400</v>
      </c>
      <c r="H389" s="988"/>
      <c r="I389" s="988"/>
      <c r="J389" s="989"/>
      <c r="K389" s="989"/>
    </row>
    <row r="390" spans="2:11">
      <c r="B390" s="165"/>
      <c r="C390" s="1023" t="s">
        <v>1742</v>
      </c>
      <c r="D390" s="1021" t="s">
        <v>756</v>
      </c>
      <c r="E390" s="990">
        <v>14946</v>
      </c>
      <c r="F390" s="990">
        <v>14614</v>
      </c>
      <c r="H390" s="988"/>
      <c r="I390" s="988"/>
      <c r="J390" s="989"/>
      <c r="K390" s="989"/>
    </row>
    <row r="391" spans="2:11">
      <c r="B391" s="165"/>
      <c r="C391" s="1023" t="s">
        <v>1743</v>
      </c>
      <c r="D391" s="1021" t="s">
        <v>757</v>
      </c>
      <c r="E391" s="990">
        <v>33005</v>
      </c>
      <c r="F391" s="990">
        <v>31563</v>
      </c>
      <c r="H391" s="988"/>
      <c r="I391" s="988"/>
      <c r="J391" s="989"/>
      <c r="K391" s="989"/>
    </row>
    <row r="392" spans="2:11">
      <c r="B392" s="165"/>
      <c r="C392" s="1023" t="s">
        <v>1744</v>
      </c>
      <c r="D392" s="1021" t="s">
        <v>758</v>
      </c>
      <c r="E392" s="990">
        <v>15814</v>
      </c>
      <c r="F392" s="990">
        <v>15174</v>
      </c>
      <c r="H392" s="988"/>
      <c r="I392" s="988"/>
      <c r="J392" s="989"/>
      <c r="K392" s="989"/>
    </row>
    <row r="393" spans="2:11">
      <c r="B393" s="165"/>
      <c r="C393" s="1023" t="s">
        <v>1745</v>
      </c>
      <c r="D393" s="1021" t="s">
        <v>759</v>
      </c>
      <c r="E393" s="990">
        <v>11713</v>
      </c>
      <c r="F393" s="990">
        <v>11461</v>
      </c>
      <c r="H393" s="988"/>
      <c r="I393" s="988"/>
      <c r="J393" s="989"/>
      <c r="K393" s="989"/>
    </row>
    <row r="394" spans="2:11">
      <c r="B394" s="165"/>
      <c r="C394" s="1023" t="s">
        <v>1746</v>
      </c>
      <c r="D394" s="1021" t="s">
        <v>760</v>
      </c>
      <c r="E394" s="990">
        <v>13341</v>
      </c>
      <c r="F394" s="990">
        <v>13240</v>
      </c>
      <c r="H394" s="988"/>
      <c r="I394" s="988"/>
      <c r="J394" s="989"/>
      <c r="K394" s="989"/>
    </row>
    <row r="395" spans="2:11">
      <c r="B395" s="165"/>
      <c r="C395" s="1023" t="s">
        <v>1747</v>
      </c>
      <c r="D395" s="1021" t="s">
        <v>761</v>
      </c>
      <c r="E395" s="990">
        <v>12155</v>
      </c>
      <c r="F395" s="990">
        <v>11809</v>
      </c>
      <c r="H395" s="988"/>
      <c r="I395" s="988"/>
      <c r="J395" s="989"/>
      <c r="K395" s="989"/>
    </row>
    <row r="396" spans="2:11">
      <c r="B396" s="165"/>
      <c r="C396" s="1023" t="s">
        <v>1748</v>
      </c>
      <c r="D396" s="1021" t="s">
        <v>762</v>
      </c>
      <c r="E396" s="990">
        <v>14570</v>
      </c>
      <c r="F396" s="990">
        <v>14034</v>
      </c>
      <c r="H396" s="988"/>
      <c r="I396" s="988"/>
      <c r="J396" s="989"/>
      <c r="K396" s="989"/>
    </row>
    <row r="397" spans="2:11">
      <c r="B397" s="165"/>
      <c r="C397" s="1023" t="s">
        <v>1749</v>
      </c>
      <c r="D397" s="1021" t="s">
        <v>763</v>
      </c>
      <c r="E397" s="990">
        <v>13513</v>
      </c>
      <c r="F397" s="990">
        <v>13120</v>
      </c>
      <c r="H397" s="988"/>
      <c r="I397" s="988"/>
      <c r="J397" s="989"/>
      <c r="K397" s="989"/>
    </row>
    <row r="398" spans="2:11">
      <c r="B398" s="165"/>
      <c r="C398" s="1023" t="s">
        <v>1750</v>
      </c>
      <c r="D398" s="1021" t="s">
        <v>764</v>
      </c>
      <c r="E398" s="990">
        <v>12760</v>
      </c>
      <c r="F398" s="990">
        <v>12549</v>
      </c>
      <c r="H398" s="988"/>
      <c r="I398" s="988"/>
      <c r="J398" s="989"/>
      <c r="K398" s="989"/>
    </row>
    <row r="399" spans="2:11">
      <c r="B399" s="165"/>
      <c r="C399" s="1023" t="s">
        <v>1751</v>
      </c>
      <c r="D399" s="1021" t="s">
        <v>765</v>
      </c>
      <c r="E399" s="990">
        <v>14346</v>
      </c>
      <c r="F399" s="990">
        <v>14355</v>
      </c>
      <c r="H399" s="988"/>
      <c r="I399" s="988"/>
      <c r="J399" s="989"/>
      <c r="K399" s="989"/>
    </row>
    <row r="400" spans="2:11">
      <c r="B400" s="165"/>
      <c r="C400" s="1023" t="s">
        <v>1752</v>
      </c>
      <c r="D400" s="1021" t="s">
        <v>766</v>
      </c>
      <c r="E400" s="990">
        <v>20379</v>
      </c>
      <c r="F400" s="990">
        <v>19221</v>
      </c>
      <c r="H400" s="988"/>
      <c r="I400" s="988"/>
      <c r="J400" s="989"/>
      <c r="K400" s="989"/>
    </row>
    <row r="401" spans="2:11">
      <c r="B401" s="165"/>
      <c r="C401" s="1023" t="s">
        <v>1753</v>
      </c>
      <c r="D401" s="1021" t="s">
        <v>767</v>
      </c>
      <c r="E401" s="990">
        <v>16420</v>
      </c>
      <c r="F401" s="990">
        <v>15913</v>
      </c>
      <c r="H401" s="988"/>
      <c r="I401" s="988"/>
      <c r="J401" s="989"/>
      <c r="K401" s="989"/>
    </row>
    <row r="402" spans="2:11">
      <c r="B402" s="165"/>
      <c r="C402" s="1023" t="s">
        <v>1754</v>
      </c>
      <c r="D402" s="1021" t="s">
        <v>768</v>
      </c>
      <c r="E402" s="990">
        <v>19093</v>
      </c>
      <c r="F402" s="990">
        <v>18398</v>
      </c>
      <c r="H402" s="988"/>
      <c r="I402" s="988"/>
      <c r="J402" s="989"/>
      <c r="K402" s="989"/>
    </row>
    <row r="403" spans="2:11">
      <c r="B403" s="165"/>
      <c r="C403" s="1023" t="s">
        <v>1755</v>
      </c>
      <c r="D403" s="1021" t="s">
        <v>769</v>
      </c>
      <c r="E403" s="990">
        <v>18444</v>
      </c>
      <c r="F403" s="990">
        <v>17645</v>
      </c>
      <c r="H403" s="988"/>
      <c r="I403" s="988"/>
      <c r="J403" s="989"/>
      <c r="K403" s="989"/>
    </row>
    <row r="404" spans="2:11">
      <c r="B404" s="165"/>
      <c r="C404" s="1023" t="s">
        <v>1756</v>
      </c>
      <c r="D404" s="1021" t="s">
        <v>770</v>
      </c>
      <c r="E404" s="990">
        <v>14549</v>
      </c>
      <c r="F404" s="990">
        <v>14056</v>
      </c>
      <c r="H404" s="988"/>
      <c r="I404" s="988"/>
      <c r="J404" s="989"/>
      <c r="K404" s="989"/>
    </row>
    <row r="405" spans="2:11">
      <c r="B405" s="165"/>
      <c r="C405" s="1023" t="s">
        <v>1757</v>
      </c>
      <c r="D405" s="1021" t="s">
        <v>771</v>
      </c>
      <c r="E405" s="990">
        <v>12993</v>
      </c>
      <c r="F405" s="990">
        <v>12629</v>
      </c>
      <c r="H405" s="988"/>
      <c r="I405" s="988"/>
      <c r="J405" s="989"/>
      <c r="K405" s="989"/>
    </row>
    <row r="406" spans="2:11">
      <c r="B406" s="165"/>
      <c r="C406" s="1023" t="s">
        <v>1758</v>
      </c>
      <c r="D406" s="1021" t="s">
        <v>772</v>
      </c>
      <c r="E406" s="990">
        <v>16319</v>
      </c>
      <c r="F406" s="990">
        <v>15642</v>
      </c>
      <c r="H406" s="988"/>
      <c r="I406" s="988"/>
      <c r="J406" s="989"/>
      <c r="K406" s="989"/>
    </row>
    <row r="407" spans="2:11">
      <c r="B407" s="165"/>
      <c r="C407" s="1023" t="s">
        <v>1759</v>
      </c>
      <c r="D407" s="1021" t="s">
        <v>773</v>
      </c>
      <c r="E407" s="990">
        <v>16560</v>
      </c>
      <c r="F407" s="990">
        <v>15507</v>
      </c>
      <c r="H407" s="988"/>
      <c r="I407" s="988"/>
      <c r="J407" s="989"/>
      <c r="K407" s="989"/>
    </row>
    <row r="408" spans="2:11">
      <c r="B408" s="165"/>
      <c r="C408" s="1023" t="s">
        <v>1760</v>
      </c>
      <c r="D408" s="1021" t="s">
        <v>774</v>
      </c>
      <c r="E408" s="990">
        <v>14875</v>
      </c>
      <c r="F408" s="990">
        <v>14741</v>
      </c>
      <c r="H408" s="988"/>
      <c r="I408" s="988"/>
      <c r="J408" s="989"/>
      <c r="K408" s="989"/>
    </row>
    <row r="409" spans="2:11">
      <c r="B409" s="165"/>
      <c r="C409" s="1023" t="s">
        <v>1761</v>
      </c>
      <c r="D409" s="1021" t="s">
        <v>775</v>
      </c>
      <c r="E409" s="990">
        <v>17884</v>
      </c>
      <c r="F409" s="990">
        <v>17424</v>
      </c>
      <c r="H409" s="988"/>
      <c r="I409" s="988"/>
      <c r="J409" s="989"/>
      <c r="K409" s="989"/>
    </row>
    <row r="410" spans="2:11">
      <c r="B410" s="165"/>
      <c r="C410" s="1023" t="s">
        <v>1762</v>
      </c>
      <c r="D410" s="1021" t="s">
        <v>776</v>
      </c>
      <c r="E410" s="990">
        <v>16393</v>
      </c>
      <c r="F410" s="990">
        <v>18347</v>
      </c>
      <c r="H410" s="988"/>
      <c r="I410" s="988"/>
      <c r="J410" s="989"/>
      <c r="K410" s="989"/>
    </row>
    <row r="411" spans="2:11">
      <c r="B411" s="165"/>
      <c r="C411" s="1023" t="s">
        <v>1763</v>
      </c>
      <c r="D411" s="1021" t="s">
        <v>777</v>
      </c>
      <c r="E411" s="990">
        <v>12534</v>
      </c>
      <c r="F411" s="990">
        <v>12248</v>
      </c>
      <c r="H411" s="988"/>
      <c r="I411" s="988"/>
      <c r="J411" s="989"/>
      <c r="K411" s="989"/>
    </row>
    <row r="412" spans="2:11">
      <c r="B412" s="165"/>
      <c r="C412" s="1023" t="s">
        <v>1764</v>
      </c>
      <c r="D412" s="1021" t="s">
        <v>778</v>
      </c>
      <c r="E412" s="990">
        <v>11685</v>
      </c>
      <c r="F412" s="990">
        <v>11095</v>
      </c>
      <c r="H412" s="988"/>
      <c r="I412" s="988"/>
      <c r="J412" s="989"/>
      <c r="K412" s="989"/>
    </row>
    <row r="413" spans="2:11">
      <c r="B413" s="165"/>
      <c r="C413" s="1023" t="s">
        <v>1765</v>
      </c>
      <c r="D413" s="1021" t="s">
        <v>779</v>
      </c>
      <c r="E413" s="990">
        <v>16406</v>
      </c>
      <c r="F413" s="990">
        <v>16299</v>
      </c>
      <c r="H413" s="988"/>
      <c r="I413" s="988"/>
      <c r="J413" s="989"/>
      <c r="K413" s="989"/>
    </row>
    <row r="414" spans="2:11">
      <c r="B414" s="165"/>
      <c r="C414" s="1023" t="s">
        <v>1766</v>
      </c>
      <c r="D414" s="1021" t="s">
        <v>780</v>
      </c>
      <c r="E414" s="990">
        <v>45901</v>
      </c>
      <c r="F414" s="990">
        <v>44758</v>
      </c>
      <c r="H414" s="988"/>
      <c r="I414" s="988"/>
      <c r="J414" s="989"/>
      <c r="K414" s="989"/>
    </row>
    <row r="415" spans="2:11">
      <c r="B415" s="165"/>
      <c r="C415" s="1023" t="s">
        <v>1767</v>
      </c>
      <c r="D415" s="1021" t="s">
        <v>781</v>
      </c>
      <c r="E415" s="990">
        <v>10984</v>
      </c>
      <c r="F415" s="990">
        <v>11376</v>
      </c>
      <c r="H415" s="988"/>
      <c r="I415" s="988"/>
      <c r="J415" s="989"/>
      <c r="K415" s="989"/>
    </row>
    <row r="416" spans="2:11">
      <c r="B416" s="165"/>
      <c r="C416" s="1023" t="s">
        <v>1768</v>
      </c>
      <c r="D416" s="1021" t="s">
        <v>782</v>
      </c>
      <c r="E416" s="990">
        <v>11236</v>
      </c>
      <c r="F416" s="990">
        <v>11129</v>
      </c>
      <c r="H416" s="988"/>
      <c r="I416" s="988"/>
      <c r="J416" s="989"/>
      <c r="K416" s="989"/>
    </row>
    <row r="417" spans="2:11">
      <c r="B417" s="165"/>
      <c r="C417" s="1023" t="s">
        <v>1769</v>
      </c>
      <c r="D417" s="1021" t="s">
        <v>783</v>
      </c>
      <c r="E417" s="990">
        <v>12371</v>
      </c>
      <c r="F417" s="990">
        <v>11931</v>
      </c>
      <c r="H417" s="988"/>
      <c r="I417" s="988"/>
      <c r="J417" s="989"/>
      <c r="K417" s="989"/>
    </row>
    <row r="418" spans="2:11">
      <c r="B418" s="165"/>
      <c r="C418" s="1023" t="s">
        <v>1770</v>
      </c>
      <c r="D418" s="1021" t="s">
        <v>784</v>
      </c>
      <c r="E418" s="990">
        <v>11700</v>
      </c>
      <c r="F418" s="990">
        <v>11392</v>
      </c>
      <c r="H418" s="988"/>
      <c r="I418" s="988"/>
      <c r="J418" s="989"/>
      <c r="K418" s="989"/>
    </row>
    <row r="419" spans="2:11">
      <c r="B419" s="165"/>
      <c r="C419" s="1023" t="s">
        <v>1771</v>
      </c>
      <c r="D419" s="1021" t="s">
        <v>785</v>
      </c>
      <c r="E419" s="990">
        <v>12906</v>
      </c>
      <c r="F419" s="990">
        <v>12416</v>
      </c>
      <c r="H419" s="988"/>
      <c r="I419" s="988"/>
      <c r="J419" s="989"/>
      <c r="K419" s="989"/>
    </row>
    <row r="420" spans="2:11">
      <c r="B420" s="165"/>
      <c r="C420" s="1023" t="s">
        <v>1772</v>
      </c>
      <c r="D420" s="1021" t="s">
        <v>786</v>
      </c>
      <c r="E420" s="990">
        <v>16227</v>
      </c>
      <c r="F420" s="990">
        <v>15888</v>
      </c>
      <c r="H420" s="988"/>
      <c r="I420" s="988"/>
      <c r="J420" s="989"/>
      <c r="K420" s="989"/>
    </row>
    <row r="421" spans="2:11">
      <c r="B421" s="165"/>
      <c r="C421" s="1023" t="s">
        <v>1773</v>
      </c>
      <c r="D421" s="1021" t="s">
        <v>787</v>
      </c>
      <c r="E421" s="990">
        <v>19284</v>
      </c>
      <c r="F421" s="990">
        <v>18156</v>
      </c>
      <c r="H421" s="988"/>
      <c r="I421" s="988"/>
      <c r="J421" s="989"/>
      <c r="K421" s="989"/>
    </row>
    <row r="422" spans="2:11">
      <c r="B422" s="165"/>
      <c r="C422" s="1023" t="s">
        <v>1774</v>
      </c>
      <c r="D422" s="1021" t="s">
        <v>788</v>
      </c>
      <c r="E422" s="990">
        <v>15017</v>
      </c>
      <c r="F422" s="990">
        <v>14437</v>
      </c>
      <c r="H422" s="988"/>
      <c r="I422" s="988"/>
      <c r="J422" s="989"/>
      <c r="K422" s="989"/>
    </row>
    <row r="423" spans="2:11">
      <c r="B423" s="165"/>
      <c r="C423" s="1023" t="s">
        <v>1775</v>
      </c>
      <c r="D423" s="1021" t="s">
        <v>789</v>
      </c>
      <c r="E423" s="990">
        <v>12087</v>
      </c>
      <c r="F423" s="990">
        <v>11790</v>
      </c>
      <c r="H423" s="988"/>
      <c r="I423" s="988"/>
      <c r="J423" s="989"/>
      <c r="K423" s="989"/>
    </row>
    <row r="424" spans="2:11">
      <c r="B424" s="165"/>
      <c r="C424" s="1023" t="s">
        <v>1776</v>
      </c>
      <c r="D424" s="1021" t="s">
        <v>790</v>
      </c>
      <c r="E424" s="990">
        <v>12100</v>
      </c>
      <c r="F424" s="990">
        <v>12684</v>
      </c>
      <c r="H424" s="988"/>
      <c r="I424" s="988"/>
      <c r="J424" s="989"/>
      <c r="K424" s="989"/>
    </row>
    <row r="425" spans="2:11">
      <c r="B425" s="165"/>
      <c r="C425" s="1023" t="s">
        <v>1777</v>
      </c>
      <c r="D425" s="1021" t="s">
        <v>791</v>
      </c>
      <c r="E425" s="990">
        <v>19725</v>
      </c>
      <c r="F425" s="990">
        <v>19017</v>
      </c>
      <c r="H425" s="988"/>
      <c r="I425" s="988"/>
      <c r="J425" s="989"/>
      <c r="K425" s="989"/>
    </row>
    <row r="426" spans="2:11">
      <c r="B426" s="165"/>
      <c r="C426" s="1023" t="s">
        <v>1778</v>
      </c>
      <c r="D426" s="1021" t="s">
        <v>792</v>
      </c>
      <c r="E426" s="990">
        <v>13717</v>
      </c>
      <c r="F426" s="990">
        <v>13233</v>
      </c>
      <c r="H426" s="988"/>
      <c r="I426" s="988"/>
      <c r="J426" s="989"/>
      <c r="K426" s="989"/>
    </row>
    <row r="427" spans="2:11">
      <c r="B427" s="165"/>
      <c r="C427" s="1023" t="s">
        <v>1779</v>
      </c>
      <c r="D427" s="1021" t="s">
        <v>793</v>
      </c>
      <c r="E427" s="990">
        <v>21962</v>
      </c>
      <c r="F427" s="990">
        <v>21108</v>
      </c>
      <c r="H427" s="988"/>
      <c r="I427" s="988"/>
      <c r="J427" s="989"/>
      <c r="K427" s="989"/>
    </row>
    <row r="428" spans="2:11">
      <c r="B428" s="165"/>
      <c r="C428" s="1023" t="s">
        <v>1780</v>
      </c>
      <c r="D428" s="1021" t="s">
        <v>794</v>
      </c>
      <c r="E428" s="990">
        <v>25589</v>
      </c>
      <c r="F428" s="990">
        <v>24975</v>
      </c>
      <c r="H428" s="988"/>
      <c r="I428" s="988"/>
      <c r="J428" s="989"/>
      <c r="K428" s="989"/>
    </row>
    <row r="429" spans="2:11">
      <c r="B429" s="165"/>
      <c r="C429" s="1023" t="s">
        <v>1781</v>
      </c>
      <c r="D429" s="1021" t="s">
        <v>795</v>
      </c>
      <c r="E429" s="990">
        <v>12304</v>
      </c>
      <c r="F429" s="990">
        <v>12149</v>
      </c>
      <c r="H429" s="988"/>
      <c r="I429" s="988"/>
      <c r="J429" s="989"/>
      <c r="K429" s="989"/>
    </row>
    <row r="430" spans="2:11">
      <c r="B430" s="165"/>
      <c r="C430" s="1023" t="s">
        <v>1782</v>
      </c>
      <c r="D430" s="1021" t="s">
        <v>796</v>
      </c>
      <c r="E430" s="990">
        <v>12003</v>
      </c>
      <c r="F430" s="990">
        <v>11529</v>
      </c>
      <c r="H430" s="988"/>
      <c r="I430" s="988"/>
      <c r="J430" s="989"/>
      <c r="K430" s="989"/>
    </row>
    <row r="431" spans="2:11">
      <c r="B431" s="165"/>
      <c r="C431" s="1023" t="s">
        <v>1783</v>
      </c>
      <c r="D431" s="1021" t="s">
        <v>797</v>
      </c>
      <c r="E431" s="990">
        <v>16219</v>
      </c>
      <c r="F431" s="990">
        <v>15450</v>
      </c>
      <c r="H431" s="988"/>
      <c r="I431" s="988"/>
      <c r="J431" s="989"/>
      <c r="K431" s="989"/>
    </row>
    <row r="432" spans="2:11">
      <c r="B432" s="165"/>
      <c r="C432" s="1023" t="s">
        <v>1784</v>
      </c>
      <c r="D432" s="1021" t="s">
        <v>798</v>
      </c>
      <c r="E432" s="990">
        <v>16396</v>
      </c>
      <c r="F432" s="990">
        <v>15666</v>
      </c>
      <c r="H432" s="988"/>
      <c r="I432" s="988"/>
      <c r="J432" s="989"/>
      <c r="K432" s="989"/>
    </row>
    <row r="433" spans="2:11">
      <c r="B433" s="165"/>
      <c r="C433" s="1023" t="s">
        <v>1785</v>
      </c>
      <c r="D433" s="1021" t="s">
        <v>799</v>
      </c>
      <c r="E433" s="990">
        <v>12566</v>
      </c>
      <c r="F433" s="990">
        <v>12414</v>
      </c>
      <c r="H433" s="988"/>
      <c r="I433" s="988"/>
      <c r="J433" s="989"/>
      <c r="K433" s="989"/>
    </row>
    <row r="434" spans="2:11">
      <c r="B434" s="165"/>
      <c r="C434" s="1023" t="s">
        <v>1786</v>
      </c>
      <c r="D434" s="1021" t="s">
        <v>800</v>
      </c>
      <c r="E434" s="990">
        <v>13807</v>
      </c>
      <c r="F434" s="990">
        <v>13527</v>
      </c>
      <c r="H434" s="988"/>
      <c r="I434" s="988"/>
      <c r="J434" s="989"/>
      <c r="K434" s="989"/>
    </row>
    <row r="435" spans="2:11">
      <c r="B435" s="165"/>
      <c r="C435" s="1023" t="s">
        <v>1787</v>
      </c>
      <c r="D435" s="1021" t="s">
        <v>801</v>
      </c>
      <c r="E435" s="990">
        <v>19513</v>
      </c>
      <c r="F435" s="990">
        <v>18832</v>
      </c>
      <c r="H435" s="988"/>
      <c r="I435" s="988"/>
      <c r="J435" s="989"/>
      <c r="K435" s="989"/>
    </row>
    <row r="436" spans="2:11">
      <c r="B436" s="165"/>
      <c r="C436" s="1023" t="s">
        <v>1788</v>
      </c>
      <c r="D436" s="1021" t="s">
        <v>802</v>
      </c>
      <c r="E436" s="990">
        <v>15295</v>
      </c>
      <c r="F436" s="990">
        <v>14971</v>
      </c>
      <c r="H436" s="988"/>
      <c r="I436" s="988"/>
      <c r="J436" s="989"/>
      <c r="K436" s="989"/>
    </row>
    <row r="437" spans="2:11">
      <c r="B437" s="165"/>
      <c r="C437" s="1023" t="s">
        <v>1789</v>
      </c>
      <c r="D437" s="1021" t="s">
        <v>803</v>
      </c>
      <c r="E437" s="990">
        <v>11933</v>
      </c>
      <c r="F437" s="990">
        <v>11548</v>
      </c>
      <c r="H437" s="988"/>
      <c r="I437" s="988"/>
      <c r="J437" s="989"/>
      <c r="K437" s="989"/>
    </row>
    <row r="438" spans="2:11">
      <c r="B438" s="165"/>
      <c r="C438" s="1023" t="s">
        <v>1790</v>
      </c>
      <c r="D438" s="1021" t="s">
        <v>804</v>
      </c>
      <c r="E438" s="990">
        <v>12419</v>
      </c>
      <c r="F438" s="990">
        <v>12147</v>
      </c>
      <c r="H438" s="988"/>
      <c r="I438" s="988"/>
      <c r="J438" s="989"/>
      <c r="K438" s="989"/>
    </row>
    <row r="439" spans="2:11">
      <c r="B439" s="165"/>
      <c r="C439" s="1023" t="s">
        <v>1791</v>
      </c>
      <c r="D439" s="1021" t="s">
        <v>805</v>
      </c>
      <c r="E439" s="990">
        <v>13572</v>
      </c>
      <c r="F439" s="990">
        <v>13083</v>
      </c>
      <c r="H439" s="988"/>
      <c r="I439" s="988"/>
      <c r="J439" s="989"/>
      <c r="K439" s="989"/>
    </row>
    <row r="440" spans="2:11">
      <c r="B440" s="165"/>
      <c r="C440" s="1023" t="s">
        <v>1792</v>
      </c>
      <c r="D440" s="1021" t="s">
        <v>806</v>
      </c>
      <c r="E440" s="990">
        <v>20129</v>
      </c>
      <c r="F440" s="990">
        <v>19561</v>
      </c>
      <c r="H440" s="988"/>
      <c r="I440" s="988"/>
      <c r="J440" s="989"/>
      <c r="K440" s="989"/>
    </row>
    <row r="441" spans="2:11">
      <c r="B441" s="165"/>
      <c r="C441" s="1023" t="s">
        <v>1793</v>
      </c>
      <c r="D441" s="1021" t="s">
        <v>807</v>
      </c>
      <c r="E441" s="990">
        <v>16150</v>
      </c>
      <c r="F441" s="990">
        <v>16123</v>
      </c>
      <c r="H441" s="988"/>
      <c r="I441" s="988"/>
      <c r="J441" s="989"/>
      <c r="K441" s="989"/>
    </row>
    <row r="442" spans="2:11">
      <c r="B442" s="165"/>
      <c r="C442" s="1023" t="s">
        <v>1794</v>
      </c>
      <c r="D442" s="1021" t="s">
        <v>808</v>
      </c>
      <c r="E442" s="990">
        <v>11358</v>
      </c>
      <c r="F442" s="990">
        <v>11278</v>
      </c>
      <c r="H442" s="988"/>
      <c r="I442" s="988"/>
      <c r="J442" s="989"/>
      <c r="K442" s="989"/>
    </row>
    <row r="443" spans="2:11">
      <c r="B443" s="165"/>
      <c r="C443" s="1023" t="s">
        <v>1795</v>
      </c>
      <c r="D443" s="1021" t="s">
        <v>809</v>
      </c>
      <c r="E443" s="990">
        <v>17138</v>
      </c>
      <c r="F443" s="990">
        <v>16216</v>
      </c>
      <c r="H443" s="988"/>
      <c r="I443" s="988"/>
      <c r="J443" s="989"/>
      <c r="K443" s="989"/>
    </row>
    <row r="444" spans="2:11">
      <c r="B444" s="165"/>
      <c r="C444" s="1023" t="s">
        <v>1796</v>
      </c>
      <c r="D444" s="1021" t="s">
        <v>810</v>
      </c>
      <c r="E444" s="990">
        <v>12043</v>
      </c>
      <c r="F444" s="990">
        <v>11773</v>
      </c>
      <c r="H444" s="988"/>
      <c r="I444" s="988"/>
      <c r="J444" s="989"/>
      <c r="K444" s="989"/>
    </row>
    <row r="445" spans="2:11">
      <c r="B445" s="165"/>
      <c r="C445" s="1023" t="s">
        <v>1797</v>
      </c>
      <c r="D445" s="1021" t="s">
        <v>811</v>
      </c>
      <c r="E445" s="990">
        <v>15783</v>
      </c>
      <c r="F445" s="990">
        <v>15194</v>
      </c>
      <c r="H445" s="988"/>
      <c r="I445" s="988"/>
      <c r="J445" s="989"/>
      <c r="K445" s="989"/>
    </row>
    <row r="446" spans="2:11">
      <c r="B446" s="165"/>
      <c r="C446" s="1023" t="s">
        <v>1798</v>
      </c>
      <c r="D446" s="1021" t="s">
        <v>812</v>
      </c>
      <c r="E446" s="990">
        <v>12329</v>
      </c>
      <c r="F446" s="990">
        <v>11962</v>
      </c>
      <c r="H446" s="988"/>
      <c r="I446" s="988"/>
      <c r="J446" s="989"/>
      <c r="K446" s="989"/>
    </row>
    <row r="447" spans="2:11">
      <c r="B447" s="165"/>
      <c r="C447" s="1023" t="s">
        <v>1799</v>
      </c>
      <c r="D447" s="1021" t="s">
        <v>813</v>
      </c>
      <c r="E447" s="990">
        <v>12630</v>
      </c>
      <c r="F447" s="990">
        <v>12326</v>
      </c>
      <c r="H447" s="988"/>
      <c r="I447" s="988"/>
      <c r="J447" s="989"/>
      <c r="K447" s="989"/>
    </row>
    <row r="448" spans="2:11">
      <c r="B448" s="165"/>
      <c r="C448" s="1023" t="s">
        <v>1800</v>
      </c>
      <c r="D448" s="1021" t="s">
        <v>814</v>
      </c>
      <c r="E448" s="990">
        <v>13444</v>
      </c>
      <c r="F448" s="990">
        <v>13066</v>
      </c>
      <c r="H448" s="988"/>
      <c r="I448" s="988"/>
      <c r="J448" s="989"/>
      <c r="K448" s="989"/>
    </row>
    <row r="449" spans="2:11">
      <c r="B449" s="165"/>
      <c r="C449" s="1023" t="s">
        <v>1801</v>
      </c>
      <c r="D449" s="1021" t="s">
        <v>815</v>
      </c>
      <c r="E449" s="990">
        <v>13667</v>
      </c>
      <c r="F449" s="990">
        <v>13433</v>
      </c>
      <c r="H449" s="988"/>
      <c r="I449" s="988"/>
      <c r="J449" s="989"/>
      <c r="K449" s="989"/>
    </row>
    <row r="450" spans="2:11">
      <c r="B450" s="165"/>
      <c r="C450" s="1023" t="s">
        <v>1802</v>
      </c>
      <c r="D450" s="1021" t="s">
        <v>816</v>
      </c>
      <c r="E450" s="990">
        <v>20101</v>
      </c>
      <c r="F450" s="990">
        <v>19600</v>
      </c>
      <c r="H450" s="988"/>
      <c r="I450" s="988"/>
      <c r="J450" s="989"/>
      <c r="K450" s="989"/>
    </row>
    <row r="451" spans="2:11">
      <c r="B451" s="165"/>
      <c r="C451" s="1023" t="s">
        <v>1803</v>
      </c>
      <c r="D451" s="1021" t="s">
        <v>817</v>
      </c>
      <c r="E451" s="990">
        <v>13328</v>
      </c>
      <c r="F451" s="990">
        <v>12562</v>
      </c>
      <c r="H451" s="988"/>
      <c r="I451" s="988"/>
      <c r="J451" s="989"/>
      <c r="K451" s="989"/>
    </row>
    <row r="452" spans="2:11">
      <c r="B452" s="165"/>
      <c r="C452" s="1023" t="s">
        <v>1804</v>
      </c>
      <c r="D452" s="1021" t="s">
        <v>818</v>
      </c>
      <c r="E452" s="990">
        <v>12360</v>
      </c>
      <c r="F452" s="990">
        <v>12063</v>
      </c>
      <c r="H452" s="988"/>
      <c r="I452" s="988"/>
      <c r="J452" s="989"/>
      <c r="K452" s="989"/>
    </row>
    <row r="453" spans="2:11">
      <c r="B453" s="165"/>
      <c r="C453" s="1023" t="s">
        <v>1805</v>
      </c>
      <c r="D453" s="1021" t="s">
        <v>819</v>
      </c>
      <c r="E453" s="990">
        <v>12440</v>
      </c>
      <c r="F453" s="990">
        <v>12085</v>
      </c>
      <c r="H453" s="988"/>
      <c r="I453" s="988"/>
      <c r="J453" s="989"/>
      <c r="K453" s="989"/>
    </row>
    <row r="454" spans="2:11">
      <c r="B454" s="165"/>
      <c r="C454" s="1023" t="s">
        <v>1806</v>
      </c>
      <c r="D454" s="1021" t="s">
        <v>820</v>
      </c>
      <c r="E454" s="990">
        <v>19629</v>
      </c>
      <c r="F454" s="990">
        <v>19101</v>
      </c>
      <c r="H454" s="988"/>
      <c r="I454" s="988"/>
      <c r="J454" s="989"/>
      <c r="K454" s="989"/>
    </row>
    <row r="455" spans="2:11">
      <c r="B455" s="165"/>
      <c r="C455" s="1023" t="s">
        <v>1807</v>
      </c>
      <c r="D455" s="1021" t="s">
        <v>821</v>
      </c>
      <c r="E455" s="990">
        <v>12903</v>
      </c>
      <c r="F455" s="990">
        <v>12253</v>
      </c>
      <c r="H455" s="988"/>
      <c r="I455" s="988"/>
      <c r="J455" s="989"/>
      <c r="K455" s="989"/>
    </row>
    <row r="456" spans="2:11">
      <c r="B456" s="165"/>
      <c r="C456" s="1023" t="s">
        <v>1808</v>
      </c>
      <c r="D456" s="1021" t="s">
        <v>822</v>
      </c>
      <c r="E456" s="990">
        <v>12469</v>
      </c>
      <c r="F456" s="990">
        <v>11720</v>
      </c>
      <c r="H456" s="988"/>
      <c r="I456" s="988"/>
      <c r="J456" s="989"/>
      <c r="K456" s="989"/>
    </row>
    <row r="457" spans="2:11">
      <c r="B457" s="165"/>
      <c r="C457" s="1023" t="s">
        <v>1809</v>
      </c>
      <c r="D457" s="1021" t="s">
        <v>823</v>
      </c>
      <c r="E457" s="990">
        <v>13149</v>
      </c>
      <c r="F457" s="990">
        <v>12864</v>
      </c>
      <c r="H457" s="988"/>
      <c r="I457" s="988"/>
      <c r="J457" s="989"/>
      <c r="K457" s="989"/>
    </row>
    <row r="458" spans="2:11">
      <c r="B458" s="165"/>
      <c r="C458" s="1023" t="s">
        <v>1810</v>
      </c>
      <c r="D458" s="1021" t="s">
        <v>824</v>
      </c>
      <c r="E458" s="990">
        <v>12944</v>
      </c>
      <c r="F458" s="990">
        <v>13050</v>
      </c>
      <c r="H458" s="988"/>
      <c r="I458" s="988"/>
      <c r="J458" s="989"/>
      <c r="K458" s="989"/>
    </row>
    <row r="459" spans="2:11">
      <c r="B459" s="165"/>
      <c r="C459" s="1023" t="s">
        <v>1811</v>
      </c>
      <c r="D459" s="1021" t="s">
        <v>825</v>
      </c>
      <c r="E459" s="990">
        <v>24245</v>
      </c>
      <c r="F459" s="990">
        <v>23498</v>
      </c>
      <c r="H459" s="988"/>
      <c r="I459" s="988"/>
      <c r="J459" s="989"/>
      <c r="K459" s="989"/>
    </row>
    <row r="460" spans="2:11">
      <c r="B460" s="165"/>
      <c r="C460" s="1023" t="s">
        <v>1812</v>
      </c>
      <c r="D460" s="1021" t="s">
        <v>826</v>
      </c>
      <c r="E460" s="990">
        <v>32064</v>
      </c>
      <c r="F460" s="990">
        <v>30551</v>
      </c>
      <c r="H460" s="988"/>
      <c r="I460" s="988"/>
      <c r="J460" s="989"/>
      <c r="K460" s="989"/>
    </row>
    <row r="461" spans="2:11">
      <c r="B461" s="165"/>
      <c r="C461" s="1023" t="s">
        <v>1813</v>
      </c>
      <c r="D461" s="1021" t="s">
        <v>827</v>
      </c>
      <c r="E461" s="990">
        <v>12315</v>
      </c>
      <c r="F461" s="990">
        <v>11760</v>
      </c>
      <c r="H461" s="988"/>
      <c r="I461" s="988"/>
      <c r="J461" s="989"/>
      <c r="K461" s="989"/>
    </row>
    <row r="462" spans="2:11">
      <c r="B462" s="165"/>
      <c r="C462" s="1023" t="s">
        <v>1814</v>
      </c>
      <c r="D462" s="1021" t="s">
        <v>828</v>
      </c>
      <c r="E462" s="990">
        <v>13312</v>
      </c>
      <c r="F462" s="990">
        <v>12891</v>
      </c>
      <c r="H462" s="988"/>
      <c r="I462" s="988"/>
      <c r="J462" s="989"/>
      <c r="K462" s="989"/>
    </row>
    <row r="463" spans="2:11">
      <c r="B463" s="165"/>
      <c r="C463" s="1023" t="s">
        <v>1815</v>
      </c>
      <c r="D463" s="1021" t="s">
        <v>829</v>
      </c>
      <c r="E463" s="990">
        <v>12627</v>
      </c>
      <c r="F463" s="990">
        <v>12372</v>
      </c>
      <c r="H463" s="988"/>
      <c r="I463" s="988"/>
      <c r="J463" s="989"/>
      <c r="K463" s="989"/>
    </row>
    <row r="464" spans="2:11">
      <c r="B464" s="165"/>
      <c r="C464" s="1023" t="s">
        <v>1816</v>
      </c>
      <c r="D464" s="1021" t="s">
        <v>830</v>
      </c>
      <c r="E464" s="990">
        <v>14572</v>
      </c>
      <c r="F464" s="990">
        <v>14286</v>
      </c>
      <c r="H464" s="988"/>
      <c r="I464" s="988"/>
      <c r="J464" s="989"/>
      <c r="K464" s="989"/>
    </row>
    <row r="465" spans="2:11">
      <c r="B465" s="165"/>
      <c r="C465" s="1023" t="s">
        <v>1817</v>
      </c>
      <c r="D465" s="1021" t="s">
        <v>831</v>
      </c>
      <c r="E465" s="990">
        <v>12113</v>
      </c>
      <c r="F465" s="990">
        <v>12026</v>
      </c>
      <c r="H465" s="988"/>
      <c r="I465" s="988"/>
      <c r="J465" s="989"/>
      <c r="K465" s="989"/>
    </row>
    <row r="466" spans="2:11">
      <c r="B466" s="165"/>
      <c r="C466" s="1023" t="s">
        <v>1818</v>
      </c>
      <c r="D466" s="1021" t="s">
        <v>832</v>
      </c>
      <c r="E466" s="990">
        <v>16588</v>
      </c>
      <c r="F466" s="990">
        <v>15978</v>
      </c>
      <c r="H466" s="988"/>
      <c r="I466" s="988"/>
      <c r="J466" s="989"/>
      <c r="K466" s="989"/>
    </row>
    <row r="467" spans="2:11">
      <c r="B467" s="165"/>
      <c r="C467" s="1023" t="s">
        <v>1819</v>
      </c>
      <c r="D467" s="1021" t="s">
        <v>833</v>
      </c>
      <c r="E467" s="990">
        <v>16646</v>
      </c>
      <c r="F467" s="990">
        <v>16250</v>
      </c>
      <c r="H467" s="988"/>
      <c r="I467" s="988"/>
      <c r="J467" s="989"/>
      <c r="K467" s="989"/>
    </row>
    <row r="468" spans="2:11">
      <c r="B468" s="165"/>
      <c r="C468" s="1023" t="s">
        <v>1820</v>
      </c>
      <c r="D468" s="1021" t="s">
        <v>834</v>
      </c>
      <c r="E468" s="990">
        <v>17747</v>
      </c>
      <c r="F468" s="990">
        <v>17257</v>
      </c>
      <c r="H468" s="988"/>
      <c r="I468" s="988"/>
      <c r="J468" s="989"/>
      <c r="K468" s="989"/>
    </row>
    <row r="469" spans="2:11">
      <c r="B469" s="165"/>
      <c r="C469" s="1023" t="s">
        <v>1821</v>
      </c>
      <c r="D469" s="1021" t="s">
        <v>835</v>
      </c>
      <c r="E469" s="990">
        <v>18015</v>
      </c>
      <c r="F469" s="990">
        <v>17246</v>
      </c>
      <c r="H469" s="988"/>
      <c r="I469" s="988"/>
      <c r="J469" s="989"/>
      <c r="K469" s="989"/>
    </row>
    <row r="470" spans="2:11">
      <c r="B470" s="165"/>
      <c r="C470" s="1023" t="s">
        <v>1822</v>
      </c>
      <c r="D470" s="1021" t="s">
        <v>836</v>
      </c>
      <c r="E470" s="990">
        <v>13766</v>
      </c>
      <c r="F470" s="990">
        <v>13489</v>
      </c>
      <c r="H470" s="988"/>
      <c r="I470" s="988"/>
      <c r="J470" s="989"/>
      <c r="K470" s="989"/>
    </row>
    <row r="471" spans="2:11">
      <c r="B471" s="165"/>
      <c r="C471" s="1023" t="s">
        <v>1823</v>
      </c>
      <c r="D471" s="1021" t="s">
        <v>837</v>
      </c>
      <c r="E471" s="990">
        <v>13822</v>
      </c>
      <c r="F471" s="990">
        <v>13371</v>
      </c>
      <c r="H471" s="988"/>
      <c r="I471" s="988"/>
      <c r="J471" s="989"/>
      <c r="K471" s="989"/>
    </row>
    <row r="472" spans="2:11">
      <c r="B472" s="165"/>
      <c r="C472" s="1023" t="s">
        <v>1824</v>
      </c>
      <c r="D472" s="1021" t="s">
        <v>838</v>
      </c>
      <c r="E472" s="990">
        <v>12645</v>
      </c>
      <c r="F472" s="990">
        <v>12153</v>
      </c>
      <c r="H472" s="988"/>
      <c r="I472" s="988"/>
      <c r="J472" s="989"/>
      <c r="K472" s="989"/>
    </row>
    <row r="473" spans="2:11">
      <c r="B473" s="165"/>
      <c r="C473" s="1023" t="s">
        <v>1825</v>
      </c>
      <c r="D473" s="1021" t="s">
        <v>839</v>
      </c>
      <c r="E473" s="990">
        <v>11945</v>
      </c>
      <c r="F473" s="990">
        <v>11857</v>
      </c>
      <c r="H473" s="988"/>
      <c r="I473" s="988"/>
      <c r="J473" s="989"/>
      <c r="K473" s="989"/>
    </row>
    <row r="474" spans="2:11">
      <c r="B474" s="165"/>
      <c r="C474" s="1023" t="s">
        <v>1826</v>
      </c>
      <c r="D474" s="1021" t="s">
        <v>840</v>
      </c>
      <c r="E474" s="990">
        <v>13503</v>
      </c>
      <c r="F474" s="990">
        <v>13367</v>
      </c>
      <c r="H474" s="988"/>
      <c r="I474" s="988"/>
      <c r="J474" s="989"/>
      <c r="K474" s="989"/>
    </row>
    <row r="475" spans="2:11">
      <c r="B475" s="165"/>
      <c r="C475" s="1023" t="s">
        <v>1827</v>
      </c>
      <c r="D475" s="1021" t="s">
        <v>841</v>
      </c>
      <c r="E475" s="990">
        <v>12976</v>
      </c>
      <c r="F475" s="990">
        <v>12748</v>
      </c>
      <c r="H475" s="988"/>
      <c r="I475" s="988"/>
      <c r="J475" s="989"/>
      <c r="K475" s="989"/>
    </row>
    <row r="476" spans="2:11">
      <c r="B476" s="165"/>
      <c r="C476" s="1023" t="s">
        <v>1828</v>
      </c>
      <c r="D476" s="1021" t="s">
        <v>842</v>
      </c>
      <c r="E476" s="990">
        <v>13452</v>
      </c>
      <c r="F476" s="990">
        <v>12891</v>
      </c>
      <c r="H476" s="988"/>
      <c r="I476" s="988"/>
      <c r="J476" s="989"/>
      <c r="K476" s="989"/>
    </row>
    <row r="477" spans="2:11">
      <c r="B477" s="165"/>
      <c r="C477" s="1023" t="s">
        <v>1829</v>
      </c>
      <c r="D477" s="1021" t="s">
        <v>843</v>
      </c>
      <c r="E477" s="990">
        <v>13413</v>
      </c>
      <c r="F477" s="990">
        <v>12887</v>
      </c>
      <c r="H477" s="988"/>
      <c r="I477" s="988"/>
      <c r="J477" s="989"/>
      <c r="K477" s="989"/>
    </row>
    <row r="478" spans="2:11">
      <c r="B478" s="165"/>
      <c r="C478" s="1023" t="s">
        <v>1830</v>
      </c>
      <c r="D478" s="1021" t="s">
        <v>844</v>
      </c>
      <c r="E478" s="990">
        <v>16598</v>
      </c>
      <c r="F478" s="990">
        <v>16190</v>
      </c>
      <c r="H478" s="988"/>
      <c r="I478" s="988"/>
      <c r="J478" s="989"/>
      <c r="K478" s="989"/>
    </row>
    <row r="479" spans="2:11">
      <c r="B479" s="165"/>
      <c r="C479" s="1023" t="s">
        <v>1831</v>
      </c>
      <c r="D479" s="1021" t="s">
        <v>845</v>
      </c>
      <c r="E479" s="990">
        <v>12366</v>
      </c>
      <c r="F479" s="990">
        <v>12070</v>
      </c>
      <c r="H479" s="988"/>
      <c r="I479" s="988"/>
      <c r="J479" s="989"/>
      <c r="K479" s="989"/>
    </row>
    <row r="480" spans="2:11">
      <c r="B480" s="165"/>
      <c r="C480" s="1023" t="s">
        <v>1832</v>
      </c>
      <c r="D480" s="1021" t="s">
        <v>846</v>
      </c>
      <c r="E480" s="990">
        <v>14318</v>
      </c>
      <c r="F480" s="990">
        <v>13923</v>
      </c>
      <c r="H480" s="988"/>
      <c r="I480" s="988"/>
      <c r="J480" s="989"/>
      <c r="K480" s="989"/>
    </row>
    <row r="481" spans="2:11">
      <c r="B481" s="165"/>
      <c r="C481" s="1023" t="s">
        <v>1833</v>
      </c>
      <c r="D481" s="1021" t="s">
        <v>847</v>
      </c>
      <c r="E481" s="990">
        <v>17488</v>
      </c>
      <c r="F481" s="990">
        <v>16675</v>
      </c>
      <c r="H481" s="988"/>
      <c r="I481" s="988"/>
      <c r="J481" s="989"/>
      <c r="K481" s="989"/>
    </row>
    <row r="482" spans="2:11">
      <c r="B482" s="165"/>
      <c r="C482" s="1023" t="s">
        <v>1834</v>
      </c>
      <c r="D482" s="1021" t="s">
        <v>848</v>
      </c>
      <c r="E482" s="990">
        <v>19374</v>
      </c>
      <c r="F482" s="990">
        <v>18541</v>
      </c>
      <c r="H482" s="988"/>
      <c r="I482" s="988"/>
      <c r="J482" s="989"/>
      <c r="K482" s="989"/>
    </row>
    <row r="483" spans="2:11">
      <c r="B483" s="165"/>
      <c r="C483" s="1023" t="s">
        <v>1835</v>
      </c>
      <c r="D483" s="1021" t="s">
        <v>849</v>
      </c>
      <c r="E483" s="990">
        <v>14708</v>
      </c>
      <c r="F483" s="990">
        <v>14167</v>
      </c>
      <c r="H483" s="988"/>
      <c r="I483" s="988"/>
      <c r="J483" s="989"/>
      <c r="K483" s="989"/>
    </row>
    <row r="484" spans="2:11">
      <c r="B484" s="165"/>
      <c r="C484" s="1023" t="s">
        <v>1836</v>
      </c>
      <c r="D484" s="1021" t="s">
        <v>850</v>
      </c>
      <c r="E484" s="990">
        <v>17970</v>
      </c>
      <c r="F484" s="990">
        <v>17217</v>
      </c>
      <c r="H484" s="988"/>
      <c r="I484" s="988"/>
      <c r="J484" s="989"/>
      <c r="K484" s="989"/>
    </row>
    <row r="485" spans="2:11">
      <c r="B485" s="165"/>
      <c r="C485" s="1023" t="s">
        <v>1837</v>
      </c>
      <c r="D485" s="1021" t="s">
        <v>851</v>
      </c>
      <c r="E485" s="990">
        <v>47568</v>
      </c>
      <c r="F485" s="990">
        <v>44181</v>
      </c>
      <c r="H485" s="988"/>
      <c r="I485" s="988"/>
      <c r="J485" s="989"/>
      <c r="K485" s="989"/>
    </row>
    <row r="486" spans="2:11">
      <c r="B486" s="165"/>
      <c r="C486" s="1023" t="s">
        <v>1838</v>
      </c>
      <c r="D486" s="1021" t="s">
        <v>852</v>
      </c>
      <c r="E486" s="990">
        <v>12935</v>
      </c>
      <c r="F486" s="990">
        <v>12644</v>
      </c>
      <c r="H486" s="988"/>
      <c r="I486" s="988"/>
      <c r="J486" s="989"/>
      <c r="K486" s="989"/>
    </row>
    <row r="487" spans="2:11">
      <c r="B487" s="165"/>
      <c r="C487" s="1023" t="s">
        <v>1839</v>
      </c>
      <c r="D487" s="1021" t="s">
        <v>853</v>
      </c>
      <c r="E487" s="990">
        <v>12057</v>
      </c>
      <c r="F487" s="990">
        <v>11771</v>
      </c>
      <c r="H487" s="988"/>
      <c r="I487" s="988"/>
      <c r="J487" s="989"/>
      <c r="K487" s="989"/>
    </row>
    <row r="488" spans="2:11">
      <c r="B488" s="165"/>
      <c r="C488" s="1023" t="s">
        <v>1840</v>
      </c>
      <c r="D488" s="1021" t="s">
        <v>854</v>
      </c>
      <c r="E488" s="990">
        <v>15583</v>
      </c>
      <c r="F488" s="990">
        <v>15181</v>
      </c>
      <c r="H488" s="988"/>
      <c r="I488" s="988"/>
      <c r="J488" s="989"/>
      <c r="K488" s="989"/>
    </row>
    <row r="489" spans="2:11">
      <c r="B489" s="165"/>
      <c r="C489" s="1023" t="s">
        <v>1841</v>
      </c>
      <c r="D489" s="1021" t="s">
        <v>855</v>
      </c>
      <c r="E489" s="990">
        <v>23045</v>
      </c>
      <c r="F489" s="990">
        <v>22626</v>
      </c>
      <c r="H489" s="988"/>
      <c r="I489" s="988"/>
      <c r="J489" s="989"/>
      <c r="K489" s="989"/>
    </row>
    <row r="490" spans="2:11">
      <c r="B490" s="165"/>
      <c r="C490" s="1023" t="s">
        <v>1842</v>
      </c>
      <c r="D490" s="1021" t="s">
        <v>856</v>
      </c>
      <c r="E490" s="990">
        <v>13426</v>
      </c>
      <c r="F490" s="990">
        <v>13089</v>
      </c>
      <c r="H490" s="988"/>
      <c r="I490" s="988"/>
      <c r="J490" s="989"/>
      <c r="K490" s="989"/>
    </row>
    <row r="491" spans="2:11">
      <c r="B491" s="165"/>
      <c r="C491" s="1023" t="s">
        <v>1843</v>
      </c>
      <c r="D491" s="1021" t="s">
        <v>857</v>
      </c>
      <c r="E491" s="990">
        <v>21982</v>
      </c>
      <c r="F491" s="990">
        <v>21393</v>
      </c>
      <c r="H491" s="988"/>
      <c r="I491" s="988"/>
      <c r="J491" s="989"/>
      <c r="K491" s="989"/>
    </row>
    <row r="492" spans="2:11">
      <c r="B492" s="165"/>
      <c r="C492" s="1023" t="s">
        <v>1844</v>
      </c>
      <c r="D492" s="1021" t="s">
        <v>858</v>
      </c>
      <c r="E492" s="990">
        <v>11758</v>
      </c>
      <c r="F492" s="990">
        <v>11465</v>
      </c>
      <c r="H492" s="988"/>
      <c r="I492" s="988"/>
      <c r="J492" s="989"/>
      <c r="K492" s="989"/>
    </row>
    <row r="493" spans="2:11">
      <c r="B493" s="165"/>
      <c r="C493" s="1023" t="s">
        <v>1845</v>
      </c>
      <c r="D493" s="1021" t="s">
        <v>859</v>
      </c>
      <c r="E493" s="990">
        <v>13273</v>
      </c>
      <c r="F493" s="990">
        <v>13054</v>
      </c>
      <c r="H493" s="988"/>
      <c r="I493" s="988"/>
      <c r="J493" s="989"/>
      <c r="K493" s="989"/>
    </row>
    <row r="494" spans="2:11">
      <c r="B494" s="165"/>
      <c r="C494" s="1023" t="s">
        <v>1846</v>
      </c>
      <c r="D494" s="1021" t="s">
        <v>860</v>
      </c>
      <c r="E494" s="990">
        <v>13757</v>
      </c>
      <c r="F494" s="990">
        <v>13725</v>
      </c>
      <c r="H494" s="988"/>
      <c r="I494" s="988"/>
      <c r="J494" s="989"/>
      <c r="K494" s="989"/>
    </row>
    <row r="495" spans="2:11">
      <c r="B495" s="165"/>
      <c r="C495" s="1023" t="s">
        <v>1847</v>
      </c>
      <c r="D495" s="1021" t="s">
        <v>861</v>
      </c>
      <c r="E495" s="990">
        <v>11608</v>
      </c>
      <c r="F495" s="990">
        <v>11160</v>
      </c>
      <c r="H495" s="988"/>
      <c r="I495" s="988"/>
      <c r="J495" s="989"/>
      <c r="K495" s="989"/>
    </row>
    <row r="496" spans="2:11">
      <c r="B496" s="165"/>
      <c r="C496" s="1023" t="s">
        <v>1848</v>
      </c>
      <c r="D496" s="1021" t="s">
        <v>862</v>
      </c>
      <c r="E496" s="990">
        <v>13435</v>
      </c>
      <c r="F496" s="990">
        <v>13049</v>
      </c>
      <c r="H496" s="988"/>
      <c r="I496" s="988"/>
      <c r="J496" s="989"/>
      <c r="K496" s="989"/>
    </row>
    <row r="497" spans="2:11">
      <c r="B497" s="165"/>
      <c r="C497" s="1023" t="s">
        <v>1849</v>
      </c>
      <c r="D497" s="1021" t="s">
        <v>863</v>
      </c>
      <c r="E497" s="990">
        <v>26801</v>
      </c>
      <c r="F497" s="990">
        <v>26254</v>
      </c>
      <c r="H497" s="988"/>
      <c r="I497" s="988"/>
      <c r="J497" s="989"/>
      <c r="K497" s="989"/>
    </row>
    <row r="498" spans="2:11">
      <c r="B498" s="165"/>
      <c r="C498" s="1023" t="s">
        <v>1850</v>
      </c>
      <c r="D498" s="1021" t="s">
        <v>864</v>
      </c>
      <c r="E498" s="990">
        <v>18673</v>
      </c>
      <c r="F498" s="990">
        <v>18240</v>
      </c>
      <c r="H498" s="988"/>
      <c r="I498" s="988"/>
      <c r="J498" s="989"/>
      <c r="K498" s="989"/>
    </row>
    <row r="499" spans="2:11">
      <c r="B499" s="165"/>
      <c r="C499" s="1023" t="s">
        <v>1851</v>
      </c>
      <c r="D499" s="1021" t="s">
        <v>865</v>
      </c>
      <c r="E499" s="990">
        <v>10974</v>
      </c>
      <c r="F499" s="990">
        <v>10448</v>
      </c>
      <c r="H499" s="988"/>
      <c r="I499" s="988"/>
      <c r="J499" s="989"/>
      <c r="K499" s="989"/>
    </row>
    <row r="500" spans="2:11">
      <c r="B500" s="165"/>
      <c r="C500" s="1023" t="s">
        <v>1852</v>
      </c>
      <c r="D500" s="1021" t="s">
        <v>866</v>
      </c>
      <c r="E500" s="990">
        <v>48713</v>
      </c>
      <c r="F500" s="990">
        <v>48577</v>
      </c>
      <c r="H500" s="988"/>
      <c r="I500" s="988"/>
      <c r="J500" s="989"/>
      <c r="K500" s="989"/>
    </row>
    <row r="501" spans="2:11">
      <c r="B501" s="165"/>
      <c r="C501" s="1023" t="s">
        <v>1853</v>
      </c>
      <c r="D501" s="1021" t="s">
        <v>867</v>
      </c>
      <c r="E501" s="990">
        <v>18577</v>
      </c>
      <c r="F501" s="990">
        <v>17713</v>
      </c>
      <c r="H501" s="988"/>
      <c r="I501" s="988"/>
      <c r="J501" s="989"/>
      <c r="K501" s="989"/>
    </row>
    <row r="502" spans="2:11">
      <c r="B502" s="165"/>
      <c r="C502" s="1023" t="s">
        <v>1854</v>
      </c>
      <c r="D502" s="1021" t="s">
        <v>868</v>
      </c>
      <c r="E502" s="990">
        <v>11769</v>
      </c>
      <c r="F502" s="990">
        <v>11860</v>
      </c>
      <c r="H502" s="988"/>
      <c r="I502" s="988"/>
      <c r="J502" s="989"/>
      <c r="K502" s="989"/>
    </row>
    <row r="503" spans="2:11">
      <c r="B503" s="165"/>
      <c r="C503" s="1023" t="s">
        <v>1855</v>
      </c>
      <c r="D503" s="1021" t="s">
        <v>869</v>
      </c>
      <c r="E503" s="990">
        <v>14738</v>
      </c>
      <c r="F503" s="990">
        <v>14255</v>
      </c>
      <c r="H503" s="988"/>
      <c r="I503" s="988"/>
      <c r="J503" s="989"/>
      <c r="K503" s="989"/>
    </row>
    <row r="504" spans="2:11">
      <c r="B504" s="165"/>
      <c r="C504" s="1023" t="s">
        <v>1856</v>
      </c>
      <c r="D504" s="1021" t="s">
        <v>870</v>
      </c>
      <c r="E504" s="990">
        <v>12821</v>
      </c>
      <c r="F504" s="990">
        <v>12457</v>
      </c>
      <c r="H504" s="988"/>
      <c r="I504" s="988"/>
      <c r="J504" s="989"/>
      <c r="K504" s="989"/>
    </row>
    <row r="505" spans="2:11">
      <c r="B505" s="165"/>
      <c r="C505" s="1023" t="s">
        <v>1857</v>
      </c>
      <c r="D505" s="1021" t="s">
        <v>871</v>
      </c>
      <c r="E505" s="990">
        <v>15114</v>
      </c>
      <c r="F505" s="990">
        <v>14612</v>
      </c>
      <c r="H505" s="988"/>
      <c r="I505" s="988"/>
      <c r="J505" s="989"/>
      <c r="K505" s="989"/>
    </row>
    <row r="506" spans="2:11">
      <c r="B506" s="165"/>
      <c r="C506" s="1023" t="s">
        <v>1858</v>
      </c>
      <c r="D506" s="1021" t="s">
        <v>872</v>
      </c>
      <c r="E506" s="990">
        <v>16518</v>
      </c>
      <c r="F506" s="990">
        <v>16363</v>
      </c>
      <c r="H506" s="988"/>
      <c r="I506" s="988"/>
      <c r="J506" s="989"/>
      <c r="K506" s="989"/>
    </row>
    <row r="507" spans="2:11">
      <c r="B507" s="165"/>
      <c r="C507" s="1023" t="s">
        <v>1859</v>
      </c>
      <c r="D507" s="1021" t="s">
        <v>873</v>
      </c>
      <c r="E507" s="990">
        <v>39307</v>
      </c>
      <c r="F507" s="990">
        <v>38713</v>
      </c>
      <c r="H507" s="988"/>
      <c r="I507" s="988"/>
      <c r="J507" s="989"/>
      <c r="K507" s="989"/>
    </row>
    <row r="508" spans="2:11">
      <c r="B508" s="165"/>
      <c r="C508" s="1023" t="s">
        <v>1860</v>
      </c>
      <c r="D508" s="1021" t="s">
        <v>874</v>
      </c>
      <c r="E508" s="990">
        <v>10316</v>
      </c>
      <c r="F508" s="990">
        <v>10689</v>
      </c>
      <c r="H508" s="988"/>
      <c r="I508" s="988"/>
      <c r="J508" s="989"/>
      <c r="K508" s="989"/>
    </row>
    <row r="509" spans="2:11">
      <c r="B509" s="165"/>
      <c r="C509" s="1023" t="s">
        <v>1861</v>
      </c>
      <c r="D509" s="1021" t="s">
        <v>875</v>
      </c>
      <c r="E509" s="990">
        <v>18551</v>
      </c>
      <c r="F509" s="990">
        <v>17783</v>
      </c>
      <c r="H509" s="988"/>
      <c r="I509" s="988"/>
      <c r="J509" s="989"/>
      <c r="K509" s="989"/>
    </row>
    <row r="510" spans="2:11">
      <c r="B510" s="165"/>
      <c r="C510" s="1023" t="s">
        <v>1862</v>
      </c>
      <c r="D510" s="1021" t="s">
        <v>876</v>
      </c>
      <c r="E510" s="990">
        <v>12242</v>
      </c>
      <c r="F510" s="990">
        <v>11750</v>
      </c>
      <c r="H510" s="988"/>
      <c r="I510" s="988"/>
      <c r="J510" s="989"/>
      <c r="K510" s="989"/>
    </row>
    <row r="511" spans="2:11">
      <c r="B511" s="165"/>
      <c r="C511" s="1023" t="s">
        <v>1863</v>
      </c>
      <c r="D511" s="1021" t="s">
        <v>877</v>
      </c>
      <c r="E511" s="990">
        <v>16994</v>
      </c>
      <c r="F511" s="990">
        <v>15646</v>
      </c>
      <c r="H511" s="988"/>
      <c r="I511" s="988"/>
      <c r="J511" s="989"/>
      <c r="K511" s="989"/>
    </row>
    <row r="512" spans="2:11">
      <c r="B512" s="165"/>
      <c r="C512" s="1023" t="s">
        <v>1864</v>
      </c>
      <c r="D512" s="1021" t="s">
        <v>878</v>
      </c>
      <c r="E512" s="990">
        <v>18441</v>
      </c>
      <c r="F512" s="990">
        <v>17777</v>
      </c>
      <c r="H512" s="988"/>
      <c r="I512" s="988"/>
      <c r="J512" s="989"/>
      <c r="K512" s="989"/>
    </row>
    <row r="513" spans="2:11">
      <c r="B513" s="165"/>
      <c r="C513" s="1023" t="s">
        <v>1865</v>
      </c>
      <c r="D513" s="1021" t="s">
        <v>879</v>
      </c>
      <c r="E513" s="990">
        <v>13995</v>
      </c>
      <c r="F513" s="990">
        <v>13785</v>
      </c>
      <c r="H513" s="988"/>
      <c r="I513" s="988"/>
      <c r="J513" s="989"/>
      <c r="K513" s="989"/>
    </row>
    <row r="514" spans="2:11">
      <c r="B514" s="165"/>
      <c r="C514" s="1023" t="s">
        <v>1866</v>
      </c>
      <c r="D514" s="1021" t="s">
        <v>880</v>
      </c>
      <c r="E514" s="990">
        <v>20551</v>
      </c>
      <c r="F514" s="990">
        <v>19832</v>
      </c>
      <c r="H514" s="988"/>
      <c r="I514" s="988"/>
      <c r="J514" s="989"/>
      <c r="K514" s="989"/>
    </row>
    <row r="515" spans="2:11">
      <c r="B515" s="165"/>
      <c r="C515" s="1023" t="s">
        <v>1867</v>
      </c>
      <c r="D515" s="1021" t="s">
        <v>881</v>
      </c>
      <c r="E515" s="990">
        <v>14663</v>
      </c>
      <c r="F515" s="990">
        <v>14456</v>
      </c>
      <c r="H515" s="988"/>
      <c r="I515" s="988"/>
      <c r="J515" s="989"/>
      <c r="K515" s="989"/>
    </row>
    <row r="516" spans="2:11">
      <c r="B516" s="165"/>
      <c r="C516" s="1023" t="s">
        <v>1868</v>
      </c>
      <c r="D516" s="1021" t="s">
        <v>882</v>
      </c>
      <c r="E516" s="990">
        <v>13411</v>
      </c>
      <c r="F516" s="990">
        <v>13136</v>
      </c>
      <c r="H516" s="988"/>
      <c r="I516" s="988"/>
      <c r="J516" s="989"/>
      <c r="K516" s="989"/>
    </row>
    <row r="517" spans="2:11">
      <c r="B517" s="165"/>
      <c r="C517" s="1023" t="s">
        <v>1869</v>
      </c>
      <c r="D517" s="1021" t="s">
        <v>883</v>
      </c>
      <c r="E517" s="990">
        <v>16517</v>
      </c>
      <c r="F517" s="990">
        <v>16190</v>
      </c>
      <c r="H517" s="988"/>
      <c r="I517" s="988"/>
      <c r="J517" s="989"/>
      <c r="K517" s="989"/>
    </row>
    <row r="518" spans="2:11">
      <c r="B518" s="165"/>
      <c r="C518" s="1023" t="s">
        <v>1870</v>
      </c>
      <c r="D518" s="1021" t="s">
        <v>884</v>
      </c>
      <c r="E518" s="990">
        <v>18777</v>
      </c>
      <c r="F518" s="990">
        <v>18180</v>
      </c>
      <c r="H518" s="988"/>
      <c r="I518" s="988"/>
      <c r="J518" s="989"/>
      <c r="K518" s="989"/>
    </row>
    <row r="519" spans="2:11">
      <c r="B519" s="165"/>
      <c r="C519" s="1023" t="s">
        <v>1871</v>
      </c>
      <c r="D519" s="1021" t="s">
        <v>885</v>
      </c>
      <c r="E519" s="990">
        <v>18225</v>
      </c>
      <c r="F519" s="990">
        <v>18163</v>
      </c>
      <c r="H519" s="988"/>
      <c r="I519" s="988"/>
      <c r="J519" s="989"/>
      <c r="K519" s="989"/>
    </row>
    <row r="520" spans="2:11">
      <c r="B520" s="165"/>
      <c r="C520" s="1023" t="s">
        <v>1872</v>
      </c>
      <c r="D520" s="1021" t="s">
        <v>886</v>
      </c>
      <c r="E520" s="990">
        <v>19108</v>
      </c>
      <c r="F520" s="990">
        <v>18244</v>
      </c>
      <c r="H520" s="988"/>
      <c r="I520" s="988"/>
      <c r="J520" s="989"/>
      <c r="K520" s="989"/>
    </row>
    <row r="521" spans="2:11">
      <c r="B521" s="165"/>
      <c r="C521" s="1023" t="s">
        <v>1873</v>
      </c>
      <c r="D521" s="1021" t="s">
        <v>887</v>
      </c>
      <c r="E521" s="990">
        <v>22329</v>
      </c>
      <c r="F521" s="990">
        <v>21579</v>
      </c>
      <c r="H521" s="988"/>
      <c r="I521" s="988"/>
      <c r="J521" s="989"/>
      <c r="K521" s="989"/>
    </row>
    <row r="522" spans="2:11">
      <c r="B522" s="165"/>
      <c r="C522" s="1023" t="s">
        <v>1874</v>
      </c>
      <c r="D522" s="1021" t="s">
        <v>888</v>
      </c>
      <c r="E522" s="990">
        <v>10771</v>
      </c>
      <c r="F522" s="990">
        <v>10515</v>
      </c>
      <c r="H522" s="988"/>
      <c r="I522" s="988"/>
      <c r="J522" s="989"/>
      <c r="K522" s="989"/>
    </row>
    <row r="523" spans="2:11">
      <c r="B523" s="165"/>
      <c r="C523" s="1023" t="s">
        <v>1875</v>
      </c>
      <c r="D523" s="1021" t="s">
        <v>889</v>
      </c>
      <c r="E523" s="990">
        <v>18625</v>
      </c>
      <c r="F523" s="990">
        <v>17860</v>
      </c>
      <c r="H523" s="988"/>
      <c r="I523" s="988"/>
      <c r="J523" s="989"/>
      <c r="K523" s="989"/>
    </row>
    <row r="524" spans="2:11">
      <c r="B524" s="165"/>
      <c r="C524" s="1023" t="s">
        <v>1876</v>
      </c>
      <c r="D524" s="1021" t="s">
        <v>890</v>
      </c>
      <c r="E524" s="990">
        <v>11477</v>
      </c>
      <c r="F524" s="990">
        <v>10981</v>
      </c>
      <c r="H524" s="988"/>
      <c r="I524" s="988"/>
      <c r="J524" s="989"/>
      <c r="K524" s="989"/>
    </row>
    <row r="525" spans="2:11">
      <c r="B525" s="165"/>
      <c r="C525" s="1023" t="s">
        <v>1877</v>
      </c>
      <c r="D525" s="1021" t="s">
        <v>891</v>
      </c>
      <c r="E525" s="990">
        <v>13923</v>
      </c>
      <c r="F525" s="990">
        <v>13537</v>
      </c>
      <c r="H525" s="988"/>
      <c r="I525" s="988"/>
      <c r="J525" s="989"/>
      <c r="K525" s="989"/>
    </row>
    <row r="526" spans="2:11">
      <c r="B526" s="165"/>
      <c r="C526" s="1023" t="s">
        <v>1878</v>
      </c>
      <c r="D526" s="1021" t="s">
        <v>892</v>
      </c>
      <c r="E526" s="990">
        <v>20664</v>
      </c>
      <c r="F526" s="990">
        <v>20366</v>
      </c>
      <c r="H526" s="988"/>
      <c r="I526" s="988"/>
      <c r="J526" s="989"/>
      <c r="K526" s="989"/>
    </row>
    <row r="527" spans="2:11">
      <c r="B527" s="165"/>
      <c r="C527" s="1023" t="s">
        <v>1879</v>
      </c>
      <c r="D527" s="1021" t="s">
        <v>893</v>
      </c>
      <c r="E527" s="990">
        <v>19960</v>
      </c>
      <c r="F527" s="990">
        <v>19124</v>
      </c>
      <c r="H527" s="988"/>
      <c r="I527" s="988"/>
      <c r="J527" s="989"/>
      <c r="K527" s="989"/>
    </row>
    <row r="528" spans="2:11">
      <c r="B528" s="165"/>
      <c r="C528" s="1023" t="s">
        <v>1880</v>
      </c>
      <c r="D528" s="1021" t="s">
        <v>894</v>
      </c>
      <c r="E528" s="990">
        <v>14524</v>
      </c>
      <c r="F528" s="990">
        <v>14008</v>
      </c>
      <c r="H528" s="988"/>
      <c r="I528" s="988"/>
      <c r="J528" s="989"/>
      <c r="K528" s="989"/>
    </row>
    <row r="529" spans="2:11">
      <c r="B529" s="165"/>
      <c r="C529" s="1023" t="s">
        <v>1881</v>
      </c>
      <c r="D529" s="1021" t="s">
        <v>895</v>
      </c>
      <c r="E529" s="990">
        <v>11760</v>
      </c>
      <c r="F529" s="990">
        <v>11233</v>
      </c>
      <c r="H529" s="988"/>
      <c r="I529" s="988"/>
      <c r="J529" s="989"/>
      <c r="K529" s="989"/>
    </row>
    <row r="530" spans="2:11">
      <c r="B530" s="165"/>
      <c r="C530" s="1023" t="s">
        <v>1882</v>
      </c>
      <c r="D530" s="1021" t="s">
        <v>896</v>
      </c>
      <c r="E530" s="990">
        <v>28205</v>
      </c>
      <c r="F530" s="990">
        <v>27621</v>
      </c>
      <c r="H530" s="988"/>
      <c r="I530" s="988"/>
      <c r="J530" s="989"/>
      <c r="K530" s="989"/>
    </row>
    <row r="531" spans="2:11">
      <c r="B531" s="165"/>
      <c r="C531" s="1023" t="s">
        <v>1883</v>
      </c>
      <c r="D531" s="1021" t="s">
        <v>897</v>
      </c>
      <c r="E531" s="990">
        <v>16741</v>
      </c>
      <c r="F531" s="990">
        <v>15929</v>
      </c>
      <c r="H531" s="988"/>
      <c r="I531" s="988"/>
      <c r="J531" s="989"/>
      <c r="K531" s="989"/>
    </row>
    <row r="532" spans="2:11">
      <c r="B532" s="165"/>
      <c r="C532" s="1023" t="s">
        <v>1884</v>
      </c>
      <c r="D532" s="1021" t="s">
        <v>898</v>
      </c>
      <c r="E532" s="990">
        <v>12255</v>
      </c>
      <c r="F532" s="990">
        <v>7514</v>
      </c>
      <c r="H532" s="988"/>
      <c r="I532" s="988"/>
      <c r="J532" s="989"/>
      <c r="K532" s="989"/>
    </row>
    <row r="533" spans="2:11">
      <c r="B533" s="165"/>
      <c r="C533" s="1023" t="s">
        <v>1885</v>
      </c>
      <c r="D533" s="1021" t="s">
        <v>899</v>
      </c>
      <c r="E533" s="990">
        <v>14094</v>
      </c>
      <c r="F533" s="990">
        <v>13883</v>
      </c>
      <c r="H533" s="988"/>
      <c r="I533" s="988"/>
      <c r="J533" s="989"/>
      <c r="K533" s="989"/>
    </row>
    <row r="534" spans="2:11">
      <c r="B534" s="165"/>
      <c r="C534" s="1023" t="s">
        <v>1886</v>
      </c>
      <c r="D534" s="1021" t="s">
        <v>900</v>
      </c>
      <c r="E534" s="990">
        <v>15459</v>
      </c>
      <c r="F534" s="990">
        <v>15100</v>
      </c>
      <c r="H534" s="988"/>
      <c r="I534" s="988"/>
      <c r="J534" s="989"/>
      <c r="K534" s="989"/>
    </row>
    <row r="535" spans="2:11">
      <c r="B535" s="165"/>
      <c r="C535" s="1023" t="s">
        <v>1887</v>
      </c>
      <c r="D535" s="1021" t="s">
        <v>901</v>
      </c>
      <c r="E535" s="990">
        <v>14171</v>
      </c>
      <c r="F535" s="990">
        <v>13676</v>
      </c>
      <c r="H535" s="988"/>
      <c r="I535" s="988"/>
      <c r="J535" s="989"/>
      <c r="K535" s="989"/>
    </row>
    <row r="536" spans="2:11">
      <c r="B536" s="165"/>
      <c r="C536" s="1023" t="s">
        <v>1888</v>
      </c>
      <c r="D536" s="1021" t="s">
        <v>902</v>
      </c>
      <c r="E536" s="990">
        <v>12777</v>
      </c>
      <c r="F536" s="990">
        <v>12510</v>
      </c>
      <c r="H536" s="988"/>
      <c r="I536" s="988"/>
      <c r="J536" s="989"/>
      <c r="K536" s="989"/>
    </row>
    <row r="537" spans="2:11">
      <c r="B537" s="165"/>
      <c r="C537" s="1023" t="s">
        <v>1889</v>
      </c>
      <c r="D537" s="1021" t="s">
        <v>903</v>
      </c>
      <c r="E537" s="990">
        <v>14833</v>
      </c>
      <c r="F537" s="990">
        <v>14751</v>
      </c>
      <c r="H537" s="988"/>
      <c r="I537" s="988"/>
      <c r="J537" s="989"/>
      <c r="K537" s="989"/>
    </row>
    <row r="538" spans="2:11">
      <c r="B538" s="165"/>
      <c r="C538" s="1023" t="s">
        <v>1890</v>
      </c>
      <c r="D538" s="1021" t="s">
        <v>904</v>
      </c>
      <c r="E538" s="990">
        <v>12119</v>
      </c>
      <c r="F538" s="990">
        <v>11829</v>
      </c>
      <c r="H538" s="988"/>
      <c r="I538" s="988"/>
      <c r="J538" s="989"/>
      <c r="K538" s="989"/>
    </row>
    <row r="539" spans="2:11">
      <c r="B539" s="165"/>
      <c r="C539" s="1023" t="s">
        <v>1891</v>
      </c>
      <c r="D539" s="1021" t="s">
        <v>905</v>
      </c>
      <c r="E539" s="990">
        <v>13651</v>
      </c>
      <c r="F539" s="990">
        <v>13439</v>
      </c>
      <c r="H539" s="988"/>
      <c r="I539" s="988"/>
      <c r="J539" s="989"/>
      <c r="K539" s="989"/>
    </row>
    <row r="540" spans="2:11">
      <c r="B540" s="165"/>
      <c r="C540" s="1023" t="s">
        <v>1892</v>
      </c>
      <c r="D540" s="1021" t="s">
        <v>906</v>
      </c>
      <c r="E540" s="990">
        <v>12798</v>
      </c>
      <c r="F540" s="990">
        <v>12486</v>
      </c>
      <c r="H540" s="988"/>
      <c r="I540" s="988"/>
      <c r="J540" s="989"/>
      <c r="K540" s="989"/>
    </row>
    <row r="541" spans="2:11">
      <c r="B541" s="165"/>
      <c r="C541" s="1023" t="s">
        <v>1893</v>
      </c>
      <c r="D541" s="1021" t="s">
        <v>907</v>
      </c>
      <c r="E541" s="990">
        <v>18169</v>
      </c>
      <c r="F541" s="990">
        <v>17502</v>
      </c>
      <c r="H541" s="988"/>
      <c r="I541" s="988"/>
      <c r="J541" s="989"/>
      <c r="K541" s="989"/>
    </row>
    <row r="542" spans="2:11">
      <c r="B542" s="165"/>
      <c r="C542" s="1023" t="s">
        <v>1894</v>
      </c>
      <c r="D542" s="1021" t="s">
        <v>908</v>
      </c>
      <c r="E542" s="990">
        <v>23857</v>
      </c>
      <c r="F542" s="990">
        <v>23199</v>
      </c>
      <c r="H542" s="988"/>
      <c r="I542" s="988"/>
      <c r="J542" s="989"/>
      <c r="K542" s="989"/>
    </row>
    <row r="543" spans="2:11">
      <c r="B543" s="165"/>
      <c r="C543" s="1023" t="s">
        <v>1895</v>
      </c>
      <c r="D543" s="1021" t="s">
        <v>909</v>
      </c>
      <c r="E543" s="990">
        <v>15598</v>
      </c>
      <c r="F543" s="990">
        <v>14753</v>
      </c>
      <c r="H543" s="988"/>
      <c r="I543" s="988"/>
      <c r="J543" s="989"/>
      <c r="K543" s="989"/>
    </row>
    <row r="544" spans="2:11">
      <c r="B544" s="165"/>
      <c r="C544" s="1023" t="s">
        <v>1896</v>
      </c>
      <c r="D544" s="1021" t="s">
        <v>910</v>
      </c>
      <c r="E544" s="990">
        <v>12802</v>
      </c>
      <c r="F544" s="990">
        <v>12675</v>
      </c>
      <c r="H544" s="988"/>
      <c r="I544" s="988"/>
      <c r="J544" s="989"/>
      <c r="K544" s="989"/>
    </row>
    <row r="545" spans="2:11">
      <c r="B545" s="165"/>
      <c r="C545" s="1023" t="s">
        <v>1897</v>
      </c>
      <c r="D545" s="1021" t="s">
        <v>911</v>
      </c>
      <c r="E545" s="990">
        <v>14724</v>
      </c>
      <c r="F545" s="990">
        <v>14354</v>
      </c>
      <c r="H545" s="988"/>
      <c r="I545" s="988"/>
      <c r="J545" s="989"/>
      <c r="K545" s="989"/>
    </row>
    <row r="546" spans="2:11">
      <c r="B546" s="165"/>
      <c r="C546" s="1023" t="s">
        <v>1898</v>
      </c>
      <c r="D546" s="1021" t="s">
        <v>912</v>
      </c>
      <c r="E546" s="990">
        <v>13737</v>
      </c>
      <c r="F546" s="990">
        <v>13155</v>
      </c>
      <c r="H546" s="988"/>
      <c r="I546" s="988"/>
      <c r="J546" s="989"/>
      <c r="K546" s="989"/>
    </row>
    <row r="547" spans="2:11">
      <c r="B547" s="165"/>
      <c r="C547" s="1023" t="s">
        <v>1899</v>
      </c>
      <c r="D547" s="1021" t="s">
        <v>913</v>
      </c>
      <c r="E547" s="990">
        <v>13846</v>
      </c>
      <c r="F547" s="990">
        <v>13260</v>
      </c>
      <c r="H547" s="988"/>
      <c r="I547" s="988"/>
      <c r="J547" s="989"/>
      <c r="K547" s="989"/>
    </row>
    <row r="548" spans="2:11">
      <c r="B548" s="165"/>
      <c r="C548" s="1023" t="s">
        <v>1900</v>
      </c>
      <c r="D548" s="1021" t="s">
        <v>914</v>
      </c>
      <c r="E548" s="990">
        <v>17287</v>
      </c>
      <c r="F548" s="990">
        <v>17265</v>
      </c>
      <c r="H548" s="988"/>
      <c r="I548" s="988"/>
      <c r="J548" s="989"/>
      <c r="K548" s="989"/>
    </row>
    <row r="549" spans="2:11">
      <c r="B549" s="165"/>
      <c r="C549" s="1023" t="s">
        <v>1901</v>
      </c>
      <c r="D549" s="1021" t="s">
        <v>915</v>
      </c>
      <c r="E549" s="990">
        <v>12972</v>
      </c>
      <c r="F549" s="990">
        <v>12448</v>
      </c>
      <c r="H549" s="988"/>
      <c r="I549" s="988"/>
      <c r="J549" s="989"/>
      <c r="K549" s="989"/>
    </row>
    <row r="550" spans="2:11">
      <c r="B550" s="165"/>
      <c r="C550" s="1023" t="s">
        <v>1902</v>
      </c>
      <c r="D550" s="1021" t="s">
        <v>916</v>
      </c>
      <c r="E550" s="990">
        <v>13115</v>
      </c>
      <c r="F550" s="990">
        <v>12374</v>
      </c>
      <c r="H550" s="988"/>
      <c r="I550" s="988"/>
      <c r="J550" s="989"/>
      <c r="K550" s="989"/>
    </row>
    <row r="551" spans="2:11">
      <c r="B551" s="165"/>
      <c r="C551" s="1023" t="s">
        <v>1903</v>
      </c>
      <c r="D551" s="1021" t="s">
        <v>917</v>
      </c>
      <c r="E551" s="990">
        <v>12427</v>
      </c>
      <c r="F551" s="990">
        <v>12314</v>
      </c>
      <c r="H551" s="988"/>
      <c r="I551" s="988"/>
      <c r="J551" s="989"/>
      <c r="K551" s="989"/>
    </row>
    <row r="552" spans="2:11">
      <c r="B552" s="165"/>
      <c r="C552" s="1023" t="s">
        <v>1904</v>
      </c>
      <c r="D552" s="1021" t="s">
        <v>918</v>
      </c>
      <c r="E552" s="990">
        <v>17022</v>
      </c>
      <c r="F552" s="990">
        <v>16901</v>
      </c>
      <c r="H552" s="988"/>
      <c r="I552" s="988"/>
      <c r="J552" s="989"/>
      <c r="K552" s="989"/>
    </row>
    <row r="553" spans="2:11">
      <c r="B553" s="165"/>
      <c r="C553" s="1023" t="s">
        <v>1905</v>
      </c>
      <c r="D553" s="1021" t="s">
        <v>919</v>
      </c>
      <c r="E553" s="990">
        <v>12812</v>
      </c>
      <c r="F553" s="990">
        <v>12194</v>
      </c>
      <c r="H553" s="988"/>
      <c r="I553" s="988"/>
      <c r="J553" s="989"/>
      <c r="K553" s="989"/>
    </row>
    <row r="554" spans="2:11">
      <c r="B554" s="165"/>
      <c r="C554" s="1023" t="s">
        <v>1906</v>
      </c>
      <c r="D554" s="1021" t="s">
        <v>920</v>
      </c>
      <c r="E554" s="990">
        <v>14022</v>
      </c>
      <c r="F554" s="990">
        <v>13635</v>
      </c>
      <c r="H554" s="988"/>
      <c r="I554" s="988"/>
      <c r="J554" s="989"/>
      <c r="K554" s="989"/>
    </row>
    <row r="555" spans="2:11">
      <c r="B555" s="165"/>
      <c r="C555" s="1023" t="s">
        <v>1907</v>
      </c>
      <c r="D555" s="1021" t="s">
        <v>921</v>
      </c>
      <c r="E555" s="990">
        <v>15268</v>
      </c>
      <c r="F555" s="990">
        <v>14645</v>
      </c>
      <c r="H555" s="988"/>
      <c r="I555" s="988"/>
      <c r="J555" s="989"/>
      <c r="K555" s="989"/>
    </row>
    <row r="556" spans="2:11">
      <c r="B556" s="165"/>
      <c r="C556" s="1023" t="s">
        <v>1908</v>
      </c>
      <c r="D556" s="1021" t="s">
        <v>922</v>
      </c>
      <c r="E556" s="990">
        <v>29606</v>
      </c>
      <c r="F556" s="990">
        <v>28259</v>
      </c>
      <c r="H556" s="988"/>
      <c r="I556" s="988"/>
      <c r="J556" s="989"/>
      <c r="K556" s="989"/>
    </row>
    <row r="557" spans="2:11">
      <c r="B557" s="165"/>
      <c r="C557" s="1023" t="s">
        <v>1909</v>
      </c>
      <c r="D557" s="1021" t="s">
        <v>923</v>
      </c>
      <c r="E557" s="990">
        <v>12486</v>
      </c>
      <c r="F557" s="990">
        <v>12185</v>
      </c>
      <c r="H557" s="988"/>
      <c r="I557" s="988"/>
      <c r="J557" s="989"/>
      <c r="K557" s="989"/>
    </row>
    <row r="558" spans="2:11">
      <c r="B558" s="165"/>
      <c r="C558" s="1023" t="s">
        <v>1910</v>
      </c>
      <c r="D558" s="1021" t="s">
        <v>924</v>
      </c>
      <c r="E558" s="990">
        <v>12346</v>
      </c>
      <c r="F558" s="990">
        <v>11837</v>
      </c>
      <c r="H558" s="988"/>
      <c r="I558" s="988"/>
      <c r="J558" s="989"/>
      <c r="K558" s="989"/>
    </row>
    <row r="559" spans="2:11">
      <c r="B559" s="165"/>
      <c r="C559" s="1023" t="s">
        <v>1911</v>
      </c>
      <c r="D559" s="1021" t="s">
        <v>925</v>
      </c>
      <c r="E559" s="990">
        <v>11466</v>
      </c>
      <c r="F559" s="990">
        <v>11296</v>
      </c>
      <c r="H559" s="988"/>
      <c r="I559" s="988"/>
      <c r="J559" s="989"/>
      <c r="K559" s="989"/>
    </row>
    <row r="560" spans="2:11">
      <c r="B560" s="165"/>
      <c r="C560" s="1023" t="s">
        <v>1912</v>
      </c>
      <c r="D560" s="1021" t="s">
        <v>926</v>
      </c>
      <c r="E560" s="990">
        <v>11237</v>
      </c>
      <c r="F560" s="990">
        <v>11017</v>
      </c>
      <c r="H560" s="988"/>
      <c r="I560" s="988"/>
      <c r="J560" s="989"/>
      <c r="K560" s="989"/>
    </row>
    <row r="561" spans="2:11">
      <c r="B561" s="165"/>
      <c r="C561" s="1023" t="s">
        <v>1913</v>
      </c>
      <c r="D561" s="1021" t="s">
        <v>927</v>
      </c>
      <c r="E561" s="990">
        <v>17460</v>
      </c>
      <c r="F561" s="990">
        <v>17041</v>
      </c>
      <c r="H561" s="988"/>
      <c r="I561" s="988"/>
      <c r="J561" s="989"/>
      <c r="K561" s="989"/>
    </row>
    <row r="562" spans="2:11">
      <c r="B562" s="165"/>
      <c r="C562" s="1023" t="s">
        <v>1914</v>
      </c>
      <c r="D562" s="1021" t="s">
        <v>928</v>
      </c>
      <c r="E562" s="990">
        <v>13227</v>
      </c>
      <c r="F562" s="990">
        <v>12629</v>
      </c>
      <c r="H562" s="988"/>
      <c r="I562" s="988"/>
      <c r="J562" s="989"/>
      <c r="K562" s="989"/>
    </row>
    <row r="563" spans="2:11">
      <c r="B563" s="165"/>
      <c r="C563" s="1023" t="s">
        <v>1915</v>
      </c>
      <c r="D563" s="1021" t="s">
        <v>929</v>
      </c>
      <c r="E563" s="990">
        <v>12949</v>
      </c>
      <c r="F563" s="990">
        <v>12830</v>
      </c>
      <c r="H563" s="988"/>
      <c r="I563" s="988"/>
      <c r="J563" s="989"/>
      <c r="K563" s="989"/>
    </row>
    <row r="564" spans="2:11">
      <c r="B564" s="165"/>
      <c r="C564" s="1023" t="s">
        <v>1916</v>
      </c>
      <c r="D564" s="1021" t="s">
        <v>930</v>
      </c>
      <c r="E564" s="990">
        <v>13635</v>
      </c>
      <c r="F564" s="990">
        <v>13140</v>
      </c>
      <c r="H564" s="988"/>
      <c r="I564" s="988"/>
      <c r="J564" s="989"/>
      <c r="K564" s="989"/>
    </row>
    <row r="565" spans="2:11">
      <c r="B565" s="165"/>
      <c r="C565" s="1023" t="s">
        <v>1917</v>
      </c>
      <c r="D565" s="1021" t="s">
        <v>931</v>
      </c>
      <c r="E565" s="990">
        <v>15420</v>
      </c>
      <c r="F565" s="990">
        <v>15068</v>
      </c>
      <c r="H565" s="988"/>
      <c r="I565" s="988"/>
      <c r="J565" s="989"/>
      <c r="K565" s="989"/>
    </row>
    <row r="566" spans="2:11">
      <c r="B566" s="165"/>
      <c r="C566" s="1023" t="s">
        <v>1918</v>
      </c>
      <c r="D566" s="1021" t="s">
        <v>932</v>
      </c>
      <c r="E566" s="990">
        <v>14237</v>
      </c>
      <c r="F566" s="990">
        <v>13465</v>
      </c>
      <c r="H566" s="988"/>
      <c r="I566" s="988"/>
      <c r="J566" s="989"/>
      <c r="K566" s="989"/>
    </row>
    <row r="567" spans="2:11">
      <c r="B567" s="165"/>
      <c r="C567" s="1023" t="s">
        <v>1919</v>
      </c>
      <c r="D567" s="1021" t="s">
        <v>933</v>
      </c>
      <c r="E567" s="990">
        <v>13187</v>
      </c>
      <c r="F567" s="990">
        <v>12669</v>
      </c>
      <c r="H567" s="988"/>
      <c r="I567" s="988"/>
      <c r="J567" s="989"/>
      <c r="K567" s="989"/>
    </row>
    <row r="568" spans="2:11">
      <c r="B568" s="165"/>
      <c r="C568" s="1023" t="s">
        <v>1920</v>
      </c>
      <c r="D568" s="1021" t="s">
        <v>934</v>
      </c>
      <c r="E568" s="990">
        <v>18375</v>
      </c>
      <c r="F568" s="990">
        <v>17838</v>
      </c>
      <c r="H568" s="988"/>
      <c r="I568" s="988"/>
      <c r="J568" s="989"/>
      <c r="K568" s="989"/>
    </row>
    <row r="569" spans="2:11">
      <c r="B569" s="165"/>
      <c r="C569" s="1023" t="s">
        <v>1921</v>
      </c>
      <c r="D569" s="1021" t="s">
        <v>935</v>
      </c>
      <c r="E569" s="990">
        <v>13462</v>
      </c>
      <c r="F569" s="990">
        <v>13158</v>
      </c>
      <c r="H569" s="988"/>
      <c r="I569" s="988"/>
      <c r="J569" s="989"/>
      <c r="K569" s="989"/>
    </row>
    <row r="570" spans="2:11">
      <c r="B570" s="165"/>
      <c r="C570" s="1023" t="s">
        <v>1922</v>
      </c>
      <c r="D570" s="1021" t="s">
        <v>936</v>
      </c>
      <c r="E570" s="990">
        <v>17794</v>
      </c>
      <c r="F570" s="990">
        <v>17306</v>
      </c>
      <c r="H570" s="988"/>
      <c r="I570" s="988"/>
      <c r="J570" s="989"/>
      <c r="K570" s="989"/>
    </row>
    <row r="571" spans="2:11">
      <c r="B571" s="165"/>
      <c r="C571" s="1023" t="s">
        <v>1923</v>
      </c>
      <c r="D571" s="1021" t="s">
        <v>937</v>
      </c>
      <c r="E571" s="990">
        <v>11968</v>
      </c>
      <c r="F571" s="990">
        <v>11354</v>
      </c>
      <c r="H571" s="988"/>
      <c r="I571" s="988"/>
      <c r="J571" s="989"/>
      <c r="K571" s="989"/>
    </row>
    <row r="572" spans="2:11">
      <c r="B572" s="165"/>
      <c r="C572" s="1023" t="s">
        <v>1924</v>
      </c>
      <c r="D572" s="1021" t="s">
        <v>938</v>
      </c>
      <c r="E572" s="990">
        <v>17592</v>
      </c>
      <c r="F572" s="990">
        <v>17080</v>
      </c>
      <c r="H572" s="988"/>
      <c r="I572" s="988"/>
      <c r="J572" s="989"/>
      <c r="K572" s="989"/>
    </row>
    <row r="573" spans="2:11">
      <c r="B573" s="165"/>
      <c r="C573" s="1023" t="s">
        <v>1925</v>
      </c>
      <c r="D573" s="1021" t="s">
        <v>939</v>
      </c>
      <c r="E573" s="990">
        <v>10703</v>
      </c>
      <c r="F573" s="990">
        <v>10291</v>
      </c>
      <c r="H573" s="988"/>
      <c r="I573" s="988"/>
      <c r="J573" s="989"/>
      <c r="K573" s="989"/>
    </row>
    <row r="574" spans="2:11">
      <c r="B574" s="165"/>
      <c r="C574" s="1023" t="s">
        <v>1926</v>
      </c>
      <c r="D574" s="1021" t="s">
        <v>940</v>
      </c>
      <c r="E574" s="990">
        <v>14856</v>
      </c>
      <c r="F574" s="990">
        <v>14222</v>
      </c>
      <c r="H574" s="988"/>
      <c r="I574" s="988"/>
      <c r="J574" s="989"/>
      <c r="K574" s="989"/>
    </row>
    <row r="575" spans="2:11">
      <c r="B575" s="165"/>
      <c r="C575" s="1023" t="s">
        <v>1927</v>
      </c>
      <c r="D575" s="1021" t="s">
        <v>941</v>
      </c>
      <c r="E575" s="990">
        <v>14987</v>
      </c>
      <c r="F575" s="990">
        <v>14371</v>
      </c>
      <c r="H575" s="988"/>
      <c r="I575" s="988"/>
      <c r="J575" s="989"/>
      <c r="K575" s="989"/>
    </row>
    <row r="576" spans="2:11">
      <c r="B576" s="165"/>
      <c r="C576" s="1023" t="s">
        <v>1928</v>
      </c>
      <c r="D576" s="1021" t="s">
        <v>942</v>
      </c>
      <c r="E576" s="990">
        <v>16673</v>
      </c>
      <c r="F576" s="990">
        <v>16151</v>
      </c>
      <c r="H576" s="988"/>
      <c r="I576" s="988"/>
      <c r="J576" s="989"/>
      <c r="K576" s="989"/>
    </row>
    <row r="577" spans="2:11">
      <c r="B577" s="165"/>
      <c r="C577" s="1023" t="s">
        <v>1929</v>
      </c>
      <c r="D577" s="1021" t="s">
        <v>943</v>
      </c>
      <c r="E577" s="990">
        <v>15096</v>
      </c>
      <c r="F577" s="990">
        <v>14316</v>
      </c>
      <c r="H577" s="988"/>
      <c r="I577" s="988"/>
      <c r="J577" s="989"/>
      <c r="K577" s="989"/>
    </row>
    <row r="578" spans="2:11">
      <c r="B578" s="165"/>
      <c r="C578" s="1023" t="s">
        <v>1930</v>
      </c>
      <c r="D578" s="1021" t="s">
        <v>944</v>
      </c>
      <c r="E578" s="990">
        <v>25856</v>
      </c>
      <c r="F578" s="990">
        <v>25003</v>
      </c>
      <c r="H578" s="988"/>
      <c r="I578" s="988"/>
      <c r="J578" s="989"/>
      <c r="K578" s="989"/>
    </row>
    <row r="579" spans="2:11">
      <c r="B579" s="165"/>
      <c r="C579" s="1023" t="s">
        <v>1931</v>
      </c>
      <c r="D579" s="1021" t="s">
        <v>945</v>
      </c>
      <c r="E579" s="990">
        <v>14766</v>
      </c>
      <c r="F579" s="990">
        <v>14333</v>
      </c>
      <c r="H579" s="988"/>
      <c r="I579" s="988"/>
      <c r="J579" s="989"/>
      <c r="K579" s="989"/>
    </row>
    <row r="580" spans="2:11">
      <c r="B580" s="165"/>
      <c r="C580" s="1023" t="s">
        <v>1932</v>
      </c>
      <c r="D580" s="1021" t="s">
        <v>946</v>
      </c>
      <c r="E580" s="990">
        <v>18973</v>
      </c>
      <c r="F580" s="990">
        <v>18523</v>
      </c>
      <c r="H580" s="988"/>
      <c r="I580" s="988"/>
      <c r="J580" s="989"/>
      <c r="K580" s="989"/>
    </row>
    <row r="581" spans="2:11">
      <c r="B581" s="165"/>
      <c r="C581" s="1023" t="s">
        <v>1933</v>
      </c>
      <c r="D581" s="1021" t="s">
        <v>947</v>
      </c>
      <c r="E581" s="990">
        <v>11391</v>
      </c>
      <c r="F581" s="990">
        <v>11511</v>
      </c>
      <c r="H581" s="988"/>
      <c r="I581" s="988"/>
      <c r="J581" s="989"/>
      <c r="K581" s="989"/>
    </row>
    <row r="582" spans="2:11">
      <c r="B582" s="165"/>
      <c r="C582" s="1023" t="s">
        <v>1934</v>
      </c>
      <c r="D582" s="1021" t="s">
        <v>948</v>
      </c>
      <c r="E582" s="990">
        <v>17672</v>
      </c>
      <c r="F582" s="990">
        <v>17191</v>
      </c>
      <c r="H582" s="988"/>
      <c r="I582" s="988"/>
      <c r="J582" s="989"/>
      <c r="K582" s="989"/>
    </row>
    <row r="583" spans="2:11">
      <c r="B583" s="165"/>
      <c r="C583" s="1023" t="s">
        <v>1935</v>
      </c>
      <c r="D583" s="1021" t="s">
        <v>949</v>
      </c>
      <c r="E583" s="990">
        <v>12318</v>
      </c>
      <c r="F583" s="990">
        <v>12079</v>
      </c>
      <c r="H583" s="988"/>
      <c r="I583" s="988"/>
      <c r="J583" s="989"/>
      <c r="K583" s="989"/>
    </row>
    <row r="584" spans="2:11">
      <c r="B584" s="165"/>
      <c r="C584" s="1023" t="s">
        <v>1936</v>
      </c>
      <c r="D584" s="1021" t="s">
        <v>950</v>
      </c>
      <c r="E584" s="990">
        <v>12661</v>
      </c>
      <c r="F584" s="990">
        <v>12334</v>
      </c>
      <c r="H584" s="988"/>
      <c r="I584" s="988"/>
      <c r="J584" s="989"/>
      <c r="K584" s="989"/>
    </row>
    <row r="585" spans="2:11">
      <c r="B585" s="165"/>
      <c r="C585" s="1023" t="s">
        <v>1937</v>
      </c>
      <c r="D585" s="1021" t="s">
        <v>951</v>
      </c>
      <c r="E585" s="990">
        <v>23723</v>
      </c>
      <c r="F585" s="990">
        <v>23728</v>
      </c>
      <c r="H585" s="988"/>
      <c r="I585" s="988"/>
      <c r="J585" s="989"/>
      <c r="K585" s="989"/>
    </row>
    <row r="586" spans="2:11">
      <c r="B586" s="165"/>
      <c r="C586" s="1023" t="s">
        <v>1938</v>
      </c>
      <c r="D586" s="1021" t="s">
        <v>952</v>
      </c>
      <c r="E586" s="990">
        <v>12668</v>
      </c>
      <c r="F586" s="990">
        <v>12341</v>
      </c>
      <c r="H586" s="988"/>
      <c r="I586" s="988"/>
      <c r="J586" s="989"/>
      <c r="K586" s="989"/>
    </row>
    <row r="587" spans="2:11">
      <c r="B587" s="165"/>
      <c r="C587" s="1023" t="s">
        <v>1939</v>
      </c>
      <c r="D587" s="1021" t="s">
        <v>953</v>
      </c>
      <c r="E587" s="990">
        <v>15704</v>
      </c>
      <c r="F587" s="990">
        <v>15409</v>
      </c>
      <c r="H587" s="988"/>
      <c r="I587" s="988"/>
      <c r="J587" s="989"/>
      <c r="K587" s="989"/>
    </row>
    <row r="588" spans="2:11">
      <c r="B588" s="165"/>
      <c r="C588" s="1023" t="s">
        <v>1940</v>
      </c>
      <c r="D588" s="1021" t="s">
        <v>954</v>
      </c>
      <c r="E588" s="990">
        <v>15122</v>
      </c>
      <c r="F588" s="990">
        <v>14246</v>
      </c>
      <c r="H588" s="988"/>
      <c r="I588" s="988"/>
      <c r="J588" s="989"/>
      <c r="K588" s="989"/>
    </row>
    <row r="589" spans="2:11">
      <c r="B589" s="165"/>
      <c r="C589" s="1023" t="s">
        <v>1941</v>
      </c>
      <c r="D589" s="1021" t="s">
        <v>955</v>
      </c>
      <c r="E589" s="990">
        <v>11395</v>
      </c>
      <c r="F589" s="990">
        <v>11063</v>
      </c>
      <c r="H589" s="988"/>
      <c r="I589" s="988"/>
      <c r="J589" s="989"/>
      <c r="K589" s="989"/>
    </row>
    <row r="590" spans="2:11">
      <c r="B590" s="165"/>
      <c r="C590" s="1023" t="s">
        <v>1942</v>
      </c>
      <c r="D590" s="1021" t="s">
        <v>956</v>
      </c>
      <c r="E590" s="990">
        <v>10750</v>
      </c>
      <c r="F590" s="990">
        <v>10162</v>
      </c>
      <c r="H590" s="988"/>
      <c r="I590" s="988"/>
      <c r="J590" s="989"/>
      <c r="K590" s="989"/>
    </row>
    <row r="591" spans="2:11">
      <c r="B591" s="165"/>
      <c r="C591" s="1023" t="s">
        <v>1943</v>
      </c>
      <c r="D591" s="1021" t="s">
        <v>957</v>
      </c>
      <c r="E591" s="990">
        <v>12261</v>
      </c>
      <c r="F591" s="990">
        <v>11764</v>
      </c>
      <c r="H591" s="988"/>
      <c r="I591" s="988"/>
      <c r="J591" s="989"/>
      <c r="K591" s="989"/>
    </row>
    <row r="592" spans="2:11">
      <c r="B592" s="165"/>
      <c r="C592" s="1023" t="s">
        <v>1944</v>
      </c>
      <c r="D592" s="1021" t="s">
        <v>958</v>
      </c>
      <c r="E592" s="990">
        <v>16418</v>
      </c>
      <c r="F592" s="990">
        <v>16086</v>
      </c>
      <c r="H592" s="988"/>
      <c r="I592" s="988"/>
      <c r="J592" s="989"/>
      <c r="K592" s="989"/>
    </row>
    <row r="593" spans="2:11">
      <c r="B593" s="165"/>
      <c r="C593" s="1023" t="s">
        <v>1945</v>
      </c>
      <c r="D593" s="1021" t="s">
        <v>959</v>
      </c>
      <c r="E593" s="990">
        <v>13509</v>
      </c>
      <c r="F593" s="990">
        <v>13217</v>
      </c>
      <c r="H593" s="988"/>
      <c r="I593" s="988"/>
      <c r="J593" s="989"/>
      <c r="K593" s="989"/>
    </row>
    <row r="594" spans="2:11">
      <c r="B594" s="165"/>
      <c r="C594" s="1023" t="s">
        <v>1946</v>
      </c>
      <c r="D594" s="1021" t="s">
        <v>960</v>
      </c>
      <c r="E594" s="990">
        <v>13620</v>
      </c>
      <c r="F594" s="990">
        <v>13289</v>
      </c>
      <c r="H594" s="988"/>
      <c r="I594" s="988"/>
      <c r="J594" s="989"/>
      <c r="K594" s="989"/>
    </row>
    <row r="595" spans="2:11">
      <c r="B595" s="165"/>
      <c r="C595" s="1023" t="s">
        <v>1947</v>
      </c>
      <c r="D595" s="1021" t="s">
        <v>961</v>
      </c>
      <c r="E595" s="990">
        <v>21769</v>
      </c>
      <c r="F595" s="990">
        <v>21094</v>
      </c>
      <c r="H595" s="988"/>
      <c r="I595" s="988"/>
      <c r="J595" s="989"/>
      <c r="K595" s="989"/>
    </row>
    <row r="596" spans="2:11">
      <c r="B596" s="165"/>
      <c r="C596" s="1023" t="s">
        <v>1948</v>
      </c>
      <c r="D596" s="1021" t="s">
        <v>962</v>
      </c>
      <c r="E596" s="990">
        <v>13518</v>
      </c>
      <c r="F596" s="990">
        <v>13158</v>
      </c>
      <c r="H596" s="988"/>
      <c r="I596" s="988"/>
      <c r="J596" s="989"/>
      <c r="K596" s="989"/>
    </row>
    <row r="597" spans="2:11">
      <c r="B597" s="165"/>
      <c r="C597" s="1023" t="s">
        <v>1949</v>
      </c>
      <c r="D597" s="1021" t="s">
        <v>963</v>
      </c>
      <c r="E597" s="990">
        <v>15441</v>
      </c>
      <c r="F597" s="990">
        <v>14624</v>
      </c>
      <c r="H597" s="988"/>
      <c r="I597" s="988"/>
      <c r="J597" s="989"/>
      <c r="K597" s="989"/>
    </row>
    <row r="598" spans="2:11">
      <c r="B598" s="165"/>
      <c r="C598" s="1023" t="s">
        <v>1950</v>
      </c>
      <c r="D598" s="1021" t="s">
        <v>964</v>
      </c>
      <c r="E598" s="990">
        <v>13415</v>
      </c>
      <c r="F598" s="990">
        <v>12888</v>
      </c>
      <c r="H598" s="988"/>
      <c r="I598" s="988"/>
      <c r="J598" s="989"/>
      <c r="K598" s="989"/>
    </row>
    <row r="599" spans="2:11">
      <c r="B599" s="165"/>
      <c r="C599" s="1023" t="s">
        <v>1951</v>
      </c>
      <c r="D599" s="1021" t="s">
        <v>965</v>
      </c>
      <c r="E599" s="990">
        <v>17602</v>
      </c>
      <c r="F599" s="990">
        <v>17206</v>
      </c>
      <c r="H599" s="988"/>
      <c r="I599" s="988"/>
      <c r="J599" s="989"/>
      <c r="K599" s="989"/>
    </row>
    <row r="600" spans="2:11">
      <c r="B600" s="165"/>
      <c r="C600" s="1023" t="s">
        <v>1952</v>
      </c>
      <c r="D600" s="1021" t="s">
        <v>966</v>
      </c>
      <c r="E600" s="990">
        <v>15170</v>
      </c>
      <c r="F600" s="990">
        <v>14935</v>
      </c>
      <c r="H600" s="988"/>
      <c r="I600" s="988"/>
      <c r="J600" s="989"/>
      <c r="K600" s="989"/>
    </row>
    <row r="601" spans="2:11">
      <c r="B601" s="165"/>
      <c r="C601" s="1023" t="s">
        <v>1953</v>
      </c>
      <c r="D601" s="1021" t="s">
        <v>967</v>
      </c>
      <c r="E601" s="990">
        <v>10887</v>
      </c>
      <c r="F601" s="990">
        <v>10425</v>
      </c>
      <c r="H601" s="988"/>
      <c r="I601" s="988"/>
      <c r="J601" s="989"/>
      <c r="K601" s="989"/>
    </row>
    <row r="602" spans="2:11">
      <c r="B602" s="165"/>
      <c r="C602" s="1023" t="s">
        <v>1954</v>
      </c>
      <c r="D602" s="1021" t="s">
        <v>968</v>
      </c>
      <c r="E602" s="990">
        <v>11357</v>
      </c>
      <c r="F602" s="990">
        <v>10961</v>
      </c>
      <c r="H602" s="988"/>
      <c r="I602" s="988"/>
      <c r="J602" s="989"/>
      <c r="K602" s="989"/>
    </row>
    <row r="603" spans="2:11">
      <c r="B603" s="165"/>
      <c r="C603" s="1023" t="s">
        <v>1955</v>
      </c>
      <c r="D603" s="1021" t="s">
        <v>969</v>
      </c>
      <c r="E603" s="990">
        <v>21092</v>
      </c>
      <c r="F603" s="990">
        <v>20238</v>
      </c>
      <c r="H603" s="988"/>
      <c r="I603" s="988"/>
      <c r="J603" s="989"/>
      <c r="K603" s="989"/>
    </row>
    <row r="604" spans="2:11">
      <c r="B604" s="165"/>
      <c r="C604" s="1023" t="s">
        <v>1956</v>
      </c>
      <c r="D604" s="1021" t="s">
        <v>970</v>
      </c>
      <c r="E604" s="990">
        <v>19959</v>
      </c>
      <c r="F604" s="990">
        <v>19825</v>
      </c>
      <c r="H604" s="988"/>
      <c r="I604" s="988"/>
      <c r="J604" s="989"/>
      <c r="K604" s="989"/>
    </row>
    <row r="605" spans="2:11">
      <c r="B605" s="165"/>
      <c r="C605" s="1023" t="s">
        <v>1957</v>
      </c>
      <c r="D605" s="1021" t="s">
        <v>971</v>
      </c>
      <c r="E605" s="990">
        <v>16883</v>
      </c>
      <c r="F605" s="990">
        <v>16407</v>
      </c>
      <c r="H605" s="988"/>
      <c r="I605" s="988"/>
      <c r="J605" s="989"/>
      <c r="K605" s="989"/>
    </row>
    <row r="606" spans="2:11">
      <c r="B606" s="165"/>
      <c r="C606" s="1023" t="s">
        <v>1958</v>
      </c>
      <c r="D606" s="1021" t="s">
        <v>972</v>
      </c>
      <c r="E606" s="990">
        <v>12013</v>
      </c>
      <c r="F606" s="990">
        <v>11824</v>
      </c>
      <c r="H606" s="988"/>
      <c r="I606" s="988"/>
      <c r="J606" s="989"/>
      <c r="K606" s="989"/>
    </row>
    <row r="607" spans="2:11">
      <c r="B607" s="165"/>
      <c r="C607" s="1023" t="s">
        <v>1959</v>
      </c>
      <c r="D607" s="1021" t="s">
        <v>973</v>
      </c>
      <c r="E607" s="990">
        <v>30963</v>
      </c>
      <c r="F607" s="990">
        <v>30619</v>
      </c>
      <c r="H607" s="988"/>
      <c r="I607" s="988"/>
      <c r="J607" s="989"/>
      <c r="K607" s="989"/>
    </row>
    <row r="608" spans="2:11">
      <c r="B608" s="165"/>
      <c r="C608" s="1023" t="s">
        <v>1960</v>
      </c>
      <c r="D608" s="1021" t="s">
        <v>974</v>
      </c>
      <c r="E608" s="990">
        <v>21474</v>
      </c>
      <c r="F608" s="990">
        <v>20909</v>
      </c>
      <c r="H608" s="988"/>
      <c r="I608" s="988"/>
      <c r="J608" s="989"/>
      <c r="K608" s="989"/>
    </row>
    <row r="609" spans="2:11">
      <c r="B609" s="165"/>
      <c r="C609" s="1023" t="s">
        <v>1961</v>
      </c>
      <c r="D609" s="1021" t="s">
        <v>975</v>
      </c>
      <c r="E609" s="990">
        <v>11575</v>
      </c>
      <c r="F609" s="990">
        <v>11284</v>
      </c>
      <c r="H609" s="988"/>
      <c r="I609" s="988"/>
      <c r="J609" s="989"/>
      <c r="K609" s="989"/>
    </row>
    <row r="610" spans="2:11">
      <c r="B610" s="165"/>
      <c r="C610" s="1023" t="s">
        <v>1962</v>
      </c>
      <c r="D610" s="1021" t="s">
        <v>976</v>
      </c>
      <c r="E610" s="990">
        <v>13258</v>
      </c>
      <c r="F610" s="990">
        <v>12976</v>
      </c>
      <c r="H610" s="988"/>
      <c r="I610" s="988"/>
      <c r="J610" s="989"/>
      <c r="K610" s="989"/>
    </row>
    <row r="611" spans="2:11">
      <c r="B611" s="165"/>
      <c r="C611" s="1023" t="s">
        <v>1963</v>
      </c>
      <c r="D611" s="1021" t="s">
        <v>977</v>
      </c>
      <c r="E611" s="990">
        <v>16728</v>
      </c>
      <c r="F611" s="990">
        <v>16062</v>
      </c>
      <c r="H611" s="988"/>
      <c r="I611" s="988"/>
      <c r="J611" s="989"/>
      <c r="K611" s="989"/>
    </row>
    <row r="612" spans="2:11">
      <c r="B612" s="165"/>
      <c r="C612" s="1023" t="s">
        <v>1964</v>
      </c>
      <c r="D612" s="1021" t="s">
        <v>978</v>
      </c>
      <c r="E612" s="990">
        <v>18343</v>
      </c>
      <c r="F612" s="990">
        <v>17778</v>
      </c>
      <c r="H612" s="988"/>
      <c r="I612" s="988"/>
      <c r="J612" s="989"/>
      <c r="K612" s="989"/>
    </row>
    <row r="613" spans="2:11">
      <c r="B613" s="165"/>
      <c r="C613" s="1023" t="s">
        <v>1965</v>
      </c>
      <c r="D613" s="1021" t="s">
        <v>979</v>
      </c>
      <c r="E613" s="990">
        <v>13091</v>
      </c>
      <c r="F613" s="990">
        <v>12690</v>
      </c>
      <c r="H613" s="988"/>
      <c r="I613" s="988"/>
      <c r="J613" s="989"/>
      <c r="K613" s="989"/>
    </row>
    <row r="614" spans="2:11">
      <c r="B614" s="165"/>
      <c r="C614" s="1023" t="s">
        <v>1966</v>
      </c>
      <c r="D614" s="1021" t="s">
        <v>980</v>
      </c>
      <c r="E614" s="990">
        <v>13876</v>
      </c>
      <c r="F614" s="990">
        <v>13110</v>
      </c>
      <c r="H614" s="988"/>
      <c r="I614" s="988"/>
      <c r="J614" s="989"/>
      <c r="K614" s="989"/>
    </row>
    <row r="615" spans="2:11">
      <c r="B615" s="165"/>
      <c r="C615" s="1023" t="s">
        <v>1967</v>
      </c>
      <c r="D615" s="1021" t="s">
        <v>981</v>
      </c>
      <c r="E615" s="990">
        <v>21983</v>
      </c>
      <c r="F615" s="990">
        <v>21638</v>
      </c>
      <c r="H615" s="988"/>
      <c r="I615" s="988"/>
      <c r="J615" s="989"/>
      <c r="K615" s="989"/>
    </row>
    <row r="616" spans="2:11">
      <c r="B616" s="165"/>
      <c r="C616" s="1023" t="s">
        <v>1968</v>
      </c>
      <c r="D616" s="1021" t="s">
        <v>982</v>
      </c>
      <c r="E616" s="990">
        <v>12778</v>
      </c>
      <c r="F616" s="990">
        <v>12372</v>
      </c>
      <c r="H616" s="988"/>
      <c r="I616" s="988"/>
      <c r="J616" s="989"/>
      <c r="K616" s="989"/>
    </row>
    <row r="617" spans="2:11">
      <c r="B617" s="165"/>
      <c r="C617" s="1023" t="s">
        <v>1969</v>
      </c>
      <c r="D617" s="1021" t="s">
        <v>983</v>
      </c>
      <c r="E617" s="990">
        <v>10291</v>
      </c>
      <c r="F617" s="990">
        <v>10209</v>
      </c>
      <c r="H617" s="988"/>
      <c r="I617" s="988"/>
      <c r="J617" s="989"/>
      <c r="K617" s="989"/>
    </row>
    <row r="618" spans="2:11">
      <c r="B618" s="165"/>
      <c r="C618" s="1023" t="s">
        <v>1970</v>
      </c>
      <c r="D618" s="1021" t="s">
        <v>984</v>
      </c>
      <c r="E618" s="990">
        <v>22839</v>
      </c>
      <c r="F618" s="990">
        <v>21960</v>
      </c>
      <c r="H618" s="988"/>
      <c r="I618" s="988"/>
      <c r="J618" s="989"/>
      <c r="K618" s="989"/>
    </row>
    <row r="619" spans="2:11">
      <c r="B619" s="165"/>
      <c r="C619" s="1023" t="s">
        <v>1971</v>
      </c>
      <c r="D619" s="1021" t="s">
        <v>985</v>
      </c>
      <c r="E619" s="990">
        <v>13132</v>
      </c>
      <c r="F619" s="990">
        <v>12801</v>
      </c>
      <c r="H619" s="988"/>
      <c r="I619" s="988"/>
      <c r="J619" s="989"/>
      <c r="K619" s="989"/>
    </row>
    <row r="620" spans="2:11">
      <c r="B620" s="165"/>
      <c r="C620" s="1023" t="s">
        <v>1972</v>
      </c>
      <c r="D620" s="1021" t="s">
        <v>986</v>
      </c>
      <c r="E620" s="990">
        <v>16972</v>
      </c>
      <c r="F620" s="990">
        <v>16417</v>
      </c>
      <c r="H620" s="988"/>
      <c r="I620" s="988"/>
      <c r="J620" s="989"/>
      <c r="K620" s="989"/>
    </row>
    <row r="621" spans="2:11">
      <c r="B621" s="165"/>
      <c r="C621" s="1023" t="s">
        <v>1973</v>
      </c>
      <c r="D621" s="1021" t="s">
        <v>987</v>
      </c>
      <c r="E621" s="990">
        <v>20747</v>
      </c>
      <c r="F621" s="990">
        <v>20120</v>
      </c>
      <c r="H621" s="988"/>
      <c r="I621" s="988"/>
      <c r="J621" s="989"/>
      <c r="K621" s="989"/>
    </row>
    <row r="622" spans="2:11">
      <c r="B622" s="165"/>
      <c r="C622" s="1023" t="s">
        <v>1974</v>
      </c>
      <c r="D622" s="1021" t="s">
        <v>988</v>
      </c>
      <c r="E622" s="990">
        <v>20065</v>
      </c>
      <c r="F622" s="990">
        <v>19008</v>
      </c>
      <c r="H622" s="988"/>
      <c r="I622" s="988"/>
      <c r="J622" s="989"/>
      <c r="K622" s="989"/>
    </row>
    <row r="623" spans="2:11">
      <c r="B623" s="165"/>
      <c r="C623" s="1023" t="s">
        <v>1975</v>
      </c>
      <c r="D623" s="1021" t="s">
        <v>989</v>
      </c>
      <c r="E623" s="990">
        <v>16040</v>
      </c>
      <c r="F623" s="990">
        <v>15430</v>
      </c>
      <c r="H623" s="988"/>
      <c r="I623" s="988"/>
      <c r="J623" s="989"/>
      <c r="K623" s="989"/>
    </row>
    <row r="624" spans="2:11">
      <c r="B624" s="165"/>
      <c r="C624" s="1023" t="s">
        <v>1976</v>
      </c>
      <c r="D624" s="1021" t="s">
        <v>990</v>
      </c>
      <c r="E624" s="990">
        <v>13452</v>
      </c>
      <c r="F624" s="990">
        <v>12968</v>
      </c>
      <c r="H624" s="988"/>
      <c r="I624" s="988"/>
      <c r="J624" s="989"/>
      <c r="K624" s="989"/>
    </row>
    <row r="625" spans="2:11">
      <c r="B625" s="165"/>
      <c r="C625" s="1023" t="s">
        <v>1977</v>
      </c>
      <c r="D625" s="1021" t="s">
        <v>991</v>
      </c>
      <c r="E625" s="990">
        <v>13628</v>
      </c>
      <c r="F625" s="990">
        <v>13148</v>
      </c>
      <c r="H625" s="988"/>
      <c r="I625" s="988"/>
      <c r="J625" s="989"/>
      <c r="K625" s="989"/>
    </row>
    <row r="626" spans="2:11">
      <c r="B626" s="165"/>
      <c r="C626" s="1023" t="s">
        <v>1978</v>
      </c>
      <c r="D626" s="1021" t="s">
        <v>992</v>
      </c>
      <c r="E626" s="990">
        <v>11326</v>
      </c>
      <c r="F626" s="990">
        <v>11197</v>
      </c>
      <c r="H626" s="988"/>
      <c r="I626" s="988"/>
      <c r="J626" s="989"/>
      <c r="K626" s="989"/>
    </row>
    <row r="627" spans="2:11">
      <c r="B627" s="165"/>
      <c r="C627" s="1023" t="s">
        <v>1979</v>
      </c>
      <c r="D627" s="1021" t="s">
        <v>993</v>
      </c>
      <c r="E627" s="990">
        <v>14619</v>
      </c>
      <c r="F627" s="990">
        <v>14191</v>
      </c>
      <c r="H627" s="988"/>
      <c r="I627" s="988"/>
      <c r="J627" s="989"/>
      <c r="K627" s="989"/>
    </row>
    <row r="628" spans="2:11">
      <c r="B628" s="165"/>
      <c r="C628" s="1023" t="s">
        <v>1980</v>
      </c>
      <c r="D628" s="1021" t="s">
        <v>994</v>
      </c>
      <c r="E628" s="990">
        <v>17922</v>
      </c>
      <c r="F628" s="990">
        <v>17788</v>
      </c>
      <c r="H628" s="988"/>
      <c r="I628" s="988"/>
      <c r="J628" s="989"/>
      <c r="K628" s="989"/>
    </row>
    <row r="629" spans="2:11">
      <c r="B629" s="165"/>
      <c r="C629" s="1023" t="s">
        <v>1981</v>
      </c>
      <c r="D629" s="1021" t="s">
        <v>995</v>
      </c>
      <c r="E629" s="990">
        <v>12561</v>
      </c>
      <c r="F629" s="990">
        <v>12315</v>
      </c>
      <c r="H629" s="988"/>
      <c r="I629" s="988"/>
      <c r="J629" s="989"/>
      <c r="K629" s="989"/>
    </row>
    <row r="630" spans="2:11">
      <c r="B630" s="165"/>
      <c r="C630" s="1023" t="s">
        <v>1982</v>
      </c>
      <c r="D630" s="1021" t="s">
        <v>996</v>
      </c>
      <c r="E630" s="990">
        <v>12067</v>
      </c>
      <c r="F630" s="990">
        <v>11719</v>
      </c>
      <c r="H630" s="988"/>
      <c r="I630" s="988"/>
      <c r="J630" s="989"/>
      <c r="K630" s="989"/>
    </row>
    <row r="631" spans="2:11">
      <c r="B631" s="165"/>
      <c r="C631" s="1023" t="s">
        <v>1983</v>
      </c>
      <c r="D631" s="1021" t="s">
        <v>997</v>
      </c>
      <c r="E631" s="990">
        <v>15286</v>
      </c>
      <c r="F631" s="990">
        <v>14688</v>
      </c>
      <c r="H631" s="988"/>
      <c r="I631" s="988"/>
      <c r="J631" s="989"/>
      <c r="K631" s="989"/>
    </row>
    <row r="632" spans="2:11">
      <c r="B632" s="165"/>
      <c r="C632" s="1023" t="s">
        <v>1984</v>
      </c>
      <c r="D632" s="1021" t="s">
        <v>998</v>
      </c>
      <c r="E632" s="990">
        <v>12577</v>
      </c>
      <c r="F632" s="990">
        <v>12328</v>
      </c>
      <c r="H632" s="988"/>
      <c r="I632" s="988"/>
      <c r="J632" s="989"/>
      <c r="K632" s="989"/>
    </row>
    <row r="633" spans="2:11">
      <c r="B633" s="165"/>
      <c r="C633" s="1023" t="s">
        <v>1985</v>
      </c>
      <c r="D633" s="1021" t="s">
        <v>999</v>
      </c>
      <c r="E633" s="990">
        <v>15789</v>
      </c>
      <c r="F633" s="990">
        <v>15206</v>
      </c>
      <c r="H633" s="988"/>
      <c r="I633" s="988"/>
      <c r="J633" s="989"/>
      <c r="K633" s="989"/>
    </row>
    <row r="634" spans="2:11">
      <c r="B634" s="165"/>
      <c r="C634" s="1023" t="s">
        <v>1986</v>
      </c>
      <c r="D634" s="1021" t="s">
        <v>1000</v>
      </c>
      <c r="E634" s="990">
        <v>13363</v>
      </c>
      <c r="F634" s="990">
        <v>12589</v>
      </c>
      <c r="H634" s="988"/>
      <c r="I634" s="988"/>
      <c r="J634" s="989"/>
      <c r="K634" s="989"/>
    </row>
    <row r="635" spans="2:11">
      <c r="B635" s="165"/>
      <c r="C635" s="1023" t="s">
        <v>1987</v>
      </c>
      <c r="D635" s="1021" t="s">
        <v>1001</v>
      </c>
      <c r="E635" s="990">
        <v>13733</v>
      </c>
      <c r="F635" s="990">
        <v>13344</v>
      </c>
      <c r="H635" s="988"/>
      <c r="I635" s="988"/>
      <c r="J635" s="989"/>
      <c r="K635" s="989"/>
    </row>
    <row r="636" spans="2:11">
      <c r="B636" s="165"/>
      <c r="C636" s="1023" t="s">
        <v>1988</v>
      </c>
      <c r="D636" s="1021" t="s">
        <v>1002</v>
      </c>
      <c r="E636" s="990">
        <v>13324</v>
      </c>
      <c r="F636" s="990">
        <v>13042</v>
      </c>
      <c r="H636" s="988"/>
      <c r="I636" s="988"/>
      <c r="J636" s="989"/>
      <c r="K636" s="989"/>
    </row>
    <row r="637" spans="2:11">
      <c r="B637" s="165"/>
      <c r="C637" s="1023" t="s">
        <v>1989</v>
      </c>
      <c r="D637" s="1021" t="s">
        <v>1003</v>
      </c>
      <c r="E637" s="990">
        <v>14434</v>
      </c>
      <c r="F637" s="990">
        <v>13874</v>
      </c>
      <c r="H637" s="988"/>
      <c r="I637" s="988"/>
      <c r="J637" s="989"/>
      <c r="K637" s="989"/>
    </row>
    <row r="638" spans="2:11">
      <c r="B638" s="165"/>
      <c r="C638" s="1023" t="s">
        <v>1990</v>
      </c>
      <c r="D638" s="1021" t="s">
        <v>1004</v>
      </c>
      <c r="E638" s="990">
        <v>11679</v>
      </c>
      <c r="F638" s="990">
        <v>11591</v>
      </c>
      <c r="H638" s="988"/>
      <c r="I638" s="988"/>
      <c r="J638" s="989"/>
      <c r="K638" s="989"/>
    </row>
    <row r="639" spans="2:11">
      <c r="B639" s="165"/>
      <c r="C639" s="1023" t="s">
        <v>1991</v>
      </c>
      <c r="D639" s="1021" t="s">
        <v>1005</v>
      </c>
      <c r="E639" s="990">
        <v>10445</v>
      </c>
      <c r="F639" s="990">
        <v>10328</v>
      </c>
      <c r="H639" s="988"/>
      <c r="I639" s="988"/>
      <c r="J639" s="989"/>
      <c r="K639" s="989"/>
    </row>
    <row r="640" spans="2:11">
      <c r="B640" s="165"/>
      <c r="C640" s="1023" t="s">
        <v>1992</v>
      </c>
      <c r="D640" s="1021" t="s">
        <v>1006</v>
      </c>
      <c r="E640" s="990">
        <v>12283</v>
      </c>
      <c r="F640" s="990">
        <v>11808</v>
      </c>
      <c r="H640" s="988"/>
      <c r="I640" s="988"/>
      <c r="J640" s="989"/>
      <c r="K640" s="989"/>
    </row>
    <row r="641" spans="2:11">
      <c r="B641" s="165"/>
      <c r="C641" s="1023" t="s">
        <v>1993</v>
      </c>
      <c r="D641" s="1021" t="s">
        <v>1007</v>
      </c>
      <c r="E641" s="990">
        <v>10809</v>
      </c>
      <c r="F641" s="990">
        <v>10478</v>
      </c>
      <c r="H641" s="988"/>
      <c r="I641" s="988"/>
      <c r="J641" s="989"/>
      <c r="K641" s="989"/>
    </row>
    <row r="642" spans="2:11">
      <c r="B642" s="165"/>
      <c r="C642" s="1023" t="s">
        <v>1994</v>
      </c>
      <c r="D642" s="1021" t="s">
        <v>1008</v>
      </c>
      <c r="E642" s="990">
        <v>11833</v>
      </c>
      <c r="F642" s="990">
        <v>11416</v>
      </c>
      <c r="H642" s="988"/>
      <c r="I642" s="988"/>
      <c r="J642" s="989"/>
      <c r="K642" s="989"/>
    </row>
    <row r="643" spans="2:11">
      <c r="B643" s="165"/>
      <c r="C643" s="1023" t="s">
        <v>1995</v>
      </c>
      <c r="D643" s="1021" t="s">
        <v>1009</v>
      </c>
      <c r="E643" s="990">
        <v>10237</v>
      </c>
      <c r="F643" s="990">
        <v>10199</v>
      </c>
      <c r="H643" s="988"/>
      <c r="I643" s="988"/>
      <c r="J643" s="989"/>
      <c r="K643" s="989"/>
    </row>
    <row r="644" spans="2:11">
      <c r="B644" s="165"/>
      <c r="C644" s="1023" t="s">
        <v>1996</v>
      </c>
      <c r="D644" s="1021" t="s">
        <v>1010</v>
      </c>
      <c r="E644" s="990">
        <v>11956</v>
      </c>
      <c r="F644" s="990">
        <v>11544</v>
      </c>
      <c r="H644" s="988"/>
      <c r="I644" s="988"/>
      <c r="J644" s="989"/>
      <c r="K644" s="989"/>
    </row>
    <row r="645" spans="2:11">
      <c r="B645" s="165"/>
      <c r="C645" s="1023" t="s">
        <v>1997</v>
      </c>
      <c r="D645" s="1021" t="s">
        <v>1011</v>
      </c>
      <c r="E645" s="990">
        <v>12493</v>
      </c>
      <c r="F645" s="990">
        <v>11720</v>
      </c>
      <c r="H645" s="988"/>
      <c r="I645" s="988"/>
      <c r="J645" s="989"/>
      <c r="K645" s="989"/>
    </row>
    <row r="646" spans="2:11">
      <c r="B646" s="165"/>
      <c r="C646" s="1023" t="s">
        <v>1998</v>
      </c>
      <c r="D646" s="1021" t="s">
        <v>1012</v>
      </c>
      <c r="E646" s="990">
        <v>12695</v>
      </c>
      <c r="F646" s="990">
        <v>12345</v>
      </c>
      <c r="H646" s="988"/>
      <c r="I646" s="988"/>
      <c r="J646" s="989"/>
      <c r="K646" s="989"/>
    </row>
    <row r="647" spans="2:11">
      <c r="B647" s="165"/>
      <c r="C647" s="1023" t="s">
        <v>1999</v>
      </c>
      <c r="D647" s="1021" t="s">
        <v>1013</v>
      </c>
      <c r="E647" s="990">
        <v>13586</v>
      </c>
      <c r="F647" s="990">
        <v>13097</v>
      </c>
      <c r="H647" s="988"/>
      <c r="I647" s="988"/>
      <c r="J647" s="989"/>
      <c r="K647" s="989"/>
    </row>
    <row r="648" spans="2:11">
      <c r="B648" s="165"/>
      <c r="C648" s="1023" t="s">
        <v>2000</v>
      </c>
      <c r="D648" s="1021" t="s">
        <v>1014</v>
      </c>
      <c r="E648" s="990">
        <v>23570</v>
      </c>
      <c r="F648" s="990">
        <v>22901</v>
      </c>
      <c r="H648" s="988"/>
      <c r="I648" s="988"/>
      <c r="J648" s="989"/>
      <c r="K648" s="989"/>
    </row>
    <row r="649" spans="2:11">
      <c r="B649" s="165"/>
      <c r="C649" s="1023" t="s">
        <v>2001</v>
      </c>
      <c r="D649" s="1021" t="s">
        <v>1015</v>
      </c>
      <c r="E649" s="990">
        <v>13255</v>
      </c>
      <c r="F649" s="990">
        <v>13071</v>
      </c>
      <c r="H649" s="988"/>
      <c r="I649" s="988"/>
      <c r="J649" s="989"/>
      <c r="K649" s="989"/>
    </row>
    <row r="650" spans="2:11">
      <c r="B650" s="165"/>
      <c r="C650" s="1023" t="s">
        <v>2002</v>
      </c>
      <c r="D650" s="1021" t="s">
        <v>1016</v>
      </c>
      <c r="E650" s="990">
        <v>16591</v>
      </c>
      <c r="F650" s="990">
        <v>16279</v>
      </c>
      <c r="H650" s="988"/>
      <c r="I650" s="988"/>
      <c r="J650" s="989"/>
      <c r="K650" s="989"/>
    </row>
    <row r="651" spans="2:11">
      <c r="B651" s="165"/>
      <c r="C651" s="1023" t="s">
        <v>2003</v>
      </c>
      <c r="D651" s="1021" t="s">
        <v>1017</v>
      </c>
      <c r="E651" s="990">
        <v>13598</v>
      </c>
      <c r="F651" s="990">
        <v>13121</v>
      </c>
      <c r="H651" s="988"/>
      <c r="I651" s="988"/>
      <c r="J651" s="989"/>
      <c r="K651" s="989"/>
    </row>
    <row r="652" spans="2:11">
      <c r="B652" s="165"/>
      <c r="C652" s="1023" t="s">
        <v>2004</v>
      </c>
      <c r="D652" s="1021" t="s">
        <v>1018</v>
      </c>
      <c r="E652" s="990">
        <v>11525</v>
      </c>
      <c r="F652" s="990">
        <v>11192</v>
      </c>
      <c r="H652" s="988"/>
      <c r="I652" s="988"/>
      <c r="J652" s="989"/>
      <c r="K652" s="989"/>
    </row>
    <row r="653" spans="2:11">
      <c r="B653" s="165"/>
      <c r="C653" s="1023" t="s">
        <v>2005</v>
      </c>
      <c r="D653" s="1021" t="s">
        <v>1019</v>
      </c>
      <c r="E653" s="990">
        <v>17513</v>
      </c>
      <c r="F653" s="990">
        <v>16714</v>
      </c>
      <c r="H653" s="988"/>
      <c r="I653" s="988"/>
      <c r="J653" s="989"/>
      <c r="K653" s="989"/>
    </row>
    <row r="654" spans="2:11">
      <c r="B654" s="165"/>
      <c r="C654" s="1023" t="s">
        <v>2006</v>
      </c>
      <c r="D654" s="1021" t="s">
        <v>1020</v>
      </c>
      <c r="E654" s="990">
        <v>11867</v>
      </c>
      <c r="F654" s="990">
        <v>11735</v>
      </c>
      <c r="H654" s="988"/>
      <c r="I654" s="988"/>
      <c r="J654" s="989"/>
      <c r="K654" s="989"/>
    </row>
    <row r="655" spans="2:11">
      <c r="B655" s="165"/>
      <c r="C655" s="1023" t="s">
        <v>2007</v>
      </c>
      <c r="D655" s="1021" t="s">
        <v>1021</v>
      </c>
      <c r="E655" s="990">
        <v>15354</v>
      </c>
      <c r="F655" s="990">
        <v>14966</v>
      </c>
      <c r="H655" s="988"/>
      <c r="I655" s="988"/>
      <c r="J655" s="989"/>
      <c r="K655" s="989"/>
    </row>
    <row r="656" spans="2:11">
      <c r="B656" s="165"/>
      <c r="C656" s="1023" t="s">
        <v>2008</v>
      </c>
      <c r="D656" s="1021" t="s">
        <v>1022</v>
      </c>
      <c r="E656" s="990">
        <v>11267</v>
      </c>
      <c r="F656" s="990">
        <v>10953</v>
      </c>
      <c r="H656" s="988"/>
      <c r="I656" s="988"/>
      <c r="J656" s="989"/>
      <c r="K656" s="989"/>
    </row>
    <row r="657" spans="2:11">
      <c r="B657" s="165"/>
      <c r="C657" s="1023" t="s">
        <v>2009</v>
      </c>
      <c r="D657" s="1021" t="s">
        <v>1023</v>
      </c>
      <c r="E657" s="990">
        <v>14939</v>
      </c>
      <c r="F657" s="990">
        <v>14407</v>
      </c>
      <c r="H657" s="988"/>
      <c r="I657" s="988"/>
      <c r="J657" s="989"/>
      <c r="K657" s="989"/>
    </row>
    <row r="658" spans="2:11">
      <c r="B658" s="165"/>
      <c r="C658" s="1023" t="s">
        <v>2010</v>
      </c>
      <c r="D658" s="1021" t="s">
        <v>1024</v>
      </c>
      <c r="E658" s="990">
        <v>20991</v>
      </c>
      <c r="F658" s="990">
        <v>20601</v>
      </c>
      <c r="H658" s="988"/>
      <c r="I658" s="988"/>
      <c r="J658" s="989"/>
      <c r="K658" s="989"/>
    </row>
    <row r="659" spans="2:11">
      <c r="B659" s="165"/>
      <c r="C659" s="1023" t="s">
        <v>2011</v>
      </c>
      <c r="D659" s="1021" t="s">
        <v>1025</v>
      </c>
      <c r="E659" s="990">
        <v>13281</v>
      </c>
      <c r="F659" s="990">
        <v>12897</v>
      </c>
      <c r="H659" s="988"/>
      <c r="I659" s="988"/>
      <c r="J659" s="989"/>
      <c r="K659" s="989"/>
    </row>
    <row r="660" spans="2:11">
      <c r="B660" s="165"/>
      <c r="C660" s="1023" t="s">
        <v>2012</v>
      </c>
      <c r="D660" s="1021" t="s">
        <v>1026</v>
      </c>
      <c r="E660" s="990">
        <v>20139</v>
      </c>
      <c r="F660" s="990">
        <v>19374</v>
      </c>
      <c r="H660" s="988"/>
      <c r="I660" s="988"/>
      <c r="J660" s="989"/>
      <c r="K660" s="989"/>
    </row>
    <row r="661" spans="2:11">
      <c r="B661" s="165"/>
      <c r="C661" s="1023" t="s">
        <v>2013</v>
      </c>
      <c r="D661" s="1021" t="s">
        <v>1027</v>
      </c>
      <c r="E661" s="990">
        <v>11787</v>
      </c>
      <c r="F661" s="990">
        <v>11442</v>
      </c>
      <c r="H661" s="988"/>
      <c r="I661" s="988"/>
      <c r="J661" s="989"/>
      <c r="K661" s="989"/>
    </row>
    <row r="662" spans="2:11">
      <c r="B662" s="165"/>
      <c r="C662" s="1023" t="s">
        <v>2014</v>
      </c>
      <c r="D662" s="1021" t="s">
        <v>1028</v>
      </c>
      <c r="E662" s="990">
        <v>14227</v>
      </c>
      <c r="F662" s="990">
        <v>12831</v>
      </c>
      <c r="H662" s="988"/>
      <c r="I662" s="988"/>
      <c r="J662" s="989"/>
      <c r="K662" s="989"/>
    </row>
    <row r="663" spans="2:11">
      <c r="B663" s="165"/>
      <c r="C663" s="1023" t="s">
        <v>2015</v>
      </c>
      <c r="D663" s="1021" t="s">
        <v>1029</v>
      </c>
      <c r="E663" s="990">
        <v>14736</v>
      </c>
      <c r="F663" s="990" t="s">
        <v>2038</v>
      </c>
      <c r="H663" s="988"/>
      <c r="I663" s="988"/>
      <c r="J663" s="989"/>
      <c r="K663" s="989"/>
    </row>
    <row r="664" spans="2:11">
      <c r="B664" s="165"/>
      <c r="C664" s="1023" t="s">
        <v>2016</v>
      </c>
      <c r="D664" s="1021" t="s">
        <v>1030</v>
      </c>
      <c r="E664" s="990">
        <v>16179</v>
      </c>
      <c r="F664" s="990">
        <v>15962</v>
      </c>
      <c r="H664" s="988"/>
      <c r="I664" s="988"/>
      <c r="J664" s="989"/>
      <c r="K664" s="989"/>
    </row>
    <row r="665" spans="2:11">
      <c r="B665" s="165"/>
      <c r="C665" s="1023" t="s">
        <v>2017</v>
      </c>
      <c r="D665" s="1021" t="s">
        <v>1031</v>
      </c>
      <c r="E665" s="990">
        <v>19391</v>
      </c>
      <c r="F665" s="990">
        <v>18210</v>
      </c>
      <c r="H665" s="988"/>
      <c r="I665" s="988"/>
      <c r="J665" s="989"/>
      <c r="K665" s="989"/>
    </row>
    <row r="666" spans="2:11">
      <c r="B666" s="165"/>
      <c r="C666" s="1023" t="s">
        <v>2018</v>
      </c>
      <c r="D666" s="1021" t="s">
        <v>1032</v>
      </c>
      <c r="E666" s="990">
        <v>21165</v>
      </c>
      <c r="F666" s="990">
        <v>20562</v>
      </c>
      <c r="H666" s="988"/>
      <c r="I666" s="988"/>
      <c r="J666" s="989"/>
      <c r="K666" s="989"/>
    </row>
    <row r="667" spans="2:11">
      <c r="B667" s="165"/>
      <c r="C667" s="1023" t="s">
        <v>2019</v>
      </c>
      <c r="D667" s="1021" t="s">
        <v>1033</v>
      </c>
      <c r="E667" s="990">
        <v>13612</v>
      </c>
      <c r="F667" s="990">
        <v>13136</v>
      </c>
      <c r="H667" s="988"/>
      <c r="I667" s="988"/>
      <c r="J667" s="989"/>
      <c r="K667" s="989"/>
    </row>
    <row r="668" spans="2:11">
      <c r="B668" s="165"/>
      <c r="C668" s="1022" t="s">
        <v>2020</v>
      </c>
      <c r="D668" s="1021" t="s">
        <v>1034</v>
      </c>
      <c r="E668" s="990">
        <v>11720</v>
      </c>
      <c r="F668" s="990">
        <v>11406</v>
      </c>
      <c r="H668" s="988"/>
      <c r="I668" s="988"/>
      <c r="J668" s="989"/>
      <c r="K668" s="989"/>
    </row>
    <row r="669" spans="2:11">
      <c r="B669" s="165"/>
      <c r="C669" s="1023" t="s">
        <v>2021</v>
      </c>
      <c r="D669" s="1021" t="s">
        <v>1035</v>
      </c>
      <c r="E669" s="990">
        <v>11880</v>
      </c>
      <c r="F669" s="990">
        <v>11246</v>
      </c>
      <c r="H669" s="988"/>
      <c r="I669" s="988"/>
      <c r="J669" s="989"/>
      <c r="K669" s="989"/>
    </row>
    <row r="670" spans="2:11">
      <c r="B670" s="165"/>
      <c r="C670" s="1023" t="s">
        <v>2022</v>
      </c>
      <c r="D670" s="1021" t="s">
        <v>1036</v>
      </c>
      <c r="E670" s="990">
        <v>13060</v>
      </c>
      <c r="F670" s="990">
        <v>12825</v>
      </c>
      <c r="H670" s="988"/>
      <c r="I670" s="988"/>
      <c r="J670" s="989"/>
      <c r="K670" s="989"/>
    </row>
    <row r="671" spans="2:11">
      <c r="B671" s="165"/>
      <c r="C671" s="1023" t="s">
        <v>2023</v>
      </c>
      <c r="D671" s="1021" t="s">
        <v>1037</v>
      </c>
      <c r="E671" s="990">
        <v>15805</v>
      </c>
      <c r="F671" s="990">
        <v>15383</v>
      </c>
      <c r="H671" s="988"/>
      <c r="I671" s="988"/>
      <c r="J671" s="989"/>
      <c r="K671" s="989"/>
    </row>
    <row r="672" spans="2:11">
      <c r="B672" s="165"/>
      <c r="C672" s="1023" t="s">
        <v>2024</v>
      </c>
      <c r="D672" s="1021" t="s">
        <v>1038</v>
      </c>
      <c r="E672" s="990">
        <v>13444</v>
      </c>
      <c r="F672" s="990">
        <v>13084</v>
      </c>
      <c r="H672" s="988"/>
      <c r="I672" s="988"/>
      <c r="J672" s="989"/>
      <c r="K672" s="989"/>
    </row>
    <row r="673" spans="2:11">
      <c r="B673" s="165"/>
      <c r="C673" s="1023" t="s">
        <v>2025</v>
      </c>
      <c r="D673" s="1021" t="s">
        <v>1039</v>
      </c>
      <c r="E673" s="990">
        <v>12379</v>
      </c>
      <c r="F673" s="990">
        <v>12087</v>
      </c>
      <c r="H673" s="988"/>
      <c r="I673" s="988"/>
      <c r="J673" s="989"/>
      <c r="K673" s="989"/>
    </row>
    <row r="674" spans="2:11">
      <c r="B674" s="165"/>
      <c r="C674" s="1023" t="s">
        <v>2026</v>
      </c>
      <c r="D674" s="1021" t="s">
        <v>1040</v>
      </c>
      <c r="E674" s="990">
        <v>16780</v>
      </c>
      <c r="F674" s="990">
        <v>16355</v>
      </c>
      <c r="H674" s="988"/>
      <c r="I674" s="988"/>
      <c r="J674" s="989"/>
      <c r="K674" s="989"/>
    </row>
    <row r="675" spans="2:11">
      <c r="B675" s="165"/>
      <c r="C675" s="1023" t="s">
        <v>2027</v>
      </c>
      <c r="D675" s="1021" t="s">
        <v>1041</v>
      </c>
      <c r="E675" s="990">
        <v>12007</v>
      </c>
      <c r="F675" s="990">
        <v>11647</v>
      </c>
      <c r="H675" s="988"/>
      <c r="I675" s="988"/>
      <c r="J675" s="989"/>
      <c r="K675" s="989"/>
    </row>
    <row r="676" spans="2:11">
      <c r="B676" s="165"/>
      <c r="C676" s="1023" t="s">
        <v>2028</v>
      </c>
      <c r="D676" s="1021" t="s">
        <v>1042</v>
      </c>
      <c r="E676" s="990">
        <v>20560</v>
      </c>
      <c r="F676" s="990">
        <v>19984</v>
      </c>
      <c r="H676" s="988"/>
      <c r="I676" s="988"/>
      <c r="J676" s="989"/>
      <c r="K676" s="989"/>
    </row>
    <row r="677" spans="2:11">
      <c r="B677" s="165"/>
      <c r="C677" s="1023" t="s">
        <v>2029</v>
      </c>
      <c r="D677" s="1021" t="s">
        <v>1043</v>
      </c>
      <c r="E677" s="990">
        <v>11839</v>
      </c>
      <c r="F677" s="990">
        <v>11686</v>
      </c>
      <c r="H677" s="988"/>
      <c r="I677" s="988"/>
      <c r="J677" s="989"/>
      <c r="K677" s="989"/>
    </row>
    <row r="678" spans="2:11">
      <c r="B678" s="165"/>
      <c r="C678" s="1023" t="s">
        <v>2030</v>
      </c>
      <c r="D678" s="1021" t="s">
        <v>1044</v>
      </c>
      <c r="E678" s="990">
        <v>14194</v>
      </c>
      <c r="F678" s="990">
        <v>13846</v>
      </c>
      <c r="H678" s="988"/>
      <c r="I678" s="988"/>
      <c r="J678" s="989"/>
      <c r="K678" s="989"/>
    </row>
    <row r="679" spans="2:11">
      <c r="B679" s="165"/>
      <c r="C679" s="1023" t="s">
        <v>2031</v>
      </c>
      <c r="D679" s="1021" t="s">
        <v>1045</v>
      </c>
      <c r="E679" s="990">
        <v>18331</v>
      </c>
      <c r="F679" s="990">
        <v>18501</v>
      </c>
      <c r="H679" s="988"/>
      <c r="I679" s="988"/>
      <c r="J679" s="989"/>
      <c r="K679" s="989"/>
    </row>
    <row r="680" spans="2:11">
      <c r="B680" s="165"/>
      <c r="C680" s="1023" t="s">
        <v>2032</v>
      </c>
      <c r="D680" s="1021" t="s">
        <v>1046</v>
      </c>
      <c r="E680" s="990">
        <v>13410</v>
      </c>
      <c r="F680" s="990">
        <v>13144</v>
      </c>
      <c r="H680" s="988"/>
      <c r="I680" s="988"/>
      <c r="J680" s="989"/>
      <c r="K680" s="989"/>
    </row>
    <row r="681" spans="2:11">
      <c r="B681" s="165"/>
      <c r="C681" s="1023" t="s">
        <v>2033</v>
      </c>
      <c r="D681" s="1021" t="s">
        <v>1047</v>
      </c>
      <c r="E681" s="990">
        <v>15307</v>
      </c>
      <c r="F681" s="990">
        <v>14649</v>
      </c>
      <c r="H681" s="988"/>
      <c r="I681" s="988"/>
      <c r="J681" s="989"/>
      <c r="K681" s="989"/>
    </row>
    <row r="682" spans="2:11">
      <c r="B682" s="165"/>
      <c r="C682" s="1023" t="s">
        <v>2034</v>
      </c>
      <c r="D682" s="1021" t="s">
        <v>1048</v>
      </c>
      <c r="E682" s="990">
        <v>16159</v>
      </c>
      <c r="F682" s="990">
        <v>15913</v>
      </c>
      <c r="H682" s="988"/>
      <c r="I682" s="988"/>
      <c r="J682" s="989"/>
      <c r="K682" s="989"/>
    </row>
    <row r="683" spans="2:11">
      <c r="B683" s="165"/>
      <c r="C683" s="1023" t="s">
        <v>2035</v>
      </c>
      <c r="D683" s="1021" t="s">
        <v>1049</v>
      </c>
      <c r="E683" s="990">
        <v>12234</v>
      </c>
      <c r="F683" s="990">
        <v>12113</v>
      </c>
      <c r="H683" s="988"/>
      <c r="I683" s="988"/>
      <c r="J683" s="989"/>
      <c r="K683" s="989"/>
    </row>
    <row r="684" spans="2:11">
      <c r="B684" s="165"/>
      <c r="C684" s="1023" t="s">
        <v>2036</v>
      </c>
      <c r="D684" s="1021" t="s">
        <v>1050</v>
      </c>
      <c r="E684" s="990">
        <v>12837</v>
      </c>
      <c r="F684" s="990">
        <v>12118</v>
      </c>
      <c r="H684" s="988"/>
      <c r="I684" s="988"/>
      <c r="J684" s="989"/>
      <c r="K684" s="989"/>
    </row>
    <row r="685" spans="2:11" ht="15.6" thickBot="1">
      <c r="B685" s="165"/>
      <c r="C685" s="1025" t="s">
        <v>2037</v>
      </c>
      <c r="D685" s="1026" t="s">
        <v>1051</v>
      </c>
      <c r="E685" s="1027">
        <v>17841</v>
      </c>
      <c r="F685" s="1027">
        <v>17115</v>
      </c>
    </row>
    <row r="686" spans="2:11" ht="15.6" thickTop="1"/>
  </sheetData>
  <sheetProtection algorithmName="SHA-512" hashValue="Kor46EA3RmhaUSGYCZijTJ506tMOlbgW8SMeLEADs4peGKHBZ7NITQjMhVkJ20kBJH8w9SN4lqzxQbehl3nkQw==" saltValue="DjExnriWYD/Wzvxxc7a+tA==" spinCount="100000" sheet="1" objects="1" scenarios="1" selectLockedCells="1" selectUnlockedCells="1"/>
  <sortState ref="I6:I684">
    <sortCondition ref="I6:I684"/>
  </sortState>
  <printOptions horizontalCentered="1"/>
  <pageMargins left="0.75" right="0.75" top="0.51" bottom="0.78" header="0" footer="0.5"/>
  <pageSetup scale="96" fitToHeight="12" orientation="portrait" r:id="rId1"/>
  <headerFooter alignWithMargins="0">
    <oddFooter>&amp;C&amp;"Calibri,Regular"&amp;11Page &amp;P of &amp;N</oddFooter>
  </headerFooter>
  <rowBreaks count="13" manualBreakCount="13">
    <brk id="55" max="16383" man="1"/>
    <brk id="105" max="16383" man="1"/>
    <brk id="155" max="16383" man="1"/>
    <brk id="205" max="16383" man="1"/>
    <brk id="255" max="16383" man="1"/>
    <brk id="305" max="16383" man="1"/>
    <brk id="355" max="16383" man="1"/>
    <brk id="405" max="16383" man="1"/>
    <brk id="455" max="16383" man="1"/>
    <brk id="505" max="16383" man="1"/>
    <brk id="555" max="16383" man="1"/>
    <brk id="605" max="16383" man="1"/>
    <brk id="65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3366"/>
    <pageSetUpPr fitToPage="1"/>
  </sheetPr>
  <dimension ref="A1:H59"/>
  <sheetViews>
    <sheetView showGridLines="0" topLeftCell="B1" zoomScaleNormal="100" zoomScaleSheetLayoutView="100" workbookViewId="0">
      <selection activeCell="D11" sqref="D11:E11"/>
    </sheetView>
  </sheetViews>
  <sheetFormatPr defaultColWidth="8.88671875" defaultRowHeight="15"/>
  <cols>
    <col min="1" max="1" width="3.33203125" style="1" hidden="1" customWidth="1"/>
    <col min="2" max="2" width="3.5546875" style="1" customWidth="1"/>
    <col min="3" max="3" width="26.88671875" style="1" customWidth="1"/>
    <col min="4" max="4" width="32.5546875" style="1" customWidth="1"/>
    <col min="5" max="5" width="34.88671875" style="1" customWidth="1"/>
    <col min="6" max="6" width="20.6640625" style="1" customWidth="1"/>
    <col min="7" max="16384" width="8.88671875" style="1"/>
  </cols>
  <sheetData>
    <row r="1" spans="3:7" ht="9" customHeight="1"/>
    <row r="2" spans="3:7" ht="9.75" customHeight="1">
      <c r="C2" s="69"/>
      <c r="D2" s="69"/>
      <c r="E2" s="69"/>
    </row>
    <row r="3" spans="3:7">
      <c r="C3" s="69"/>
      <c r="D3" s="69"/>
      <c r="E3" s="69"/>
    </row>
    <row r="4" spans="3:7">
      <c r="C4" s="69"/>
      <c r="D4" s="69"/>
      <c r="E4" s="69"/>
    </row>
    <row r="5" spans="3:7">
      <c r="C5" s="69"/>
      <c r="D5" s="69"/>
      <c r="E5" s="69"/>
    </row>
    <row r="6" spans="3:7">
      <c r="C6" s="69"/>
      <c r="D6" s="69"/>
      <c r="E6" s="69"/>
    </row>
    <row r="7" spans="3:7" ht="27.75" customHeight="1">
      <c r="C7" s="1030" t="s">
        <v>367</v>
      </c>
      <c r="D7" s="1030"/>
      <c r="E7" s="1030"/>
    </row>
    <row r="9" spans="3:7" ht="45.75" customHeight="1">
      <c r="C9" s="1031" t="str">
        <f>IF(D11=CONTROL!B809,"",D11)</f>
        <v/>
      </c>
      <c r="D9" s="1031"/>
      <c r="E9" s="1031"/>
    </row>
    <row r="10" spans="3:7" ht="21" customHeight="1">
      <c r="C10" s="757" t="s">
        <v>1184</v>
      </c>
      <c r="D10" s="754"/>
      <c r="E10" s="767"/>
      <c r="F10" s="754"/>
      <c r="G10" s="754"/>
    </row>
    <row r="11" spans="3:7">
      <c r="C11" s="758" t="s">
        <v>1181</v>
      </c>
      <c r="D11" s="1032" t="s">
        <v>1356</v>
      </c>
      <c r="E11" s="1033"/>
      <c r="F11" s="754"/>
      <c r="G11" s="754"/>
    </row>
    <row r="12" spans="3:7" ht="30" customHeight="1">
      <c r="C12" s="756" t="s">
        <v>1182</v>
      </c>
      <c r="F12" s="754"/>
      <c r="G12" s="754"/>
    </row>
    <row r="13" spans="3:7">
      <c r="C13" s="759" t="s">
        <v>114</v>
      </c>
      <c r="D13" s="1036" t="s">
        <v>1053</v>
      </c>
      <c r="E13" s="1036"/>
      <c r="F13" s="755"/>
      <c r="G13" s="754"/>
    </row>
    <row r="14" spans="3:7">
      <c r="C14" s="759" t="s">
        <v>117</v>
      </c>
      <c r="D14" s="1036" t="s">
        <v>1054</v>
      </c>
      <c r="E14" s="1036"/>
      <c r="F14" s="755"/>
      <c r="G14" s="754"/>
    </row>
    <row r="15" spans="3:7">
      <c r="C15" s="759" t="s">
        <v>115</v>
      </c>
      <c r="D15" s="1036" t="s">
        <v>1055</v>
      </c>
      <c r="E15" s="1036"/>
      <c r="F15" s="69"/>
      <c r="G15" s="754"/>
    </row>
    <row r="16" spans="3:7">
      <c r="C16" s="759" t="s">
        <v>116</v>
      </c>
      <c r="D16" s="1037" t="s">
        <v>1056</v>
      </c>
      <c r="E16" s="1037"/>
      <c r="F16" s="69"/>
      <c r="G16" s="754"/>
    </row>
    <row r="17" spans="3:8" ht="30" customHeight="1">
      <c r="C17" s="756" t="s">
        <v>1183</v>
      </c>
      <c r="D17" s="82"/>
      <c r="E17" s="69"/>
      <c r="F17" s="69"/>
      <c r="G17" s="754"/>
    </row>
    <row r="18" spans="3:8">
      <c r="C18" s="760" t="s">
        <v>189</v>
      </c>
      <c r="D18" s="761" t="str">
        <f>CONTROL!B16</f>
        <v>2020-21</v>
      </c>
      <c r="F18" s="468"/>
      <c r="H18" s="754"/>
    </row>
    <row r="19" spans="3:8">
      <c r="C19" s="759" t="s">
        <v>190</v>
      </c>
      <c r="D19" s="766" t="str">
        <f>IFERROR(IF(INDEX(Table2[[#All],[YrOpen]],MATCH(D11,Table2[[#All],[SCHOOLS]],0))=VALUE(LEFT(AcadYr1,4)),"Planning Year",PriorPeriod),"")</f>
        <v>2019-20</v>
      </c>
      <c r="F19" s="69"/>
    </row>
    <row r="20" spans="3:8">
      <c r="C20" s="97"/>
      <c r="D20" s="755"/>
      <c r="E20" s="1035" t="str">
        <f>CONTROL!F43</f>
        <v/>
      </c>
      <c r="F20" s="468"/>
    </row>
    <row r="21" spans="3:8">
      <c r="C21" s="151" t="s">
        <v>1239</v>
      </c>
      <c r="D21" s="69"/>
      <c r="E21" s="1035"/>
      <c r="F21" s="468"/>
    </row>
    <row r="22" spans="3:8">
      <c r="C22" s="760" t="s">
        <v>1243</v>
      </c>
      <c r="D22" s="761"/>
      <c r="E22" s="1035"/>
    </row>
    <row r="23" spans="3:8">
      <c r="E23" s="1035"/>
    </row>
    <row r="24" spans="3:8">
      <c r="C24" s="1034"/>
      <c r="D24" s="1034"/>
      <c r="E24" s="1035"/>
    </row>
    <row r="25" spans="3:8">
      <c r="C25" s="1034"/>
      <c r="D25" s="1034"/>
    </row>
    <row r="26" spans="3:8">
      <c r="C26" s="1034"/>
      <c r="D26" s="1034"/>
    </row>
    <row r="27" spans="3:8">
      <c r="C27" s="857"/>
    </row>
    <row r="50" spans="4:4">
      <c r="D50" s="754"/>
    </row>
    <row r="51" spans="4:4">
      <c r="D51" s="754"/>
    </row>
    <row r="52" spans="4:4">
      <c r="D52" s="754"/>
    </row>
    <row r="53" spans="4:4">
      <c r="D53" s="754"/>
    </row>
    <row r="54" spans="4:4">
      <c r="D54" s="754"/>
    </row>
    <row r="55" spans="4:4">
      <c r="D55" s="754"/>
    </row>
    <row r="56" spans="4:4">
      <c r="D56" s="754"/>
    </row>
    <row r="57" spans="4:4">
      <c r="D57" s="754"/>
    </row>
    <row r="58" spans="4:4">
      <c r="D58" s="754"/>
    </row>
    <row r="59" spans="4:4">
      <c r="D59" s="754"/>
    </row>
  </sheetData>
  <sheetProtection algorithmName="SHA-512" hashValue="hmNZVGV7X6HkABeJbKPKUbKMbAbVvOMk0L2k6RQ8FjRBqmG8PlXVOjnSFjRvZeStOrhZQQXLsyvVIGnq9qHeAA==" saltValue="3rQw13qLqEoVcZhnaEjozA==" spinCount="100000" sheet="1" objects="1" scenarios="1" selectLockedCells="1"/>
  <sortState ref="D27:D31">
    <sortCondition ref="D27"/>
  </sortState>
  <customSheetViews>
    <customSheetView guid="{5E4DC421-887D-9843-8B54-CF861F76B668}" scale="150">
      <selection activeCell="D21" sqref="D21"/>
      <pageMargins left="0.7" right="0.7" top="0.75" bottom="0.75" header="0.3" footer="0.3"/>
      <printOptions horizontalCentered="1"/>
      <pageSetup scale="110" orientation="portrait"/>
      <headerFooter alignWithMargins="0">
        <oddHeader>&amp;CAttachment 31(a) - Budget</oddHeader>
        <oddFooter>&amp;LAttachment 31(a) - &amp;P</oddFooter>
      </headerFooter>
    </customSheetView>
    <customSheetView guid="{7E5415B2-297C-4CDE-9A5E-CCA4F5662440}" scale="150" showPageBreaks="1" printArea="1" view="pageBreakPreview">
      <selection activeCell="D21" sqref="D21"/>
      <pageMargins left="0.7" right="0.7" top="0.75" bottom="0.75" header="0.3" footer="0.3"/>
      <printOptions horizontalCentered="1"/>
      <pageSetup scale="110" orientation="portrait"/>
      <headerFooter alignWithMargins="0">
        <oddHeader>&amp;CAttachment 31(a) - Budget</oddHeader>
        <oddFooter>&amp;LAttachment 31(a) - &amp;P</oddFooter>
      </headerFooter>
    </customSheetView>
  </customSheetViews>
  <mergeCells count="9">
    <mergeCell ref="C7:E7"/>
    <mergeCell ref="C9:E9"/>
    <mergeCell ref="D11:E11"/>
    <mergeCell ref="C24:D26"/>
    <mergeCell ref="E20:E24"/>
    <mergeCell ref="D13:E13"/>
    <mergeCell ref="D14:E14"/>
    <mergeCell ref="D15:E15"/>
    <mergeCell ref="D16:E16"/>
  </mergeCells>
  <phoneticPr fontId="5" type="noConversion"/>
  <conditionalFormatting sqref="C9">
    <cfRule type="expression" dxfId="94" priority="50">
      <formula>$C$9="Select School or Merged EdCorp from drop-down list→"</formula>
    </cfRule>
  </conditionalFormatting>
  <conditionalFormatting sqref="D14">
    <cfRule type="expression" dxfId="93" priority="43">
      <formula>$D$14="enter title"</formula>
    </cfRule>
  </conditionalFormatting>
  <conditionalFormatting sqref="D15">
    <cfRule type="expression" dxfId="92" priority="44">
      <formula>$D$15="enter email address"</formula>
    </cfRule>
  </conditionalFormatting>
  <conditionalFormatting sqref="D16">
    <cfRule type="expression" dxfId="91" priority="45">
      <formula>$D$16="enter phone number"</formula>
    </cfRule>
  </conditionalFormatting>
  <conditionalFormatting sqref="D18">
    <cfRule type="cellIs" dxfId="90" priority="46" operator="equal">
      <formula>"Select from drop-down list →"</formula>
    </cfRule>
  </conditionalFormatting>
  <conditionalFormatting sqref="D13">
    <cfRule type="expression" dxfId="89" priority="5">
      <formula>$D$13="enter name"</formula>
    </cfRule>
  </conditionalFormatting>
  <conditionalFormatting sqref="D11">
    <cfRule type="expression" dxfId="88" priority="3">
      <formula>$D$11=" Select from drop-down list →"</formula>
    </cfRule>
  </conditionalFormatting>
  <dataValidations count="3">
    <dataValidation type="list" allowBlank="1" showInputMessage="1" showErrorMessage="1" sqref="D11">
      <formula1>mySchools</formula1>
    </dataValidation>
    <dataValidation allowBlank="1" showErrorMessage="1" prompt=" " sqref="D13:E13"/>
    <dataValidation type="custom" showInputMessage="1" showErrorMessage="1" errorTitle="Invalid Email Address" error="Email address missing necessary element(s) (e.g. &quot;@&quot; or &quot;.com&quot;)_x000a__x000a_Please re-enter!" sqref="D15:E15">
      <formula1>AND( FIND(".",D15),FIND("@",D15))</formula1>
    </dataValidation>
  </dataValidations>
  <printOptions horizontalCentered="1" verticalCentered="1"/>
  <pageMargins left="0.49" right="0.45" top="0.31" bottom="0.28000000000000003" header="0.3" footer="0.3"/>
  <pageSetup orientation="landscape" r:id="rId1"/>
  <headerFooter>
    <oddFooter>&amp;CPage &amp;P of &amp;N&amp;R&amp;F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6" r:id="rId4" name="Option Button 2">
              <controlPr defaultSize="0" autoFill="0" autoLine="0" autoPict="0">
                <anchor moveWithCells="1">
                  <from>
                    <xdr:col>3</xdr:col>
                    <xdr:colOff>548640</xdr:colOff>
                    <xdr:row>20</xdr:row>
                    <xdr:rowOff>182880</xdr:rowOff>
                  </from>
                  <to>
                    <xdr:col>3</xdr:col>
                    <xdr:colOff>1165860</xdr:colOff>
                    <xdr:row>22</xdr:row>
                    <xdr:rowOff>15240</xdr:rowOff>
                  </to>
                </anchor>
              </controlPr>
            </control>
          </mc:Choice>
        </mc:AlternateContent>
        <mc:AlternateContent xmlns:mc="http://schemas.openxmlformats.org/markup-compatibility/2006">
          <mc:Choice Requires="x14">
            <control shapeId="57347" r:id="rId5" name="Option Button 3">
              <controlPr defaultSize="0" autoFill="0" autoLine="0" autoPict="0">
                <anchor moveWithCells="1">
                  <from>
                    <xdr:col>3</xdr:col>
                    <xdr:colOff>1196340</xdr:colOff>
                    <xdr:row>20</xdr:row>
                    <xdr:rowOff>182880</xdr:rowOff>
                  </from>
                  <to>
                    <xdr:col>3</xdr:col>
                    <xdr:colOff>1813560</xdr:colOff>
                    <xdr:row>22</xdr:row>
                    <xdr:rowOff>15240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3366"/>
  </sheetPr>
  <dimension ref="A1:V72"/>
  <sheetViews>
    <sheetView showGridLines="0" zoomScale="70" zoomScaleNormal="70" zoomScaleSheetLayoutView="100" workbookViewId="0">
      <selection activeCell="C22" sqref="C22"/>
    </sheetView>
  </sheetViews>
  <sheetFormatPr defaultColWidth="11.88671875" defaultRowHeight="15"/>
  <cols>
    <col min="1" max="1" width="12.6640625" style="1" customWidth="1"/>
    <col min="2" max="2" width="21.5546875" style="1" customWidth="1"/>
    <col min="3" max="3" width="44.109375" style="1" customWidth="1"/>
    <col min="4" max="4" width="1.6640625" style="1" customWidth="1"/>
    <col min="5" max="5" width="13.88671875" style="1" bestFit="1" customWidth="1"/>
    <col min="6" max="6" width="1.6640625" style="1" customWidth="1"/>
    <col min="7" max="14" width="12.6640625" style="1" customWidth="1"/>
    <col min="15" max="15" width="1.6640625" style="1" customWidth="1"/>
    <col min="16" max="19" width="12.6640625" style="1" customWidth="1"/>
    <col min="20" max="20" width="1.6640625" style="1" customWidth="1"/>
    <col min="21" max="22" width="12.6640625" style="1" customWidth="1"/>
    <col min="23" max="16384" width="11.88671875" style="1"/>
  </cols>
  <sheetData>
    <row r="1" spans="1:22" ht="9" customHeight="1">
      <c r="A1" s="469"/>
      <c r="B1" s="469"/>
      <c r="C1" s="469"/>
      <c r="D1" s="469"/>
      <c r="E1" s="469"/>
      <c r="F1" s="469"/>
    </row>
    <row r="2" spans="1:22" ht="18">
      <c r="A2" s="469"/>
      <c r="C2" s="470"/>
      <c r="D2" s="171"/>
      <c r="E2" s="476" t="str">
        <f>IF(School="",Mssg1,School)</f>
        <v>Please enter school name on tab - "1) Name of School"</v>
      </c>
      <c r="F2" s="171"/>
      <c r="G2" s="513"/>
      <c r="H2" s="513"/>
      <c r="I2" s="513"/>
      <c r="J2" s="513"/>
      <c r="K2" s="513"/>
      <c r="L2" s="513"/>
      <c r="M2" s="513"/>
      <c r="N2" s="513"/>
      <c r="O2" s="513"/>
      <c r="P2" s="513"/>
      <c r="Q2" s="513"/>
      <c r="R2" s="513"/>
      <c r="S2" s="513"/>
    </row>
    <row r="3" spans="1:22" ht="18">
      <c r="A3" s="469"/>
      <c r="D3" s="513"/>
      <c r="E3" s="476" t="str">
        <f>IF(CONTROL!J12=0,Mssg2,AcadYr1)</f>
        <v>2020-21</v>
      </c>
      <c r="F3" s="513"/>
      <c r="G3" s="513"/>
      <c r="H3" s="513"/>
      <c r="I3" s="513"/>
      <c r="J3" s="513"/>
      <c r="K3" s="513"/>
      <c r="L3" s="513"/>
      <c r="M3" s="513"/>
      <c r="N3" s="513"/>
      <c r="O3" s="513"/>
      <c r="P3" s="513"/>
      <c r="Q3" s="513"/>
      <c r="R3" s="513"/>
      <c r="S3" s="513"/>
    </row>
    <row r="4" spans="1:22" ht="6.75" customHeight="1" thickBot="1">
      <c r="A4" s="469"/>
      <c r="B4" s="522"/>
      <c r="C4" s="471"/>
      <c r="D4" s="471"/>
      <c r="E4" s="471"/>
      <c r="F4" s="471"/>
      <c r="H4" s="340"/>
      <c r="Q4" s="514"/>
    </row>
    <row r="5" spans="1:22" ht="18.600000000000001" thickBot="1">
      <c r="A5" s="469"/>
      <c r="B5" s="930"/>
      <c r="C5" s="930"/>
      <c r="D5" s="930"/>
      <c r="E5" s="929" t="s">
        <v>340</v>
      </c>
      <c r="F5" s="930"/>
      <c r="G5" s="928"/>
      <c r="H5" s="928"/>
      <c r="I5" s="928"/>
      <c r="J5" s="928"/>
      <c r="K5" s="928"/>
      <c r="L5" s="928"/>
      <c r="M5" s="928"/>
      <c r="N5" s="928"/>
      <c r="O5" s="928"/>
      <c r="P5" s="928"/>
      <c r="Q5" s="927"/>
      <c r="R5" s="928"/>
      <c r="S5" s="928"/>
      <c r="U5" s="529" t="s">
        <v>47</v>
      </c>
      <c r="V5" s="529"/>
    </row>
    <row r="6" spans="1:22" ht="8.1" customHeight="1">
      <c r="A6" s="515"/>
      <c r="B6" s="926"/>
      <c r="C6" s="926"/>
      <c r="D6" s="926"/>
      <c r="E6" s="926"/>
      <c r="F6" s="926"/>
      <c r="G6" s="182"/>
      <c r="H6" s="182"/>
      <c r="I6" s="182"/>
      <c r="J6" s="182"/>
      <c r="K6" s="182"/>
      <c r="L6" s="182"/>
      <c r="M6" s="182"/>
      <c r="N6" s="182"/>
      <c r="O6" s="182"/>
      <c r="P6" s="182"/>
      <c r="Q6" s="182"/>
      <c r="R6" s="182"/>
      <c r="S6" s="182"/>
    </row>
    <row r="7" spans="1:22" ht="18">
      <c r="A7" s="515"/>
      <c r="B7" s="921" t="s">
        <v>339</v>
      </c>
      <c r="C7" s="925"/>
      <c r="D7" s="531"/>
      <c r="E7" s="924" t="s">
        <v>338</v>
      </c>
      <c r="F7" s="531"/>
      <c r="G7" s="956">
        <v>1</v>
      </c>
      <c r="H7" s="956">
        <v>2</v>
      </c>
      <c r="I7" s="956">
        <v>3</v>
      </c>
      <c r="J7" s="956">
        <v>4</v>
      </c>
      <c r="K7" s="956">
        <v>5</v>
      </c>
      <c r="L7" s="956">
        <v>6</v>
      </c>
      <c r="M7" s="956">
        <v>7</v>
      </c>
      <c r="N7" s="956">
        <v>8</v>
      </c>
      <c r="O7" s="531"/>
      <c r="P7" s="956">
        <v>9</v>
      </c>
      <c r="Q7" s="956">
        <v>10</v>
      </c>
      <c r="R7" s="956">
        <v>11</v>
      </c>
      <c r="S7" s="956">
        <v>12</v>
      </c>
      <c r="U7" s="956" t="s">
        <v>1256</v>
      </c>
      <c r="V7" s="956" t="s">
        <v>1257</v>
      </c>
    </row>
    <row r="8" spans="1:22">
      <c r="A8" s="515"/>
      <c r="B8" s="921" t="s">
        <v>362</v>
      </c>
      <c r="C8" s="923"/>
      <c r="D8" s="531"/>
      <c r="E8" s="955"/>
      <c r="F8" s="531"/>
      <c r="G8" s="955"/>
      <c r="H8" s="955"/>
      <c r="I8" s="955"/>
      <c r="J8" s="955"/>
      <c r="K8" s="922"/>
      <c r="L8" s="922"/>
      <c r="M8" s="955"/>
      <c r="N8" s="955"/>
      <c r="O8" s="531"/>
      <c r="P8" s="955"/>
      <c r="Q8" s="955"/>
      <c r="R8" s="955"/>
      <c r="S8" s="955"/>
      <c r="U8" s="955"/>
      <c r="V8" s="955"/>
    </row>
    <row r="9" spans="1:22">
      <c r="A9" s="515"/>
      <c r="B9" s="920" t="str">
        <f>"TOTAL ENROLLMENT = "&amp;IF(SUM(E8:U8)&lt;&gt;0,SUM(E8:U8),"")</f>
        <v xml:space="preserve">TOTAL ENROLLMENT = </v>
      </c>
      <c r="C9" s="919"/>
      <c r="D9" s="69"/>
      <c r="E9" s="69"/>
      <c r="F9" s="69"/>
      <c r="G9" s="69"/>
      <c r="H9" s="69"/>
      <c r="I9" s="69"/>
      <c r="J9" s="69"/>
      <c r="K9" s="69"/>
      <c r="L9" s="69"/>
      <c r="M9" s="69"/>
      <c r="N9" s="69"/>
      <c r="O9" s="69"/>
      <c r="P9" s="69"/>
      <c r="Q9" s="69"/>
      <c r="R9" s="69"/>
      <c r="S9" s="69"/>
    </row>
    <row r="10" spans="1:22">
      <c r="A10" s="515"/>
      <c r="B10" s="488"/>
      <c r="C10" s="488"/>
      <c r="D10" s="97"/>
      <c r="E10" s="523"/>
      <c r="F10" s="473"/>
      <c r="G10" s="523"/>
      <c r="H10" s="523"/>
      <c r="I10" s="523"/>
      <c r="J10" s="523"/>
      <c r="K10" s="523"/>
      <c r="L10" s="523"/>
      <c r="M10" s="523"/>
      <c r="N10" s="523"/>
      <c r="O10" s="318"/>
      <c r="P10" s="523"/>
      <c r="Q10" s="523"/>
      <c r="R10" s="523"/>
      <c r="S10" s="523"/>
    </row>
    <row r="11" spans="1:22" ht="18.600000000000001" thickBot="1">
      <c r="B11" s="918"/>
      <c r="C11" s="917"/>
      <c r="D11" s="917"/>
      <c r="E11" s="916" t="s">
        <v>341</v>
      </c>
      <c r="F11" s="917"/>
      <c r="G11" s="915"/>
      <c r="H11" s="915"/>
      <c r="I11" s="915"/>
      <c r="J11" s="915"/>
      <c r="K11" s="915"/>
      <c r="L11" s="915"/>
      <c r="M11" s="915"/>
      <c r="N11" s="915"/>
      <c r="O11" s="915"/>
      <c r="P11" s="915"/>
      <c r="Q11" s="914"/>
      <c r="R11" s="915"/>
      <c r="S11" s="913"/>
    </row>
    <row r="12" spans="1:22" ht="8.1" customHeight="1">
      <c r="B12" s="912"/>
      <c r="C12" s="532"/>
      <c r="D12" s="532" t="s">
        <v>155</v>
      </c>
      <c r="E12" s="533"/>
      <c r="F12" s="532"/>
      <c r="G12" s="534"/>
      <c r="H12" s="534"/>
      <c r="I12" s="534"/>
      <c r="J12" s="534"/>
      <c r="K12" s="534"/>
      <c r="L12" s="534"/>
      <c r="M12" s="534"/>
      <c r="N12" s="534"/>
      <c r="O12" s="534"/>
      <c r="P12" s="534"/>
      <c r="Q12" s="535"/>
      <c r="R12" s="534"/>
      <c r="S12" s="911"/>
    </row>
    <row r="13" spans="1:22" ht="31.2">
      <c r="B13" s="910"/>
      <c r="C13" s="909"/>
      <c r="D13" s="472"/>
      <c r="E13" s="908" t="s">
        <v>329</v>
      </c>
      <c r="F13" s="69"/>
      <c r="G13" s="907" t="s">
        <v>349</v>
      </c>
      <c r="H13" s="906"/>
      <c r="I13" s="906"/>
      <c r="J13" s="906"/>
      <c r="K13" s="906"/>
      <c r="L13" s="906"/>
      <c r="M13" s="906"/>
      <c r="N13" s="905"/>
      <c r="O13" s="69"/>
      <c r="P13" s="907" t="s">
        <v>350</v>
      </c>
      <c r="Q13" s="904"/>
      <c r="R13" s="904"/>
      <c r="S13" s="903"/>
    </row>
    <row r="14" spans="1:22" ht="15.6">
      <c r="B14" s="902"/>
      <c r="C14" s="530"/>
      <c r="D14" s="472"/>
      <c r="E14" s="908" t="s">
        <v>328</v>
      </c>
      <c r="F14" s="69"/>
      <c r="G14" s="901" t="s">
        <v>324</v>
      </c>
      <c r="H14" s="900"/>
      <c r="I14" s="901" t="s">
        <v>325</v>
      </c>
      <c r="J14" s="900"/>
      <c r="K14" s="901" t="s">
        <v>326</v>
      </c>
      <c r="L14" s="900"/>
      <c r="M14" s="901" t="s">
        <v>327</v>
      </c>
      <c r="N14" s="900"/>
      <c r="O14" s="69"/>
      <c r="P14" s="956" t="s">
        <v>324</v>
      </c>
      <c r="Q14" s="956" t="s">
        <v>325</v>
      </c>
      <c r="R14" s="956" t="s">
        <v>326</v>
      </c>
      <c r="S14" s="956" t="s">
        <v>327</v>
      </c>
    </row>
    <row r="15" spans="1:22" ht="15.6">
      <c r="B15" s="899"/>
      <c r="C15" s="490"/>
      <c r="D15" s="472"/>
      <c r="E15" s="908"/>
      <c r="F15" s="69"/>
      <c r="G15" s="898" t="s">
        <v>346</v>
      </c>
      <c r="H15" s="897" t="s">
        <v>347</v>
      </c>
      <c r="I15" s="898" t="s">
        <v>346</v>
      </c>
      <c r="J15" s="897" t="s">
        <v>347</v>
      </c>
      <c r="K15" s="898" t="s">
        <v>346</v>
      </c>
      <c r="L15" s="897" t="s">
        <v>347</v>
      </c>
      <c r="M15" s="898" t="s">
        <v>346</v>
      </c>
      <c r="N15" s="897" t="s">
        <v>347</v>
      </c>
      <c r="O15" s="69"/>
      <c r="P15" s="898" t="s">
        <v>309</v>
      </c>
      <c r="Q15" s="898" t="s">
        <v>309</v>
      </c>
      <c r="R15" s="898" t="s">
        <v>309</v>
      </c>
      <c r="S15" s="898" t="s">
        <v>309</v>
      </c>
    </row>
    <row r="16" spans="1:22">
      <c r="B16" s="921" t="s">
        <v>330</v>
      </c>
      <c r="C16" s="923"/>
      <c r="D16" s="473"/>
      <c r="E16" s="896">
        <f>COUNTIF(E22:E71,"&gt;0")</f>
        <v>0</v>
      </c>
      <c r="F16" s="525"/>
      <c r="G16" s="896">
        <f>COUNTIF(G22:G71,"&gt;0")</f>
        <v>0</v>
      </c>
      <c r="H16" s="896">
        <f t="shared" ref="H16:S16" si="0">COUNTIF(H22:H71,"&gt;0")</f>
        <v>0</v>
      </c>
      <c r="I16" s="896">
        <f t="shared" si="0"/>
        <v>0</v>
      </c>
      <c r="J16" s="896">
        <f t="shared" si="0"/>
        <v>0</v>
      </c>
      <c r="K16" s="896">
        <f t="shared" si="0"/>
        <v>0</v>
      </c>
      <c r="L16" s="896">
        <f t="shared" si="0"/>
        <v>0</v>
      </c>
      <c r="M16" s="896">
        <f t="shared" si="0"/>
        <v>0</v>
      </c>
      <c r="N16" s="896">
        <f t="shared" si="0"/>
        <v>0</v>
      </c>
      <c r="O16" s="69"/>
      <c r="P16" s="896">
        <f t="shared" si="0"/>
        <v>0</v>
      </c>
      <c r="Q16" s="896">
        <f t="shared" si="0"/>
        <v>0</v>
      </c>
      <c r="R16" s="896">
        <f t="shared" si="0"/>
        <v>0</v>
      </c>
      <c r="S16" s="896">
        <f t="shared" si="0"/>
        <v>0</v>
      </c>
    </row>
    <row r="17" spans="1:22">
      <c r="B17" s="921" t="s">
        <v>334</v>
      </c>
      <c r="C17" s="923"/>
      <c r="D17" s="473"/>
      <c r="E17" s="896">
        <f>SUM(E22:E71)</f>
        <v>0</v>
      </c>
      <c r="F17" s="525"/>
      <c r="G17" s="896">
        <f>SUM(G22:G71)</f>
        <v>0</v>
      </c>
      <c r="H17" s="896">
        <f t="shared" ref="H17:S17" si="1">SUM(H22:H71)</f>
        <v>0</v>
      </c>
      <c r="I17" s="896">
        <f t="shared" si="1"/>
        <v>0</v>
      </c>
      <c r="J17" s="896">
        <f t="shared" si="1"/>
        <v>0</v>
      </c>
      <c r="K17" s="896">
        <f t="shared" si="1"/>
        <v>0</v>
      </c>
      <c r="L17" s="896">
        <f t="shared" si="1"/>
        <v>0</v>
      </c>
      <c r="M17" s="896">
        <f t="shared" si="1"/>
        <v>0</v>
      </c>
      <c r="N17" s="896">
        <f t="shared" si="1"/>
        <v>0</v>
      </c>
      <c r="O17" s="69"/>
      <c r="P17" s="896">
        <f t="shared" si="1"/>
        <v>0</v>
      </c>
      <c r="Q17" s="896">
        <f t="shared" si="1"/>
        <v>0</v>
      </c>
      <c r="R17" s="896">
        <f t="shared" si="1"/>
        <v>0</v>
      </c>
      <c r="S17" s="896">
        <f t="shared" si="1"/>
        <v>0</v>
      </c>
    </row>
    <row r="18" spans="1:22" ht="46.5" customHeight="1" thickBot="1">
      <c r="B18" s="895"/>
      <c r="C18" s="474"/>
      <c r="D18" s="473"/>
      <c r="E18" s="69"/>
      <c r="F18" s="491"/>
      <c r="G18" s="1038" t="s">
        <v>1200</v>
      </c>
      <c r="H18" s="1039"/>
      <c r="I18" s="1039"/>
      <c r="J18" s="1039"/>
      <c r="K18" s="1039"/>
      <c r="L18" s="1039"/>
      <c r="M18" s="1039"/>
      <c r="N18" s="1040"/>
      <c r="O18" s="69"/>
      <c r="P18" s="894"/>
      <c r="Q18" s="894"/>
      <c r="R18" s="894"/>
      <c r="S18" s="893"/>
    </row>
    <row r="19" spans="1:22" ht="54.6" thickBot="1">
      <c r="B19" s="892"/>
      <c r="C19" s="891"/>
      <c r="D19" s="69"/>
      <c r="E19" s="908" t="s">
        <v>329</v>
      </c>
      <c r="F19" s="526"/>
      <c r="G19" s="890" t="s">
        <v>351</v>
      </c>
      <c r="H19" s="889"/>
      <c r="I19" s="888"/>
      <c r="J19" s="889"/>
      <c r="K19" s="888"/>
      <c r="L19" s="889"/>
      <c r="M19" s="888"/>
      <c r="N19" s="889"/>
      <c r="O19" s="69"/>
      <c r="P19" s="889" t="s">
        <v>342</v>
      </c>
      <c r="Q19" s="889"/>
      <c r="R19" s="889"/>
      <c r="S19" s="889"/>
      <c r="U19" s="1018" t="s">
        <v>1331</v>
      </c>
      <c r="V19" s="1018" t="s">
        <v>1330</v>
      </c>
    </row>
    <row r="20" spans="1:22" ht="15.6" thickBot="1">
      <c r="B20" s="887"/>
      <c r="C20" s="557"/>
      <c r="D20" s="69"/>
      <c r="E20" s="924" t="str">
        <f>PriorPeriod</f>
        <v>2019-20</v>
      </c>
      <c r="F20" s="527"/>
      <c r="G20" s="901" t="s">
        <v>324</v>
      </c>
      <c r="H20" s="900"/>
      <c r="I20" s="901" t="s">
        <v>325</v>
      </c>
      <c r="J20" s="900"/>
      <c r="K20" s="901" t="s">
        <v>326</v>
      </c>
      <c r="L20" s="900"/>
      <c r="M20" s="901" t="s">
        <v>327</v>
      </c>
      <c r="N20" s="900"/>
      <c r="O20" s="69"/>
      <c r="P20" s="956" t="s">
        <v>324</v>
      </c>
      <c r="Q20" s="956" t="s">
        <v>325</v>
      </c>
      <c r="R20" s="956" t="s">
        <v>326</v>
      </c>
      <c r="S20" s="956" t="s">
        <v>327</v>
      </c>
      <c r="U20" s="1006">
        <f>CONTROL!C103</f>
        <v>0</v>
      </c>
      <c r="V20" s="1007">
        <f>CONTROL!R103</f>
        <v>0</v>
      </c>
    </row>
    <row r="21" spans="1:22" ht="45.6" thickBot="1">
      <c r="B21" s="886" t="s">
        <v>168</v>
      </c>
      <c r="C21" s="886" t="s">
        <v>167</v>
      </c>
      <c r="D21" s="151"/>
      <c r="E21" s="898" t="s">
        <v>323</v>
      </c>
      <c r="F21" s="528"/>
      <c r="G21" s="898" t="s">
        <v>322</v>
      </c>
      <c r="H21" s="898" t="s">
        <v>335</v>
      </c>
      <c r="I21" s="898" t="s">
        <v>322</v>
      </c>
      <c r="J21" s="898" t="s">
        <v>335</v>
      </c>
      <c r="K21" s="898" t="s">
        <v>322</v>
      </c>
      <c r="L21" s="898" t="s">
        <v>335</v>
      </c>
      <c r="M21" s="898" t="s">
        <v>322</v>
      </c>
      <c r="N21" s="898" t="s">
        <v>335</v>
      </c>
      <c r="O21" s="69"/>
      <c r="P21" s="898" t="s">
        <v>323</v>
      </c>
      <c r="Q21" s="898" t="s">
        <v>323</v>
      </c>
      <c r="R21" s="898" t="s">
        <v>323</v>
      </c>
      <c r="S21" s="898" t="s">
        <v>323</v>
      </c>
      <c r="U21" s="529" t="s">
        <v>1329</v>
      </c>
      <c r="V21" s="1018" t="s">
        <v>1353</v>
      </c>
    </row>
    <row r="22" spans="1:22">
      <c r="A22" s="475">
        <v>1</v>
      </c>
      <c r="B22" s="885" t="s">
        <v>158</v>
      </c>
      <c r="C22" s="884" t="s">
        <v>1179</v>
      </c>
      <c r="D22" s="151"/>
      <c r="E22" s="955"/>
      <c r="F22" s="524"/>
      <c r="G22" s="955"/>
      <c r="H22" s="955"/>
      <c r="I22" s="955"/>
      <c r="J22" s="955"/>
      <c r="K22" s="955"/>
      <c r="L22" s="955"/>
      <c r="M22" s="955"/>
      <c r="N22" s="955"/>
      <c r="O22" s="69"/>
      <c r="P22" s="955"/>
      <c r="Q22" s="955"/>
      <c r="R22" s="955"/>
      <c r="S22" s="955"/>
      <c r="U22" s="1008">
        <f>CONTROL!C52</f>
        <v>0</v>
      </c>
      <c r="V22" s="1008">
        <f>CONTROL!R52</f>
        <v>0</v>
      </c>
    </row>
    <row r="23" spans="1:22">
      <c r="A23" s="475">
        <v>2</v>
      </c>
      <c r="B23" s="885" t="s">
        <v>240</v>
      </c>
      <c r="C23" s="884" t="s">
        <v>1179</v>
      </c>
      <c r="D23" s="151"/>
      <c r="E23" s="955"/>
      <c r="F23" s="524"/>
      <c r="G23" s="955"/>
      <c r="H23" s="955"/>
      <c r="I23" s="955"/>
      <c r="J23" s="955"/>
      <c r="K23" s="955"/>
      <c r="L23" s="955"/>
      <c r="M23" s="955"/>
      <c r="N23" s="955"/>
      <c r="O23" s="69"/>
      <c r="P23" s="955"/>
      <c r="Q23" s="955"/>
      <c r="R23" s="955"/>
      <c r="S23" s="955"/>
      <c r="U23" s="1008">
        <f>CONTROL!C53</f>
        <v>0</v>
      </c>
      <c r="V23" s="1008">
        <f>CONTROL!R53</f>
        <v>0</v>
      </c>
    </row>
    <row r="24" spans="1:22">
      <c r="A24" s="475" t="str">
        <f>IF(OR(C23=CONTROL!$B$109,ISBLANK(C23)),"",3)</f>
        <v/>
      </c>
      <c r="B24" s="883" t="s">
        <v>241</v>
      </c>
      <c r="C24" s="884" t="s">
        <v>1179</v>
      </c>
      <c r="D24" s="151"/>
      <c r="E24" s="955"/>
      <c r="F24" s="524"/>
      <c r="G24" s="955"/>
      <c r="H24" s="955"/>
      <c r="I24" s="955"/>
      <c r="J24" s="955"/>
      <c r="K24" s="955"/>
      <c r="L24" s="955"/>
      <c r="M24" s="955"/>
      <c r="N24" s="955"/>
      <c r="O24" s="69"/>
      <c r="P24" s="955"/>
      <c r="Q24" s="955"/>
      <c r="R24" s="955"/>
      <c r="S24" s="955"/>
      <c r="U24" s="1019">
        <f>CONTROL!C54</f>
        <v>0</v>
      </c>
      <c r="V24" s="1019">
        <f>CONTROL!R54</f>
        <v>0</v>
      </c>
    </row>
    <row r="25" spans="1:22">
      <c r="A25" s="475" t="str">
        <f>IF(OR(A24="",C24=CONTROL!$B$109,ISBLANK(C24)),"",4)</f>
        <v/>
      </c>
      <c r="B25" s="883" t="s">
        <v>242</v>
      </c>
      <c r="C25" s="884" t="s">
        <v>1179</v>
      </c>
      <c r="D25" s="516"/>
      <c r="E25" s="955"/>
      <c r="F25" s="524"/>
      <c r="G25" s="955"/>
      <c r="H25" s="955"/>
      <c r="I25" s="955"/>
      <c r="J25" s="955"/>
      <c r="K25" s="955"/>
      <c r="L25" s="955"/>
      <c r="M25" s="955"/>
      <c r="N25" s="955"/>
      <c r="O25" s="69"/>
      <c r="P25" s="955"/>
      <c r="Q25" s="955"/>
      <c r="R25" s="955"/>
      <c r="S25" s="955"/>
      <c r="U25" s="1019">
        <f>CONTROL!C55</f>
        <v>0</v>
      </c>
      <c r="V25" s="1019">
        <f>CONTROL!R55</f>
        <v>0</v>
      </c>
    </row>
    <row r="26" spans="1:22">
      <c r="A26" s="475" t="str">
        <f>IF(OR(A25="",C25=CONTROL!$B$109,ISBLANK(C25)),"",5)</f>
        <v/>
      </c>
      <c r="B26" s="883" t="s">
        <v>243</v>
      </c>
      <c r="C26" s="884" t="s">
        <v>1179</v>
      </c>
      <c r="D26" s="516"/>
      <c r="E26" s="955"/>
      <c r="F26" s="524"/>
      <c r="G26" s="955"/>
      <c r="H26" s="955"/>
      <c r="I26" s="955"/>
      <c r="J26" s="955"/>
      <c r="K26" s="955"/>
      <c r="L26" s="955"/>
      <c r="M26" s="955"/>
      <c r="N26" s="955"/>
      <c r="O26" s="69"/>
      <c r="P26" s="955"/>
      <c r="Q26" s="955"/>
      <c r="R26" s="955"/>
      <c r="S26" s="955"/>
      <c r="U26" s="1019">
        <f>CONTROL!C56</f>
        <v>0</v>
      </c>
      <c r="V26" s="1019">
        <f>CONTROL!R56</f>
        <v>0</v>
      </c>
    </row>
    <row r="27" spans="1:22">
      <c r="A27" s="475" t="str">
        <f>IF(OR(A26="",C26=CONTROL!$B$109,ISBLANK(C26)),"",6)</f>
        <v/>
      </c>
      <c r="B27" s="883" t="s">
        <v>244</v>
      </c>
      <c r="C27" s="884" t="s">
        <v>1179</v>
      </c>
      <c r="D27" s="516"/>
      <c r="E27" s="955"/>
      <c r="F27" s="524"/>
      <c r="G27" s="955"/>
      <c r="H27" s="955"/>
      <c r="I27" s="955"/>
      <c r="J27" s="955"/>
      <c r="K27" s="955"/>
      <c r="L27" s="955"/>
      <c r="M27" s="955"/>
      <c r="N27" s="955"/>
      <c r="O27" s="69"/>
      <c r="P27" s="955"/>
      <c r="Q27" s="955"/>
      <c r="R27" s="955"/>
      <c r="S27" s="955"/>
      <c r="U27" s="1019">
        <f>CONTROL!C57</f>
        <v>0</v>
      </c>
      <c r="V27" s="1019">
        <f>CONTROL!R57</f>
        <v>0</v>
      </c>
    </row>
    <row r="28" spans="1:22">
      <c r="A28" s="475" t="str">
        <f>IF(OR(A27="",C27=CONTROL!$B$109,ISBLANK(C27)),"",7)</f>
        <v/>
      </c>
      <c r="B28" s="883" t="s">
        <v>245</v>
      </c>
      <c r="C28" s="884" t="s">
        <v>1179</v>
      </c>
      <c r="D28" s="516"/>
      <c r="E28" s="955"/>
      <c r="F28" s="524"/>
      <c r="G28" s="955"/>
      <c r="H28" s="955"/>
      <c r="I28" s="955"/>
      <c r="J28" s="955"/>
      <c r="K28" s="955"/>
      <c r="L28" s="955"/>
      <c r="M28" s="955"/>
      <c r="N28" s="955"/>
      <c r="O28" s="69"/>
      <c r="P28" s="955"/>
      <c r="Q28" s="955"/>
      <c r="R28" s="955"/>
      <c r="S28" s="955"/>
      <c r="U28" s="1019">
        <f>CONTROL!C58</f>
        <v>0</v>
      </c>
      <c r="V28" s="1019">
        <f>CONTROL!R58</f>
        <v>0</v>
      </c>
    </row>
    <row r="29" spans="1:22">
      <c r="A29" s="475" t="str">
        <f>IF(OR(A28="",C28=CONTROL!$B$109,ISBLANK(C28)),"",8)</f>
        <v/>
      </c>
      <c r="B29" s="883" t="s">
        <v>246</v>
      </c>
      <c r="C29" s="884" t="s">
        <v>1179</v>
      </c>
      <c r="D29" s="516"/>
      <c r="E29" s="955"/>
      <c r="F29" s="524"/>
      <c r="G29" s="955"/>
      <c r="H29" s="955"/>
      <c r="I29" s="955"/>
      <c r="J29" s="955"/>
      <c r="K29" s="955"/>
      <c r="L29" s="955"/>
      <c r="M29" s="955"/>
      <c r="N29" s="955"/>
      <c r="O29" s="69"/>
      <c r="P29" s="955"/>
      <c r="Q29" s="955"/>
      <c r="R29" s="955"/>
      <c r="S29" s="955"/>
      <c r="U29" s="1019">
        <f>CONTROL!C59</f>
        <v>0</v>
      </c>
      <c r="V29" s="1019">
        <f>CONTROL!R59</f>
        <v>0</v>
      </c>
    </row>
    <row r="30" spans="1:22">
      <c r="A30" s="475" t="str">
        <f>IF(OR(A29="",C29=CONTROL!$B$109,ISBLANK(C29)),"",9)</f>
        <v/>
      </c>
      <c r="B30" s="883" t="s">
        <v>247</v>
      </c>
      <c r="C30" s="884" t="s">
        <v>1179</v>
      </c>
      <c r="D30" s="516"/>
      <c r="E30" s="955"/>
      <c r="F30" s="524"/>
      <c r="G30" s="955"/>
      <c r="H30" s="955"/>
      <c r="I30" s="955"/>
      <c r="J30" s="955"/>
      <c r="K30" s="955"/>
      <c r="L30" s="955"/>
      <c r="M30" s="955"/>
      <c r="N30" s="955"/>
      <c r="O30" s="69"/>
      <c r="P30" s="955"/>
      <c r="Q30" s="955"/>
      <c r="R30" s="955"/>
      <c r="S30" s="955"/>
      <c r="U30" s="1019">
        <f>CONTROL!C60</f>
        <v>0</v>
      </c>
      <c r="V30" s="1019">
        <f>CONTROL!R60</f>
        <v>0</v>
      </c>
    </row>
    <row r="31" spans="1:22">
      <c r="A31" s="475" t="str">
        <f>IF(OR(A30="",C30=CONTROL!$B$109,ISBLANK(C30)),"",10)</f>
        <v/>
      </c>
      <c r="B31" s="883" t="s">
        <v>248</v>
      </c>
      <c r="C31" s="884" t="s">
        <v>1179</v>
      </c>
      <c r="D31" s="516"/>
      <c r="E31" s="955"/>
      <c r="F31" s="524"/>
      <c r="G31" s="955"/>
      <c r="H31" s="955"/>
      <c r="I31" s="955"/>
      <c r="J31" s="955"/>
      <c r="K31" s="955"/>
      <c r="L31" s="955"/>
      <c r="M31" s="955"/>
      <c r="N31" s="955"/>
      <c r="O31" s="69"/>
      <c r="P31" s="955"/>
      <c r="Q31" s="955"/>
      <c r="R31" s="955"/>
      <c r="S31" s="955"/>
      <c r="U31" s="1019">
        <f>CONTROL!C61</f>
        <v>0</v>
      </c>
      <c r="V31" s="1019">
        <f>CONTROL!R61</f>
        <v>0</v>
      </c>
    </row>
    <row r="32" spans="1:22">
      <c r="A32" s="475" t="str">
        <f>IF(OR(A31="",C31=CONTROL!$B$109,ISBLANK(C31)),"",11)</f>
        <v/>
      </c>
      <c r="B32" s="883" t="s">
        <v>249</v>
      </c>
      <c r="C32" s="884" t="s">
        <v>1179</v>
      </c>
      <c r="D32" s="516"/>
      <c r="E32" s="955"/>
      <c r="F32" s="524"/>
      <c r="G32" s="955"/>
      <c r="H32" s="955"/>
      <c r="I32" s="955"/>
      <c r="J32" s="955"/>
      <c r="K32" s="955"/>
      <c r="L32" s="955"/>
      <c r="M32" s="955"/>
      <c r="N32" s="955"/>
      <c r="O32" s="69"/>
      <c r="P32" s="955"/>
      <c r="Q32" s="955"/>
      <c r="R32" s="955"/>
      <c r="S32" s="955"/>
      <c r="U32" s="1019">
        <f>CONTROL!C62</f>
        <v>0</v>
      </c>
      <c r="V32" s="1019">
        <f>CONTROL!R62</f>
        <v>0</v>
      </c>
    </row>
    <row r="33" spans="1:22">
      <c r="A33" s="475" t="str">
        <f>IF(OR(A32="",C32=CONTROL!$B$109,ISBLANK(C32)),"",12)</f>
        <v/>
      </c>
      <c r="B33" s="883" t="s">
        <v>250</v>
      </c>
      <c r="C33" s="884" t="s">
        <v>1179</v>
      </c>
      <c r="D33" s="516"/>
      <c r="E33" s="955"/>
      <c r="F33" s="524"/>
      <c r="G33" s="955"/>
      <c r="H33" s="955"/>
      <c r="I33" s="955"/>
      <c r="J33" s="955"/>
      <c r="K33" s="955"/>
      <c r="L33" s="955"/>
      <c r="M33" s="955"/>
      <c r="N33" s="955"/>
      <c r="O33" s="69"/>
      <c r="P33" s="955"/>
      <c r="Q33" s="955"/>
      <c r="R33" s="955"/>
      <c r="S33" s="955"/>
      <c r="U33" s="1019">
        <f>CONTROL!C63</f>
        <v>0</v>
      </c>
      <c r="V33" s="1019">
        <f>CONTROL!R63</f>
        <v>0</v>
      </c>
    </row>
    <row r="34" spans="1:22">
      <c r="A34" s="475" t="str">
        <f>IF(OR(A33="",C33=CONTROL!$B$109,ISBLANK(C33)),"",13)</f>
        <v/>
      </c>
      <c r="B34" s="883" t="s">
        <v>251</v>
      </c>
      <c r="C34" s="884" t="s">
        <v>1179</v>
      </c>
      <c r="D34" s="516"/>
      <c r="E34" s="955"/>
      <c r="F34" s="524"/>
      <c r="G34" s="955"/>
      <c r="H34" s="955"/>
      <c r="I34" s="955"/>
      <c r="J34" s="955"/>
      <c r="K34" s="955"/>
      <c r="L34" s="955"/>
      <c r="M34" s="955"/>
      <c r="N34" s="955"/>
      <c r="O34" s="69"/>
      <c r="P34" s="955"/>
      <c r="Q34" s="955"/>
      <c r="R34" s="955"/>
      <c r="S34" s="955"/>
      <c r="U34" s="1019">
        <f>CONTROL!C64</f>
        <v>0</v>
      </c>
      <c r="V34" s="1019">
        <f>CONTROL!R64</f>
        <v>0</v>
      </c>
    </row>
    <row r="35" spans="1:22">
      <c r="A35" s="475" t="str">
        <f>IF(OR(A34="",C34=CONTROL!$B$109,ISBLANK(C34)),"",14)</f>
        <v/>
      </c>
      <c r="B35" s="883" t="s">
        <v>252</v>
      </c>
      <c r="C35" s="884" t="s">
        <v>1179</v>
      </c>
      <c r="D35" s="516"/>
      <c r="E35" s="955"/>
      <c r="F35" s="524"/>
      <c r="G35" s="955"/>
      <c r="H35" s="955"/>
      <c r="I35" s="955"/>
      <c r="J35" s="955"/>
      <c r="K35" s="955"/>
      <c r="L35" s="955"/>
      <c r="M35" s="955"/>
      <c r="N35" s="955"/>
      <c r="O35" s="69"/>
      <c r="P35" s="955"/>
      <c r="Q35" s="955"/>
      <c r="R35" s="955"/>
      <c r="S35" s="955"/>
      <c r="U35" s="1019">
        <f>CONTROL!C65</f>
        <v>0</v>
      </c>
      <c r="V35" s="1019">
        <f>CONTROL!R65</f>
        <v>0</v>
      </c>
    </row>
    <row r="36" spans="1:22">
      <c r="A36" s="475" t="str">
        <f>IF(OR(A35="",C35=CONTROL!$B$109,ISBLANK(C35)),"",15)</f>
        <v/>
      </c>
      <c r="B36" s="883" t="s">
        <v>253</v>
      </c>
      <c r="C36" s="884" t="s">
        <v>1179</v>
      </c>
      <c r="D36" s="516"/>
      <c r="E36" s="955"/>
      <c r="F36" s="524"/>
      <c r="G36" s="955"/>
      <c r="H36" s="955"/>
      <c r="I36" s="955"/>
      <c r="J36" s="955"/>
      <c r="K36" s="955"/>
      <c r="L36" s="955"/>
      <c r="M36" s="955"/>
      <c r="N36" s="955"/>
      <c r="O36" s="69"/>
      <c r="P36" s="955"/>
      <c r="Q36" s="955"/>
      <c r="R36" s="955"/>
      <c r="S36" s="955"/>
      <c r="U36" s="1019">
        <f>CONTROL!C66</f>
        <v>0</v>
      </c>
      <c r="V36" s="1019">
        <f>CONTROL!R66</f>
        <v>0</v>
      </c>
    </row>
    <row r="37" spans="1:22">
      <c r="A37" s="475" t="str">
        <f>IF(OR(A36="",C36=CONTROL!$B$109,ISBLANK(C36)),"",16)</f>
        <v/>
      </c>
      <c r="B37" s="883" t="s">
        <v>254</v>
      </c>
      <c r="C37" s="884" t="s">
        <v>1179</v>
      </c>
      <c r="D37" s="516"/>
      <c r="E37" s="955"/>
      <c r="F37" s="524"/>
      <c r="G37" s="955"/>
      <c r="H37" s="955"/>
      <c r="I37" s="955"/>
      <c r="J37" s="955"/>
      <c r="K37" s="955"/>
      <c r="L37" s="955"/>
      <c r="M37" s="955"/>
      <c r="N37" s="955"/>
      <c r="O37" s="69"/>
      <c r="P37" s="955"/>
      <c r="Q37" s="955"/>
      <c r="R37" s="955"/>
      <c r="S37" s="955"/>
      <c r="U37" s="1019">
        <f>CONTROL!C67</f>
        <v>0</v>
      </c>
      <c r="V37" s="1019">
        <f>CONTROL!R67</f>
        <v>0</v>
      </c>
    </row>
    <row r="38" spans="1:22">
      <c r="A38" s="475" t="str">
        <f>IF(OR(A37="",C37=CONTROL!$B$109,ISBLANK(C37)),"",17)</f>
        <v/>
      </c>
      <c r="B38" s="883" t="s">
        <v>255</v>
      </c>
      <c r="C38" s="884" t="s">
        <v>1179</v>
      </c>
      <c r="D38" s="516"/>
      <c r="E38" s="955"/>
      <c r="F38" s="524"/>
      <c r="G38" s="955"/>
      <c r="H38" s="955"/>
      <c r="I38" s="955"/>
      <c r="J38" s="955"/>
      <c r="K38" s="955"/>
      <c r="L38" s="955"/>
      <c r="M38" s="955"/>
      <c r="N38" s="955"/>
      <c r="O38" s="69"/>
      <c r="P38" s="955"/>
      <c r="Q38" s="955"/>
      <c r="R38" s="955"/>
      <c r="S38" s="955"/>
      <c r="U38" s="1019">
        <f>CONTROL!C68</f>
        <v>0</v>
      </c>
      <c r="V38" s="1019">
        <f>CONTROL!R68</f>
        <v>0</v>
      </c>
    </row>
    <row r="39" spans="1:22">
      <c r="A39" s="475" t="str">
        <f>IF(OR(A38="",C38=CONTROL!$B$109,ISBLANK(C38)),"",18)</f>
        <v/>
      </c>
      <c r="B39" s="883" t="s">
        <v>256</v>
      </c>
      <c r="C39" s="884" t="s">
        <v>1179</v>
      </c>
      <c r="D39" s="516"/>
      <c r="E39" s="955"/>
      <c r="F39" s="524"/>
      <c r="G39" s="955"/>
      <c r="H39" s="955"/>
      <c r="I39" s="955"/>
      <c r="J39" s="955"/>
      <c r="K39" s="955"/>
      <c r="L39" s="955"/>
      <c r="M39" s="955"/>
      <c r="N39" s="955"/>
      <c r="O39" s="69"/>
      <c r="P39" s="955"/>
      <c r="Q39" s="955"/>
      <c r="R39" s="955"/>
      <c r="S39" s="955"/>
      <c r="U39" s="1019">
        <f>CONTROL!C69</f>
        <v>0</v>
      </c>
      <c r="V39" s="1019">
        <f>CONTROL!R69</f>
        <v>0</v>
      </c>
    </row>
    <row r="40" spans="1:22">
      <c r="A40" s="475" t="str">
        <f>IF(OR(A39="",C39=CONTROL!$B$109,ISBLANK(C39)),"",19)</f>
        <v/>
      </c>
      <c r="B40" s="883" t="s">
        <v>257</v>
      </c>
      <c r="C40" s="884" t="s">
        <v>1179</v>
      </c>
      <c r="D40" s="516"/>
      <c r="E40" s="955"/>
      <c r="F40" s="524"/>
      <c r="G40" s="955"/>
      <c r="H40" s="955"/>
      <c r="I40" s="955"/>
      <c r="J40" s="955"/>
      <c r="K40" s="955"/>
      <c r="L40" s="955"/>
      <c r="M40" s="955"/>
      <c r="N40" s="955"/>
      <c r="O40" s="69"/>
      <c r="P40" s="955"/>
      <c r="Q40" s="955"/>
      <c r="R40" s="955"/>
      <c r="S40" s="955"/>
      <c r="U40" s="1019">
        <f>CONTROL!C70</f>
        <v>0</v>
      </c>
      <c r="V40" s="1019">
        <f>CONTROL!R70</f>
        <v>0</v>
      </c>
    </row>
    <row r="41" spans="1:22">
      <c r="A41" s="475" t="str">
        <f>IF(OR(A40="",C40=CONTROL!$B$109,ISBLANK(C40)),"",20)</f>
        <v/>
      </c>
      <c r="B41" s="883" t="s">
        <v>258</v>
      </c>
      <c r="C41" s="884" t="s">
        <v>1179</v>
      </c>
      <c r="D41" s="516"/>
      <c r="E41" s="955"/>
      <c r="F41" s="524"/>
      <c r="G41" s="955"/>
      <c r="H41" s="955"/>
      <c r="I41" s="955"/>
      <c r="J41" s="955"/>
      <c r="K41" s="955"/>
      <c r="L41" s="955"/>
      <c r="M41" s="955"/>
      <c r="N41" s="955"/>
      <c r="O41" s="69"/>
      <c r="P41" s="955"/>
      <c r="Q41" s="955"/>
      <c r="R41" s="955"/>
      <c r="S41" s="955"/>
      <c r="U41" s="1019">
        <f>CONTROL!C71</f>
        <v>0</v>
      </c>
      <c r="V41" s="1019">
        <f>CONTROL!R71</f>
        <v>0</v>
      </c>
    </row>
    <row r="42" spans="1:22">
      <c r="A42" s="475" t="str">
        <f>IF(OR(A41="",C41=CONTROL!$B$109,ISBLANK(C41)),"",21)</f>
        <v/>
      </c>
      <c r="B42" s="883" t="s">
        <v>259</v>
      </c>
      <c r="C42" s="884" t="s">
        <v>1179</v>
      </c>
      <c r="D42" s="516"/>
      <c r="E42" s="955"/>
      <c r="F42" s="524"/>
      <c r="G42" s="955"/>
      <c r="H42" s="955"/>
      <c r="I42" s="955"/>
      <c r="J42" s="955"/>
      <c r="K42" s="955"/>
      <c r="L42" s="955"/>
      <c r="M42" s="955"/>
      <c r="N42" s="955"/>
      <c r="O42" s="69"/>
      <c r="P42" s="955"/>
      <c r="Q42" s="955"/>
      <c r="R42" s="955"/>
      <c r="S42" s="955"/>
      <c r="U42" s="1019">
        <f>CONTROL!C72</f>
        <v>0</v>
      </c>
      <c r="V42" s="1019">
        <f>CONTROL!R72</f>
        <v>0</v>
      </c>
    </row>
    <row r="43" spans="1:22">
      <c r="A43" s="475" t="str">
        <f>IF(OR(A42="",C42=CONTROL!$B$109,ISBLANK(C42)),"",22)</f>
        <v/>
      </c>
      <c r="B43" s="883" t="s">
        <v>260</v>
      </c>
      <c r="C43" s="884" t="s">
        <v>1179</v>
      </c>
      <c r="D43" s="516"/>
      <c r="E43" s="955"/>
      <c r="F43" s="524"/>
      <c r="G43" s="955"/>
      <c r="H43" s="955"/>
      <c r="I43" s="955"/>
      <c r="J43" s="955"/>
      <c r="K43" s="955"/>
      <c r="L43" s="955"/>
      <c r="M43" s="955"/>
      <c r="N43" s="955"/>
      <c r="O43" s="69"/>
      <c r="P43" s="955"/>
      <c r="Q43" s="955"/>
      <c r="R43" s="955"/>
      <c r="S43" s="955"/>
      <c r="U43" s="1019">
        <f>CONTROL!C73</f>
        <v>0</v>
      </c>
      <c r="V43" s="1019">
        <f>CONTROL!R73</f>
        <v>0</v>
      </c>
    </row>
    <row r="44" spans="1:22">
      <c r="A44" s="475" t="str">
        <f>IF(OR(A43="",C43=CONTROL!$B$109,ISBLANK(C43)),"",23)</f>
        <v/>
      </c>
      <c r="B44" s="883" t="s">
        <v>261</v>
      </c>
      <c r="C44" s="884" t="s">
        <v>1179</v>
      </c>
      <c r="D44" s="516"/>
      <c r="E44" s="955"/>
      <c r="F44" s="524"/>
      <c r="G44" s="955"/>
      <c r="H44" s="955"/>
      <c r="I44" s="955"/>
      <c r="J44" s="955"/>
      <c r="K44" s="955"/>
      <c r="L44" s="955"/>
      <c r="M44" s="955"/>
      <c r="N44" s="955"/>
      <c r="O44" s="69"/>
      <c r="P44" s="955"/>
      <c r="Q44" s="955"/>
      <c r="R44" s="955"/>
      <c r="S44" s="955"/>
      <c r="U44" s="1019">
        <f>CONTROL!C74</f>
        <v>0</v>
      </c>
      <c r="V44" s="1019">
        <f>CONTROL!R74</f>
        <v>0</v>
      </c>
    </row>
    <row r="45" spans="1:22">
      <c r="A45" s="475" t="str">
        <f>IF(OR(A44="",C44=CONTROL!$B$109,ISBLANK(C44)),"",24)</f>
        <v/>
      </c>
      <c r="B45" s="883" t="s">
        <v>262</v>
      </c>
      <c r="C45" s="884" t="s">
        <v>1179</v>
      </c>
      <c r="D45" s="516"/>
      <c r="E45" s="955"/>
      <c r="F45" s="524"/>
      <c r="G45" s="955"/>
      <c r="H45" s="955"/>
      <c r="I45" s="955"/>
      <c r="J45" s="955"/>
      <c r="K45" s="955"/>
      <c r="L45" s="955"/>
      <c r="M45" s="955"/>
      <c r="N45" s="955"/>
      <c r="O45" s="69"/>
      <c r="P45" s="955"/>
      <c r="Q45" s="955"/>
      <c r="R45" s="955"/>
      <c r="S45" s="955"/>
      <c r="U45" s="1019">
        <f>CONTROL!C75</f>
        <v>0</v>
      </c>
      <c r="V45" s="1019">
        <f>CONTROL!R75</f>
        <v>0</v>
      </c>
    </row>
    <row r="46" spans="1:22">
      <c r="A46" s="475" t="str">
        <f>IF(OR(A45="",C45=CONTROL!$B$109,ISBLANK(C45)),"",25)</f>
        <v/>
      </c>
      <c r="B46" s="883" t="s">
        <v>263</v>
      </c>
      <c r="C46" s="884" t="s">
        <v>1179</v>
      </c>
      <c r="D46" s="516"/>
      <c r="E46" s="955"/>
      <c r="F46" s="524"/>
      <c r="G46" s="955"/>
      <c r="H46" s="955"/>
      <c r="I46" s="955"/>
      <c r="J46" s="955"/>
      <c r="K46" s="955"/>
      <c r="L46" s="955"/>
      <c r="M46" s="955"/>
      <c r="N46" s="955"/>
      <c r="O46" s="69"/>
      <c r="P46" s="955"/>
      <c r="Q46" s="955"/>
      <c r="R46" s="955"/>
      <c r="S46" s="955"/>
      <c r="U46" s="1019">
        <f>CONTROL!C76</f>
        <v>0</v>
      </c>
      <c r="V46" s="1019">
        <f>CONTROL!R76</f>
        <v>0</v>
      </c>
    </row>
    <row r="47" spans="1:22">
      <c r="A47" s="475" t="str">
        <f>IF(OR(A46="",C46=CONTROL!$B$109,ISBLANK(C46)),"",26)</f>
        <v/>
      </c>
      <c r="B47" s="883" t="s">
        <v>264</v>
      </c>
      <c r="C47" s="884" t="s">
        <v>1179</v>
      </c>
      <c r="D47" s="516"/>
      <c r="E47" s="955"/>
      <c r="F47" s="524"/>
      <c r="G47" s="955"/>
      <c r="H47" s="955"/>
      <c r="I47" s="955"/>
      <c r="J47" s="955"/>
      <c r="K47" s="955"/>
      <c r="L47" s="955"/>
      <c r="M47" s="955"/>
      <c r="N47" s="955"/>
      <c r="O47" s="69"/>
      <c r="P47" s="955"/>
      <c r="Q47" s="955"/>
      <c r="R47" s="955"/>
      <c r="S47" s="955"/>
      <c r="U47" s="1019">
        <f>CONTROL!C77</f>
        <v>0</v>
      </c>
      <c r="V47" s="1019">
        <f>CONTROL!R77</f>
        <v>0</v>
      </c>
    </row>
    <row r="48" spans="1:22">
      <c r="A48" s="475" t="str">
        <f>IF(OR(A47="",C47=CONTROL!$B$109,ISBLANK(C47)),"",27)</f>
        <v/>
      </c>
      <c r="B48" s="883" t="s">
        <v>265</v>
      </c>
      <c r="C48" s="884" t="s">
        <v>1179</v>
      </c>
      <c r="D48" s="516"/>
      <c r="E48" s="955"/>
      <c r="F48" s="524"/>
      <c r="G48" s="955"/>
      <c r="H48" s="955"/>
      <c r="I48" s="955"/>
      <c r="J48" s="955"/>
      <c r="K48" s="955"/>
      <c r="L48" s="955"/>
      <c r="M48" s="955"/>
      <c r="N48" s="955"/>
      <c r="O48" s="69"/>
      <c r="P48" s="955"/>
      <c r="Q48" s="955"/>
      <c r="R48" s="955"/>
      <c r="S48" s="955"/>
      <c r="U48" s="1019">
        <f>CONTROL!C78</f>
        <v>0</v>
      </c>
      <c r="V48" s="1019">
        <f>CONTROL!R78</f>
        <v>0</v>
      </c>
    </row>
    <row r="49" spans="1:22">
      <c r="A49" s="475" t="str">
        <f>IF(OR(A48="",C48=CONTROL!$B$109,ISBLANK(C48)),"",28)</f>
        <v/>
      </c>
      <c r="B49" s="883" t="s">
        <v>266</v>
      </c>
      <c r="C49" s="884" t="s">
        <v>1179</v>
      </c>
      <c r="D49" s="516"/>
      <c r="E49" s="955"/>
      <c r="F49" s="524"/>
      <c r="G49" s="955"/>
      <c r="H49" s="955"/>
      <c r="I49" s="955"/>
      <c r="J49" s="955"/>
      <c r="K49" s="955"/>
      <c r="L49" s="955"/>
      <c r="M49" s="955"/>
      <c r="N49" s="955"/>
      <c r="O49" s="69"/>
      <c r="P49" s="955"/>
      <c r="Q49" s="955"/>
      <c r="R49" s="955"/>
      <c r="S49" s="955"/>
      <c r="U49" s="1019">
        <f>CONTROL!C79</f>
        <v>0</v>
      </c>
      <c r="V49" s="1019">
        <f>CONTROL!R79</f>
        <v>0</v>
      </c>
    </row>
    <row r="50" spans="1:22">
      <c r="A50" s="475" t="str">
        <f>IF(OR(A49="",C49=CONTROL!$B$109,ISBLANK(C49)),"",29)</f>
        <v/>
      </c>
      <c r="B50" s="883" t="s">
        <v>267</v>
      </c>
      <c r="C50" s="884" t="s">
        <v>1179</v>
      </c>
      <c r="D50" s="516"/>
      <c r="E50" s="955"/>
      <c r="F50" s="524"/>
      <c r="G50" s="955"/>
      <c r="H50" s="955"/>
      <c r="I50" s="955"/>
      <c r="J50" s="955"/>
      <c r="K50" s="955"/>
      <c r="L50" s="955"/>
      <c r="M50" s="955"/>
      <c r="N50" s="955"/>
      <c r="O50" s="69"/>
      <c r="P50" s="955"/>
      <c r="Q50" s="955"/>
      <c r="R50" s="955"/>
      <c r="S50" s="955"/>
      <c r="U50" s="1019">
        <f>CONTROL!C80</f>
        <v>0</v>
      </c>
      <c r="V50" s="1019">
        <f>CONTROL!R80</f>
        <v>0</v>
      </c>
    </row>
    <row r="51" spans="1:22">
      <c r="A51" s="475" t="str">
        <f>IF(OR(A50="",C50=CONTROL!$B$109,ISBLANK(C50)),"",30)</f>
        <v/>
      </c>
      <c r="B51" s="883" t="s">
        <v>268</v>
      </c>
      <c r="C51" s="884" t="s">
        <v>1179</v>
      </c>
      <c r="D51" s="516"/>
      <c r="E51" s="955"/>
      <c r="F51" s="524"/>
      <c r="G51" s="955"/>
      <c r="H51" s="955"/>
      <c r="I51" s="955"/>
      <c r="J51" s="955"/>
      <c r="K51" s="955"/>
      <c r="L51" s="955"/>
      <c r="M51" s="955"/>
      <c r="N51" s="955"/>
      <c r="O51" s="69"/>
      <c r="P51" s="955"/>
      <c r="Q51" s="955"/>
      <c r="R51" s="955"/>
      <c r="S51" s="955"/>
      <c r="U51" s="1019">
        <f>CONTROL!C81</f>
        <v>0</v>
      </c>
      <c r="V51" s="1019">
        <f>CONTROL!R81</f>
        <v>0</v>
      </c>
    </row>
    <row r="52" spans="1:22">
      <c r="A52" s="475" t="str">
        <f>IF(OR(A51="",C51=CONTROL!$B$109,ISBLANK(C51)),"",31)</f>
        <v/>
      </c>
      <c r="B52" s="883" t="s">
        <v>269</v>
      </c>
      <c r="C52" s="884" t="s">
        <v>1179</v>
      </c>
      <c r="D52" s="516"/>
      <c r="E52" s="955"/>
      <c r="F52" s="524"/>
      <c r="G52" s="955"/>
      <c r="H52" s="955"/>
      <c r="I52" s="955"/>
      <c r="J52" s="955"/>
      <c r="K52" s="955"/>
      <c r="L52" s="955"/>
      <c r="M52" s="955"/>
      <c r="N52" s="955"/>
      <c r="O52" s="69"/>
      <c r="P52" s="955"/>
      <c r="Q52" s="955"/>
      <c r="R52" s="955"/>
      <c r="S52" s="955"/>
      <c r="U52" s="1019">
        <f>CONTROL!C82</f>
        <v>0</v>
      </c>
      <c r="V52" s="1019">
        <f>CONTROL!R82</f>
        <v>0</v>
      </c>
    </row>
    <row r="53" spans="1:22">
      <c r="A53" s="475" t="str">
        <f>IF(OR(A52="",C52=CONTROL!$B$109,ISBLANK(C52)),"",32)</f>
        <v/>
      </c>
      <c r="B53" s="883" t="s">
        <v>270</v>
      </c>
      <c r="C53" s="884" t="s">
        <v>1179</v>
      </c>
      <c r="D53" s="516"/>
      <c r="E53" s="955"/>
      <c r="F53" s="524"/>
      <c r="G53" s="955"/>
      <c r="H53" s="955"/>
      <c r="I53" s="955"/>
      <c r="J53" s="955"/>
      <c r="K53" s="955"/>
      <c r="L53" s="955"/>
      <c r="M53" s="955"/>
      <c r="N53" s="955"/>
      <c r="O53" s="69"/>
      <c r="P53" s="955"/>
      <c r="Q53" s="955"/>
      <c r="R53" s="955"/>
      <c r="S53" s="955"/>
      <c r="U53" s="1019">
        <f>CONTROL!C83</f>
        <v>0</v>
      </c>
      <c r="V53" s="1019">
        <f>CONTROL!R83</f>
        <v>0</v>
      </c>
    </row>
    <row r="54" spans="1:22">
      <c r="A54" s="475" t="str">
        <f>IF(OR(A53="",C53=CONTROL!$B$109,ISBLANK(C53)),"",33)</f>
        <v/>
      </c>
      <c r="B54" s="883" t="s">
        <v>271</v>
      </c>
      <c r="C54" s="884" t="s">
        <v>1179</v>
      </c>
      <c r="D54" s="516"/>
      <c r="E54" s="955"/>
      <c r="F54" s="524"/>
      <c r="G54" s="955"/>
      <c r="H54" s="955"/>
      <c r="I54" s="955"/>
      <c r="J54" s="955"/>
      <c r="K54" s="955"/>
      <c r="L54" s="955"/>
      <c r="M54" s="955"/>
      <c r="N54" s="955"/>
      <c r="O54" s="69"/>
      <c r="P54" s="955"/>
      <c r="Q54" s="955"/>
      <c r="R54" s="955"/>
      <c r="S54" s="955"/>
      <c r="U54" s="1019">
        <f>CONTROL!C84</f>
        <v>0</v>
      </c>
      <c r="V54" s="1019">
        <f>CONTROL!R84</f>
        <v>0</v>
      </c>
    </row>
    <row r="55" spans="1:22">
      <c r="A55" s="475" t="str">
        <f>IF(OR(A54="",C54=CONTROL!$B$109,ISBLANK(C54)),"",34)</f>
        <v/>
      </c>
      <c r="B55" s="883" t="s">
        <v>272</v>
      </c>
      <c r="C55" s="884" t="s">
        <v>1179</v>
      </c>
      <c r="D55" s="516"/>
      <c r="E55" s="955"/>
      <c r="F55" s="524"/>
      <c r="G55" s="955"/>
      <c r="H55" s="955"/>
      <c r="I55" s="955"/>
      <c r="J55" s="955"/>
      <c r="K55" s="955"/>
      <c r="L55" s="955"/>
      <c r="M55" s="955"/>
      <c r="N55" s="955"/>
      <c r="O55" s="69"/>
      <c r="P55" s="955"/>
      <c r="Q55" s="955"/>
      <c r="R55" s="955"/>
      <c r="S55" s="955"/>
      <c r="U55" s="1019">
        <f>CONTROL!C85</f>
        <v>0</v>
      </c>
      <c r="V55" s="1019">
        <f>CONTROL!R85</f>
        <v>0</v>
      </c>
    </row>
    <row r="56" spans="1:22">
      <c r="A56" s="475" t="str">
        <f>IF(OR(A55="",C55=CONTROL!$B$109,ISBLANK(C55)),"",35)</f>
        <v/>
      </c>
      <c r="B56" s="883" t="s">
        <v>273</v>
      </c>
      <c r="C56" s="884" t="s">
        <v>1179</v>
      </c>
      <c r="D56" s="516"/>
      <c r="E56" s="955"/>
      <c r="F56" s="524"/>
      <c r="G56" s="955"/>
      <c r="H56" s="955"/>
      <c r="I56" s="955"/>
      <c r="J56" s="955"/>
      <c r="K56" s="955"/>
      <c r="L56" s="955"/>
      <c r="M56" s="955"/>
      <c r="N56" s="955"/>
      <c r="O56" s="69"/>
      <c r="P56" s="955"/>
      <c r="Q56" s="955"/>
      <c r="R56" s="955"/>
      <c r="S56" s="955"/>
      <c r="U56" s="1019">
        <f>CONTROL!C86</f>
        <v>0</v>
      </c>
      <c r="V56" s="1019">
        <f>CONTROL!R86</f>
        <v>0</v>
      </c>
    </row>
    <row r="57" spans="1:22">
      <c r="A57" s="475" t="str">
        <f>IF(OR(A56="",C56=CONTROL!$B$109,ISBLANK(C56)),"",36)</f>
        <v/>
      </c>
      <c r="B57" s="883" t="s">
        <v>274</v>
      </c>
      <c r="C57" s="884" t="s">
        <v>1179</v>
      </c>
      <c r="D57" s="516"/>
      <c r="E57" s="955"/>
      <c r="F57" s="524"/>
      <c r="G57" s="955"/>
      <c r="H57" s="955"/>
      <c r="I57" s="955"/>
      <c r="J57" s="955"/>
      <c r="K57" s="955"/>
      <c r="L57" s="955"/>
      <c r="M57" s="955"/>
      <c r="N57" s="955"/>
      <c r="O57" s="69"/>
      <c r="P57" s="955"/>
      <c r="Q57" s="955"/>
      <c r="R57" s="955"/>
      <c r="S57" s="955"/>
      <c r="U57" s="1019">
        <f>CONTROL!C87</f>
        <v>0</v>
      </c>
      <c r="V57" s="1019">
        <f>CONTROL!R87</f>
        <v>0</v>
      </c>
    </row>
    <row r="58" spans="1:22">
      <c r="A58" s="475" t="str">
        <f>IF(OR(A57="",C57=CONTROL!$B$109,ISBLANK(C57)),"",37)</f>
        <v/>
      </c>
      <c r="B58" s="883" t="s">
        <v>275</v>
      </c>
      <c r="C58" s="884" t="s">
        <v>1179</v>
      </c>
      <c r="D58" s="516"/>
      <c r="E58" s="955"/>
      <c r="F58" s="524"/>
      <c r="G58" s="955"/>
      <c r="H58" s="955"/>
      <c r="I58" s="955"/>
      <c r="J58" s="955"/>
      <c r="K58" s="955"/>
      <c r="L58" s="955"/>
      <c r="M58" s="955"/>
      <c r="N58" s="955"/>
      <c r="O58" s="69"/>
      <c r="P58" s="955"/>
      <c r="Q58" s="955"/>
      <c r="R58" s="955"/>
      <c r="S58" s="955"/>
      <c r="U58" s="1019">
        <f>CONTROL!C88</f>
        <v>0</v>
      </c>
      <c r="V58" s="1019">
        <f>CONTROL!R88</f>
        <v>0</v>
      </c>
    </row>
    <row r="59" spans="1:22">
      <c r="A59" s="475" t="str">
        <f>IF(OR(A58="",C58=CONTROL!$B$109,ISBLANK(C58)),"",38)</f>
        <v/>
      </c>
      <c r="B59" s="883" t="s">
        <v>276</v>
      </c>
      <c r="C59" s="884" t="s">
        <v>1179</v>
      </c>
      <c r="D59" s="516"/>
      <c r="E59" s="955"/>
      <c r="F59" s="524"/>
      <c r="G59" s="955"/>
      <c r="H59" s="955"/>
      <c r="I59" s="955"/>
      <c r="J59" s="955"/>
      <c r="K59" s="955"/>
      <c r="L59" s="955"/>
      <c r="M59" s="955"/>
      <c r="N59" s="955"/>
      <c r="O59" s="69"/>
      <c r="P59" s="955"/>
      <c r="Q59" s="955"/>
      <c r="R59" s="955"/>
      <c r="S59" s="955"/>
      <c r="U59" s="1019">
        <f>CONTROL!C89</f>
        <v>0</v>
      </c>
      <c r="V59" s="1019">
        <f>CONTROL!R89</f>
        <v>0</v>
      </c>
    </row>
    <row r="60" spans="1:22">
      <c r="A60" s="475" t="str">
        <f>IF(OR(A59="",C59=CONTROL!$B$109,ISBLANK(C59)),"",39)</f>
        <v/>
      </c>
      <c r="B60" s="883" t="s">
        <v>277</v>
      </c>
      <c r="C60" s="884" t="s">
        <v>1179</v>
      </c>
      <c r="D60" s="516"/>
      <c r="E60" s="955"/>
      <c r="F60" s="524"/>
      <c r="G60" s="955"/>
      <c r="H60" s="955"/>
      <c r="I60" s="955"/>
      <c r="J60" s="955"/>
      <c r="K60" s="955"/>
      <c r="L60" s="955"/>
      <c r="M60" s="955"/>
      <c r="N60" s="955"/>
      <c r="O60" s="69"/>
      <c r="P60" s="955"/>
      <c r="Q60" s="955"/>
      <c r="R60" s="955"/>
      <c r="S60" s="955"/>
      <c r="U60" s="1019">
        <f>CONTROL!C90</f>
        <v>0</v>
      </c>
      <c r="V60" s="1019">
        <f>CONTROL!R90</f>
        <v>0</v>
      </c>
    </row>
    <row r="61" spans="1:22">
      <c r="A61" s="475" t="str">
        <f>IF(OR(A60="",C60=CONTROL!$B$109,ISBLANK(C60)),"",40)</f>
        <v/>
      </c>
      <c r="B61" s="883" t="s">
        <v>278</v>
      </c>
      <c r="C61" s="884" t="s">
        <v>1179</v>
      </c>
      <c r="D61" s="516"/>
      <c r="E61" s="955"/>
      <c r="F61" s="524"/>
      <c r="G61" s="955"/>
      <c r="H61" s="955"/>
      <c r="I61" s="955"/>
      <c r="J61" s="955"/>
      <c r="K61" s="955"/>
      <c r="L61" s="955"/>
      <c r="M61" s="955"/>
      <c r="N61" s="955"/>
      <c r="O61" s="69"/>
      <c r="P61" s="955"/>
      <c r="Q61" s="955"/>
      <c r="R61" s="955"/>
      <c r="S61" s="955"/>
      <c r="U61" s="1019">
        <f>CONTROL!C91</f>
        <v>0</v>
      </c>
      <c r="V61" s="1019">
        <f>CONTROL!R91</f>
        <v>0</v>
      </c>
    </row>
    <row r="62" spans="1:22">
      <c r="A62" s="475" t="str">
        <f>IF(OR(A61="",C61=CONTROL!$B$109,ISBLANK(C61)),"",41)</f>
        <v/>
      </c>
      <c r="B62" s="883" t="s">
        <v>279</v>
      </c>
      <c r="C62" s="884" t="s">
        <v>1179</v>
      </c>
      <c r="D62" s="516"/>
      <c r="E62" s="955"/>
      <c r="F62" s="524"/>
      <c r="G62" s="955"/>
      <c r="H62" s="955"/>
      <c r="I62" s="955"/>
      <c r="J62" s="955"/>
      <c r="K62" s="955"/>
      <c r="L62" s="955"/>
      <c r="M62" s="955"/>
      <c r="N62" s="955"/>
      <c r="O62" s="69"/>
      <c r="P62" s="955"/>
      <c r="Q62" s="955"/>
      <c r="R62" s="955"/>
      <c r="S62" s="955"/>
      <c r="U62" s="1019">
        <f>CONTROL!C92</f>
        <v>0</v>
      </c>
      <c r="V62" s="1019">
        <f>CONTROL!R92</f>
        <v>0</v>
      </c>
    </row>
    <row r="63" spans="1:22">
      <c r="A63" s="475" t="str">
        <f>IF(OR(A62="",C62=CONTROL!$B$109,ISBLANK(C62)),"",42)</f>
        <v/>
      </c>
      <c r="B63" s="883" t="s">
        <v>280</v>
      </c>
      <c r="C63" s="884" t="s">
        <v>1179</v>
      </c>
      <c r="D63" s="516"/>
      <c r="E63" s="955"/>
      <c r="F63" s="524"/>
      <c r="G63" s="955"/>
      <c r="H63" s="955"/>
      <c r="I63" s="955"/>
      <c r="J63" s="955"/>
      <c r="K63" s="955"/>
      <c r="L63" s="955"/>
      <c r="M63" s="955"/>
      <c r="N63" s="955"/>
      <c r="O63" s="69"/>
      <c r="P63" s="955"/>
      <c r="Q63" s="955"/>
      <c r="R63" s="955"/>
      <c r="S63" s="955"/>
      <c r="U63" s="1019">
        <f>CONTROL!C93</f>
        <v>0</v>
      </c>
      <c r="V63" s="1019">
        <f>CONTROL!R93</f>
        <v>0</v>
      </c>
    </row>
    <row r="64" spans="1:22">
      <c r="A64" s="475" t="str">
        <f>IF(OR(A63="",C63=CONTROL!$B$109,ISBLANK(C63)),"",43)</f>
        <v/>
      </c>
      <c r="B64" s="883" t="s">
        <v>281</v>
      </c>
      <c r="C64" s="884" t="s">
        <v>1179</v>
      </c>
      <c r="D64" s="516"/>
      <c r="E64" s="955"/>
      <c r="F64" s="524"/>
      <c r="G64" s="955"/>
      <c r="H64" s="955"/>
      <c r="I64" s="955"/>
      <c r="J64" s="955"/>
      <c r="K64" s="955"/>
      <c r="L64" s="955"/>
      <c r="M64" s="955"/>
      <c r="N64" s="955"/>
      <c r="O64" s="69"/>
      <c r="P64" s="955"/>
      <c r="Q64" s="955"/>
      <c r="R64" s="955"/>
      <c r="S64" s="955"/>
      <c r="U64" s="1019">
        <f>CONTROL!C94</f>
        <v>0</v>
      </c>
      <c r="V64" s="1019">
        <f>CONTROL!R94</f>
        <v>0</v>
      </c>
    </row>
    <row r="65" spans="1:22">
      <c r="A65" s="475" t="str">
        <f>IF(OR(A64="",C64=CONTROL!$B$109,ISBLANK(C64)),"",44)</f>
        <v/>
      </c>
      <c r="B65" s="883" t="s">
        <v>282</v>
      </c>
      <c r="C65" s="884" t="s">
        <v>1179</v>
      </c>
      <c r="D65" s="516"/>
      <c r="E65" s="955"/>
      <c r="F65" s="516"/>
      <c r="G65" s="955"/>
      <c r="H65" s="955"/>
      <c r="I65" s="955"/>
      <c r="J65" s="955"/>
      <c r="K65" s="955"/>
      <c r="L65" s="955"/>
      <c r="M65" s="955"/>
      <c r="N65" s="955"/>
      <c r="O65" s="516"/>
      <c r="P65" s="955"/>
      <c r="Q65" s="955"/>
      <c r="R65" s="955"/>
      <c r="S65" s="955"/>
      <c r="U65" s="1019">
        <f>CONTROL!C95</f>
        <v>0</v>
      </c>
      <c r="V65" s="1019">
        <f>CONTROL!R95</f>
        <v>0</v>
      </c>
    </row>
    <row r="66" spans="1:22">
      <c r="A66" s="475" t="str">
        <f>IF(OR(A65="",C65=CONTROL!$B$109,ISBLANK(C65)),"",45)</f>
        <v/>
      </c>
      <c r="B66" s="883" t="s">
        <v>283</v>
      </c>
      <c r="C66" s="884" t="s">
        <v>1179</v>
      </c>
      <c r="D66" s="516"/>
      <c r="E66" s="955"/>
      <c r="F66" s="516"/>
      <c r="G66" s="955"/>
      <c r="H66" s="955"/>
      <c r="I66" s="955"/>
      <c r="J66" s="955"/>
      <c r="K66" s="955"/>
      <c r="L66" s="955"/>
      <c r="M66" s="955"/>
      <c r="N66" s="955"/>
      <c r="O66" s="516"/>
      <c r="P66" s="955"/>
      <c r="Q66" s="955"/>
      <c r="R66" s="955"/>
      <c r="S66" s="955"/>
      <c r="U66" s="1019">
        <f>CONTROL!C96</f>
        <v>0</v>
      </c>
      <c r="V66" s="1019">
        <f>CONTROL!R96</f>
        <v>0</v>
      </c>
    </row>
    <row r="67" spans="1:22">
      <c r="A67" s="475" t="str">
        <f>IF(OR(A66="",C66=CONTROL!$B$109,ISBLANK(C66)),"",46)</f>
        <v/>
      </c>
      <c r="B67" s="883" t="s">
        <v>284</v>
      </c>
      <c r="C67" s="884" t="s">
        <v>1179</v>
      </c>
      <c r="D67" s="516"/>
      <c r="E67" s="955"/>
      <c r="F67" s="524"/>
      <c r="G67" s="955"/>
      <c r="H67" s="955"/>
      <c r="I67" s="955"/>
      <c r="J67" s="955"/>
      <c r="K67" s="955"/>
      <c r="L67" s="955"/>
      <c r="M67" s="955"/>
      <c r="N67" s="955"/>
      <c r="O67" s="69"/>
      <c r="P67" s="955"/>
      <c r="Q67" s="955"/>
      <c r="R67" s="955"/>
      <c r="S67" s="955"/>
      <c r="U67" s="1019">
        <f>CONTROL!C97</f>
        <v>0</v>
      </c>
      <c r="V67" s="1019">
        <f>CONTROL!R97</f>
        <v>0</v>
      </c>
    </row>
    <row r="68" spans="1:22">
      <c r="A68" s="475" t="str">
        <f>IF(OR(A67="",C67=CONTROL!$B$109,ISBLANK(C67)),"",47)</f>
        <v/>
      </c>
      <c r="B68" s="883" t="s">
        <v>285</v>
      </c>
      <c r="C68" s="884" t="s">
        <v>1179</v>
      </c>
      <c r="D68" s="516"/>
      <c r="E68" s="955"/>
      <c r="F68" s="524"/>
      <c r="G68" s="955"/>
      <c r="H68" s="955"/>
      <c r="I68" s="955"/>
      <c r="J68" s="955"/>
      <c r="K68" s="955"/>
      <c r="L68" s="955"/>
      <c r="M68" s="955"/>
      <c r="N68" s="955"/>
      <c r="O68" s="69"/>
      <c r="P68" s="955"/>
      <c r="Q68" s="955"/>
      <c r="R68" s="955"/>
      <c r="S68" s="955"/>
      <c r="U68" s="1019">
        <f>CONTROL!C98</f>
        <v>0</v>
      </c>
      <c r="V68" s="1019">
        <f>CONTROL!R98</f>
        <v>0</v>
      </c>
    </row>
    <row r="69" spans="1:22">
      <c r="A69" s="475" t="str">
        <f>IF(OR(A68="",C68=CONTROL!$B$109,ISBLANK(C68)),"",48)</f>
        <v/>
      </c>
      <c r="B69" s="883" t="s">
        <v>286</v>
      </c>
      <c r="C69" s="884" t="s">
        <v>1179</v>
      </c>
      <c r="D69" s="516"/>
      <c r="E69" s="955"/>
      <c r="F69" s="524"/>
      <c r="G69" s="955"/>
      <c r="H69" s="955"/>
      <c r="I69" s="955"/>
      <c r="J69" s="955"/>
      <c r="K69" s="955"/>
      <c r="L69" s="955"/>
      <c r="M69" s="955"/>
      <c r="N69" s="955"/>
      <c r="O69" s="69"/>
      <c r="P69" s="955"/>
      <c r="Q69" s="955"/>
      <c r="R69" s="955"/>
      <c r="S69" s="955"/>
      <c r="U69" s="1019">
        <f>CONTROL!C99</f>
        <v>0</v>
      </c>
      <c r="V69" s="1019">
        <f>CONTROL!R99</f>
        <v>0</v>
      </c>
    </row>
    <row r="70" spans="1:22">
      <c r="A70" s="475" t="str">
        <f>IF(OR(A69="",C69=CONTROL!$B$109,ISBLANK(C69)),"",49)</f>
        <v/>
      </c>
      <c r="B70" s="883" t="s">
        <v>287</v>
      </c>
      <c r="C70" s="884" t="s">
        <v>1179</v>
      </c>
      <c r="D70" s="516"/>
      <c r="E70" s="955"/>
      <c r="F70" s="524"/>
      <c r="G70" s="955"/>
      <c r="H70" s="955"/>
      <c r="I70" s="955"/>
      <c r="J70" s="955"/>
      <c r="K70" s="955"/>
      <c r="L70" s="955"/>
      <c r="M70" s="955"/>
      <c r="N70" s="955"/>
      <c r="O70" s="69"/>
      <c r="P70" s="955"/>
      <c r="Q70" s="955"/>
      <c r="R70" s="955"/>
      <c r="S70" s="955"/>
      <c r="U70" s="1019">
        <f>CONTROL!C100</f>
        <v>0</v>
      </c>
      <c r="V70" s="1019">
        <f>CONTROL!R100</f>
        <v>0</v>
      </c>
    </row>
    <row r="71" spans="1:22">
      <c r="A71" s="475" t="str">
        <f>IF(OR(A70="",C70=CONTROL!$B$109,ISBLANK(C70)),"",50)</f>
        <v/>
      </c>
      <c r="B71" s="883" t="s">
        <v>288</v>
      </c>
      <c r="C71" s="884" t="s">
        <v>1179</v>
      </c>
      <c r="D71" s="882"/>
      <c r="E71" s="881"/>
      <c r="F71" s="880"/>
      <c r="G71" s="881"/>
      <c r="H71" s="881"/>
      <c r="I71" s="881"/>
      <c r="J71" s="881"/>
      <c r="K71" s="881"/>
      <c r="L71" s="881"/>
      <c r="M71" s="881"/>
      <c r="N71" s="881"/>
      <c r="O71" s="879"/>
      <c r="P71" s="881"/>
      <c r="Q71" s="881"/>
      <c r="R71" s="881"/>
      <c r="S71" s="881"/>
      <c r="U71" s="1019">
        <f>CONTROL!C101</f>
        <v>0</v>
      </c>
      <c r="V71" s="1019">
        <f>CONTROL!R101</f>
        <v>0</v>
      </c>
    </row>
    <row r="72" spans="1:22">
      <c r="D72" s="69"/>
      <c r="F72" s="69"/>
      <c r="O72" s="69"/>
    </row>
  </sheetData>
  <sheetProtection algorithmName="SHA-512" hashValue="ut1ptqU5anbQKPvoFqKPDXwm2MALyp5tJ2rU7JsgaC4sEXq90UDD1+o1p2h6lkgBZKuj+n0g5SWpMzuHirfqoQ==" saltValue="UJtads9XEiGORbOOMaS66g==" spinCount="100000" sheet="1" objects="1" scenarios="1"/>
  <mergeCells count="1">
    <mergeCell ref="G18:N18"/>
  </mergeCells>
  <conditionalFormatting sqref="E3:S3">
    <cfRule type="expression" dxfId="87" priority="45">
      <formula>$E$3=Mssg2</formula>
    </cfRule>
  </conditionalFormatting>
  <conditionalFormatting sqref="C22:C71">
    <cfRule type="expression" dxfId="86" priority="34">
      <formula>AND(ISNUMBER($A22)=FALSE,$C22&lt;&gt;"(Select from drop-down list) →")</formula>
    </cfRule>
  </conditionalFormatting>
  <conditionalFormatting sqref="C22:C71">
    <cfRule type="expression" dxfId="85" priority="30">
      <formula>IF(C22&lt;&gt;"(Select from drop-down list) →",COUNTIF($C$22:$C$71,C22)&gt;1,"")</formula>
    </cfRule>
  </conditionalFormatting>
  <conditionalFormatting sqref="P24:S71 E25:N64 E67:N71 E65:E66 G65:N66 E24:H24">
    <cfRule type="expression" dxfId="84" priority="29">
      <formula>OR(LEN($A24)=0,LEN($C24)=0,$C24="(Select from drop-down list)")</formula>
    </cfRule>
  </conditionalFormatting>
  <conditionalFormatting sqref="I11:I12 I4:I5">
    <cfRule type="expression" dxfId="83" priority="33">
      <formula>cow</formula>
    </cfRule>
  </conditionalFormatting>
  <conditionalFormatting sqref="P22:S23 G25:N50 E22:H23 G23:H24">
    <cfRule type="expression" dxfId="82" priority="22">
      <formula>OR($C22="(Select from drop-down list)",LEN($C22)=0)</formula>
    </cfRule>
  </conditionalFormatting>
  <conditionalFormatting sqref="E2:S2">
    <cfRule type="expression" dxfId="81" priority="56">
      <formula>$E$2=Mssg1</formula>
    </cfRule>
  </conditionalFormatting>
  <conditionalFormatting sqref="E24:E50">
    <cfRule type="expression" dxfId="80" priority="21">
      <formula>OR($C24="(Select from drop-down list)",LEN($C24)=0)</formula>
    </cfRule>
  </conditionalFormatting>
  <conditionalFormatting sqref="B25:S72 B24:H24 O24:S24 C22:C71">
    <cfRule type="expression" dxfId="79" priority="35">
      <formula>ISNUMBER($A22)=FALSE</formula>
    </cfRule>
  </conditionalFormatting>
  <conditionalFormatting sqref="I24">
    <cfRule type="expression" dxfId="78" priority="19">
      <formula>OR(LEN($A24)=0,LEN($C24)=0,$C24="(Select from drop-down list)")</formula>
    </cfRule>
  </conditionalFormatting>
  <conditionalFormatting sqref="I22:I24">
    <cfRule type="expression" dxfId="77" priority="18">
      <formula>OR($C22="(Select from drop-down list)",LEN($C22)=0)</formula>
    </cfRule>
  </conditionalFormatting>
  <conditionalFormatting sqref="I24">
    <cfRule type="expression" dxfId="76" priority="20">
      <formula>ISNUMBER($A24)=FALSE</formula>
    </cfRule>
  </conditionalFormatting>
  <conditionalFormatting sqref="K24">
    <cfRule type="expression" dxfId="75" priority="16">
      <formula>OR(LEN($A24)=0,LEN($C24)=0,$C24="(Select from drop-down list)")</formula>
    </cfRule>
  </conditionalFormatting>
  <conditionalFormatting sqref="K22:K24">
    <cfRule type="expression" dxfId="74" priority="15">
      <formula>OR($C22="(Select from drop-down list)",LEN($C22)=0)</formula>
    </cfRule>
  </conditionalFormatting>
  <conditionalFormatting sqref="K24">
    <cfRule type="expression" dxfId="73" priority="17">
      <formula>ISNUMBER($A24)=FALSE</formula>
    </cfRule>
  </conditionalFormatting>
  <conditionalFormatting sqref="M24">
    <cfRule type="expression" dxfId="72" priority="13">
      <formula>OR(LEN($A24)=0,LEN($C24)=0,$C24="(Select from drop-down list)")</formula>
    </cfRule>
  </conditionalFormatting>
  <conditionalFormatting sqref="M22:M24">
    <cfRule type="expression" dxfId="71" priority="12">
      <formula>OR($C22="(Select from drop-down list)",LEN($C22)=0)</formula>
    </cfRule>
  </conditionalFormatting>
  <conditionalFormatting sqref="M24">
    <cfRule type="expression" dxfId="70" priority="14">
      <formula>ISNUMBER($A24)=FALSE</formula>
    </cfRule>
  </conditionalFormatting>
  <conditionalFormatting sqref="J24">
    <cfRule type="expression" dxfId="69" priority="10">
      <formula>OR(LEN($A24)=0,LEN($C24)=0,$C24="(Select from drop-down list)")</formula>
    </cfRule>
  </conditionalFormatting>
  <conditionalFormatting sqref="J22:J24">
    <cfRule type="expression" dxfId="68" priority="9">
      <formula>OR($C22="(Select from drop-down list)",LEN($C22)=0)</formula>
    </cfRule>
  </conditionalFormatting>
  <conditionalFormatting sqref="J24">
    <cfRule type="expression" dxfId="67" priority="11">
      <formula>ISNUMBER($A24)=FALSE</formula>
    </cfRule>
  </conditionalFormatting>
  <conditionalFormatting sqref="L24">
    <cfRule type="expression" dxfId="66" priority="7">
      <formula>OR(LEN($A24)=0,LEN($C24)=0,$C24="(Select from drop-down list)")</formula>
    </cfRule>
  </conditionalFormatting>
  <conditionalFormatting sqref="L22:L24">
    <cfRule type="expression" dxfId="65" priority="6">
      <formula>OR($C22="(Select from drop-down list)",LEN($C22)=0)</formula>
    </cfRule>
  </conditionalFormatting>
  <conditionalFormatting sqref="L24">
    <cfRule type="expression" dxfId="64" priority="8">
      <formula>ISNUMBER($A24)=FALSE</formula>
    </cfRule>
  </conditionalFormatting>
  <conditionalFormatting sqref="N24">
    <cfRule type="expression" dxfId="63" priority="4">
      <formula>OR(LEN($A24)=0,LEN($C24)=0,$C24="(Select from drop-down list)")</formula>
    </cfRule>
  </conditionalFormatting>
  <conditionalFormatting sqref="N22:N24">
    <cfRule type="expression" dxfId="62" priority="3">
      <formula>OR($C22="(Select from drop-down list)",LEN($C22)=0)</formula>
    </cfRule>
  </conditionalFormatting>
  <conditionalFormatting sqref="N24">
    <cfRule type="expression" dxfId="61" priority="5">
      <formula>ISNUMBER($A24)=FALSE</formula>
    </cfRule>
  </conditionalFormatting>
  <conditionalFormatting sqref="U24:V71">
    <cfRule type="expression" dxfId="60" priority="2">
      <formula>ISNUMBER($A24)=FALSE</formula>
    </cfRule>
  </conditionalFormatting>
  <dataValidations count="5">
    <dataValidation type="custom" showInputMessage="1" showErrorMessage="1" errorTitle="District Name Selection" error="Please select &quot;District Name&quot; in column C from drop-down list before entering enrollment data." sqref="E22:F71 H22:N71 G23:G71">
      <formula1>AND($C22&lt;&gt;"(Select from drop-down list) →",ISBLANK($C22)&lt;&gt;TRUE)</formula1>
    </dataValidation>
    <dataValidation type="whole" showInputMessage="1" showErrorMessage="1" errorTitle="SCHOOL DISTRICTS" error="Please enter a number between 1 &amp; 50." sqref="D16:D18">
      <formula1>1</formula1>
      <formula2>50</formula2>
    </dataValidation>
    <dataValidation showInputMessage="1" showErrorMessage="1" errorTitle="SCHOOL DISTRICTS" error="Please enter a number between 1 &amp; 50." sqref="P16:S18 G18 F16:F18 E16:E17 G16:N17"/>
    <dataValidation type="whole" showInputMessage="1" showErrorMessage="1" sqref="D13:D15">
      <formula1>0</formula1>
      <formula2>50</formula2>
    </dataValidation>
    <dataValidation type="custom" showInputMessage="1" showErrorMessage="1" errorTitle="District Name Selection" error="Please select &quot;District Name&quot; in column C from drop-down list before entering enrollment data." sqref="G22">
      <formula1>AND($C22&lt;&gt;"(Select from drop-down list) →",ISBLANK($C22)&lt;&gt;TRUE)</formula1>
    </dataValidation>
  </dataValidations>
  <printOptions horizontalCentered="1"/>
  <pageMargins left="0.49" right="0.45" top="0.31" bottom="0.28000000000000003" header="0.3" footer="0.3"/>
  <pageSetup scale="53" orientation="landscape" r:id="rId1"/>
  <headerFooter>
    <oddFooter>&amp;CPage &amp;P of &amp;N&amp;R&amp;F</oddFooter>
  </headerFooter>
  <legacyDrawing r:id="rId2"/>
  <extLst>
    <ext xmlns:x14="http://schemas.microsoft.com/office/spreadsheetml/2009/9/main" uri="{CCE6A557-97BC-4b89-ADB6-D9C93CAAB3DF}">
      <x14:dataValidations xmlns:xm="http://schemas.microsoft.com/office/excel/2006/main" count="1">
        <x14:dataValidation type="list" allowBlank="1" showErrorMessage="1">
          <x14:formula1>
            <xm:f>CONTROL!$B$109:$B$789</xm:f>
          </x14:formula1>
          <xm:sqref>C22:C71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3"/>
  </sheetPr>
  <dimension ref="A1:U80"/>
  <sheetViews>
    <sheetView showGridLines="0" topLeftCell="B1" zoomScale="70" zoomScaleNormal="70" zoomScaleSheetLayoutView="70" workbookViewId="0">
      <selection activeCell="D13" sqref="D13"/>
    </sheetView>
  </sheetViews>
  <sheetFormatPr defaultColWidth="8.88671875" defaultRowHeight="13.2"/>
  <cols>
    <col min="1" max="1" width="5.33203125" hidden="1" customWidth="1"/>
    <col min="2" max="2" width="40.6640625" customWidth="1"/>
    <col min="3" max="3" width="2" customWidth="1"/>
    <col min="4" max="4" width="14" bestFit="1" customWidth="1"/>
    <col min="5" max="5" width="2" customWidth="1"/>
    <col min="6" max="13" width="15.33203125" bestFit="1" customWidth="1"/>
    <col min="14" max="14" width="2" customWidth="1"/>
    <col min="15" max="18" width="14" bestFit="1" customWidth="1"/>
    <col min="19" max="19" width="2" customWidth="1"/>
    <col min="20" max="20" width="46.5546875" customWidth="1"/>
    <col min="21" max="21" width="1.6640625" customWidth="1"/>
    <col min="22" max="26" width="15.6640625" customWidth="1"/>
    <col min="27" max="27" width="2.6640625" customWidth="1"/>
    <col min="28" max="28" width="15.44140625" bestFit="1" customWidth="1"/>
    <col min="29" max="32" width="14.44140625" customWidth="1"/>
    <col min="257" max="257" width="2.44140625" customWidth="1"/>
    <col min="258" max="258" width="40.6640625" customWidth="1"/>
    <col min="259" max="259" width="2.6640625" customWidth="1"/>
    <col min="260" max="260" width="14" bestFit="1" customWidth="1"/>
    <col min="261" max="261" width="2" customWidth="1"/>
    <col min="262" max="269" width="15.33203125" bestFit="1" customWidth="1"/>
    <col min="270" max="270" width="2.6640625" customWidth="1"/>
    <col min="271" max="274" width="14" bestFit="1" customWidth="1"/>
    <col min="275" max="275" width="2.6640625" customWidth="1"/>
    <col min="276" max="276" width="62.109375" bestFit="1" customWidth="1"/>
    <col min="277" max="277" width="1.6640625" customWidth="1"/>
    <col min="278" max="282" width="15.6640625" customWidth="1"/>
    <col min="283" max="283" width="2.6640625" customWidth="1"/>
    <col min="284" max="284" width="15.44140625" bestFit="1" customWidth="1"/>
    <col min="285" max="288" width="14.44140625" customWidth="1"/>
    <col min="513" max="513" width="2.44140625" customWidth="1"/>
    <col min="514" max="514" width="40.6640625" customWidth="1"/>
    <col min="515" max="515" width="2.6640625" customWidth="1"/>
    <col min="516" max="516" width="14" bestFit="1" customWidth="1"/>
    <col min="517" max="517" width="2" customWidth="1"/>
    <col min="518" max="525" width="15.33203125" bestFit="1" customWidth="1"/>
    <col min="526" max="526" width="2.6640625" customWidth="1"/>
    <col min="527" max="530" width="14" bestFit="1" customWidth="1"/>
    <col min="531" max="531" width="2.6640625" customWidth="1"/>
    <col min="532" max="532" width="62.109375" bestFit="1" customWidth="1"/>
    <col min="533" max="533" width="1.6640625" customWidth="1"/>
    <col min="534" max="538" width="15.6640625" customWidth="1"/>
    <col min="539" max="539" width="2.6640625" customWidth="1"/>
    <col min="540" max="540" width="15.44140625" bestFit="1" customWidth="1"/>
    <col min="541" max="544" width="14.44140625" customWidth="1"/>
    <col min="769" max="769" width="2.44140625" customWidth="1"/>
    <col min="770" max="770" width="40.6640625" customWidth="1"/>
    <col min="771" max="771" width="2.6640625" customWidth="1"/>
    <col min="772" max="772" width="14" bestFit="1" customWidth="1"/>
    <col min="773" max="773" width="2" customWidth="1"/>
    <col min="774" max="781" width="15.33203125" bestFit="1" customWidth="1"/>
    <col min="782" max="782" width="2.6640625" customWidth="1"/>
    <col min="783" max="786" width="14" bestFit="1" customWidth="1"/>
    <col min="787" max="787" width="2.6640625" customWidth="1"/>
    <col min="788" max="788" width="62.109375" bestFit="1" customWidth="1"/>
    <col min="789" max="789" width="1.6640625" customWidth="1"/>
    <col min="790" max="794" width="15.6640625" customWidth="1"/>
    <col min="795" max="795" width="2.6640625" customWidth="1"/>
    <col min="796" max="796" width="15.44140625" bestFit="1" customWidth="1"/>
    <col min="797" max="800" width="14.44140625" customWidth="1"/>
    <col min="1025" max="1025" width="2.44140625" customWidth="1"/>
    <col min="1026" max="1026" width="40.6640625" customWidth="1"/>
    <col min="1027" max="1027" width="2.6640625" customWidth="1"/>
    <col min="1028" max="1028" width="14" bestFit="1" customWidth="1"/>
    <col min="1029" max="1029" width="2" customWidth="1"/>
    <col min="1030" max="1037" width="15.33203125" bestFit="1" customWidth="1"/>
    <col min="1038" max="1038" width="2.6640625" customWidth="1"/>
    <col min="1039" max="1042" width="14" bestFit="1" customWidth="1"/>
    <col min="1043" max="1043" width="2.6640625" customWidth="1"/>
    <col min="1044" max="1044" width="62.109375" bestFit="1" customWidth="1"/>
    <col min="1045" max="1045" width="1.6640625" customWidth="1"/>
    <col min="1046" max="1050" width="15.6640625" customWidth="1"/>
    <col min="1051" max="1051" width="2.6640625" customWidth="1"/>
    <col min="1052" max="1052" width="15.44140625" bestFit="1" customWidth="1"/>
    <col min="1053" max="1056" width="14.44140625" customWidth="1"/>
    <col min="1281" max="1281" width="2.44140625" customWidth="1"/>
    <col min="1282" max="1282" width="40.6640625" customWidth="1"/>
    <col min="1283" max="1283" width="2.6640625" customWidth="1"/>
    <col min="1284" max="1284" width="14" bestFit="1" customWidth="1"/>
    <col min="1285" max="1285" width="2" customWidth="1"/>
    <col min="1286" max="1293" width="15.33203125" bestFit="1" customWidth="1"/>
    <col min="1294" max="1294" width="2.6640625" customWidth="1"/>
    <col min="1295" max="1298" width="14" bestFit="1" customWidth="1"/>
    <col min="1299" max="1299" width="2.6640625" customWidth="1"/>
    <col min="1300" max="1300" width="62.109375" bestFit="1" customWidth="1"/>
    <col min="1301" max="1301" width="1.6640625" customWidth="1"/>
    <col min="1302" max="1306" width="15.6640625" customWidth="1"/>
    <col min="1307" max="1307" width="2.6640625" customWidth="1"/>
    <col min="1308" max="1308" width="15.44140625" bestFit="1" customWidth="1"/>
    <col min="1309" max="1312" width="14.44140625" customWidth="1"/>
    <col min="1537" max="1537" width="2.44140625" customWidth="1"/>
    <col min="1538" max="1538" width="40.6640625" customWidth="1"/>
    <col min="1539" max="1539" width="2.6640625" customWidth="1"/>
    <col min="1540" max="1540" width="14" bestFit="1" customWidth="1"/>
    <col min="1541" max="1541" width="2" customWidth="1"/>
    <col min="1542" max="1549" width="15.33203125" bestFit="1" customWidth="1"/>
    <col min="1550" max="1550" width="2.6640625" customWidth="1"/>
    <col min="1551" max="1554" width="14" bestFit="1" customWidth="1"/>
    <col min="1555" max="1555" width="2.6640625" customWidth="1"/>
    <col min="1556" max="1556" width="62.109375" bestFit="1" customWidth="1"/>
    <col min="1557" max="1557" width="1.6640625" customWidth="1"/>
    <col min="1558" max="1562" width="15.6640625" customWidth="1"/>
    <col min="1563" max="1563" width="2.6640625" customWidth="1"/>
    <col min="1564" max="1564" width="15.44140625" bestFit="1" customWidth="1"/>
    <col min="1565" max="1568" width="14.44140625" customWidth="1"/>
    <col min="1793" max="1793" width="2.44140625" customWidth="1"/>
    <col min="1794" max="1794" width="40.6640625" customWidth="1"/>
    <col min="1795" max="1795" width="2.6640625" customWidth="1"/>
    <col min="1796" max="1796" width="14" bestFit="1" customWidth="1"/>
    <col min="1797" max="1797" width="2" customWidth="1"/>
    <col min="1798" max="1805" width="15.33203125" bestFit="1" customWidth="1"/>
    <col min="1806" max="1806" width="2.6640625" customWidth="1"/>
    <col min="1807" max="1810" width="14" bestFit="1" customWidth="1"/>
    <col min="1811" max="1811" width="2.6640625" customWidth="1"/>
    <col min="1812" max="1812" width="62.109375" bestFit="1" customWidth="1"/>
    <col min="1813" max="1813" width="1.6640625" customWidth="1"/>
    <col min="1814" max="1818" width="15.6640625" customWidth="1"/>
    <col min="1819" max="1819" width="2.6640625" customWidth="1"/>
    <col min="1820" max="1820" width="15.44140625" bestFit="1" customWidth="1"/>
    <col min="1821" max="1824" width="14.44140625" customWidth="1"/>
    <col min="2049" max="2049" width="2.44140625" customWidth="1"/>
    <col min="2050" max="2050" width="40.6640625" customWidth="1"/>
    <col min="2051" max="2051" width="2.6640625" customWidth="1"/>
    <col min="2052" max="2052" width="14" bestFit="1" customWidth="1"/>
    <col min="2053" max="2053" width="2" customWidth="1"/>
    <col min="2054" max="2061" width="15.33203125" bestFit="1" customWidth="1"/>
    <col min="2062" max="2062" width="2.6640625" customWidth="1"/>
    <col min="2063" max="2066" width="14" bestFit="1" customWidth="1"/>
    <col min="2067" max="2067" width="2.6640625" customWidth="1"/>
    <col min="2068" max="2068" width="62.109375" bestFit="1" customWidth="1"/>
    <col min="2069" max="2069" width="1.6640625" customWidth="1"/>
    <col min="2070" max="2074" width="15.6640625" customWidth="1"/>
    <col min="2075" max="2075" width="2.6640625" customWidth="1"/>
    <col min="2076" max="2076" width="15.44140625" bestFit="1" customWidth="1"/>
    <col min="2077" max="2080" width="14.44140625" customWidth="1"/>
    <col min="2305" max="2305" width="2.44140625" customWidth="1"/>
    <col min="2306" max="2306" width="40.6640625" customWidth="1"/>
    <col min="2307" max="2307" width="2.6640625" customWidth="1"/>
    <col min="2308" max="2308" width="14" bestFit="1" customWidth="1"/>
    <col min="2309" max="2309" width="2" customWidth="1"/>
    <col min="2310" max="2317" width="15.33203125" bestFit="1" customWidth="1"/>
    <col min="2318" max="2318" width="2.6640625" customWidth="1"/>
    <col min="2319" max="2322" width="14" bestFit="1" customWidth="1"/>
    <col min="2323" max="2323" width="2.6640625" customWidth="1"/>
    <col min="2324" max="2324" width="62.109375" bestFit="1" customWidth="1"/>
    <col min="2325" max="2325" width="1.6640625" customWidth="1"/>
    <col min="2326" max="2330" width="15.6640625" customWidth="1"/>
    <col min="2331" max="2331" width="2.6640625" customWidth="1"/>
    <col min="2332" max="2332" width="15.44140625" bestFit="1" customWidth="1"/>
    <col min="2333" max="2336" width="14.44140625" customWidth="1"/>
    <col min="2561" max="2561" width="2.44140625" customWidth="1"/>
    <col min="2562" max="2562" width="40.6640625" customWidth="1"/>
    <col min="2563" max="2563" width="2.6640625" customWidth="1"/>
    <col min="2564" max="2564" width="14" bestFit="1" customWidth="1"/>
    <col min="2565" max="2565" width="2" customWidth="1"/>
    <col min="2566" max="2573" width="15.33203125" bestFit="1" customWidth="1"/>
    <col min="2574" max="2574" width="2.6640625" customWidth="1"/>
    <col min="2575" max="2578" width="14" bestFit="1" customWidth="1"/>
    <col min="2579" max="2579" width="2.6640625" customWidth="1"/>
    <col min="2580" max="2580" width="62.109375" bestFit="1" customWidth="1"/>
    <col min="2581" max="2581" width="1.6640625" customWidth="1"/>
    <col min="2582" max="2586" width="15.6640625" customWidth="1"/>
    <col min="2587" max="2587" width="2.6640625" customWidth="1"/>
    <col min="2588" max="2588" width="15.44140625" bestFit="1" customWidth="1"/>
    <col min="2589" max="2592" width="14.44140625" customWidth="1"/>
    <col min="2817" max="2817" width="2.44140625" customWidth="1"/>
    <col min="2818" max="2818" width="40.6640625" customWidth="1"/>
    <col min="2819" max="2819" width="2.6640625" customWidth="1"/>
    <col min="2820" max="2820" width="14" bestFit="1" customWidth="1"/>
    <col min="2821" max="2821" width="2" customWidth="1"/>
    <col min="2822" max="2829" width="15.33203125" bestFit="1" customWidth="1"/>
    <col min="2830" max="2830" width="2.6640625" customWidth="1"/>
    <col min="2831" max="2834" width="14" bestFit="1" customWidth="1"/>
    <col min="2835" max="2835" width="2.6640625" customWidth="1"/>
    <col min="2836" max="2836" width="62.109375" bestFit="1" customWidth="1"/>
    <col min="2837" max="2837" width="1.6640625" customWidth="1"/>
    <col min="2838" max="2842" width="15.6640625" customWidth="1"/>
    <col min="2843" max="2843" width="2.6640625" customWidth="1"/>
    <col min="2844" max="2844" width="15.44140625" bestFit="1" customWidth="1"/>
    <col min="2845" max="2848" width="14.44140625" customWidth="1"/>
    <col min="3073" max="3073" width="2.44140625" customWidth="1"/>
    <col min="3074" max="3074" width="40.6640625" customWidth="1"/>
    <col min="3075" max="3075" width="2.6640625" customWidth="1"/>
    <col min="3076" max="3076" width="14" bestFit="1" customWidth="1"/>
    <col min="3077" max="3077" width="2" customWidth="1"/>
    <col min="3078" max="3085" width="15.33203125" bestFit="1" customWidth="1"/>
    <col min="3086" max="3086" width="2.6640625" customWidth="1"/>
    <col min="3087" max="3090" width="14" bestFit="1" customWidth="1"/>
    <col min="3091" max="3091" width="2.6640625" customWidth="1"/>
    <col min="3092" max="3092" width="62.109375" bestFit="1" customWidth="1"/>
    <col min="3093" max="3093" width="1.6640625" customWidth="1"/>
    <col min="3094" max="3098" width="15.6640625" customWidth="1"/>
    <col min="3099" max="3099" width="2.6640625" customWidth="1"/>
    <col min="3100" max="3100" width="15.44140625" bestFit="1" customWidth="1"/>
    <col min="3101" max="3104" width="14.44140625" customWidth="1"/>
    <col min="3329" max="3329" width="2.44140625" customWidth="1"/>
    <col min="3330" max="3330" width="40.6640625" customWidth="1"/>
    <col min="3331" max="3331" width="2.6640625" customWidth="1"/>
    <col min="3332" max="3332" width="14" bestFit="1" customWidth="1"/>
    <col min="3333" max="3333" width="2" customWidth="1"/>
    <col min="3334" max="3341" width="15.33203125" bestFit="1" customWidth="1"/>
    <col min="3342" max="3342" width="2.6640625" customWidth="1"/>
    <col min="3343" max="3346" width="14" bestFit="1" customWidth="1"/>
    <col min="3347" max="3347" width="2.6640625" customWidth="1"/>
    <col min="3348" max="3348" width="62.109375" bestFit="1" customWidth="1"/>
    <col min="3349" max="3349" width="1.6640625" customWidth="1"/>
    <col min="3350" max="3354" width="15.6640625" customWidth="1"/>
    <col min="3355" max="3355" width="2.6640625" customWidth="1"/>
    <col min="3356" max="3356" width="15.44140625" bestFit="1" customWidth="1"/>
    <col min="3357" max="3360" width="14.44140625" customWidth="1"/>
    <col min="3585" max="3585" width="2.44140625" customWidth="1"/>
    <col min="3586" max="3586" width="40.6640625" customWidth="1"/>
    <col min="3587" max="3587" width="2.6640625" customWidth="1"/>
    <col min="3588" max="3588" width="14" bestFit="1" customWidth="1"/>
    <col min="3589" max="3589" width="2" customWidth="1"/>
    <col min="3590" max="3597" width="15.33203125" bestFit="1" customWidth="1"/>
    <col min="3598" max="3598" width="2.6640625" customWidth="1"/>
    <col min="3599" max="3602" width="14" bestFit="1" customWidth="1"/>
    <col min="3603" max="3603" width="2.6640625" customWidth="1"/>
    <col min="3604" max="3604" width="62.109375" bestFit="1" customWidth="1"/>
    <col min="3605" max="3605" width="1.6640625" customWidth="1"/>
    <col min="3606" max="3610" width="15.6640625" customWidth="1"/>
    <col min="3611" max="3611" width="2.6640625" customWidth="1"/>
    <col min="3612" max="3612" width="15.44140625" bestFit="1" customWidth="1"/>
    <col min="3613" max="3616" width="14.44140625" customWidth="1"/>
    <col min="3841" max="3841" width="2.44140625" customWidth="1"/>
    <col min="3842" max="3842" width="40.6640625" customWidth="1"/>
    <col min="3843" max="3843" width="2.6640625" customWidth="1"/>
    <col min="3844" max="3844" width="14" bestFit="1" customWidth="1"/>
    <col min="3845" max="3845" width="2" customWidth="1"/>
    <col min="3846" max="3853" width="15.33203125" bestFit="1" customWidth="1"/>
    <col min="3854" max="3854" width="2.6640625" customWidth="1"/>
    <col min="3855" max="3858" width="14" bestFit="1" customWidth="1"/>
    <col min="3859" max="3859" width="2.6640625" customWidth="1"/>
    <col min="3860" max="3860" width="62.109375" bestFit="1" customWidth="1"/>
    <col min="3861" max="3861" width="1.6640625" customWidth="1"/>
    <col min="3862" max="3866" width="15.6640625" customWidth="1"/>
    <col min="3867" max="3867" width="2.6640625" customWidth="1"/>
    <col min="3868" max="3868" width="15.44140625" bestFit="1" customWidth="1"/>
    <col min="3869" max="3872" width="14.44140625" customWidth="1"/>
    <col min="4097" max="4097" width="2.44140625" customWidth="1"/>
    <col min="4098" max="4098" width="40.6640625" customWidth="1"/>
    <col min="4099" max="4099" width="2.6640625" customWidth="1"/>
    <col min="4100" max="4100" width="14" bestFit="1" customWidth="1"/>
    <col min="4101" max="4101" width="2" customWidth="1"/>
    <col min="4102" max="4109" width="15.33203125" bestFit="1" customWidth="1"/>
    <col min="4110" max="4110" width="2.6640625" customWidth="1"/>
    <col min="4111" max="4114" width="14" bestFit="1" customWidth="1"/>
    <col min="4115" max="4115" width="2.6640625" customWidth="1"/>
    <col min="4116" max="4116" width="62.109375" bestFit="1" customWidth="1"/>
    <col min="4117" max="4117" width="1.6640625" customWidth="1"/>
    <col min="4118" max="4122" width="15.6640625" customWidth="1"/>
    <col min="4123" max="4123" width="2.6640625" customWidth="1"/>
    <col min="4124" max="4124" width="15.44140625" bestFit="1" customWidth="1"/>
    <col min="4125" max="4128" width="14.44140625" customWidth="1"/>
    <col min="4353" max="4353" width="2.44140625" customWidth="1"/>
    <col min="4354" max="4354" width="40.6640625" customWidth="1"/>
    <col min="4355" max="4355" width="2.6640625" customWidth="1"/>
    <col min="4356" max="4356" width="14" bestFit="1" customWidth="1"/>
    <col min="4357" max="4357" width="2" customWidth="1"/>
    <col min="4358" max="4365" width="15.33203125" bestFit="1" customWidth="1"/>
    <col min="4366" max="4366" width="2.6640625" customWidth="1"/>
    <col min="4367" max="4370" width="14" bestFit="1" customWidth="1"/>
    <col min="4371" max="4371" width="2.6640625" customWidth="1"/>
    <col min="4372" max="4372" width="62.109375" bestFit="1" customWidth="1"/>
    <col min="4373" max="4373" width="1.6640625" customWidth="1"/>
    <col min="4374" max="4378" width="15.6640625" customWidth="1"/>
    <col min="4379" max="4379" width="2.6640625" customWidth="1"/>
    <col min="4380" max="4380" width="15.44140625" bestFit="1" customWidth="1"/>
    <col min="4381" max="4384" width="14.44140625" customWidth="1"/>
    <col min="4609" max="4609" width="2.44140625" customWidth="1"/>
    <col min="4610" max="4610" width="40.6640625" customWidth="1"/>
    <col min="4611" max="4611" width="2.6640625" customWidth="1"/>
    <col min="4612" max="4612" width="14" bestFit="1" customWidth="1"/>
    <col min="4613" max="4613" width="2" customWidth="1"/>
    <col min="4614" max="4621" width="15.33203125" bestFit="1" customWidth="1"/>
    <col min="4622" max="4622" width="2.6640625" customWidth="1"/>
    <col min="4623" max="4626" width="14" bestFit="1" customWidth="1"/>
    <col min="4627" max="4627" width="2.6640625" customWidth="1"/>
    <col min="4628" max="4628" width="62.109375" bestFit="1" customWidth="1"/>
    <col min="4629" max="4629" width="1.6640625" customWidth="1"/>
    <col min="4630" max="4634" width="15.6640625" customWidth="1"/>
    <col min="4635" max="4635" width="2.6640625" customWidth="1"/>
    <col min="4636" max="4636" width="15.44140625" bestFit="1" customWidth="1"/>
    <col min="4637" max="4640" width="14.44140625" customWidth="1"/>
    <col min="4865" max="4865" width="2.44140625" customWidth="1"/>
    <col min="4866" max="4866" width="40.6640625" customWidth="1"/>
    <col min="4867" max="4867" width="2.6640625" customWidth="1"/>
    <col min="4868" max="4868" width="14" bestFit="1" customWidth="1"/>
    <col min="4869" max="4869" width="2" customWidth="1"/>
    <col min="4870" max="4877" width="15.33203125" bestFit="1" customWidth="1"/>
    <col min="4878" max="4878" width="2.6640625" customWidth="1"/>
    <col min="4879" max="4882" width="14" bestFit="1" customWidth="1"/>
    <col min="4883" max="4883" width="2.6640625" customWidth="1"/>
    <col min="4884" max="4884" width="62.109375" bestFit="1" customWidth="1"/>
    <col min="4885" max="4885" width="1.6640625" customWidth="1"/>
    <col min="4886" max="4890" width="15.6640625" customWidth="1"/>
    <col min="4891" max="4891" width="2.6640625" customWidth="1"/>
    <col min="4892" max="4892" width="15.44140625" bestFit="1" customWidth="1"/>
    <col min="4893" max="4896" width="14.44140625" customWidth="1"/>
    <col min="5121" max="5121" width="2.44140625" customWidth="1"/>
    <col min="5122" max="5122" width="40.6640625" customWidth="1"/>
    <col min="5123" max="5123" width="2.6640625" customWidth="1"/>
    <col min="5124" max="5124" width="14" bestFit="1" customWidth="1"/>
    <col min="5125" max="5125" width="2" customWidth="1"/>
    <col min="5126" max="5133" width="15.33203125" bestFit="1" customWidth="1"/>
    <col min="5134" max="5134" width="2.6640625" customWidth="1"/>
    <col min="5135" max="5138" width="14" bestFit="1" customWidth="1"/>
    <col min="5139" max="5139" width="2.6640625" customWidth="1"/>
    <col min="5140" max="5140" width="62.109375" bestFit="1" customWidth="1"/>
    <col min="5141" max="5141" width="1.6640625" customWidth="1"/>
    <col min="5142" max="5146" width="15.6640625" customWidth="1"/>
    <col min="5147" max="5147" width="2.6640625" customWidth="1"/>
    <col min="5148" max="5148" width="15.44140625" bestFit="1" customWidth="1"/>
    <col min="5149" max="5152" width="14.44140625" customWidth="1"/>
    <col min="5377" max="5377" width="2.44140625" customWidth="1"/>
    <col min="5378" max="5378" width="40.6640625" customWidth="1"/>
    <col min="5379" max="5379" width="2.6640625" customWidth="1"/>
    <col min="5380" max="5380" width="14" bestFit="1" customWidth="1"/>
    <col min="5381" max="5381" width="2" customWidth="1"/>
    <col min="5382" max="5389" width="15.33203125" bestFit="1" customWidth="1"/>
    <col min="5390" max="5390" width="2.6640625" customWidth="1"/>
    <col min="5391" max="5394" width="14" bestFit="1" customWidth="1"/>
    <col min="5395" max="5395" width="2.6640625" customWidth="1"/>
    <col min="5396" max="5396" width="62.109375" bestFit="1" customWidth="1"/>
    <col min="5397" max="5397" width="1.6640625" customWidth="1"/>
    <col min="5398" max="5402" width="15.6640625" customWidth="1"/>
    <col min="5403" max="5403" width="2.6640625" customWidth="1"/>
    <col min="5404" max="5404" width="15.44140625" bestFit="1" customWidth="1"/>
    <col min="5405" max="5408" width="14.44140625" customWidth="1"/>
    <col min="5633" max="5633" width="2.44140625" customWidth="1"/>
    <col min="5634" max="5634" width="40.6640625" customWidth="1"/>
    <col min="5635" max="5635" width="2.6640625" customWidth="1"/>
    <col min="5636" max="5636" width="14" bestFit="1" customWidth="1"/>
    <col min="5637" max="5637" width="2" customWidth="1"/>
    <col min="5638" max="5645" width="15.33203125" bestFit="1" customWidth="1"/>
    <col min="5646" max="5646" width="2.6640625" customWidth="1"/>
    <col min="5647" max="5650" width="14" bestFit="1" customWidth="1"/>
    <col min="5651" max="5651" width="2.6640625" customWidth="1"/>
    <col min="5652" max="5652" width="62.109375" bestFit="1" customWidth="1"/>
    <col min="5653" max="5653" width="1.6640625" customWidth="1"/>
    <col min="5654" max="5658" width="15.6640625" customWidth="1"/>
    <col min="5659" max="5659" width="2.6640625" customWidth="1"/>
    <col min="5660" max="5660" width="15.44140625" bestFit="1" customWidth="1"/>
    <col min="5661" max="5664" width="14.44140625" customWidth="1"/>
    <col min="5889" max="5889" width="2.44140625" customWidth="1"/>
    <col min="5890" max="5890" width="40.6640625" customWidth="1"/>
    <col min="5891" max="5891" width="2.6640625" customWidth="1"/>
    <col min="5892" max="5892" width="14" bestFit="1" customWidth="1"/>
    <col min="5893" max="5893" width="2" customWidth="1"/>
    <col min="5894" max="5901" width="15.33203125" bestFit="1" customWidth="1"/>
    <col min="5902" max="5902" width="2.6640625" customWidth="1"/>
    <col min="5903" max="5906" width="14" bestFit="1" customWidth="1"/>
    <col min="5907" max="5907" width="2.6640625" customWidth="1"/>
    <col min="5908" max="5908" width="62.109375" bestFit="1" customWidth="1"/>
    <col min="5909" max="5909" width="1.6640625" customWidth="1"/>
    <col min="5910" max="5914" width="15.6640625" customWidth="1"/>
    <col min="5915" max="5915" width="2.6640625" customWidth="1"/>
    <col min="5916" max="5916" width="15.44140625" bestFit="1" customWidth="1"/>
    <col min="5917" max="5920" width="14.44140625" customWidth="1"/>
    <col min="6145" max="6145" width="2.44140625" customWidth="1"/>
    <col min="6146" max="6146" width="40.6640625" customWidth="1"/>
    <col min="6147" max="6147" width="2.6640625" customWidth="1"/>
    <col min="6148" max="6148" width="14" bestFit="1" customWidth="1"/>
    <col min="6149" max="6149" width="2" customWidth="1"/>
    <col min="6150" max="6157" width="15.33203125" bestFit="1" customWidth="1"/>
    <col min="6158" max="6158" width="2.6640625" customWidth="1"/>
    <col min="6159" max="6162" width="14" bestFit="1" customWidth="1"/>
    <col min="6163" max="6163" width="2.6640625" customWidth="1"/>
    <col min="6164" max="6164" width="62.109375" bestFit="1" customWidth="1"/>
    <col min="6165" max="6165" width="1.6640625" customWidth="1"/>
    <col min="6166" max="6170" width="15.6640625" customWidth="1"/>
    <col min="6171" max="6171" width="2.6640625" customWidth="1"/>
    <col min="6172" max="6172" width="15.44140625" bestFit="1" customWidth="1"/>
    <col min="6173" max="6176" width="14.44140625" customWidth="1"/>
    <col min="6401" max="6401" width="2.44140625" customWidth="1"/>
    <col min="6402" max="6402" width="40.6640625" customWidth="1"/>
    <col min="6403" max="6403" width="2.6640625" customWidth="1"/>
    <col min="6404" max="6404" width="14" bestFit="1" customWidth="1"/>
    <col min="6405" max="6405" width="2" customWidth="1"/>
    <col min="6406" max="6413" width="15.33203125" bestFit="1" customWidth="1"/>
    <col min="6414" max="6414" width="2.6640625" customWidth="1"/>
    <col min="6415" max="6418" width="14" bestFit="1" customWidth="1"/>
    <col min="6419" max="6419" width="2.6640625" customWidth="1"/>
    <col min="6420" max="6420" width="62.109375" bestFit="1" customWidth="1"/>
    <col min="6421" max="6421" width="1.6640625" customWidth="1"/>
    <col min="6422" max="6426" width="15.6640625" customWidth="1"/>
    <col min="6427" max="6427" width="2.6640625" customWidth="1"/>
    <col min="6428" max="6428" width="15.44140625" bestFit="1" customWidth="1"/>
    <col min="6429" max="6432" width="14.44140625" customWidth="1"/>
    <col min="6657" max="6657" width="2.44140625" customWidth="1"/>
    <col min="6658" max="6658" width="40.6640625" customWidth="1"/>
    <col min="6659" max="6659" width="2.6640625" customWidth="1"/>
    <col min="6660" max="6660" width="14" bestFit="1" customWidth="1"/>
    <col min="6661" max="6661" width="2" customWidth="1"/>
    <col min="6662" max="6669" width="15.33203125" bestFit="1" customWidth="1"/>
    <col min="6670" max="6670" width="2.6640625" customWidth="1"/>
    <col min="6671" max="6674" width="14" bestFit="1" customWidth="1"/>
    <col min="6675" max="6675" width="2.6640625" customWidth="1"/>
    <col min="6676" max="6676" width="62.109375" bestFit="1" customWidth="1"/>
    <col min="6677" max="6677" width="1.6640625" customWidth="1"/>
    <col min="6678" max="6682" width="15.6640625" customWidth="1"/>
    <col min="6683" max="6683" width="2.6640625" customWidth="1"/>
    <col min="6684" max="6684" width="15.44140625" bestFit="1" customWidth="1"/>
    <col min="6685" max="6688" width="14.44140625" customWidth="1"/>
    <col min="6913" max="6913" width="2.44140625" customWidth="1"/>
    <col min="6914" max="6914" width="40.6640625" customWidth="1"/>
    <col min="6915" max="6915" width="2.6640625" customWidth="1"/>
    <col min="6916" max="6916" width="14" bestFit="1" customWidth="1"/>
    <col min="6917" max="6917" width="2" customWidth="1"/>
    <col min="6918" max="6925" width="15.33203125" bestFit="1" customWidth="1"/>
    <col min="6926" max="6926" width="2.6640625" customWidth="1"/>
    <col min="6927" max="6930" width="14" bestFit="1" customWidth="1"/>
    <col min="6931" max="6931" width="2.6640625" customWidth="1"/>
    <col min="6932" max="6932" width="62.109375" bestFit="1" customWidth="1"/>
    <col min="6933" max="6933" width="1.6640625" customWidth="1"/>
    <col min="6934" max="6938" width="15.6640625" customWidth="1"/>
    <col min="6939" max="6939" width="2.6640625" customWidth="1"/>
    <col min="6940" max="6940" width="15.44140625" bestFit="1" customWidth="1"/>
    <col min="6941" max="6944" width="14.44140625" customWidth="1"/>
    <col min="7169" max="7169" width="2.44140625" customWidth="1"/>
    <col min="7170" max="7170" width="40.6640625" customWidth="1"/>
    <col min="7171" max="7171" width="2.6640625" customWidth="1"/>
    <col min="7172" max="7172" width="14" bestFit="1" customWidth="1"/>
    <col min="7173" max="7173" width="2" customWidth="1"/>
    <col min="7174" max="7181" width="15.33203125" bestFit="1" customWidth="1"/>
    <col min="7182" max="7182" width="2.6640625" customWidth="1"/>
    <col min="7183" max="7186" width="14" bestFit="1" customWidth="1"/>
    <col min="7187" max="7187" width="2.6640625" customWidth="1"/>
    <col min="7188" max="7188" width="62.109375" bestFit="1" customWidth="1"/>
    <col min="7189" max="7189" width="1.6640625" customWidth="1"/>
    <col min="7190" max="7194" width="15.6640625" customWidth="1"/>
    <col min="7195" max="7195" width="2.6640625" customWidth="1"/>
    <col min="7196" max="7196" width="15.44140625" bestFit="1" customWidth="1"/>
    <col min="7197" max="7200" width="14.44140625" customWidth="1"/>
    <col min="7425" max="7425" width="2.44140625" customWidth="1"/>
    <col min="7426" max="7426" width="40.6640625" customWidth="1"/>
    <col min="7427" max="7427" width="2.6640625" customWidth="1"/>
    <col min="7428" max="7428" width="14" bestFit="1" customWidth="1"/>
    <col min="7429" max="7429" width="2" customWidth="1"/>
    <col min="7430" max="7437" width="15.33203125" bestFit="1" customWidth="1"/>
    <col min="7438" max="7438" width="2.6640625" customWidth="1"/>
    <col min="7439" max="7442" width="14" bestFit="1" customWidth="1"/>
    <col min="7443" max="7443" width="2.6640625" customWidth="1"/>
    <col min="7444" max="7444" width="62.109375" bestFit="1" customWidth="1"/>
    <col min="7445" max="7445" width="1.6640625" customWidth="1"/>
    <col min="7446" max="7450" width="15.6640625" customWidth="1"/>
    <col min="7451" max="7451" width="2.6640625" customWidth="1"/>
    <col min="7452" max="7452" width="15.44140625" bestFit="1" customWidth="1"/>
    <col min="7453" max="7456" width="14.44140625" customWidth="1"/>
    <col min="7681" max="7681" width="2.44140625" customWidth="1"/>
    <col min="7682" max="7682" width="40.6640625" customWidth="1"/>
    <col min="7683" max="7683" width="2.6640625" customWidth="1"/>
    <col min="7684" max="7684" width="14" bestFit="1" customWidth="1"/>
    <col min="7685" max="7685" width="2" customWidth="1"/>
    <col min="7686" max="7693" width="15.33203125" bestFit="1" customWidth="1"/>
    <col min="7694" max="7694" width="2.6640625" customWidth="1"/>
    <col min="7695" max="7698" width="14" bestFit="1" customWidth="1"/>
    <col min="7699" max="7699" width="2.6640625" customWidth="1"/>
    <col min="7700" max="7700" width="62.109375" bestFit="1" customWidth="1"/>
    <col min="7701" max="7701" width="1.6640625" customWidth="1"/>
    <col min="7702" max="7706" width="15.6640625" customWidth="1"/>
    <col min="7707" max="7707" width="2.6640625" customWidth="1"/>
    <col min="7708" max="7708" width="15.44140625" bestFit="1" customWidth="1"/>
    <col min="7709" max="7712" width="14.44140625" customWidth="1"/>
    <col min="7937" max="7937" width="2.44140625" customWidth="1"/>
    <col min="7938" max="7938" width="40.6640625" customWidth="1"/>
    <col min="7939" max="7939" width="2.6640625" customWidth="1"/>
    <col min="7940" max="7940" width="14" bestFit="1" customWidth="1"/>
    <col min="7941" max="7941" width="2" customWidth="1"/>
    <col min="7942" max="7949" width="15.33203125" bestFit="1" customWidth="1"/>
    <col min="7950" max="7950" width="2.6640625" customWidth="1"/>
    <col min="7951" max="7954" width="14" bestFit="1" customWidth="1"/>
    <col min="7955" max="7955" width="2.6640625" customWidth="1"/>
    <col min="7956" max="7956" width="62.109375" bestFit="1" customWidth="1"/>
    <col min="7957" max="7957" width="1.6640625" customWidth="1"/>
    <col min="7958" max="7962" width="15.6640625" customWidth="1"/>
    <col min="7963" max="7963" width="2.6640625" customWidth="1"/>
    <col min="7964" max="7964" width="15.44140625" bestFit="1" customWidth="1"/>
    <col min="7965" max="7968" width="14.44140625" customWidth="1"/>
    <col min="8193" max="8193" width="2.44140625" customWidth="1"/>
    <col min="8194" max="8194" width="40.6640625" customWidth="1"/>
    <col min="8195" max="8195" width="2.6640625" customWidth="1"/>
    <col min="8196" max="8196" width="14" bestFit="1" customWidth="1"/>
    <col min="8197" max="8197" width="2" customWidth="1"/>
    <col min="8198" max="8205" width="15.33203125" bestFit="1" customWidth="1"/>
    <col min="8206" max="8206" width="2.6640625" customWidth="1"/>
    <col min="8207" max="8210" width="14" bestFit="1" customWidth="1"/>
    <col min="8211" max="8211" width="2.6640625" customWidth="1"/>
    <col min="8212" max="8212" width="62.109375" bestFit="1" customWidth="1"/>
    <col min="8213" max="8213" width="1.6640625" customWidth="1"/>
    <col min="8214" max="8218" width="15.6640625" customWidth="1"/>
    <col min="8219" max="8219" width="2.6640625" customWidth="1"/>
    <col min="8220" max="8220" width="15.44140625" bestFit="1" customWidth="1"/>
    <col min="8221" max="8224" width="14.44140625" customWidth="1"/>
    <col min="8449" max="8449" width="2.44140625" customWidth="1"/>
    <col min="8450" max="8450" width="40.6640625" customWidth="1"/>
    <col min="8451" max="8451" width="2.6640625" customWidth="1"/>
    <col min="8452" max="8452" width="14" bestFit="1" customWidth="1"/>
    <col min="8453" max="8453" width="2" customWidth="1"/>
    <col min="8454" max="8461" width="15.33203125" bestFit="1" customWidth="1"/>
    <col min="8462" max="8462" width="2.6640625" customWidth="1"/>
    <col min="8463" max="8466" width="14" bestFit="1" customWidth="1"/>
    <col min="8467" max="8467" width="2.6640625" customWidth="1"/>
    <col min="8468" max="8468" width="62.109375" bestFit="1" customWidth="1"/>
    <col min="8469" max="8469" width="1.6640625" customWidth="1"/>
    <col min="8470" max="8474" width="15.6640625" customWidth="1"/>
    <col min="8475" max="8475" width="2.6640625" customWidth="1"/>
    <col min="8476" max="8476" width="15.44140625" bestFit="1" customWidth="1"/>
    <col min="8477" max="8480" width="14.44140625" customWidth="1"/>
    <col min="8705" max="8705" width="2.44140625" customWidth="1"/>
    <col min="8706" max="8706" width="40.6640625" customWidth="1"/>
    <col min="8707" max="8707" width="2.6640625" customWidth="1"/>
    <col min="8708" max="8708" width="14" bestFit="1" customWidth="1"/>
    <col min="8709" max="8709" width="2" customWidth="1"/>
    <col min="8710" max="8717" width="15.33203125" bestFit="1" customWidth="1"/>
    <col min="8718" max="8718" width="2.6640625" customWidth="1"/>
    <col min="8719" max="8722" width="14" bestFit="1" customWidth="1"/>
    <col min="8723" max="8723" width="2.6640625" customWidth="1"/>
    <col min="8724" max="8724" width="62.109375" bestFit="1" customWidth="1"/>
    <col min="8725" max="8725" width="1.6640625" customWidth="1"/>
    <col min="8726" max="8730" width="15.6640625" customWidth="1"/>
    <col min="8731" max="8731" width="2.6640625" customWidth="1"/>
    <col min="8732" max="8732" width="15.44140625" bestFit="1" customWidth="1"/>
    <col min="8733" max="8736" width="14.44140625" customWidth="1"/>
    <col min="8961" max="8961" width="2.44140625" customWidth="1"/>
    <col min="8962" max="8962" width="40.6640625" customWidth="1"/>
    <col min="8963" max="8963" width="2.6640625" customWidth="1"/>
    <col min="8964" max="8964" width="14" bestFit="1" customWidth="1"/>
    <col min="8965" max="8965" width="2" customWidth="1"/>
    <col min="8966" max="8973" width="15.33203125" bestFit="1" customWidth="1"/>
    <col min="8974" max="8974" width="2.6640625" customWidth="1"/>
    <col min="8975" max="8978" width="14" bestFit="1" customWidth="1"/>
    <col min="8979" max="8979" width="2.6640625" customWidth="1"/>
    <col min="8980" max="8980" width="62.109375" bestFit="1" customWidth="1"/>
    <col min="8981" max="8981" width="1.6640625" customWidth="1"/>
    <col min="8982" max="8986" width="15.6640625" customWidth="1"/>
    <col min="8987" max="8987" width="2.6640625" customWidth="1"/>
    <col min="8988" max="8988" width="15.44140625" bestFit="1" customWidth="1"/>
    <col min="8989" max="8992" width="14.44140625" customWidth="1"/>
    <col min="9217" max="9217" width="2.44140625" customWidth="1"/>
    <col min="9218" max="9218" width="40.6640625" customWidth="1"/>
    <col min="9219" max="9219" width="2.6640625" customWidth="1"/>
    <col min="9220" max="9220" width="14" bestFit="1" customWidth="1"/>
    <col min="9221" max="9221" width="2" customWidth="1"/>
    <col min="9222" max="9229" width="15.33203125" bestFit="1" customWidth="1"/>
    <col min="9230" max="9230" width="2.6640625" customWidth="1"/>
    <col min="9231" max="9234" width="14" bestFit="1" customWidth="1"/>
    <col min="9235" max="9235" width="2.6640625" customWidth="1"/>
    <col min="9236" max="9236" width="62.109375" bestFit="1" customWidth="1"/>
    <col min="9237" max="9237" width="1.6640625" customWidth="1"/>
    <col min="9238" max="9242" width="15.6640625" customWidth="1"/>
    <col min="9243" max="9243" width="2.6640625" customWidth="1"/>
    <col min="9244" max="9244" width="15.44140625" bestFit="1" customWidth="1"/>
    <col min="9245" max="9248" width="14.44140625" customWidth="1"/>
    <col min="9473" max="9473" width="2.44140625" customWidth="1"/>
    <col min="9474" max="9474" width="40.6640625" customWidth="1"/>
    <col min="9475" max="9475" width="2.6640625" customWidth="1"/>
    <col min="9476" max="9476" width="14" bestFit="1" customWidth="1"/>
    <col min="9477" max="9477" width="2" customWidth="1"/>
    <col min="9478" max="9485" width="15.33203125" bestFit="1" customWidth="1"/>
    <col min="9486" max="9486" width="2.6640625" customWidth="1"/>
    <col min="9487" max="9490" width="14" bestFit="1" customWidth="1"/>
    <col min="9491" max="9491" width="2.6640625" customWidth="1"/>
    <col min="9492" max="9492" width="62.109375" bestFit="1" customWidth="1"/>
    <col min="9493" max="9493" width="1.6640625" customWidth="1"/>
    <col min="9494" max="9498" width="15.6640625" customWidth="1"/>
    <col min="9499" max="9499" width="2.6640625" customWidth="1"/>
    <col min="9500" max="9500" width="15.44140625" bestFit="1" customWidth="1"/>
    <col min="9501" max="9504" width="14.44140625" customWidth="1"/>
    <col min="9729" max="9729" width="2.44140625" customWidth="1"/>
    <col min="9730" max="9730" width="40.6640625" customWidth="1"/>
    <col min="9731" max="9731" width="2.6640625" customWidth="1"/>
    <col min="9732" max="9732" width="14" bestFit="1" customWidth="1"/>
    <col min="9733" max="9733" width="2" customWidth="1"/>
    <col min="9734" max="9741" width="15.33203125" bestFit="1" customWidth="1"/>
    <col min="9742" max="9742" width="2.6640625" customWidth="1"/>
    <col min="9743" max="9746" width="14" bestFit="1" customWidth="1"/>
    <col min="9747" max="9747" width="2.6640625" customWidth="1"/>
    <col min="9748" max="9748" width="62.109375" bestFit="1" customWidth="1"/>
    <col min="9749" max="9749" width="1.6640625" customWidth="1"/>
    <col min="9750" max="9754" width="15.6640625" customWidth="1"/>
    <col min="9755" max="9755" width="2.6640625" customWidth="1"/>
    <col min="9756" max="9756" width="15.44140625" bestFit="1" customWidth="1"/>
    <col min="9757" max="9760" width="14.44140625" customWidth="1"/>
    <col min="9985" max="9985" width="2.44140625" customWidth="1"/>
    <col min="9986" max="9986" width="40.6640625" customWidth="1"/>
    <col min="9987" max="9987" width="2.6640625" customWidth="1"/>
    <col min="9988" max="9988" width="14" bestFit="1" customWidth="1"/>
    <col min="9989" max="9989" width="2" customWidth="1"/>
    <col min="9990" max="9997" width="15.33203125" bestFit="1" customWidth="1"/>
    <col min="9998" max="9998" width="2.6640625" customWidth="1"/>
    <col min="9999" max="10002" width="14" bestFit="1" customWidth="1"/>
    <col min="10003" max="10003" width="2.6640625" customWidth="1"/>
    <col min="10004" max="10004" width="62.109375" bestFit="1" customWidth="1"/>
    <col min="10005" max="10005" width="1.6640625" customWidth="1"/>
    <col min="10006" max="10010" width="15.6640625" customWidth="1"/>
    <col min="10011" max="10011" width="2.6640625" customWidth="1"/>
    <col min="10012" max="10012" width="15.44140625" bestFit="1" customWidth="1"/>
    <col min="10013" max="10016" width="14.44140625" customWidth="1"/>
    <col min="10241" max="10241" width="2.44140625" customWidth="1"/>
    <col min="10242" max="10242" width="40.6640625" customWidth="1"/>
    <col min="10243" max="10243" width="2.6640625" customWidth="1"/>
    <col min="10244" max="10244" width="14" bestFit="1" customWidth="1"/>
    <col min="10245" max="10245" width="2" customWidth="1"/>
    <col min="10246" max="10253" width="15.33203125" bestFit="1" customWidth="1"/>
    <col min="10254" max="10254" width="2.6640625" customWidth="1"/>
    <col min="10255" max="10258" width="14" bestFit="1" customWidth="1"/>
    <col min="10259" max="10259" width="2.6640625" customWidth="1"/>
    <col min="10260" max="10260" width="62.109375" bestFit="1" customWidth="1"/>
    <col min="10261" max="10261" width="1.6640625" customWidth="1"/>
    <col min="10262" max="10266" width="15.6640625" customWidth="1"/>
    <col min="10267" max="10267" width="2.6640625" customWidth="1"/>
    <col min="10268" max="10268" width="15.44140625" bestFit="1" customWidth="1"/>
    <col min="10269" max="10272" width="14.44140625" customWidth="1"/>
    <col min="10497" max="10497" width="2.44140625" customWidth="1"/>
    <col min="10498" max="10498" width="40.6640625" customWidth="1"/>
    <col min="10499" max="10499" width="2.6640625" customWidth="1"/>
    <col min="10500" max="10500" width="14" bestFit="1" customWidth="1"/>
    <col min="10501" max="10501" width="2" customWidth="1"/>
    <col min="10502" max="10509" width="15.33203125" bestFit="1" customWidth="1"/>
    <col min="10510" max="10510" width="2.6640625" customWidth="1"/>
    <col min="10511" max="10514" width="14" bestFit="1" customWidth="1"/>
    <col min="10515" max="10515" width="2.6640625" customWidth="1"/>
    <col min="10516" max="10516" width="62.109375" bestFit="1" customWidth="1"/>
    <col min="10517" max="10517" width="1.6640625" customWidth="1"/>
    <col min="10518" max="10522" width="15.6640625" customWidth="1"/>
    <col min="10523" max="10523" width="2.6640625" customWidth="1"/>
    <col min="10524" max="10524" width="15.44140625" bestFit="1" customWidth="1"/>
    <col min="10525" max="10528" width="14.44140625" customWidth="1"/>
    <col min="10753" max="10753" width="2.44140625" customWidth="1"/>
    <col min="10754" max="10754" width="40.6640625" customWidth="1"/>
    <col min="10755" max="10755" width="2.6640625" customWidth="1"/>
    <col min="10756" max="10756" width="14" bestFit="1" customWidth="1"/>
    <col min="10757" max="10757" width="2" customWidth="1"/>
    <col min="10758" max="10765" width="15.33203125" bestFit="1" customWidth="1"/>
    <col min="10766" max="10766" width="2.6640625" customWidth="1"/>
    <col min="10767" max="10770" width="14" bestFit="1" customWidth="1"/>
    <col min="10771" max="10771" width="2.6640625" customWidth="1"/>
    <col min="10772" max="10772" width="62.109375" bestFit="1" customWidth="1"/>
    <col min="10773" max="10773" width="1.6640625" customWidth="1"/>
    <col min="10774" max="10778" width="15.6640625" customWidth="1"/>
    <col min="10779" max="10779" width="2.6640625" customWidth="1"/>
    <col min="10780" max="10780" width="15.44140625" bestFit="1" customWidth="1"/>
    <col min="10781" max="10784" width="14.44140625" customWidth="1"/>
    <col min="11009" max="11009" width="2.44140625" customWidth="1"/>
    <col min="11010" max="11010" width="40.6640625" customWidth="1"/>
    <col min="11011" max="11011" width="2.6640625" customWidth="1"/>
    <col min="11012" max="11012" width="14" bestFit="1" customWidth="1"/>
    <col min="11013" max="11013" width="2" customWidth="1"/>
    <col min="11014" max="11021" width="15.33203125" bestFit="1" customWidth="1"/>
    <col min="11022" max="11022" width="2.6640625" customWidth="1"/>
    <col min="11023" max="11026" width="14" bestFit="1" customWidth="1"/>
    <col min="11027" max="11027" width="2.6640625" customWidth="1"/>
    <col min="11028" max="11028" width="62.109375" bestFit="1" customWidth="1"/>
    <col min="11029" max="11029" width="1.6640625" customWidth="1"/>
    <col min="11030" max="11034" width="15.6640625" customWidth="1"/>
    <col min="11035" max="11035" width="2.6640625" customWidth="1"/>
    <col min="11036" max="11036" width="15.44140625" bestFit="1" customWidth="1"/>
    <col min="11037" max="11040" width="14.44140625" customWidth="1"/>
    <col min="11265" max="11265" width="2.44140625" customWidth="1"/>
    <col min="11266" max="11266" width="40.6640625" customWidth="1"/>
    <col min="11267" max="11267" width="2.6640625" customWidth="1"/>
    <col min="11268" max="11268" width="14" bestFit="1" customWidth="1"/>
    <col min="11269" max="11269" width="2" customWidth="1"/>
    <col min="11270" max="11277" width="15.33203125" bestFit="1" customWidth="1"/>
    <col min="11278" max="11278" width="2.6640625" customWidth="1"/>
    <col min="11279" max="11282" width="14" bestFit="1" customWidth="1"/>
    <col min="11283" max="11283" width="2.6640625" customWidth="1"/>
    <col min="11284" max="11284" width="62.109375" bestFit="1" customWidth="1"/>
    <col min="11285" max="11285" width="1.6640625" customWidth="1"/>
    <col min="11286" max="11290" width="15.6640625" customWidth="1"/>
    <col min="11291" max="11291" width="2.6640625" customWidth="1"/>
    <col min="11292" max="11292" width="15.44140625" bestFit="1" customWidth="1"/>
    <col min="11293" max="11296" width="14.44140625" customWidth="1"/>
    <col min="11521" max="11521" width="2.44140625" customWidth="1"/>
    <col min="11522" max="11522" width="40.6640625" customWidth="1"/>
    <col min="11523" max="11523" width="2.6640625" customWidth="1"/>
    <col min="11524" max="11524" width="14" bestFit="1" customWidth="1"/>
    <col min="11525" max="11525" width="2" customWidth="1"/>
    <col min="11526" max="11533" width="15.33203125" bestFit="1" customWidth="1"/>
    <col min="11534" max="11534" width="2.6640625" customWidth="1"/>
    <col min="11535" max="11538" width="14" bestFit="1" customWidth="1"/>
    <col min="11539" max="11539" width="2.6640625" customWidth="1"/>
    <col min="11540" max="11540" width="62.109375" bestFit="1" customWidth="1"/>
    <col min="11541" max="11541" width="1.6640625" customWidth="1"/>
    <col min="11542" max="11546" width="15.6640625" customWidth="1"/>
    <col min="11547" max="11547" width="2.6640625" customWidth="1"/>
    <col min="11548" max="11548" width="15.44140625" bestFit="1" customWidth="1"/>
    <col min="11549" max="11552" width="14.44140625" customWidth="1"/>
    <col min="11777" max="11777" width="2.44140625" customWidth="1"/>
    <col min="11778" max="11778" width="40.6640625" customWidth="1"/>
    <col min="11779" max="11779" width="2.6640625" customWidth="1"/>
    <col min="11780" max="11780" width="14" bestFit="1" customWidth="1"/>
    <col min="11781" max="11781" width="2" customWidth="1"/>
    <col min="11782" max="11789" width="15.33203125" bestFit="1" customWidth="1"/>
    <col min="11790" max="11790" width="2.6640625" customWidth="1"/>
    <col min="11791" max="11794" width="14" bestFit="1" customWidth="1"/>
    <col min="11795" max="11795" width="2.6640625" customWidth="1"/>
    <col min="11796" max="11796" width="62.109375" bestFit="1" customWidth="1"/>
    <col min="11797" max="11797" width="1.6640625" customWidth="1"/>
    <col min="11798" max="11802" width="15.6640625" customWidth="1"/>
    <col min="11803" max="11803" width="2.6640625" customWidth="1"/>
    <col min="11804" max="11804" width="15.44140625" bestFit="1" customWidth="1"/>
    <col min="11805" max="11808" width="14.44140625" customWidth="1"/>
    <col min="12033" max="12033" width="2.44140625" customWidth="1"/>
    <col min="12034" max="12034" width="40.6640625" customWidth="1"/>
    <col min="12035" max="12035" width="2.6640625" customWidth="1"/>
    <col min="12036" max="12036" width="14" bestFit="1" customWidth="1"/>
    <col min="12037" max="12037" width="2" customWidth="1"/>
    <col min="12038" max="12045" width="15.33203125" bestFit="1" customWidth="1"/>
    <col min="12046" max="12046" width="2.6640625" customWidth="1"/>
    <col min="12047" max="12050" width="14" bestFit="1" customWidth="1"/>
    <col min="12051" max="12051" width="2.6640625" customWidth="1"/>
    <col min="12052" max="12052" width="62.109375" bestFit="1" customWidth="1"/>
    <col min="12053" max="12053" width="1.6640625" customWidth="1"/>
    <col min="12054" max="12058" width="15.6640625" customWidth="1"/>
    <col min="12059" max="12059" width="2.6640625" customWidth="1"/>
    <col min="12060" max="12060" width="15.44140625" bestFit="1" customWidth="1"/>
    <col min="12061" max="12064" width="14.44140625" customWidth="1"/>
    <col min="12289" max="12289" width="2.44140625" customWidth="1"/>
    <col min="12290" max="12290" width="40.6640625" customWidth="1"/>
    <col min="12291" max="12291" width="2.6640625" customWidth="1"/>
    <col min="12292" max="12292" width="14" bestFit="1" customWidth="1"/>
    <col min="12293" max="12293" width="2" customWidth="1"/>
    <col min="12294" max="12301" width="15.33203125" bestFit="1" customWidth="1"/>
    <col min="12302" max="12302" width="2.6640625" customWidth="1"/>
    <col min="12303" max="12306" width="14" bestFit="1" customWidth="1"/>
    <col min="12307" max="12307" width="2.6640625" customWidth="1"/>
    <col min="12308" max="12308" width="62.109375" bestFit="1" customWidth="1"/>
    <col min="12309" max="12309" width="1.6640625" customWidth="1"/>
    <col min="12310" max="12314" width="15.6640625" customWidth="1"/>
    <col min="12315" max="12315" width="2.6640625" customWidth="1"/>
    <col min="12316" max="12316" width="15.44140625" bestFit="1" customWidth="1"/>
    <col min="12317" max="12320" width="14.44140625" customWidth="1"/>
    <col min="12545" max="12545" width="2.44140625" customWidth="1"/>
    <col min="12546" max="12546" width="40.6640625" customWidth="1"/>
    <col min="12547" max="12547" width="2.6640625" customWidth="1"/>
    <col min="12548" max="12548" width="14" bestFit="1" customWidth="1"/>
    <col min="12549" max="12549" width="2" customWidth="1"/>
    <col min="12550" max="12557" width="15.33203125" bestFit="1" customWidth="1"/>
    <col min="12558" max="12558" width="2.6640625" customWidth="1"/>
    <col min="12559" max="12562" width="14" bestFit="1" customWidth="1"/>
    <col min="12563" max="12563" width="2.6640625" customWidth="1"/>
    <col min="12564" max="12564" width="62.109375" bestFit="1" customWidth="1"/>
    <col min="12565" max="12565" width="1.6640625" customWidth="1"/>
    <col min="12566" max="12570" width="15.6640625" customWidth="1"/>
    <col min="12571" max="12571" width="2.6640625" customWidth="1"/>
    <col min="12572" max="12572" width="15.44140625" bestFit="1" customWidth="1"/>
    <col min="12573" max="12576" width="14.44140625" customWidth="1"/>
    <col min="12801" max="12801" width="2.44140625" customWidth="1"/>
    <col min="12802" max="12802" width="40.6640625" customWidth="1"/>
    <col min="12803" max="12803" width="2.6640625" customWidth="1"/>
    <col min="12804" max="12804" width="14" bestFit="1" customWidth="1"/>
    <col min="12805" max="12805" width="2" customWidth="1"/>
    <col min="12806" max="12813" width="15.33203125" bestFit="1" customWidth="1"/>
    <col min="12814" max="12814" width="2.6640625" customWidth="1"/>
    <col min="12815" max="12818" width="14" bestFit="1" customWidth="1"/>
    <col min="12819" max="12819" width="2.6640625" customWidth="1"/>
    <col min="12820" max="12820" width="62.109375" bestFit="1" customWidth="1"/>
    <col min="12821" max="12821" width="1.6640625" customWidth="1"/>
    <col min="12822" max="12826" width="15.6640625" customWidth="1"/>
    <col min="12827" max="12827" width="2.6640625" customWidth="1"/>
    <col min="12828" max="12828" width="15.44140625" bestFit="1" customWidth="1"/>
    <col min="12829" max="12832" width="14.44140625" customWidth="1"/>
    <col min="13057" max="13057" width="2.44140625" customWidth="1"/>
    <col min="13058" max="13058" width="40.6640625" customWidth="1"/>
    <col min="13059" max="13059" width="2.6640625" customWidth="1"/>
    <col min="13060" max="13060" width="14" bestFit="1" customWidth="1"/>
    <col min="13061" max="13061" width="2" customWidth="1"/>
    <col min="13062" max="13069" width="15.33203125" bestFit="1" customWidth="1"/>
    <col min="13070" max="13070" width="2.6640625" customWidth="1"/>
    <col min="13071" max="13074" width="14" bestFit="1" customWidth="1"/>
    <col min="13075" max="13075" width="2.6640625" customWidth="1"/>
    <col min="13076" max="13076" width="62.109375" bestFit="1" customWidth="1"/>
    <col min="13077" max="13077" width="1.6640625" customWidth="1"/>
    <col min="13078" max="13082" width="15.6640625" customWidth="1"/>
    <col min="13083" max="13083" width="2.6640625" customWidth="1"/>
    <col min="13084" max="13084" width="15.44140625" bestFit="1" customWidth="1"/>
    <col min="13085" max="13088" width="14.44140625" customWidth="1"/>
    <col min="13313" max="13313" width="2.44140625" customWidth="1"/>
    <col min="13314" max="13314" width="40.6640625" customWidth="1"/>
    <col min="13315" max="13315" width="2.6640625" customWidth="1"/>
    <col min="13316" max="13316" width="14" bestFit="1" customWidth="1"/>
    <col min="13317" max="13317" width="2" customWidth="1"/>
    <col min="13318" max="13325" width="15.33203125" bestFit="1" customWidth="1"/>
    <col min="13326" max="13326" width="2.6640625" customWidth="1"/>
    <col min="13327" max="13330" width="14" bestFit="1" customWidth="1"/>
    <col min="13331" max="13331" width="2.6640625" customWidth="1"/>
    <col min="13332" max="13332" width="62.109375" bestFit="1" customWidth="1"/>
    <col min="13333" max="13333" width="1.6640625" customWidth="1"/>
    <col min="13334" max="13338" width="15.6640625" customWidth="1"/>
    <col min="13339" max="13339" width="2.6640625" customWidth="1"/>
    <col min="13340" max="13340" width="15.44140625" bestFit="1" customWidth="1"/>
    <col min="13341" max="13344" width="14.44140625" customWidth="1"/>
    <col min="13569" max="13569" width="2.44140625" customWidth="1"/>
    <col min="13570" max="13570" width="40.6640625" customWidth="1"/>
    <col min="13571" max="13571" width="2.6640625" customWidth="1"/>
    <col min="13572" max="13572" width="14" bestFit="1" customWidth="1"/>
    <col min="13573" max="13573" width="2" customWidth="1"/>
    <col min="13574" max="13581" width="15.33203125" bestFit="1" customWidth="1"/>
    <col min="13582" max="13582" width="2.6640625" customWidth="1"/>
    <col min="13583" max="13586" width="14" bestFit="1" customWidth="1"/>
    <col min="13587" max="13587" width="2.6640625" customWidth="1"/>
    <col min="13588" max="13588" width="62.109375" bestFit="1" customWidth="1"/>
    <col min="13589" max="13589" width="1.6640625" customWidth="1"/>
    <col min="13590" max="13594" width="15.6640625" customWidth="1"/>
    <col min="13595" max="13595" width="2.6640625" customWidth="1"/>
    <col min="13596" max="13596" width="15.44140625" bestFit="1" customWidth="1"/>
    <col min="13597" max="13600" width="14.44140625" customWidth="1"/>
    <col min="13825" max="13825" width="2.44140625" customWidth="1"/>
    <col min="13826" max="13826" width="40.6640625" customWidth="1"/>
    <col min="13827" max="13827" width="2.6640625" customWidth="1"/>
    <col min="13828" max="13828" width="14" bestFit="1" customWidth="1"/>
    <col min="13829" max="13829" width="2" customWidth="1"/>
    <col min="13830" max="13837" width="15.33203125" bestFit="1" customWidth="1"/>
    <col min="13838" max="13838" width="2.6640625" customWidth="1"/>
    <col min="13839" max="13842" width="14" bestFit="1" customWidth="1"/>
    <col min="13843" max="13843" width="2.6640625" customWidth="1"/>
    <col min="13844" max="13844" width="62.109375" bestFit="1" customWidth="1"/>
    <col min="13845" max="13845" width="1.6640625" customWidth="1"/>
    <col min="13846" max="13850" width="15.6640625" customWidth="1"/>
    <col min="13851" max="13851" width="2.6640625" customWidth="1"/>
    <col min="13852" max="13852" width="15.44140625" bestFit="1" customWidth="1"/>
    <col min="13853" max="13856" width="14.44140625" customWidth="1"/>
    <col min="14081" max="14081" width="2.44140625" customWidth="1"/>
    <col min="14082" max="14082" width="40.6640625" customWidth="1"/>
    <col min="14083" max="14083" width="2.6640625" customWidth="1"/>
    <col min="14084" max="14084" width="14" bestFit="1" customWidth="1"/>
    <col min="14085" max="14085" width="2" customWidth="1"/>
    <col min="14086" max="14093" width="15.33203125" bestFit="1" customWidth="1"/>
    <col min="14094" max="14094" width="2.6640625" customWidth="1"/>
    <col min="14095" max="14098" width="14" bestFit="1" customWidth="1"/>
    <col min="14099" max="14099" width="2.6640625" customWidth="1"/>
    <col min="14100" max="14100" width="62.109375" bestFit="1" customWidth="1"/>
    <col min="14101" max="14101" width="1.6640625" customWidth="1"/>
    <col min="14102" max="14106" width="15.6640625" customWidth="1"/>
    <col min="14107" max="14107" width="2.6640625" customWidth="1"/>
    <col min="14108" max="14108" width="15.44140625" bestFit="1" customWidth="1"/>
    <col min="14109" max="14112" width="14.44140625" customWidth="1"/>
    <col min="14337" max="14337" width="2.44140625" customWidth="1"/>
    <col min="14338" max="14338" width="40.6640625" customWidth="1"/>
    <col min="14339" max="14339" width="2.6640625" customWidth="1"/>
    <col min="14340" max="14340" width="14" bestFit="1" customWidth="1"/>
    <col min="14341" max="14341" width="2" customWidth="1"/>
    <col min="14342" max="14349" width="15.33203125" bestFit="1" customWidth="1"/>
    <col min="14350" max="14350" width="2.6640625" customWidth="1"/>
    <col min="14351" max="14354" width="14" bestFit="1" customWidth="1"/>
    <col min="14355" max="14355" width="2.6640625" customWidth="1"/>
    <col min="14356" max="14356" width="62.109375" bestFit="1" customWidth="1"/>
    <col min="14357" max="14357" width="1.6640625" customWidth="1"/>
    <col min="14358" max="14362" width="15.6640625" customWidth="1"/>
    <col min="14363" max="14363" width="2.6640625" customWidth="1"/>
    <col min="14364" max="14364" width="15.44140625" bestFit="1" customWidth="1"/>
    <col min="14365" max="14368" width="14.44140625" customWidth="1"/>
    <col min="14593" max="14593" width="2.44140625" customWidth="1"/>
    <col min="14594" max="14594" width="40.6640625" customWidth="1"/>
    <col min="14595" max="14595" width="2.6640625" customWidth="1"/>
    <col min="14596" max="14596" width="14" bestFit="1" customWidth="1"/>
    <col min="14597" max="14597" width="2" customWidth="1"/>
    <col min="14598" max="14605" width="15.33203125" bestFit="1" customWidth="1"/>
    <col min="14606" max="14606" width="2.6640625" customWidth="1"/>
    <col min="14607" max="14610" width="14" bestFit="1" customWidth="1"/>
    <col min="14611" max="14611" width="2.6640625" customWidth="1"/>
    <col min="14612" max="14612" width="62.109375" bestFit="1" customWidth="1"/>
    <col min="14613" max="14613" width="1.6640625" customWidth="1"/>
    <col min="14614" max="14618" width="15.6640625" customWidth="1"/>
    <col min="14619" max="14619" width="2.6640625" customWidth="1"/>
    <col min="14620" max="14620" width="15.44140625" bestFit="1" customWidth="1"/>
    <col min="14621" max="14624" width="14.44140625" customWidth="1"/>
    <col min="14849" max="14849" width="2.44140625" customWidth="1"/>
    <col min="14850" max="14850" width="40.6640625" customWidth="1"/>
    <col min="14851" max="14851" width="2.6640625" customWidth="1"/>
    <col min="14852" max="14852" width="14" bestFit="1" customWidth="1"/>
    <col min="14853" max="14853" width="2" customWidth="1"/>
    <col min="14854" max="14861" width="15.33203125" bestFit="1" customWidth="1"/>
    <col min="14862" max="14862" width="2.6640625" customWidth="1"/>
    <col min="14863" max="14866" width="14" bestFit="1" customWidth="1"/>
    <col min="14867" max="14867" width="2.6640625" customWidth="1"/>
    <col min="14868" max="14868" width="62.109375" bestFit="1" customWidth="1"/>
    <col min="14869" max="14869" width="1.6640625" customWidth="1"/>
    <col min="14870" max="14874" width="15.6640625" customWidth="1"/>
    <col min="14875" max="14875" width="2.6640625" customWidth="1"/>
    <col min="14876" max="14876" width="15.44140625" bestFit="1" customWidth="1"/>
    <col min="14877" max="14880" width="14.44140625" customWidth="1"/>
    <col min="15105" max="15105" width="2.44140625" customWidth="1"/>
    <col min="15106" max="15106" width="40.6640625" customWidth="1"/>
    <col min="15107" max="15107" width="2.6640625" customWidth="1"/>
    <col min="15108" max="15108" width="14" bestFit="1" customWidth="1"/>
    <col min="15109" max="15109" width="2" customWidth="1"/>
    <col min="15110" max="15117" width="15.33203125" bestFit="1" customWidth="1"/>
    <col min="15118" max="15118" width="2.6640625" customWidth="1"/>
    <col min="15119" max="15122" width="14" bestFit="1" customWidth="1"/>
    <col min="15123" max="15123" width="2.6640625" customWidth="1"/>
    <col min="15124" max="15124" width="62.109375" bestFit="1" customWidth="1"/>
    <col min="15125" max="15125" width="1.6640625" customWidth="1"/>
    <col min="15126" max="15130" width="15.6640625" customWidth="1"/>
    <col min="15131" max="15131" width="2.6640625" customWidth="1"/>
    <col min="15132" max="15132" width="15.44140625" bestFit="1" customWidth="1"/>
    <col min="15133" max="15136" width="14.44140625" customWidth="1"/>
    <col min="15361" max="15361" width="2.44140625" customWidth="1"/>
    <col min="15362" max="15362" width="40.6640625" customWidth="1"/>
    <col min="15363" max="15363" width="2.6640625" customWidth="1"/>
    <col min="15364" max="15364" width="14" bestFit="1" customWidth="1"/>
    <col min="15365" max="15365" width="2" customWidth="1"/>
    <col min="15366" max="15373" width="15.33203125" bestFit="1" customWidth="1"/>
    <col min="15374" max="15374" width="2.6640625" customWidth="1"/>
    <col min="15375" max="15378" width="14" bestFit="1" customWidth="1"/>
    <col min="15379" max="15379" width="2.6640625" customWidth="1"/>
    <col min="15380" max="15380" width="62.109375" bestFit="1" customWidth="1"/>
    <col min="15381" max="15381" width="1.6640625" customWidth="1"/>
    <col min="15382" max="15386" width="15.6640625" customWidth="1"/>
    <col min="15387" max="15387" width="2.6640625" customWidth="1"/>
    <col min="15388" max="15388" width="15.44140625" bestFit="1" customWidth="1"/>
    <col min="15389" max="15392" width="14.44140625" customWidth="1"/>
    <col min="15617" max="15617" width="2.44140625" customWidth="1"/>
    <col min="15618" max="15618" width="40.6640625" customWidth="1"/>
    <col min="15619" max="15619" width="2.6640625" customWidth="1"/>
    <col min="15620" max="15620" width="14" bestFit="1" customWidth="1"/>
    <col min="15621" max="15621" width="2" customWidth="1"/>
    <col min="15622" max="15629" width="15.33203125" bestFit="1" customWidth="1"/>
    <col min="15630" max="15630" width="2.6640625" customWidth="1"/>
    <col min="15631" max="15634" width="14" bestFit="1" customWidth="1"/>
    <col min="15635" max="15635" width="2.6640625" customWidth="1"/>
    <col min="15636" max="15636" width="62.109375" bestFit="1" customWidth="1"/>
    <col min="15637" max="15637" width="1.6640625" customWidth="1"/>
    <col min="15638" max="15642" width="15.6640625" customWidth="1"/>
    <col min="15643" max="15643" width="2.6640625" customWidth="1"/>
    <col min="15644" max="15644" width="15.44140625" bestFit="1" customWidth="1"/>
    <col min="15645" max="15648" width="14.44140625" customWidth="1"/>
    <col min="15873" max="15873" width="2.44140625" customWidth="1"/>
    <col min="15874" max="15874" width="40.6640625" customWidth="1"/>
    <col min="15875" max="15875" width="2.6640625" customWidth="1"/>
    <col min="15876" max="15876" width="14" bestFit="1" customWidth="1"/>
    <col min="15877" max="15877" width="2" customWidth="1"/>
    <col min="15878" max="15885" width="15.33203125" bestFit="1" customWidth="1"/>
    <col min="15886" max="15886" width="2.6640625" customWidth="1"/>
    <col min="15887" max="15890" width="14" bestFit="1" customWidth="1"/>
    <col min="15891" max="15891" width="2.6640625" customWidth="1"/>
    <col min="15892" max="15892" width="62.109375" bestFit="1" customWidth="1"/>
    <col min="15893" max="15893" width="1.6640625" customWidth="1"/>
    <col min="15894" max="15898" width="15.6640625" customWidth="1"/>
    <col min="15899" max="15899" width="2.6640625" customWidth="1"/>
    <col min="15900" max="15900" width="15.44140625" bestFit="1" customWidth="1"/>
    <col min="15901" max="15904" width="14.44140625" customWidth="1"/>
    <col min="16129" max="16129" width="2.44140625" customWidth="1"/>
    <col min="16130" max="16130" width="40.6640625" customWidth="1"/>
    <col min="16131" max="16131" width="2.6640625" customWidth="1"/>
    <col min="16132" max="16132" width="14" bestFit="1" customWidth="1"/>
    <col min="16133" max="16133" width="2" customWidth="1"/>
    <col min="16134" max="16141" width="15.33203125" bestFit="1" customWidth="1"/>
    <col min="16142" max="16142" width="2.6640625" customWidth="1"/>
    <col min="16143" max="16146" width="14" bestFit="1" customWidth="1"/>
    <col min="16147" max="16147" width="2.6640625" customWidth="1"/>
    <col min="16148" max="16148" width="62.109375" bestFit="1" customWidth="1"/>
    <col min="16149" max="16149" width="1.6640625" customWidth="1"/>
    <col min="16150" max="16154" width="15.6640625" customWidth="1"/>
    <col min="16155" max="16155" width="2.6640625" customWidth="1"/>
    <col min="16156" max="16156" width="15.44140625" bestFit="1" customWidth="1"/>
    <col min="16157" max="16160" width="14.44140625" customWidth="1"/>
  </cols>
  <sheetData>
    <row r="1" spans="1:21" s="31" customFormat="1" ht="15">
      <c r="A1" s="145"/>
      <c r="B1" s="145"/>
      <c r="C1" s="145"/>
      <c r="D1" s="145"/>
      <c r="E1" s="145"/>
      <c r="F1" s="145"/>
      <c r="G1" s="145"/>
      <c r="H1" s="145"/>
      <c r="I1" s="145"/>
      <c r="J1" s="145"/>
      <c r="K1" s="145"/>
      <c r="L1" s="145"/>
      <c r="M1" s="145"/>
      <c r="N1" s="145"/>
      <c r="O1" s="145"/>
      <c r="P1" s="145"/>
      <c r="Q1" s="145"/>
      <c r="R1" s="145"/>
      <c r="S1" s="145"/>
      <c r="T1" s="452"/>
    </row>
    <row r="2" spans="1:21" s="31" customFormat="1" ht="21">
      <c r="A2" s="572"/>
      <c r="B2" s="176" t="str">
        <f>IF(School="",Mssg1,School)</f>
        <v>Please enter school name on tab - "1) Name of School"</v>
      </c>
      <c r="C2" s="176"/>
      <c r="D2" s="49"/>
      <c r="E2" s="49"/>
      <c r="F2" s="49"/>
      <c r="G2" s="49"/>
      <c r="H2" s="49"/>
      <c r="I2" s="49"/>
      <c r="J2" s="49"/>
      <c r="K2" s="49"/>
      <c r="L2" s="49"/>
      <c r="M2" s="49"/>
      <c r="N2" s="49"/>
      <c r="O2" s="49"/>
      <c r="P2" s="49"/>
      <c r="Q2" s="49"/>
      <c r="R2" s="49"/>
      <c r="S2" s="49"/>
      <c r="T2" s="49"/>
    </row>
    <row r="3" spans="1:21" s="31" customFormat="1" ht="18.75" customHeight="1">
      <c r="A3" s="573"/>
      <c r="B3" s="176" t="str">
        <f>IF(CONTROL!J12=0,Mssg2,AcadYr1)</f>
        <v>2020-21</v>
      </c>
      <c r="C3" s="176"/>
      <c r="D3" s="49"/>
      <c r="E3" s="49"/>
      <c r="F3" s="49"/>
      <c r="G3" s="49"/>
      <c r="H3" s="49"/>
      <c r="I3" s="49"/>
      <c r="J3" s="49"/>
      <c r="K3" s="49"/>
      <c r="L3" s="49"/>
      <c r="M3" s="49"/>
      <c r="N3" s="49"/>
      <c r="O3" s="49"/>
      <c r="P3" s="49"/>
      <c r="Q3" s="49"/>
      <c r="R3" s="49"/>
      <c r="S3" s="49"/>
      <c r="T3" s="49"/>
      <c r="U3" s="150"/>
    </row>
    <row r="4" spans="1:21" s="31" customFormat="1" ht="10.5" customHeight="1">
      <c r="A4" s="573"/>
      <c r="B4" s="574"/>
      <c r="C4" s="574"/>
      <c r="D4" s="49"/>
      <c r="E4" s="49"/>
      <c r="F4" s="49"/>
      <c r="G4" s="49"/>
      <c r="H4" s="49"/>
      <c r="I4" s="49"/>
      <c r="J4" s="49"/>
      <c r="K4" s="49"/>
      <c r="L4" s="49"/>
      <c r="M4" s="49"/>
      <c r="N4" s="49"/>
      <c r="O4" s="49"/>
      <c r="P4" s="49"/>
      <c r="Q4" s="49"/>
      <c r="R4" s="49"/>
      <c r="S4" s="49"/>
      <c r="T4" s="49"/>
    </row>
    <row r="5" spans="1:21" s="31" customFormat="1" ht="9" customHeight="1">
      <c r="A5" s="573"/>
      <c r="B5" s="574"/>
      <c r="C5" s="574"/>
      <c r="D5" s="574"/>
      <c r="E5" s="574"/>
      <c r="F5" s="574"/>
      <c r="G5" s="574"/>
      <c r="H5" s="574"/>
      <c r="I5" s="574"/>
      <c r="J5" s="574"/>
      <c r="K5" s="574"/>
      <c r="L5" s="574"/>
      <c r="M5" s="574"/>
      <c r="N5" s="574"/>
      <c r="O5" s="574"/>
      <c r="P5" s="574"/>
      <c r="Q5" s="574"/>
      <c r="R5" s="574"/>
      <c r="S5" s="574"/>
    </row>
    <row r="6" spans="1:21" s="31" customFormat="1" ht="21">
      <c r="A6" s="573"/>
      <c r="B6" s="538" t="s">
        <v>321</v>
      </c>
      <c r="C6" s="539"/>
      <c r="D6" s="536"/>
      <c r="E6" s="536"/>
      <c r="F6" s="536"/>
      <c r="G6" s="536"/>
      <c r="H6" s="536"/>
      <c r="I6" s="536"/>
      <c r="J6" s="536"/>
      <c r="K6" s="536"/>
      <c r="L6" s="536"/>
      <c r="M6" s="536"/>
      <c r="N6" s="536"/>
      <c r="O6" s="536"/>
      <c r="P6" s="536"/>
      <c r="Q6" s="536"/>
      <c r="R6" s="536"/>
      <c r="S6" s="536"/>
      <c r="T6" s="540"/>
    </row>
    <row r="7" spans="1:21" s="31" customFormat="1" ht="15.75" customHeight="1">
      <c r="A7" s="146"/>
      <c r="B7" s="177"/>
      <c r="C7" s="567"/>
      <c r="D7" s="175"/>
      <c r="E7" s="146"/>
      <c r="F7" s="146"/>
      <c r="G7" s="146"/>
      <c r="H7" s="146"/>
      <c r="I7" s="146"/>
      <c r="J7" s="146"/>
      <c r="K7" s="146"/>
      <c r="L7" s="146"/>
      <c r="M7" s="146"/>
      <c r="N7" s="146"/>
      <c r="O7" s="146"/>
      <c r="P7" s="146"/>
      <c r="Q7" s="146"/>
      <c r="R7" s="146"/>
      <c r="S7" s="146"/>
    </row>
    <row r="8" spans="1:21" s="31" customFormat="1" ht="30">
      <c r="A8" s="146"/>
      <c r="B8" s="799" t="s">
        <v>345</v>
      </c>
      <c r="F8" s="1041" t="s">
        <v>1198</v>
      </c>
      <c r="G8" s="1044"/>
      <c r="H8" s="1044"/>
      <c r="I8" s="1044"/>
      <c r="J8" s="1044"/>
      <c r="K8" s="1044"/>
      <c r="L8" s="1044"/>
      <c r="M8" s="1043"/>
      <c r="O8" s="1041" t="s">
        <v>1199</v>
      </c>
      <c r="P8" s="1042"/>
      <c r="Q8" s="1042"/>
      <c r="R8" s="1043"/>
      <c r="S8"/>
      <c r="T8" s="799" t="s">
        <v>1197</v>
      </c>
    </row>
    <row r="9" spans="1:21" s="31" customFormat="1" ht="15">
      <c r="A9" s="145"/>
      <c r="B9" s="800"/>
      <c r="C9" s="148"/>
      <c r="D9" s="148"/>
      <c r="E9" s="146"/>
      <c r="F9" s="146"/>
      <c r="G9" s="146"/>
      <c r="H9" s="146"/>
      <c r="I9" s="146"/>
      <c r="J9" s="146"/>
      <c r="K9" s="146"/>
      <c r="L9" s="146"/>
      <c r="M9" s="146"/>
      <c r="N9" s="146"/>
      <c r="O9" s="146"/>
      <c r="P9" s="146"/>
      <c r="Q9" s="146"/>
      <c r="R9" s="146"/>
      <c r="S9" s="146"/>
      <c r="T9" s="28"/>
    </row>
    <row r="10" spans="1:21" s="31" customFormat="1" ht="15">
      <c r="A10" s="145"/>
      <c r="B10" s="768" t="s">
        <v>160</v>
      </c>
      <c r="C10" s="148"/>
      <c r="D10" s="768" t="s">
        <v>329</v>
      </c>
      <c r="F10" s="605" t="s">
        <v>343</v>
      </c>
      <c r="G10" s="605"/>
      <c r="H10" s="605"/>
      <c r="I10" s="605"/>
      <c r="J10" s="605"/>
      <c r="K10" s="605"/>
      <c r="L10" s="605"/>
      <c r="M10" s="772"/>
      <c r="N10" s="146"/>
      <c r="O10" s="605" t="s">
        <v>344</v>
      </c>
      <c r="P10" s="774"/>
      <c r="Q10" s="774"/>
      <c r="R10" s="775"/>
      <c r="S10"/>
      <c r="T10" s="537" t="s">
        <v>165</v>
      </c>
    </row>
    <row r="11" spans="1:21" s="31" customFormat="1" ht="15" customHeight="1">
      <c r="A11" s="145"/>
      <c r="B11" s="1045"/>
      <c r="C11" s="29"/>
      <c r="D11" s="769" t="str">
        <f>PriorPeriod</f>
        <v>2019-20</v>
      </c>
      <c r="F11" s="604" t="s">
        <v>196</v>
      </c>
      <c r="G11" s="603"/>
      <c r="H11" s="604" t="s">
        <v>197</v>
      </c>
      <c r="I11" s="603"/>
      <c r="J11" s="604" t="s">
        <v>198</v>
      </c>
      <c r="K11" s="603"/>
      <c r="L11" s="604" t="s">
        <v>199</v>
      </c>
      <c r="M11" s="603"/>
      <c r="O11" s="604" t="s">
        <v>196</v>
      </c>
      <c r="P11" s="604" t="s">
        <v>197</v>
      </c>
      <c r="Q11" s="604" t="s">
        <v>198</v>
      </c>
      <c r="R11" s="604" t="s">
        <v>199</v>
      </c>
      <c r="S11"/>
      <c r="T11" s="170"/>
    </row>
    <row r="12" spans="1:21" s="31" customFormat="1" ht="15" customHeight="1">
      <c r="A12" s="145"/>
      <c r="B12" s="1046"/>
      <c r="C12" s="29"/>
      <c r="D12" s="770" t="s">
        <v>328</v>
      </c>
      <c r="F12" s="604" t="s">
        <v>346</v>
      </c>
      <c r="G12" s="604" t="s">
        <v>347</v>
      </c>
      <c r="H12" s="604" t="s">
        <v>346</v>
      </c>
      <c r="I12" s="604" t="s">
        <v>347</v>
      </c>
      <c r="J12" s="604" t="s">
        <v>346</v>
      </c>
      <c r="K12" s="604" t="s">
        <v>347</v>
      </c>
      <c r="L12" s="604" t="s">
        <v>346</v>
      </c>
      <c r="M12" s="604" t="s">
        <v>347</v>
      </c>
      <c r="O12" s="606" t="s">
        <v>309</v>
      </c>
      <c r="P12" s="606" t="s">
        <v>309</v>
      </c>
      <c r="Q12" s="606" t="s">
        <v>309</v>
      </c>
      <c r="R12" s="606" t="s">
        <v>309</v>
      </c>
      <c r="S12"/>
      <c r="T12" s="170"/>
    </row>
    <row r="13" spans="1:21" s="31" customFormat="1" ht="15">
      <c r="A13" s="145"/>
      <c r="B13" s="777" t="s">
        <v>110</v>
      </c>
      <c r="C13" s="541"/>
      <c r="D13" s="626"/>
      <c r="F13" s="626"/>
      <c r="G13" s="626"/>
      <c r="H13" s="626"/>
      <c r="I13" s="626"/>
      <c r="J13" s="626"/>
      <c r="K13" s="626"/>
      <c r="L13" s="626"/>
      <c r="M13" s="626"/>
      <c r="O13" s="626"/>
      <c r="P13" s="626"/>
      <c r="Q13" s="626"/>
      <c r="R13" s="626"/>
      <c r="S13"/>
      <c r="T13" s="170"/>
    </row>
    <row r="14" spans="1:21" s="31" customFormat="1" ht="15">
      <c r="A14" s="145"/>
      <c r="B14" s="777" t="s">
        <v>111</v>
      </c>
      <c r="C14" s="541"/>
      <c r="D14" s="626"/>
      <c r="F14" s="626"/>
      <c r="G14" s="626"/>
      <c r="H14" s="626"/>
      <c r="I14" s="626"/>
      <c r="J14" s="626"/>
      <c r="K14" s="626"/>
      <c r="L14" s="626"/>
      <c r="M14" s="626"/>
      <c r="O14" s="626"/>
      <c r="P14" s="626"/>
      <c r="Q14" s="626"/>
      <c r="R14" s="626"/>
      <c r="S14"/>
      <c r="T14" s="170"/>
    </row>
    <row r="15" spans="1:21" s="31" customFormat="1" ht="15">
      <c r="A15" s="145"/>
      <c r="B15" s="777" t="s">
        <v>112</v>
      </c>
      <c r="C15" s="541"/>
      <c r="D15" s="626"/>
      <c r="F15" s="626"/>
      <c r="G15" s="626"/>
      <c r="H15" s="626"/>
      <c r="I15" s="626"/>
      <c r="J15" s="626"/>
      <c r="K15" s="626"/>
      <c r="L15" s="626"/>
      <c r="M15" s="626"/>
      <c r="O15" s="626"/>
      <c r="P15" s="626"/>
      <c r="Q15" s="626"/>
      <c r="R15" s="626"/>
      <c r="S15"/>
      <c r="T15" s="170"/>
    </row>
    <row r="16" spans="1:21" s="31" customFormat="1" ht="15">
      <c r="A16" s="145"/>
      <c r="B16" s="777" t="s">
        <v>98</v>
      </c>
      <c r="C16" s="541"/>
      <c r="D16" s="626"/>
      <c r="F16" s="626"/>
      <c r="G16" s="626"/>
      <c r="H16" s="626"/>
      <c r="I16" s="626"/>
      <c r="J16" s="626"/>
      <c r="K16" s="626"/>
      <c r="L16" s="626"/>
      <c r="M16" s="626"/>
      <c r="O16" s="626"/>
      <c r="P16" s="626"/>
      <c r="Q16" s="626"/>
      <c r="R16" s="626"/>
      <c r="S16"/>
      <c r="T16" s="170"/>
    </row>
    <row r="17" spans="1:20" s="31" customFormat="1" ht="15">
      <c r="A17" s="145"/>
      <c r="B17" s="777" t="s">
        <v>99</v>
      </c>
      <c r="C17" s="541"/>
      <c r="D17" s="626"/>
      <c r="F17" s="626"/>
      <c r="G17" s="626"/>
      <c r="H17" s="626"/>
      <c r="I17" s="626"/>
      <c r="J17" s="626"/>
      <c r="K17" s="626"/>
      <c r="L17" s="626"/>
      <c r="M17" s="626"/>
      <c r="O17" s="626"/>
      <c r="P17" s="626"/>
      <c r="Q17" s="626"/>
      <c r="R17" s="626"/>
      <c r="S17"/>
      <c r="T17" s="170"/>
    </row>
    <row r="18" spans="1:20" s="31" customFormat="1" ht="15">
      <c r="A18" s="145"/>
      <c r="B18" s="777" t="s">
        <v>113</v>
      </c>
      <c r="C18" s="541"/>
      <c r="D18" s="626"/>
      <c r="F18" s="626"/>
      <c r="G18" s="626"/>
      <c r="H18" s="626"/>
      <c r="I18" s="626"/>
      <c r="J18" s="626"/>
      <c r="K18" s="626"/>
      <c r="L18" s="626"/>
      <c r="M18" s="626"/>
      <c r="O18" s="626"/>
      <c r="P18" s="626"/>
      <c r="Q18" s="626"/>
      <c r="R18" s="626"/>
      <c r="S18"/>
      <c r="T18" s="170"/>
    </row>
    <row r="19" spans="1:20" s="31" customFormat="1" ht="15">
      <c r="A19" s="145"/>
      <c r="B19" s="778" t="s">
        <v>75</v>
      </c>
      <c r="C19" s="542"/>
      <c r="D19" s="607">
        <f>SUM(D13:D18)</f>
        <v>0</v>
      </c>
      <c r="F19" s="607">
        <f t="shared" ref="F19:M19" si="0">SUM(F13:F18)</f>
        <v>0</v>
      </c>
      <c r="G19" s="607">
        <f t="shared" si="0"/>
        <v>0</v>
      </c>
      <c r="H19" s="607">
        <f t="shared" si="0"/>
        <v>0</v>
      </c>
      <c r="I19" s="607">
        <f t="shared" si="0"/>
        <v>0</v>
      </c>
      <c r="J19" s="607">
        <f t="shared" si="0"/>
        <v>0</v>
      </c>
      <c r="K19" s="607">
        <f t="shared" si="0"/>
        <v>0</v>
      </c>
      <c r="L19" s="607">
        <f t="shared" si="0"/>
        <v>0</v>
      </c>
      <c r="M19" s="607">
        <f t="shared" si="0"/>
        <v>0</v>
      </c>
      <c r="O19" s="607">
        <f>SUM(O13:O18)</f>
        <v>0</v>
      </c>
      <c r="P19" s="607">
        <f>SUM(P13:P18)</f>
        <v>0</v>
      </c>
      <c r="Q19" s="607">
        <f>SUM(Q13:Q18)</f>
        <v>0</v>
      </c>
      <c r="R19" s="607">
        <f>SUM(R13:R18)</f>
        <v>0</v>
      </c>
      <c r="S19" s="173"/>
      <c r="T19" s="170"/>
    </row>
    <row r="20" spans="1:20" s="31" customFormat="1" ht="15" customHeight="1">
      <c r="A20" s="145"/>
      <c r="B20" s="771"/>
      <c r="C20" s="26"/>
      <c r="D20" s="771"/>
      <c r="E20" s="521"/>
      <c r="F20" s="773"/>
      <c r="G20" s="773"/>
      <c r="H20" s="773"/>
      <c r="I20" s="773"/>
      <c r="J20" s="773"/>
      <c r="K20" s="773"/>
      <c r="L20" s="773"/>
      <c r="M20" s="773"/>
      <c r="N20" s="521"/>
      <c r="O20" s="776"/>
      <c r="P20" s="776"/>
      <c r="Q20" s="776"/>
      <c r="R20" s="776"/>
    </row>
    <row r="21" spans="1:20" s="31" customFormat="1" ht="15" customHeight="1">
      <c r="A21" s="145"/>
      <c r="B21" s="768" t="s">
        <v>161</v>
      </c>
      <c r="C21" s="26"/>
      <c r="D21" s="768" t="s">
        <v>329</v>
      </c>
      <c r="E21" s="521"/>
      <c r="F21" s="605" t="s">
        <v>343</v>
      </c>
      <c r="G21" s="605"/>
      <c r="H21" s="605"/>
      <c r="I21" s="605"/>
      <c r="J21" s="605"/>
      <c r="K21" s="605"/>
      <c r="L21" s="605"/>
      <c r="M21" s="772"/>
      <c r="N21" s="146"/>
      <c r="O21" s="605" t="s">
        <v>344</v>
      </c>
      <c r="P21" s="774"/>
      <c r="Q21" s="774"/>
      <c r="R21" s="775"/>
      <c r="T21" s="537" t="s">
        <v>165</v>
      </c>
    </row>
    <row r="22" spans="1:20" s="31" customFormat="1" ht="15" customHeight="1">
      <c r="A22" s="145"/>
      <c r="B22" s="1045"/>
      <c r="C22" s="26"/>
      <c r="D22" s="769" t="str">
        <f>PriorPeriod</f>
        <v>2019-20</v>
      </c>
      <c r="E22" s="521"/>
      <c r="F22" s="604" t="s">
        <v>196</v>
      </c>
      <c r="G22" s="603"/>
      <c r="H22" s="604" t="s">
        <v>197</v>
      </c>
      <c r="I22" s="603"/>
      <c r="J22" s="604" t="s">
        <v>198</v>
      </c>
      <c r="K22" s="603"/>
      <c r="L22" s="604" t="s">
        <v>199</v>
      </c>
      <c r="M22" s="603"/>
      <c r="N22" s="521"/>
      <c r="O22" s="604" t="s">
        <v>196</v>
      </c>
      <c r="P22" s="604" t="s">
        <v>197</v>
      </c>
      <c r="Q22" s="604" t="s">
        <v>198</v>
      </c>
      <c r="R22" s="604" t="s">
        <v>199</v>
      </c>
      <c r="S22" s="173"/>
      <c r="T22" s="170"/>
    </row>
    <row r="23" spans="1:20" s="31" customFormat="1" ht="15">
      <c r="A23" s="145"/>
      <c r="B23" s="1046"/>
      <c r="C23" s="29"/>
      <c r="D23" s="770" t="s">
        <v>328</v>
      </c>
      <c r="F23" s="604" t="s">
        <v>346</v>
      </c>
      <c r="G23" s="604" t="s">
        <v>347</v>
      </c>
      <c r="H23" s="604" t="s">
        <v>346</v>
      </c>
      <c r="I23" s="604" t="s">
        <v>347</v>
      </c>
      <c r="J23" s="604" t="s">
        <v>346</v>
      </c>
      <c r="K23" s="604" t="s">
        <v>347</v>
      </c>
      <c r="L23" s="604" t="s">
        <v>346</v>
      </c>
      <c r="M23" s="604" t="s">
        <v>347</v>
      </c>
      <c r="O23" s="606" t="s">
        <v>309</v>
      </c>
      <c r="P23" s="606" t="s">
        <v>309</v>
      </c>
      <c r="Q23" s="606" t="s">
        <v>309</v>
      </c>
      <c r="R23" s="606" t="s">
        <v>309</v>
      </c>
      <c r="T23" s="170"/>
    </row>
    <row r="24" spans="1:20" s="31" customFormat="1" ht="15" customHeight="1">
      <c r="A24" s="145"/>
      <c r="B24" s="777" t="s">
        <v>51</v>
      </c>
      <c r="C24" s="29"/>
      <c r="D24" s="626"/>
      <c r="F24" s="626"/>
      <c r="G24" s="626"/>
      <c r="H24" s="626"/>
      <c r="I24" s="626"/>
      <c r="J24" s="626"/>
      <c r="K24" s="626"/>
      <c r="L24" s="626"/>
      <c r="M24" s="626"/>
      <c r="O24" s="626"/>
      <c r="P24" s="626"/>
      <c r="Q24" s="626"/>
      <c r="R24" s="626"/>
      <c r="T24" s="170"/>
    </row>
    <row r="25" spans="1:20" s="31" customFormat="1" ht="15" customHeight="1">
      <c r="A25" s="145"/>
      <c r="B25" s="777" t="s">
        <v>52</v>
      </c>
      <c r="C25" s="29"/>
      <c r="D25" s="626"/>
      <c r="F25" s="626"/>
      <c r="G25" s="626"/>
      <c r="H25" s="626"/>
      <c r="I25" s="626"/>
      <c r="J25" s="626"/>
      <c r="K25" s="626"/>
      <c r="L25" s="626"/>
      <c r="M25" s="626"/>
      <c r="O25" s="626"/>
      <c r="P25" s="626"/>
      <c r="Q25" s="626"/>
      <c r="R25" s="626"/>
      <c r="T25" s="170"/>
    </row>
    <row r="26" spans="1:20" s="31" customFormat="1" ht="15" customHeight="1">
      <c r="A26" s="145"/>
      <c r="B26" s="777" t="s">
        <v>10</v>
      </c>
      <c r="C26" s="29"/>
      <c r="D26" s="626"/>
      <c r="F26" s="626"/>
      <c r="G26" s="626"/>
      <c r="H26" s="626"/>
      <c r="I26" s="626"/>
      <c r="J26" s="626"/>
      <c r="K26" s="626"/>
      <c r="L26" s="626"/>
      <c r="M26" s="626"/>
      <c r="O26" s="626"/>
      <c r="P26" s="626"/>
      <c r="Q26" s="626"/>
      <c r="R26" s="626"/>
      <c r="T26" s="170"/>
    </row>
    <row r="27" spans="1:20" s="31" customFormat="1" ht="15" customHeight="1">
      <c r="A27" s="145"/>
      <c r="B27" s="777" t="s">
        <v>11</v>
      </c>
      <c r="C27" s="29"/>
      <c r="D27" s="626"/>
      <c r="F27" s="626"/>
      <c r="G27" s="626"/>
      <c r="H27" s="626"/>
      <c r="I27" s="626"/>
      <c r="J27" s="626"/>
      <c r="K27" s="626"/>
      <c r="L27" s="626"/>
      <c r="M27" s="626"/>
      <c r="O27" s="626"/>
      <c r="P27" s="626"/>
      <c r="Q27" s="626"/>
      <c r="R27" s="626"/>
      <c r="T27" s="170"/>
    </row>
    <row r="28" spans="1:20" s="31" customFormat="1" ht="15" customHeight="1">
      <c r="A28" s="145"/>
      <c r="B28" s="777" t="s">
        <v>12</v>
      </c>
      <c r="C28" s="29"/>
      <c r="D28" s="626"/>
      <c r="F28" s="626"/>
      <c r="G28" s="626"/>
      <c r="H28" s="626"/>
      <c r="I28" s="626"/>
      <c r="J28" s="626"/>
      <c r="K28" s="626"/>
      <c r="L28" s="626"/>
      <c r="M28" s="626"/>
      <c r="O28" s="626"/>
      <c r="P28" s="626"/>
      <c r="Q28" s="626"/>
      <c r="R28" s="626"/>
      <c r="T28" s="170"/>
    </row>
    <row r="29" spans="1:20" s="31" customFormat="1" ht="15">
      <c r="A29" s="145"/>
      <c r="B29" s="777" t="s">
        <v>13</v>
      </c>
      <c r="C29" s="29"/>
      <c r="D29" s="626"/>
      <c r="F29" s="626"/>
      <c r="G29" s="626"/>
      <c r="H29" s="626"/>
      <c r="I29" s="626"/>
      <c r="J29" s="626"/>
      <c r="K29" s="626"/>
      <c r="L29" s="626"/>
      <c r="M29" s="626"/>
      <c r="O29" s="626"/>
      <c r="P29" s="626"/>
      <c r="Q29" s="626"/>
      <c r="R29" s="626"/>
      <c r="T29" s="170"/>
    </row>
    <row r="30" spans="1:20" s="31" customFormat="1" ht="15" customHeight="1">
      <c r="A30" s="145"/>
      <c r="B30" s="777" t="s">
        <v>73</v>
      </c>
      <c r="C30" s="29"/>
      <c r="D30" s="626"/>
      <c r="F30" s="626"/>
      <c r="G30" s="626"/>
      <c r="H30" s="626"/>
      <c r="I30" s="626"/>
      <c r="J30" s="626"/>
      <c r="K30" s="626"/>
      <c r="L30" s="626"/>
      <c r="M30" s="626"/>
      <c r="O30" s="626"/>
      <c r="P30" s="626"/>
      <c r="Q30" s="626"/>
      <c r="R30" s="626"/>
      <c r="T30" s="170"/>
    </row>
    <row r="31" spans="1:20" s="31" customFormat="1" ht="15" customHeight="1">
      <c r="A31" s="145"/>
      <c r="B31" s="777" t="s">
        <v>29</v>
      </c>
      <c r="C31" s="29"/>
      <c r="D31" s="626"/>
      <c r="F31" s="626"/>
      <c r="G31" s="626"/>
      <c r="H31" s="626"/>
      <c r="I31" s="626"/>
      <c r="J31" s="626"/>
      <c r="K31" s="626"/>
      <c r="L31" s="626"/>
      <c r="M31" s="626"/>
      <c r="O31" s="626"/>
      <c r="P31" s="626"/>
      <c r="Q31" s="626"/>
      <c r="R31" s="626"/>
      <c r="T31" s="170"/>
    </row>
    <row r="32" spans="1:20" s="31" customFormat="1" ht="20.100000000000001" customHeight="1">
      <c r="A32" s="145"/>
      <c r="B32" s="777" t="s">
        <v>78</v>
      </c>
      <c r="C32" s="29"/>
      <c r="D32" s="602">
        <f>SUM(D24:D31)</f>
        <v>0</v>
      </c>
      <c r="F32" s="602">
        <f t="shared" ref="F32:L32" si="1">SUM(F24:F31)</f>
        <v>0</v>
      </c>
      <c r="G32" s="602">
        <f t="shared" si="1"/>
        <v>0</v>
      </c>
      <c r="H32" s="602">
        <f t="shared" si="1"/>
        <v>0</v>
      </c>
      <c r="I32" s="602">
        <f t="shared" si="1"/>
        <v>0</v>
      </c>
      <c r="J32" s="602">
        <f t="shared" si="1"/>
        <v>0</v>
      </c>
      <c r="K32" s="602">
        <f t="shared" si="1"/>
        <v>0</v>
      </c>
      <c r="L32" s="602">
        <f t="shared" si="1"/>
        <v>0</v>
      </c>
      <c r="M32" s="602">
        <f>SUM(M24:M31)</f>
        <v>0</v>
      </c>
      <c r="O32" s="602">
        <f>SUM(O24:O31)</f>
        <v>0</v>
      </c>
      <c r="P32" s="602">
        <f>SUM(P24:P31)</f>
        <v>0</v>
      </c>
      <c r="Q32" s="602">
        <f>SUM(Q24:Q31)</f>
        <v>0</v>
      </c>
      <c r="R32" s="602">
        <f>SUM(R24:R31)</f>
        <v>0</v>
      </c>
      <c r="T32" s="170"/>
    </row>
    <row r="33" spans="1:20" s="31" customFormat="1" ht="15">
      <c r="A33" s="145"/>
      <c r="B33" s="771"/>
      <c r="C33" s="26"/>
      <c r="D33" s="771"/>
      <c r="E33" s="521"/>
      <c r="F33" s="773"/>
      <c r="G33" s="773"/>
      <c r="H33" s="773"/>
      <c r="I33" s="773"/>
      <c r="J33" s="773"/>
      <c r="K33" s="773"/>
      <c r="L33" s="773"/>
      <c r="M33" s="773"/>
      <c r="N33" s="521"/>
      <c r="O33" s="776"/>
      <c r="P33" s="776"/>
      <c r="Q33" s="776"/>
      <c r="R33" s="776"/>
      <c r="S33" s="521"/>
      <c r="T33" s="27"/>
    </row>
    <row r="34" spans="1:20" s="31" customFormat="1" ht="15">
      <c r="A34" s="145"/>
      <c r="B34" s="768" t="s">
        <v>162</v>
      </c>
      <c r="C34" s="26"/>
      <c r="D34" s="768" t="s">
        <v>329</v>
      </c>
      <c r="E34" s="521"/>
      <c r="F34" s="605" t="s">
        <v>343</v>
      </c>
      <c r="G34" s="605"/>
      <c r="H34" s="605"/>
      <c r="I34" s="605"/>
      <c r="J34" s="605"/>
      <c r="K34" s="605"/>
      <c r="L34" s="605"/>
      <c r="M34" s="772"/>
      <c r="N34" s="521"/>
      <c r="O34" s="605" t="s">
        <v>344</v>
      </c>
      <c r="P34" s="774"/>
      <c r="Q34" s="774"/>
      <c r="R34" s="775"/>
      <c r="S34" s="521"/>
      <c r="T34" s="537" t="s">
        <v>165</v>
      </c>
    </row>
    <row r="35" spans="1:20" s="31" customFormat="1" ht="15" customHeight="1">
      <c r="A35" s="145"/>
      <c r="B35" s="1045"/>
      <c r="C35" s="26"/>
      <c r="D35" s="769" t="str">
        <f>PriorPeriod</f>
        <v>2019-20</v>
      </c>
      <c r="E35" s="521"/>
      <c r="F35" s="604" t="s">
        <v>196</v>
      </c>
      <c r="G35" s="603"/>
      <c r="H35" s="604" t="s">
        <v>197</v>
      </c>
      <c r="I35" s="603"/>
      <c r="J35" s="604" t="s">
        <v>198</v>
      </c>
      <c r="K35" s="603"/>
      <c r="L35" s="604" t="s">
        <v>199</v>
      </c>
      <c r="M35" s="603"/>
      <c r="N35" s="521"/>
      <c r="O35" s="604" t="s">
        <v>196</v>
      </c>
      <c r="P35" s="604" t="s">
        <v>197</v>
      </c>
      <c r="Q35" s="604" t="s">
        <v>198</v>
      </c>
      <c r="R35" s="604" t="s">
        <v>199</v>
      </c>
      <c r="S35" s="521"/>
      <c r="T35" s="170"/>
    </row>
    <row r="36" spans="1:20" s="31" customFormat="1" ht="15">
      <c r="A36" s="145"/>
      <c r="B36" s="1046"/>
      <c r="C36" s="29"/>
      <c r="D36" s="770" t="s">
        <v>328</v>
      </c>
      <c r="E36" s="520"/>
      <c r="F36" s="604" t="s">
        <v>346</v>
      </c>
      <c r="G36" s="604" t="s">
        <v>347</v>
      </c>
      <c r="H36" s="604" t="s">
        <v>346</v>
      </c>
      <c r="I36" s="604" t="s">
        <v>347</v>
      </c>
      <c r="J36" s="604" t="s">
        <v>346</v>
      </c>
      <c r="K36" s="604" t="s">
        <v>347</v>
      </c>
      <c r="L36" s="604" t="s">
        <v>346</v>
      </c>
      <c r="M36" s="604" t="s">
        <v>347</v>
      </c>
      <c r="O36" s="606" t="s">
        <v>309</v>
      </c>
      <c r="P36" s="606" t="s">
        <v>309</v>
      </c>
      <c r="Q36" s="606" t="s">
        <v>309</v>
      </c>
      <c r="R36" s="606" t="s">
        <v>309</v>
      </c>
      <c r="S36" s="520"/>
      <c r="T36" s="170"/>
    </row>
    <row r="37" spans="1:20" s="31" customFormat="1" ht="15" customHeight="1">
      <c r="A37" s="145"/>
      <c r="B37" s="777" t="s">
        <v>100</v>
      </c>
      <c r="C37" s="29"/>
      <c r="D37" s="626"/>
      <c r="E37" s="520"/>
      <c r="F37" s="626"/>
      <c r="G37" s="626"/>
      <c r="H37" s="626"/>
      <c r="I37" s="626"/>
      <c r="J37" s="626"/>
      <c r="K37" s="626"/>
      <c r="L37" s="626"/>
      <c r="M37" s="626"/>
      <c r="N37" s="520"/>
      <c r="O37" s="626"/>
      <c r="P37" s="626"/>
      <c r="Q37" s="626"/>
      <c r="R37" s="626"/>
      <c r="S37" s="149"/>
      <c r="T37" s="170"/>
    </row>
    <row r="38" spans="1:20" s="31" customFormat="1" ht="15" customHeight="1">
      <c r="A38" s="145"/>
      <c r="B38" s="777" t="s">
        <v>101</v>
      </c>
      <c r="C38" s="29"/>
      <c r="D38" s="626"/>
      <c r="E38" s="520"/>
      <c r="F38" s="626"/>
      <c r="G38" s="626"/>
      <c r="H38" s="626"/>
      <c r="I38" s="626"/>
      <c r="J38" s="626"/>
      <c r="K38" s="626"/>
      <c r="L38" s="626"/>
      <c r="M38" s="626"/>
      <c r="N38" s="520"/>
      <c r="O38" s="626"/>
      <c r="P38" s="626"/>
      <c r="Q38" s="626"/>
      <c r="R38" s="626"/>
      <c r="S38" s="149"/>
      <c r="T38" s="170"/>
    </row>
    <row r="39" spans="1:20" s="31" customFormat="1" ht="15" customHeight="1">
      <c r="A39" s="145"/>
      <c r="B39" s="777" t="s">
        <v>102</v>
      </c>
      <c r="C39" s="29"/>
      <c r="D39" s="626"/>
      <c r="E39" s="520"/>
      <c r="F39" s="626"/>
      <c r="G39" s="626"/>
      <c r="H39" s="626"/>
      <c r="I39" s="626"/>
      <c r="J39" s="626"/>
      <c r="K39" s="626"/>
      <c r="L39" s="626"/>
      <c r="M39" s="626"/>
      <c r="N39" s="520"/>
      <c r="O39" s="626"/>
      <c r="P39" s="626"/>
      <c r="Q39" s="626"/>
      <c r="R39" s="626"/>
      <c r="S39" s="149"/>
      <c r="T39" s="170"/>
    </row>
    <row r="40" spans="1:20" s="31" customFormat="1" ht="15" customHeight="1">
      <c r="A40" s="145"/>
      <c r="B40" s="777" t="s">
        <v>7</v>
      </c>
      <c r="C40" s="29"/>
      <c r="D40" s="626"/>
      <c r="E40" s="520"/>
      <c r="F40" s="626"/>
      <c r="G40" s="626"/>
      <c r="H40" s="626"/>
      <c r="I40" s="626"/>
      <c r="J40" s="626"/>
      <c r="K40" s="626"/>
      <c r="L40" s="626"/>
      <c r="M40" s="626"/>
      <c r="N40" s="520"/>
      <c r="O40" s="626"/>
      <c r="P40" s="626"/>
      <c r="Q40" s="626"/>
      <c r="R40" s="626"/>
      <c r="S40" s="149"/>
      <c r="T40" s="170"/>
    </row>
    <row r="41" spans="1:20" s="31" customFormat="1" ht="15" customHeight="1">
      <c r="A41" s="145"/>
      <c r="B41" s="777" t="s">
        <v>29</v>
      </c>
      <c r="C41" s="29"/>
      <c r="D41" s="626"/>
      <c r="E41" s="520"/>
      <c r="F41" s="626"/>
      <c r="G41" s="626"/>
      <c r="H41" s="626"/>
      <c r="I41" s="626"/>
      <c r="J41" s="626"/>
      <c r="K41" s="626"/>
      <c r="L41" s="626"/>
      <c r="M41" s="626"/>
      <c r="N41" s="520"/>
      <c r="O41" s="626"/>
      <c r="P41" s="626"/>
      <c r="Q41" s="626"/>
      <c r="R41" s="626"/>
      <c r="S41" s="149"/>
      <c r="T41" s="170"/>
    </row>
    <row r="42" spans="1:20" s="31" customFormat="1" ht="20.100000000000001" customHeight="1">
      <c r="A42" s="145"/>
      <c r="B42" s="778" t="s">
        <v>80</v>
      </c>
      <c r="C42" s="29"/>
      <c r="D42" s="607">
        <f t="shared" ref="D42:M42" si="2">SUM(D37:D41)</f>
        <v>0</v>
      </c>
      <c r="E42" s="520"/>
      <c r="F42" s="607">
        <f t="shared" si="2"/>
        <v>0</v>
      </c>
      <c r="G42" s="607">
        <f t="shared" si="2"/>
        <v>0</v>
      </c>
      <c r="H42" s="607">
        <f t="shared" si="2"/>
        <v>0</v>
      </c>
      <c r="I42" s="607">
        <f t="shared" si="2"/>
        <v>0</v>
      </c>
      <c r="J42" s="607">
        <f t="shared" si="2"/>
        <v>0</v>
      </c>
      <c r="K42" s="607">
        <f t="shared" si="2"/>
        <v>0</v>
      </c>
      <c r="L42" s="607">
        <f t="shared" si="2"/>
        <v>0</v>
      </c>
      <c r="M42" s="607">
        <f t="shared" si="2"/>
        <v>0</v>
      </c>
      <c r="N42" s="520"/>
      <c r="O42" s="607">
        <f>SUM(O37:O41)</f>
        <v>0</v>
      </c>
      <c r="P42" s="607">
        <f>SUM(P37:P41)</f>
        <v>0</v>
      </c>
      <c r="Q42" s="607">
        <f>SUM(Q37:Q41)</f>
        <v>0</v>
      </c>
      <c r="R42" s="607">
        <f>SUM(R37:R41)</f>
        <v>0</v>
      </c>
      <c r="S42" s="149"/>
      <c r="T42" s="170"/>
    </row>
    <row r="43" spans="1:20" s="31" customFormat="1" ht="15">
      <c r="A43" s="145"/>
      <c r="B43" s="771"/>
      <c r="C43" s="26"/>
      <c r="D43" s="771"/>
      <c r="E43" s="521"/>
      <c r="F43" s="773"/>
      <c r="G43" s="773"/>
      <c r="H43" s="773"/>
      <c r="I43" s="773"/>
      <c r="J43" s="773"/>
      <c r="K43" s="773"/>
      <c r="L43" s="773"/>
      <c r="M43" s="773"/>
      <c r="N43" s="521"/>
      <c r="O43" s="776"/>
      <c r="P43" s="776"/>
      <c r="Q43" s="776"/>
      <c r="R43" s="776"/>
      <c r="S43" s="521"/>
      <c r="T43" s="27"/>
    </row>
    <row r="44" spans="1:20" s="31" customFormat="1" ht="20.100000000000001" customHeight="1">
      <c r="A44" s="147"/>
      <c r="B44" s="779" t="s">
        <v>159</v>
      </c>
      <c r="C44" s="29"/>
      <c r="D44" s="607">
        <f>D19+D32+D42</f>
        <v>0</v>
      </c>
      <c r="E44" s="520"/>
      <c r="F44" s="607">
        <f t="shared" ref="F44:M44" si="3">F19+F32+F42</f>
        <v>0</v>
      </c>
      <c r="G44" s="607">
        <f t="shared" si="3"/>
        <v>0</v>
      </c>
      <c r="H44" s="607">
        <f t="shared" si="3"/>
        <v>0</v>
      </c>
      <c r="I44" s="607">
        <f t="shared" si="3"/>
        <v>0</v>
      </c>
      <c r="J44" s="607">
        <f t="shared" si="3"/>
        <v>0</v>
      </c>
      <c r="K44" s="607">
        <f t="shared" si="3"/>
        <v>0</v>
      </c>
      <c r="L44" s="607">
        <f t="shared" si="3"/>
        <v>0</v>
      </c>
      <c r="M44" s="607">
        <f t="shared" si="3"/>
        <v>0</v>
      </c>
      <c r="N44" s="520"/>
      <c r="O44" s="607">
        <f>O19+O32+O42</f>
        <v>0</v>
      </c>
      <c r="P44" s="607">
        <f>P19+P32+P42</f>
        <v>0</v>
      </c>
      <c r="Q44" s="607">
        <f>Q19+Q32+Q42</f>
        <v>0</v>
      </c>
      <c r="R44" s="607">
        <f>R19+R32+R42</f>
        <v>0</v>
      </c>
      <c r="S44" s="149"/>
      <c r="T44" s="170"/>
    </row>
    <row r="45" spans="1:20" s="31" customFormat="1" ht="15">
      <c r="A45" s="147"/>
      <c r="B45" s="172"/>
      <c r="C45" s="172"/>
      <c r="D45" s="173"/>
      <c r="E45" s="174"/>
      <c r="F45" s="174"/>
      <c r="G45" s="174"/>
      <c r="H45" s="174"/>
      <c r="I45" s="174"/>
      <c r="J45" s="174"/>
      <c r="K45" s="174"/>
      <c r="L45" s="174"/>
      <c r="M45" s="174"/>
      <c r="N45" s="174"/>
      <c r="O45" s="174"/>
      <c r="P45" s="174"/>
      <c r="Q45" s="174"/>
      <c r="R45" s="174"/>
      <c r="S45" s="174"/>
      <c r="T45" s="173"/>
    </row>
    <row r="46" spans="1:20" s="31" customFormat="1">
      <c r="A46"/>
      <c r="B46"/>
      <c r="C46"/>
      <c r="D46"/>
      <c r="E46"/>
      <c r="F46"/>
      <c r="G46"/>
      <c r="H46"/>
      <c r="I46"/>
      <c r="J46"/>
      <c r="K46"/>
      <c r="L46"/>
      <c r="M46"/>
      <c r="N46"/>
      <c r="O46"/>
      <c r="P46"/>
      <c r="Q46"/>
      <c r="R46"/>
      <c r="S46"/>
      <c r="T46"/>
    </row>
    <row r="47" spans="1:20" s="31" customFormat="1">
      <c r="B47"/>
      <c r="C47"/>
      <c r="D47"/>
      <c r="E47"/>
      <c r="F47"/>
      <c r="G47"/>
      <c r="H47"/>
      <c r="I47"/>
      <c r="J47"/>
      <c r="K47"/>
      <c r="L47"/>
      <c r="M47"/>
      <c r="N47"/>
      <c r="O47"/>
      <c r="P47"/>
      <c r="Q47"/>
      <c r="R47"/>
      <c r="S47"/>
      <c r="T47"/>
    </row>
    <row r="48" spans="1:20" s="31" customFormat="1" ht="15" customHeight="1">
      <c r="B48"/>
      <c r="C48"/>
      <c r="D48"/>
      <c r="E48"/>
      <c r="F48"/>
      <c r="G48"/>
      <c r="H48"/>
      <c r="I48"/>
      <c r="J48"/>
      <c r="K48"/>
      <c r="L48"/>
      <c r="M48"/>
      <c r="N48"/>
      <c r="O48"/>
      <c r="P48"/>
      <c r="Q48"/>
      <c r="R48"/>
      <c r="S48"/>
      <c r="T48"/>
    </row>
    <row r="49" spans="2:20" s="31" customFormat="1" ht="15" customHeight="1">
      <c r="B49"/>
      <c r="C49"/>
      <c r="D49"/>
      <c r="E49"/>
      <c r="F49"/>
      <c r="G49"/>
      <c r="H49"/>
      <c r="I49"/>
      <c r="J49"/>
      <c r="K49"/>
      <c r="L49"/>
      <c r="M49"/>
      <c r="N49"/>
      <c r="O49"/>
      <c r="P49"/>
      <c r="Q49"/>
      <c r="R49"/>
      <c r="S49"/>
      <c r="T49"/>
    </row>
    <row r="50" spans="2:20" s="31" customFormat="1" ht="15" customHeight="1">
      <c r="B50"/>
      <c r="C50"/>
      <c r="D50"/>
      <c r="E50"/>
      <c r="F50"/>
      <c r="G50"/>
      <c r="H50"/>
      <c r="I50"/>
      <c r="J50"/>
      <c r="K50"/>
      <c r="L50"/>
      <c r="M50"/>
      <c r="N50"/>
      <c r="O50"/>
      <c r="P50"/>
      <c r="Q50"/>
      <c r="R50"/>
      <c r="S50"/>
      <c r="T50"/>
    </row>
    <row r="51" spans="2:20" s="31" customFormat="1" ht="15" customHeight="1">
      <c r="B51"/>
      <c r="C51"/>
      <c r="D51"/>
      <c r="E51"/>
      <c r="F51"/>
      <c r="G51"/>
      <c r="H51"/>
      <c r="I51"/>
      <c r="J51"/>
      <c r="K51"/>
      <c r="L51"/>
      <c r="M51"/>
      <c r="N51"/>
      <c r="O51"/>
      <c r="P51"/>
      <c r="Q51"/>
      <c r="R51"/>
      <c r="S51"/>
      <c r="T51"/>
    </row>
    <row r="52" spans="2:20" s="31" customFormat="1">
      <c r="B52"/>
      <c r="C52"/>
      <c r="D52"/>
      <c r="E52"/>
      <c r="F52"/>
      <c r="G52"/>
      <c r="H52"/>
      <c r="I52"/>
      <c r="J52"/>
      <c r="K52"/>
      <c r="L52"/>
      <c r="M52"/>
      <c r="N52"/>
      <c r="O52"/>
      <c r="P52"/>
      <c r="Q52"/>
      <c r="R52"/>
      <c r="S52"/>
      <c r="T52"/>
    </row>
    <row r="53" spans="2:20" s="31" customFormat="1">
      <c r="B53"/>
      <c r="C53"/>
      <c r="D53"/>
      <c r="E53"/>
      <c r="F53"/>
      <c r="G53"/>
      <c r="H53"/>
      <c r="I53"/>
      <c r="J53"/>
      <c r="K53"/>
      <c r="L53"/>
      <c r="M53"/>
      <c r="N53"/>
      <c r="O53"/>
      <c r="P53"/>
      <c r="Q53"/>
      <c r="R53"/>
      <c r="S53"/>
      <c r="T53"/>
    </row>
    <row r="54" spans="2:20" s="31" customFormat="1">
      <c r="B54"/>
      <c r="C54"/>
      <c r="D54"/>
      <c r="E54"/>
      <c r="F54"/>
      <c r="G54"/>
      <c r="H54"/>
      <c r="I54"/>
      <c r="J54"/>
      <c r="K54"/>
      <c r="L54"/>
      <c r="M54"/>
      <c r="N54"/>
      <c r="O54"/>
      <c r="P54"/>
      <c r="Q54"/>
      <c r="R54"/>
      <c r="S54"/>
      <c r="T54"/>
    </row>
    <row r="55" spans="2:20" s="31" customFormat="1">
      <c r="B55"/>
      <c r="C55"/>
      <c r="D55"/>
      <c r="E55"/>
      <c r="F55"/>
      <c r="G55"/>
      <c r="H55"/>
      <c r="I55"/>
      <c r="J55"/>
      <c r="K55"/>
      <c r="L55"/>
      <c r="M55"/>
      <c r="N55"/>
      <c r="O55"/>
      <c r="P55"/>
      <c r="Q55"/>
      <c r="R55"/>
      <c r="S55"/>
      <c r="T55"/>
    </row>
    <row r="56" spans="2:20" s="31" customFormat="1">
      <c r="B56"/>
      <c r="C56"/>
      <c r="D56"/>
      <c r="E56"/>
      <c r="F56"/>
      <c r="G56"/>
      <c r="H56"/>
      <c r="I56"/>
      <c r="J56"/>
      <c r="K56"/>
      <c r="L56"/>
      <c r="M56"/>
      <c r="N56"/>
      <c r="O56"/>
      <c r="P56"/>
      <c r="Q56"/>
      <c r="R56"/>
      <c r="S56"/>
      <c r="T56"/>
    </row>
    <row r="57" spans="2:20" s="31" customFormat="1">
      <c r="B57"/>
      <c r="C57"/>
      <c r="D57"/>
      <c r="E57"/>
      <c r="F57"/>
      <c r="G57"/>
      <c r="H57"/>
      <c r="I57"/>
      <c r="J57"/>
      <c r="K57"/>
      <c r="L57"/>
      <c r="M57"/>
      <c r="N57"/>
      <c r="O57"/>
      <c r="P57"/>
      <c r="Q57"/>
      <c r="R57"/>
      <c r="S57"/>
      <c r="T57"/>
    </row>
    <row r="58" spans="2:20" s="31" customFormat="1">
      <c r="B58"/>
      <c r="C58"/>
      <c r="D58"/>
      <c r="E58"/>
      <c r="F58"/>
      <c r="G58"/>
      <c r="H58"/>
      <c r="I58"/>
      <c r="J58"/>
      <c r="K58"/>
      <c r="L58"/>
      <c r="M58"/>
      <c r="N58"/>
      <c r="O58"/>
      <c r="P58"/>
      <c r="Q58"/>
      <c r="R58"/>
      <c r="S58"/>
      <c r="T58"/>
    </row>
    <row r="59" spans="2:20" s="31" customFormat="1">
      <c r="B59"/>
      <c r="C59"/>
      <c r="D59"/>
      <c r="E59"/>
      <c r="F59"/>
      <c r="G59"/>
      <c r="H59"/>
      <c r="I59"/>
      <c r="J59"/>
      <c r="K59"/>
      <c r="L59"/>
      <c r="M59"/>
      <c r="N59"/>
      <c r="O59"/>
      <c r="P59"/>
      <c r="Q59"/>
      <c r="R59"/>
      <c r="S59"/>
      <c r="T59"/>
    </row>
    <row r="60" spans="2:20" s="31" customFormat="1" ht="15" customHeight="1">
      <c r="B60"/>
      <c r="C60"/>
      <c r="D60"/>
      <c r="E60"/>
      <c r="F60"/>
      <c r="G60"/>
      <c r="H60"/>
      <c r="I60"/>
      <c r="J60"/>
      <c r="K60"/>
      <c r="L60"/>
      <c r="M60"/>
      <c r="N60"/>
      <c r="O60"/>
      <c r="P60"/>
      <c r="Q60"/>
      <c r="R60"/>
      <c r="S60"/>
      <c r="T60"/>
    </row>
    <row r="61" spans="2:20" s="31" customFormat="1">
      <c r="B61"/>
      <c r="C61"/>
      <c r="D61"/>
      <c r="E61"/>
      <c r="F61"/>
      <c r="G61"/>
      <c r="H61"/>
      <c r="I61"/>
      <c r="J61"/>
      <c r="K61"/>
      <c r="L61"/>
      <c r="M61"/>
      <c r="N61"/>
      <c r="O61"/>
      <c r="P61"/>
      <c r="Q61"/>
      <c r="R61"/>
      <c r="S61"/>
      <c r="T61"/>
    </row>
    <row r="62" spans="2:20" s="31" customFormat="1">
      <c r="B62"/>
      <c r="C62"/>
      <c r="D62"/>
      <c r="E62"/>
      <c r="F62"/>
      <c r="G62"/>
      <c r="H62"/>
      <c r="I62"/>
      <c r="J62"/>
      <c r="K62"/>
      <c r="L62"/>
      <c r="M62"/>
      <c r="N62"/>
      <c r="O62"/>
      <c r="P62"/>
      <c r="Q62"/>
      <c r="R62"/>
      <c r="S62"/>
      <c r="T62"/>
    </row>
    <row r="63" spans="2:20" s="31" customFormat="1">
      <c r="B63"/>
      <c r="C63"/>
      <c r="D63"/>
      <c r="E63"/>
      <c r="F63"/>
      <c r="G63"/>
      <c r="H63"/>
      <c r="I63"/>
      <c r="J63"/>
      <c r="K63"/>
      <c r="L63"/>
      <c r="M63"/>
      <c r="N63"/>
      <c r="O63"/>
      <c r="P63"/>
      <c r="Q63"/>
      <c r="R63"/>
      <c r="S63"/>
      <c r="T63"/>
    </row>
    <row r="64" spans="2:20" s="31" customFormat="1">
      <c r="B64"/>
      <c r="C64"/>
      <c r="D64"/>
      <c r="E64"/>
      <c r="F64"/>
      <c r="G64"/>
      <c r="H64"/>
      <c r="I64"/>
      <c r="J64"/>
      <c r="K64"/>
      <c r="L64"/>
      <c r="M64"/>
      <c r="N64"/>
      <c r="O64"/>
      <c r="P64"/>
      <c r="Q64"/>
      <c r="R64"/>
      <c r="S64"/>
      <c r="T64"/>
    </row>
    <row r="65" spans="2:20" s="31" customFormat="1">
      <c r="B65"/>
      <c r="C65"/>
      <c r="D65"/>
      <c r="E65"/>
      <c r="F65"/>
      <c r="G65"/>
      <c r="H65"/>
      <c r="I65"/>
      <c r="J65"/>
      <c r="K65"/>
      <c r="L65"/>
      <c r="M65"/>
      <c r="N65"/>
      <c r="O65"/>
      <c r="P65"/>
      <c r="Q65"/>
      <c r="R65"/>
      <c r="S65"/>
      <c r="T65"/>
    </row>
    <row r="66" spans="2:20" s="31" customFormat="1">
      <c r="B66"/>
      <c r="C66"/>
      <c r="D66"/>
      <c r="E66"/>
      <c r="F66"/>
      <c r="G66"/>
      <c r="H66"/>
      <c r="I66"/>
      <c r="J66"/>
      <c r="K66"/>
      <c r="L66"/>
      <c r="M66"/>
      <c r="N66"/>
      <c r="O66"/>
      <c r="P66"/>
      <c r="Q66"/>
      <c r="R66"/>
      <c r="S66"/>
      <c r="T66"/>
    </row>
    <row r="67" spans="2:20" s="31" customFormat="1">
      <c r="B67"/>
      <c r="C67"/>
      <c r="D67"/>
      <c r="E67"/>
      <c r="F67"/>
      <c r="G67"/>
      <c r="H67"/>
      <c r="I67"/>
      <c r="J67"/>
      <c r="K67"/>
      <c r="L67"/>
      <c r="M67"/>
      <c r="N67"/>
      <c r="O67"/>
      <c r="P67"/>
      <c r="Q67"/>
      <c r="R67"/>
      <c r="S67"/>
      <c r="T67"/>
    </row>
    <row r="68" spans="2:20" s="31" customFormat="1">
      <c r="B68"/>
      <c r="C68"/>
      <c r="D68"/>
      <c r="E68"/>
      <c r="F68"/>
      <c r="G68"/>
      <c r="H68"/>
      <c r="I68"/>
      <c r="J68"/>
      <c r="K68"/>
      <c r="L68"/>
      <c r="M68"/>
      <c r="N68"/>
      <c r="O68"/>
      <c r="P68"/>
      <c r="Q68"/>
      <c r="R68"/>
      <c r="S68"/>
      <c r="T68"/>
    </row>
    <row r="69" spans="2:20" s="31" customFormat="1">
      <c r="B69"/>
      <c r="C69"/>
      <c r="D69"/>
      <c r="E69"/>
      <c r="F69"/>
      <c r="G69"/>
      <c r="H69"/>
      <c r="I69"/>
      <c r="J69"/>
      <c r="K69"/>
      <c r="L69"/>
      <c r="M69"/>
      <c r="N69"/>
      <c r="O69"/>
      <c r="P69"/>
      <c r="Q69"/>
      <c r="R69"/>
      <c r="S69"/>
      <c r="T69"/>
    </row>
    <row r="70" spans="2:20" s="31" customFormat="1">
      <c r="B70"/>
      <c r="C70"/>
      <c r="D70"/>
      <c r="E70"/>
      <c r="F70"/>
      <c r="G70"/>
      <c r="H70"/>
      <c r="I70"/>
      <c r="J70"/>
      <c r="K70"/>
      <c r="L70"/>
      <c r="M70"/>
      <c r="N70"/>
      <c r="O70"/>
      <c r="P70"/>
      <c r="Q70"/>
      <c r="R70"/>
      <c r="S70"/>
      <c r="T70"/>
    </row>
    <row r="71" spans="2:20" s="31" customFormat="1">
      <c r="B71"/>
      <c r="C71"/>
      <c r="D71"/>
      <c r="E71"/>
      <c r="F71"/>
      <c r="G71"/>
      <c r="H71"/>
      <c r="I71"/>
      <c r="J71"/>
      <c r="K71"/>
      <c r="L71"/>
      <c r="M71"/>
      <c r="N71"/>
      <c r="O71"/>
      <c r="P71"/>
      <c r="Q71"/>
      <c r="R71"/>
      <c r="S71"/>
      <c r="T71"/>
    </row>
    <row r="72" spans="2:20" s="31" customFormat="1">
      <c r="B72"/>
      <c r="C72"/>
      <c r="D72"/>
      <c r="E72"/>
      <c r="F72"/>
      <c r="G72"/>
      <c r="H72"/>
      <c r="I72"/>
      <c r="J72"/>
      <c r="K72"/>
      <c r="L72"/>
      <c r="M72"/>
      <c r="N72"/>
      <c r="O72"/>
      <c r="P72"/>
      <c r="Q72"/>
      <c r="R72"/>
      <c r="S72"/>
      <c r="T72"/>
    </row>
    <row r="73" spans="2:20" s="31" customFormat="1">
      <c r="B73"/>
      <c r="C73"/>
      <c r="D73"/>
      <c r="E73"/>
      <c r="F73"/>
      <c r="G73"/>
      <c r="H73"/>
      <c r="I73"/>
      <c r="J73"/>
      <c r="K73"/>
      <c r="L73"/>
      <c r="M73"/>
      <c r="N73"/>
      <c r="O73"/>
      <c r="P73"/>
      <c r="Q73"/>
      <c r="R73"/>
      <c r="S73"/>
      <c r="T73"/>
    </row>
    <row r="74" spans="2:20" s="31" customFormat="1">
      <c r="B74"/>
      <c r="C74"/>
      <c r="D74"/>
      <c r="E74"/>
      <c r="F74"/>
      <c r="G74"/>
      <c r="H74"/>
      <c r="I74"/>
      <c r="J74"/>
      <c r="K74"/>
      <c r="L74"/>
      <c r="M74"/>
      <c r="N74"/>
      <c r="O74"/>
      <c r="P74"/>
      <c r="Q74"/>
      <c r="R74"/>
      <c r="S74"/>
      <c r="T74"/>
    </row>
    <row r="75" spans="2:20" s="31" customFormat="1">
      <c r="B75"/>
      <c r="C75"/>
      <c r="D75"/>
      <c r="E75"/>
      <c r="F75"/>
      <c r="G75"/>
      <c r="H75"/>
      <c r="I75"/>
      <c r="J75"/>
      <c r="K75"/>
      <c r="L75"/>
      <c r="M75"/>
      <c r="N75"/>
      <c r="O75"/>
      <c r="P75"/>
      <c r="Q75"/>
      <c r="R75"/>
      <c r="S75"/>
      <c r="T75"/>
    </row>
    <row r="76" spans="2:20" s="31" customFormat="1">
      <c r="B76"/>
      <c r="C76"/>
      <c r="D76"/>
      <c r="E76"/>
      <c r="F76"/>
      <c r="G76"/>
      <c r="H76"/>
      <c r="I76"/>
      <c r="J76"/>
      <c r="K76"/>
      <c r="L76"/>
      <c r="M76"/>
      <c r="N76"/>
      <c r="O76"/>
      <c r="P76"/>
      <c r="Q76"/>
      <c r="R76"/>
      <c r="S76"/>
      <c r="T76"/>
    </row>
    <row r="77" spans="2:20" s="31" customFormat="1">
      <c r="B77"/>
      <c r="C77"/>
      <c r="D77"/>
      <c r="E77"/>
      <c r="F77"/>
      <c r="G77"/>
      <c r="H77"/>
      <c r="I77"/>
      <c r="J77"/>
      <c r="K77"/>
      <c r="L77"/>
      <c r="M77"/>
      <c r="N77"/>
      <c r="O77"/>
      <c r="P77"/>
      <c r="Q77"/>
      <c r="R77"/>
      <c r="S77"/>
      <c r="T77"/>
    </row>
    <row r="78" spans="2:20" s="31" customFormat="1">
      <c r="B78"/>
      <c r="C78"/>
      <c r="D78"/>
      <c r="E78"/>
      <c r="F78"/>
      <c r="G78"/>
      <c r="H78"/>
      <c r="I78"/>
      <c r="J78"/>
      <c r="K78"/>
      <c r="L78"/>
      <c r="M78"/>
      <c r="N78"/>
      <c r="O78"/>
      <c r="P78"/>
      <c r="Q78"/>
      <c r="R78"/>
      <c r="S78"/>
      <c r="T78"/>
    </row>
    <row r="79" spans="2:20" s="31" customFormat="1" ht="15">
      <c r="B79" s="26"/>
      <c r="C79" s="26"/>
      <c r="D79" s="26"/>
      <c r="T79" s="27"/>
    </row>
    <row r="80" spans="2:20" s="31" customFormat="1">
      <c r="T80"/>
    </row>
  </sheetData>
  <sheetProtection algorithmName="SHA-512" hashValue="HGwz6nesErCIgL2MFq8GtT+keTixP+PHOkIav7LzNgHe7oyF/U/ZWzjV5qO5BwGNxXfM1v9vuZo8nkerycXuZA==" saltValue="oDrKXtq8Q5xJtPQlkGpZog==" spinCount="100000" sheet="1" objects="1" scenarios="1"/>
  <mergeCells count="5">
    <mergeCell ref="O8:R8"/>
    <mergeCell ref="F8:M8"/>
    <mergeCell ref="B11:B12"/>
    <mergeCell ref="B22:B23"/>
    <mergeCell ref="B35:B36"/>
  </mergeCells>
  <conditionalFormatting sqref="B2:T2">
    <cfRule type="expression" dxfId="59" priority="8">
      <formula>$B$2=Mssg1</formula>
    </cfRule>
  </conditionalFormatting>
  <conditionalFormatting sqref="B3:T3">
    <cfRule type="expression" dxfId="58" priority="1">
      <formula>$B$3=Mssg2</formula>
    </cfRule>
  </conditionalFormatting>
  <printOptions horizontalCentered="1"/>
  <pageMargins left="0.49" right="0.45" top="0.31" bottom="0.28000000000000003" header="0.3" footer="0.3"/>
  <pageSetup paperSize="5" scale="50" fitToHeight="2" orientation="landscape" r:id="rId1"/>
  <headerFooter>
    <oddFooter>&amp;CPage &amp;P of &amp;N&amp;R&amp;F</oddFooter>
  </headerFooter>
  <rowBreaks count="1" manualBreakCount="1">
    <brk id="45" min="1" max="19"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3366"/>
  </sheetPr>
  <dimension ref="A1:AB207"/>
  <sheetViews>
    <sheetView view="pageBreakPreview" zoomScale="70" zoomScaleNormal="70" zoomScaleSheetLayoutView="70" workbookViewId="0">
      <pane xSplit="8" ySplit="13" topLeftCell="I14" activePane="bottomRight" state="frozen"/>
      <selection activeCell="J16" sqref="J16"/>
      <selection pane="topRight" activeCell="J16" sqref="J16"/>
      <selection pane="bottomLeft" activeCell="J16" sqref="J16"/>
      <selection pane="bottomRight" activeCell="I18" sqref="I18"/>
    </sheetView>
  </sheetViews>
  <sheetFormatPr defaultRowHeight="13.2"/>
  <cols>
    <col min="1" max="1" width="4.33203125" style="468" hidden="1" customWidth="1"/>
    <col min="2" max="4" width="2.33203125" customWidth="1"/>
    <col min="5" max="5" width="44.33203125" customWidth="1"/>
    <col min="6" max="6" width="2.109375" customWidth="1"/>
    <col min="7" max="7" width="11.88671875" customWidth="1"/>
    <col min="8" max="8" width="2.6640625" customWidth="1"/>
    <col min="9" max="9" width="16.109375" customWidth="1"/>
    <col min="10" max="21" width="12.6640625" customWidth="1"/>
    <col min="22" max="23" width="13.109375" bestFit="1" customWidth="1"/>
    <col min="24" max="26" width="12.6640625" customWidth="1"/>
    <col min="27" max="27" width="51.33203125" customWidth="1"/>
  </cols>
  <sheetData>
    <row r="1" spans="1:28" ht="14.4" hidden="1" thickBot="1">
      <c r="A1" s="478">
        <v>1</v>
      </c>
      <c r="B1" s="262"/>
      <c r="C1" s="262"/>
      <c r="D1" s="262"/>
      <c r="E1" s="261"/>
      <c r="F1" s="261"/>
      <c r="G1" s="260"/>
      <c r="H1" s="259"/>
      <c r="I1" s="259">
        <v>1</v>
      </c>
      <c r="J1" s="259">
        <f>I1+1</f>
        <v>2</v>
      </c>
      <c r="K1" s="259">
        <f t="shared" ref="K1:AA1" si="0">J1+1</f>
        <v>3</v>
      </c>
      <c r="L1" s="259">
        <f t="shared" si="0"/>
        <v>4</v>
      </c>
      <c r="M1" s="259">
        <f t="shared" si="0"/>
        <v>5</v>
      </c>
      <c r="N1" s="259">
        <f t="shared" si="0"/>
        <v>6</v>
      </c>
      <c r="O1" s="259">
        <f t="shared" si="0"/>
        <v>7</v>
      </c>
      <c r="P1" s="259">
        <f t="shared" si="0"/>
        <v>8</v>
      </c>
      <c r="Q1" s="259">
        <f t="shared" si="0"/>
        <v>9</v>
      </c>
      <c r="R1" s="259">
        <f t="shared" si="0"/>
        <v>10</v>
      </c>
      <c r="S1" s="259">
        <f t="shared" si="0"/>
        <v>11</v>
      </c>
      <c r="T1" s="259">
        <f t="shared" si="0"/>
        <v>12</v>
      </c>
      <c r="U1" s="259">
        <f t="shared" si="0"/>
        <v>13</v>
      </c>
      <c r="V1" s="259">
        <f t="shared" si="0"/>
        <v>14</v>
      </c>
      <c r="W1" s="259">
        <f t="shared" si="0"/>
        <v>15</v>
      </c>
      <c r="X1" s="259">
        <f t="shared" si="0"/>
        <v>16</v>
      </c>
      <c r="Y1" s="259">
        <f t="shared" si="0"/>
        <v>17</v>
      </c>
      <c r="Z1" s="259">
        <f t="shared" si="0"/>
        <v>18</v>
      </c>
      <c r="AA1" s="259">
        <f t="shared" si="0"/>
        <v>19</v>
      </c>
    </row>
    <row r="2" spans="1:28" ht="19.5" customHeight="1" thickTop="1">
      <c r="A2" s="479">
        <f>A1+1</f>
        <v>2</v>
      </c>
      <c r="B2" s="643"/>
      <c r="C2" s="644"/>
      <c r="D2" s="644"/>
      <c r="E2" s="644"/>
      <c r="F2" s="644"/>
      <c r="G2" s="644"/>
      <c r="H2" s="645"/>
      <c r="I2" s="644" t="str">
        <f>IF(School="",Mssg1,School)</f>
        <v>Please enter school name on tab - "1) Name of School"</v>
      </c>
      <c r="J2" s="644"/>
      <c r="K2" s="644"/>
      <c r="L2" s="644"/>
      <c r="M2" s="644"/>
      <c r="N2" s="644"/>
      <c r="O2" s="644"/>
      <c r="P2" s="644"/>
      <c r="Q2" s="644"/>
      <c r="R2" s="644"/>
      <c r="S2" s="644"/>
      <c r="T2" s="644"/>
      <c r="U2" s="646"/>
      <c r="V2" s="263" t="str">
        <f>I2</f>
        <v>Please enter school name on tab - "1) Name of School"</v>
      </c>
      <c r="W2" s="264"/>
      <c r="X2" s="264"/>
      <c r="Y2" s="264"/>
      <c r="Z2" s="265"/>
      <c r="AA2" s="647"/>
      <c r="AB2" s="641"/>
    </row>
    <row r="3" spans="1:28" ht="18">
      <c r="A3" s="479">
        <f t="shared" ref="A3:A67" si="1">A2+1</f>
        <v>3</v>
      </c>
      <c r="B3" s="640"/>
      <c r="C3" s="255"/>
      <c r="D3" s="255"/>
      <c r="E3" s="255"/>
      <c r="F3" s="255"/>
      <c r="G3" s="255"/>
      <c r="H3" s="500"/>
      <c r="I3" s="255" t="s">
        <v>229</v>
      </c>
      <c r="J3" s="255"/>
      <c r="K3" s="255"/>
      <c r="L3" s="255"/>
      <c r="M3" s="255"/>
      <c r="N3" s="255"/>
      <c r="O3" s="255"/>
      <c r="P3" s="255"/>
      <c r="Q3" s="255"/>
      <c r="R3" s="255"/>
      <c r="S3" s="255"/>
      <c r="T3" s="255"/>
      <c r="U3" s="254"/>
      <c r="V3" s="1048" t="s">
        <v>229</v>
      </c>
      <c r="W3" s="1049"/>
      <c r="X3" s="1049"/>
      <c r="Y3" s="1049"/>
      <c r="Z3" s="1050"/>
      <c r="AA3" s="642"/>
      <c r="AB3" s="641"/>
    </row>
    <row r="4" spans="1:28" ht="18">
      <c r="A4" s="479">
        <f t="shared" si="1"/>
        <v>4</v>
      </c>
      <c r="B4" s="640"/>
      <c r="C4" s="255"/>
      <c r="D4" s="255"/>
      <c r="E4" s="255"/>
      <c r="F4" s="255"/>
      <c r="G4" s="255"/>
      <c r="H4" s="500"/>
      <c r="I4" s="255" t="str">
        <f>IF(CONTROL!J12=0,Mssg2,AcadYr1)</f>
        <v>2020-21</v>
      </c>
      <c r="J4" s="255"/>
      <c r="K4" s="255"/>
      <c r="L4" s="255"/>
      <c r="M4" s="255"/>
      <c r="N4" s="255"/>
      <c r="O4" s="255"/>
      <c r="P4" s="255"/>
      <c r="Q4" s="255"/>
      <c r="R4" s="255"/>
      <c r="S4" s="255"/>
      <c r="T4" s="255"/>
      <c r="U4" s="254"/>
      <c r="V4" s="517" t="str">
        <f>IF(I4=Mssg2,"",I4)</f>
        <v>2020-21</v>
      </c>
      <c r="W4" s="188"/>
      <c r="X4" s="188"/>
      <c r="Y4" s="188"/>
      <c r="Z4" s="518"/>
      <c r="AA4" s="519"/>
      <c r="AB4" s="641"/>
    </row>
    <row r="5" spans="1:28" ht="15">
      <c r="A5" s="552">
        <f t="shared" si="1"/>
        <v>5</v>
      </c>
      <c r="B5" s="648"/>
      <c r="C5" s="251"/>
      <c r="D5" s="251"/>
      <c r="E5" s="250"/>
      <c r="F5" s="250"/>
      <c r="G5" s="67"/>
      <c r="H5" s="501"/>
      <c r="I5" s="249"/>
      <c r="J5" s="248"/>
      <c r="K5" s="248"/>
      <c r="L5" s="248"/>
      <c r="M5" s="248"/>
      <c r="N5" s="248"/>
      <c r="O5" s="248"/>
      <c r="P5" s="248"/>
      <c r="Q5" s="248"/>
      <c r="R5" s="248"/>
      <c r="S5" s="249"/>
      <c r="T5" s="249"/>
      <c r="U5" s="247"/>
      <c r="V5" s="635"/>
      <c r="W5" s="317"/>
      <c r="X5" s="317"/>
      <c r="Y5" s="75"/>
      <c r="Z5" s="636"/>
      <c r="AA5" s="246"/>
      <c r="AB5" s="641"/>
    </row>
    <row r="6" spans="1:28" ht="15">
      <c r="A6" s="479">
        <f t="shared" si="1"/>
        <v>6</v>
      </c>
      <c r="B6" s="590" t="s">
        <v>23</v>
      </c>
      <c r="C6" s="576"/>
      <c r="D6" s="576"/>
      <c r="E6" s="577"/>
      <c r="F6" s="577"/>
      <c r="G6" s="578"/>
      <c r="H6" s="649"/>
      <c r="I6" s="579">
        <f>I66</f>
        <v>0</v>
      </c>
      <c r="J6" s="580">
        <f>J66</f>
        <v>0</v>
      </c>
      <c r="K6" s="579">
        <f>IF(K$18+K$35&lt;&gt;0,K66,0)</f>
        <v>0</v>
      </c>
      <c r="L6" s="650">
        <f>IF(K$18+K$35&lt;&gt;0,L66,0)</f>
        <v>0</v>
      </c>
      <c r="M6" s="580">
        <f>M66</f>
        <v>0</v>
      </c>
      <c r="N6" s="579">
        <f>IF(N$18+N$35&lt;&gt;0,N66,0)</f>
        <v>0</v>
      </c>
      <c r="O6" s="650">
        <f>IF(N$18+N$35&lt;&gt;0,O66,0)</f>
        <v>0</v>
      </c>
      <c r="P6" s="580">
        <f>P66</f>
        <v>0</v>
      </c>
      <c r="Q6" s="579">
        <f>IF(Q$18+Q$35&lt;&gt;0,Q66,0)</f>
        <v>0</v>
      </c>
      <c r="R6" s="650">
        <f>IF(Q$18+Q$35&lt;&gt;0,R66,0)</f>
        <v>0</v>
      </c>
      <c r="S6" s="580">
        <f>S66</f>
        <v>0</v>
      </c>
      <c r="T6" s="579">
        <f>IF(T$18+T$35&lt;&gt;0,T66,0)</f>
        <v>0</v>
      </c>
      <c r="U6" s="651">
        <f>IF(T$18+T$35&lt;&gt;0,U66,0)</f>
        <v>0</v>
      </c>
      <c r="V6" s="579">
        <f>V66</f>
        <v>0</v>
      </c>
      <c r="W6" s="579">
        <f>W66</f>
        <v>0</v>
      </c>
      <c r="X6" s="650">
        <f>X66</f>
        <v>0</v>
      </c>
      <c r="Y6" s="580">
        <f>Y66</f>
        <v>0</v>
      </c>
      <c r="Z6" s="586">
        <f>Z66</f>
        <v>0</v>
      </c>
      <c r="AA6" s="245"/>
      <c r="AB6" s="641"/>
    </row>
    <row r="7" spans="1:28" ht="18">
      <c r="A7" s="479">
        <f t="shared" si="1"/>
        <v>7</v>
      </c>
      <c r="B7" s="65" t="s">
        <v>0</v>
      </c>
      <c r="C7" s="569"/>
      <c r="D7" s="66"/>
      <c r="E7" s="69"/>
      <c r="F7" s="69"/>
      <c r="G7" s="59"/>
      <c r="H7" s="241"/>
      <c r="I7" s="71">
        <f>I157</f>
        <v>0</v>
      </c>
      <c r="J7" s="244">
        <f>J157</f>
        <v>0</v>
      </c>
      <c r="K7" s="71">
        <f>IF(K$18+K$35&lt;&gt;0,K157,0)</f>
        <v>0</v>
      </c>
      <c r="L7" s="243">
        <f>IF(K$18+K$35&lt;&gt;0,L157,0)</f>
        <v>0</v>
      </c>
      <c r="M7" s="244">
        <f>M157</f>
        <v>0</v>
      </c>
      <c r="N7" s="71">
        <f>IF(N$18+N$35&lt;&gt;0,N157,0)</f>
        <v>0</v>
      </c>
      <c r="O7" s="243">
        <f>IF(N$18+N$35&lt;&gt;0,O157,0)</f>
        <v>0</v>
      </c>
      <c r="P7" s="244">
        <f>P157</f>
        <v>0</v>
      </c>
      <c r="Q7" s="71">
        <f>IF(Q$18+Q$35&lt;&gt;0,Q157,0)</f>
        <v>0</v>
      </c>
      <c r="R7" s="243">
        <f>IF(Q$18+Q$35&lt;&gt;0,R157,0)</f>
        <v>0</v>
      </c>
      <c r="S7" s="244">
        <f>S157</f>
        <v>0</v>
      </c>
      <c r="T7" s="71">
        <f>IF(T$18+T$35&lt;&gt;0,T157,0)</f>
        <v>0</v>
      </c>
      <c r="U7" s="242">
        <f>IF(T$18+T$35&lt;&gt;0,U157,0)</f>
        <v>0</v>
      </c>
      <c r="V7" s="71">
        <f>V157</f>
        <v>0</v>
      </c>
      <c r="W7" s="71">
        <f>W157</f>
        <v>0</v>
      </c>
      <c r="X7" s="243">
        <f>X157</f>
        <v>0</v>
      </c>
      <c r="Y7" s="244">
        <f>Y157</f>
        <v>0</v>
      </c>
      <c r="Z7" s="362">
        <f>Z157</f>
        <v>0</v>
      </c>
      <c r="AA7" s="245"/>
    </row>
    <row r="8" spans="1:28" ht="15">
      <c r="A8" s="479">
        <f t="shared" si="1"/>
        <v>8</v>
      </c>
      <c r="B8" s="65" t="s">
        <v>22</v>
      </c>
      <c r="C8" s="66"/>
      <c r="D8" s="66"/>
      <c r="E8" s="69"/>
      <c r="F8" s="69"/>
      <c r="G8" s="59"/>
      <c r="H8" s="241"/>
      <c r="I8" s="71">
        <f>I6-I7</f>
        <v>0</v>
      </c>
      <c r="J8" s="244">
        <f>J159</f>
        <v>0</v>
      </c>
      <c r="K8" s="71">
        <f>IF(K$18+K$35&lt;&gt;0,K159,0)</f>
        <v>0</v>
      </c>
      <c r="L8" s="241">
        <f>IF(K$18+K$35&lt;&gt;0,L159,0)</f>
        <v>0</v>
      </c>
      <c r="M8" s="244">
        <f>M159</f>
        <v>0</v>
      </c>
      <c r="N8" s="71">
        <f>IF(N$18+N$35&lt;&gt;0,N159,0)</f>
        <v>0</v>
      </c>
      <c r="O8" s="241">
        <f>IF(N$18+N$35&lt;&gt;0,O159,0)</f>
        <v>0</v>
      </c>
      <c r="P8" s="244">
        <f>P159</f>
        <v>0</v>
      </c>
      <c r="Q8" s="71">
        <f>IF(Q$18+Q$35&lt;&gt;0,Q159,0)</f>
        <v>0</v>
      </c>
      <c r="R8" s="241">
        <f>IF(Q$18+Q$35&lt;&gt;0,R159,0)</f>
        <v>0</v>
      </c>
      <c r="S8" s="244">
        <f>S159</f>
        <v>0</v>
      </c>
      <c r="T8" s="71">
        <f>IF(T$18+T$35&lt;&gt;0,T159,0)</f>
        <v>0</v>
      </c>
      <c r="U8" s="72">
        <f>IF(T$18+T$35&lt;&gt;0,U159,0)</f>
        <v>0</v>
      </c>
      <c r="V8" s="71">
        <f>V159</f>
        <v>0</v>
      </c>
      <c r="W8" s="71">
        <f>W159</f>
        <v>0</v>
      </c>
      <c r="X8" s="241">
        <f>X159</f>
        <v>0</v>
      </c>
      <c r="Y8" s="244">
        <f>Y159</f>
        <v>0</v>
      </c>
      <c r="Z8" s="362">
        <f>Z159</f>
        <v>0</v>
      </c>
      <c r="AA8" s="245"/>
    </row>
    <row r="9" spans="1:28" ht="15">
      <c r="A9" s="479">
        <f t="shared" si="1"/>
        <v>9</v>
      </c>
      <c r="B9" s="65" t="s">
        <v>230</v>
      </c>
      <c r="C9" s="66"/>
      <c r="D9" s="66"/>
      <c r="E9" s="69"/>
      <c r="F9" s="69"/>
      <c r="G9" s="59"/>
      <c r="H9" s="241"/>
      <c r="I9" s="71">
        <f>I179</f>
        <v>0</v>
      </c>
      <c r="J9" s="244">
        <f>J179</f>
        <v>0</v>
      </c>
      <c r="K9" s="71">
        <f>IF(K$163&lt;&gt;0,K179,0)</f>
        <v>0</v>
      </c>
      <c r="L9" s="243">
        <f>IF(K$163&lt;&gt;0,K179-J9,0)</f>
        <v>0</v>
      </c>
      <c r="M9" s="244">
        <f>M179</f>
        <v>0</v>
      </c>
      <c r="N9" s="71">
        <f>IF(N$163&lt;&gt;0,N179,0)</f>
        <v>0</v>
      </c>
      <c r="O9" s="243">
        <f>IF(N$163&lt;&gt;0,N179-M9,0)</f>
        <v>0</v>
      </c>
      <c r="P9" s="244">
        <f>P179</f>
        <v>0</v>
      </c>
      <c r="Q9" s="71">
        <f>IF(Q$163&lt;&gt;0,Q179,0)</f>
        <v>0</v>
      </c>
      <c r="R9" s="243">
        <f>IF(Q$163&lt;&gt;0,Q179-P9,0)</f>
        <v>0</v>
      </c>
      <c r="S9" s="244">
        <f>S179</f>
        <v>0</v>
      </c>
      <c r="T9" s="71">
        <f>IF(T$163&lt;&gt;0,T179,0)</f>
        <v>0</v>
      </c>
      <c r="U9" s="242">
        <f>IF(T$163&lt;&gt;0,T179-S9,0)</f>
        <v>0</v>
      </c>
      <c r="V9" s="71"/>
      <c r="W9" s="71"/>
      <c r="X9" s="240"/>
      <c r="Y9" s="239"/>
      <c r="Z9" s="362"/>
      <c r="AA9" s="245"/>
    </row>
    <row r="10" spans="1:28" ht="15" hidden="1">
      <c r="A10" s="479">
        <f t="shared" si="1"/>
        <v>10</v>
      </c>
      <c r="B10" s="73" t="s">
        <v>231</v>
      </c>
      <c r="C10" s="74"/>
      <c r="D10" s="74"/>
      <c r="E10" s="75"/>
      <c r="F10" s="75"/>
      <c r="G10" s="76"/>
      <c r="H10" s="236"/>
      <c r="I10" s="550">
        <v>0</v>
      </c>
      <c r="J10" s="238">
        <v>0</v>
      </c>
      <c r="K10" s="237">
        <v>0</v>
      </c>
      <c r="L10" s="236">
        <f>IF(K163&gt;0,K10-J10,0)</f>
        <v>0</v>
      </c>
      <c r="M10" s="238">
        <v>0</v>
      </c>
      <c r="N10" s="237">
        <v>0</v>
      </c>
      <c r="O10" s="236">
        <f>IF(N163&gt;0,N10-M10,0)</f>
        <v>0</v>
      </c>
      <c r="P10" s="238">
        <v>0</v>
      </c>
      <c r="Q10" s="237">
        <v>0</v>
      </c>
      <c r="R10" s="236">
        <f>IF(Q163&gt;0,Q10-P10,0)</f>
        <v>0</v>
      </c>
      <c r="S10" s="238">
        <v>0</v>
      </c>
      <c r="T10" s="237">
        <v>0</v>
      </c>
      <c r="U10" s="80">
        <f>IF(T163&gt;0,T10-S10,0)</f>
        <v>0</v>
      </c>
      <c r="V10" s="78"/>
      <c r="W10" s="78"/>
      <c r="X10" s="236"/>
      <c r="Y10" s="266"/>
      <c r="Z10" s="370"/>
      <c r="AA10" s="245"/>
    </row>
    <row r="11" spans="1:28" ht="15">
      <c r="A11" s="479">
        <f t="shared" si="1"/>
        <v>11</v>
      </c>
      <c r="B11" s="81"/>
      <c r="C11" s="82"/>
      <c r="D11" s="82"/>
      <c r="E11" s="69"/>
      <c r="F11" s="69"/>
      <c r="G11" s="59"/>
      <c r="H11" s="502"/>
      <c r="I11" s="83"/>
      <c r="J11" s="83"/>
      <c r="K11" s="83"/>
      <c r="L11" s="83"/>
      <c r="M11" s="83"/>
      <c r="N11" s="83"/>
      <c r="O11" s="83"/>
      <c r="P11" s="83"/>
      <c r="Q11" s="83"/>
      <c r="R11" s="83"/>
      <c r="S11" s="83"/>
      <c r="T11" s="83"/>
      <c r="U11" s="84"/>
      <c r="V11" s="316"/>
      <c r="W11" s="316"/>
      <c r="X11" s="316"/>
      <c r="Y11" s="316"/>
      <c r="Z11" s="316"/>
      <c r="AA11" s="246"/>
    </row>
    <row r="12" spans="1:28" ht="15" customHeight="1">
      <c r="A12" s="479">
        <f t="shared" si="1"/>
        <v>12</v>
      </c>
      <c r="B12" s="1059"/>
      <c r="C12" s="1060"/>
      <c r="D12" s="1060"/>
      <c r="E12" s="1060"/>
      <c r="F12" s="629"/>
      <c r="G12" s="1063"/>
      <c r="H12" s="1065"/>
      <c r="I12" s="579" t="s">
        <v>232</v>
      </c>
      <c r="J12" s="1052" t="s">
        <v>233</v>
      </c>
      <c r="K12" s="1053"/>
      <c r="L12" s="1053"/>
      <c r="M12" s="1052" t="s">
        <v>234</v>
      </c>
      <c r="N12" s="1053"/>
      <c r="O12" s="1067"/>
      <c r="P12" s="1052" t="s">
        <v>235</v>
      </c>
      <c r="Q12" s="1053"/>
      <c r="R12" s="1067"/>
      <c r="S12" s="1052" t="s">
        <v>236</v>
      </c>
      <c r="T12" s="1053"/>
      <c r="U12" s="1054"/>
      <c r="V12" s="1055" t="s">
        <v>237</v>
      </c>
      <c r="W12" s="1056"/>
      <c r="X12" s="1057"/>
      <c r="Y12" s="1056" t="s">
        <v>238</v>
      </c>
      <c r="Z12" s="1058"/>
      <c r="AA12" s="246"/>
    </row>
    <row r="13" spans="1:28" ht="49.5" customHeight="1">
      <c r="A13" s="479">
        <f t="shared" si="1"/>
        <v>13</v>
      </c>
      <c r="B13" s="1061"/>
      <c r="C13" s="1062"/>
      <c r="D13" s="1062"/>
      <c r="E13" s="1062"/>
      <c r="F13" s="630"/>
      <c r="G13" s="1064"/>
      <c r="H13" s="1066"/>
      <c r="I13" s="268" t="str">
        <f>PriorPeriod&amp;" Revenue Per Pupil"</f>
        <v>2019-20 Revenue Per Pupil</v>
      </c>
      <c r="J13" s="267" t="s">
        <v>290</v>
      </c>
      <c r="K13" s="268" t="s">
        <v>291</v>
      </c>
      <c r="L13" s="268" t="s">
        <v>239</v>
      </c>
      <c r="M13" s="267" t="s">
        <v>290</v>
      </c>
      <c r="N13" s="268" t="s">
        <v>291</v>
      </c>
      <c r="O13" s="269" t="s">
        <v>239</v>
      </c>
      <c r="P13" s="267" t="s">
        <v>290</v>
      </c>
      <c r="Q13" s="268" t="s">
        <v>291</v>
      </c>
      <c r="R13" s="269" t="s">
        <v>239</v>
      </c>
      <c r="S13" s="267" t="s">
        <v>290</v>
      </c>
      <c r="T13" s="268" t="s">
        <v>291</v>
      </c>
      <c r="U13" s="270" t="s">
        <v>239</v>
      </c>
      <c r="V13" s="267" t="s">
        <v>290</v>
      </c>
      <c r="W13" s="268" t="s">
        <v>291</v>
      </c>
      <c r="X13" s="269" t="s">
        <v>239</v>
      </c>
      <c r="Y13" s="547" t="s">
        <v>292</v>
      </c>
      <c r="Z13" s="548" t="s">
        <v>293</v>
      </c>
      <c r="AA13" s="253" t="s">
        <v>97</v>
      </c>
    </row>
    <row r="14" spans="1:28" ht="15">
      <c r="A14" s="479">
        <f t="shared" si="1"/>
        <v>14</v>
      </c>
      <c r="B14" s="652"/>
      <c r="C14" s="653"/>
      <c r="D14" s="653"/>
      <c r="E14" s="654"/>
      <c r="F14" s="654"/>
      <c r="G14" s="655"/>
      <c r="H14" s="656"/>
      <c r="I14" s="1068" t="s">
        <v>1213</v>
      </c>
      <c r="J14" s="1071" t="s">
        <v>1201</v>
      </c>
      <c r="K14" s="1071"/>
      <c r="L14" s="1071"/>
      <c r="M14" s="1071"/>
      <c r="N14" s="1071"/>
      <c r="O14" s="1071"/>
      <c r="P14" s="1071"/>
      <c r="Q14" s="1071"/>
      <c r="R14" s="1071"/>
      <c r="S14" s="1071"/>
      <c r="T14" s="1071"/>
      <c r="U14" s="1072"/>
      <c r="V14" s="638"/>
      <c r="W14" s="637"/>
      <c r="X14" s="637"/>
      <c r="Y14" s="637"/>
      <c r="Z14" s="657"/>
      <c r="AA14" s="272"/>
    </row>
    <row r="15" spans="1:28" ht="15" customHeight="1">
      <c r="A15" s="479">
        <f t="shared" si="1"/>
        <v>15</v>
      </c>
      <c r="B15" s="92" t="s">
        <v>24</v>
      </c>
      <c r="C15" s="93"/>
      <c r="D15" s="93"/>
      <c r="E15" s="94"/>
      <c r="F15" s="94"/>
      <c r="G15" s="57"/>
      <c r="H15" s="240"/>
      <c r="I15" s="1069"/>
      <c r="J15" s="1073"/>
      <c r="K15" s="1073"/>
      <c r="L15" s="1073"/>
      <c r="M15" s="1073"/>
      <c r="N15" s="1073"/>
      <c r="O15" s="1073"/>
      <c r="P15" s="1073"/>
      <c r="Q15" s="1073"/>
      <c r="R15" s="1073"/>
      <c r="S15" s="1073"/>
      <c r="T15" s="1073"/>
      <c r="U15" s="1074"/>
      <c r="V15" s="372"/>
      <c r="W15" s="273"/>
      <c r="X15" s="273"/>
      <c r="Y15" s="273"/>
      <c r="Z15" s="274"/>
      <c r="AA15" s="275"/>
    </row>
    <row r="16" spans="1:28" ht="19.5" customHeight="1">
      <c r="A16" s="479">
        <f t="shared" si="1"/>
        <v>16</v>
      </c>
      <c r="B16" s="92"/>
      <c r="C16" s="93" t="s">
        <v>25</v>
      </c>
      <c r="D16" s="93"/>
      <c r="E16" s="94"/>
      <c r="F16" s="94"/>
      <c r="G16" s="544" t="str">
        <f>PPR_Tbl_Date</f>
        <v>2020-21</v>
      </c>
      <c r="H16" s="240"/>
      <c r="I16" s="1070"/>
      <c r="J16" s="1075"/>
      <c r="K16" s="1075"/>
      <c r="L16" s="1075"/>
      <c r="M16" s="1075"/>
      <c r="N16" s="1075"/>
      <c r="O16" s="1075"/>
      <c r="P16" s="1075"/>
      <c r="Q16" s="1075"/>
      <c r="R16" s="1075"/>
      <c r="S16" s="1075"/>
      <c r="T16" s="1075"/>
      <c r="U16" s="1076"/>
      <c r="V16" s="372"/>
      <c r="W16" s="273"/>
      <c r="X16" s="273"/>
      <c r="Y16" s="273"/>
      <c r="Z16" s="274"/>
      <c r="AA16" s="275"/>
    </row>
    <row r="17" spans="1:27" ht="15">
      <c r="A17" s="479">
        <f t="shared" si="1"/>
        <v>17</v>
      </c>
      <c r="B17" s="96"/>
      <c r="C17" s="50"/>
      <c r="D17" s="93" t="s">
        <v>21</v>
      </c>
      <c r="E17" s="94"/>
      <c r="F17" s="94"/>
      <c r="G17" s="953" t="s">
        <v>118</v>
      </c>
      <c r="H17" s="240"/>
      <c r="I17" s="845" t="s">
        <v>1202</v>
      </c>
      <c r="J17" s="991">
        <v>0.25</v>
      </c>
      <c r="K17" s="992">
        <v>0.25</v>
      </c>
      <c r="L17" s="993"/>
      <c r="M17" s="991">
        <v>0.25</v>
      </c>
      <c r="N17" s="992">
        <v>0.25</v>
      </c>
      <c r="O17" s="994"/>
      <c r="P17" s="991">
        <v>0.25</v>
      </c>
      <c r="Q17" s="992">
        <v>0.25</v>
      </c>
      <c r="R17" s="994"/>
      <c r="S17" s="995">
        <f>1-(J17+M17+P17)</f>
        <v>0.25</v>
      </c>
      <c r="T17" s="996">
        <f>1-(K17+N17+Q17)</f>
        <v>0.25</v>
      </c>
      <c r="U17" s="997"/>
      <c r="V17" s="639"/>
      <c r="W17" s="98"/>
      <c r="X17" s="98"/>
      <c r="Y17" s="98"/>
      <c r="Z17" s="99"/>
      <c r="AA17" s="275"/>
    </row>
    <row r="18" spans="1:27" ht="15">
      <c r="A18" s="479">
        <f t="shared" si="1"/>
        <v>18</v>
      </c>
      <c r="B18" s="96"/>
      <c r="C18" s="50"/>
      <c r="D18" s="558"/>
      <c r="E18" s="319" t="str">
        <f>CONTROL!B52</f>
        <v>-</v>
      </c>
      <c r="F18" s="53"/>
      <c r="G18" s="658">
        <f>CONTROL!C52</f>
        <v>0</v>
      </c>
      <c r="H18" s="240"/>
      <c r="I18" s="846"/>
      <c r="J18" s="659">
        <f>CONTROL!$F52</f>
        <v>0</v>
      </c>
      <c r="K18" s="660">
        <f>CONTROL!L52</f>
        <v>0</v>
      </c>
      <c r="L18" s="847">
        <f t="shared" ref="L18:L33" si="2">IF(K$18&lt;&gt;0,K18-J18,0)</f>
        <v>0</v>
      </c>
      <c r="M18" s="659">
        <f>CONTROL!G52</f>
        <v>0</v>
      </c>
      <c r="N18" s="660">
        <f>CONTROL!M52</f>
        <v>0</v>
      </c>
      <c r="O18" s="847">
        <f t="shared" ref="O18:O33" si="3">IF(N$18&lt;&gt;0,N18-M18,0)</f>
        <v>0</v>
      </c>
      <c r="P18" s="659">
        <f>CONTROL!H52</f>
        <v>0</v>
      </c>
      <c r="Q18" s="660">
        <f>CONTROL!N52</f>
        <v>0</v>
      </c>
      <c r="R18" s="847">
        <f t="shared" ref="R18:R33" si="4">IF(Q$18&lt;&gt;0,Q18-P18,0)</f>
        <v>0</v>
      </c>
      <c r="S18" s="659">
        <f>CONTROL!I52</f>
        <v>0</v>
      </c>
      <c r="T18" s="660">
        <f>CONTROL!O52</f>
        <v>0</v>
      </c>
      <c r="U18" s="662">
        <f t="shared" ref="U18:U33" si="5">IF(T$18&lt;&gt;0,T18-S18,0)</f>
        <v>0</v>
      </c>
      <c r="V18" s="663">
        <f t="shared" ref="V18:V33" si="6">J18+M18+P18+S18</f>
        <v>0</v>
      </c>
      <c r="W18" s="664">
        <f t="shared" ref="W18:W33" si="7">SUM(IF(K$6&lt;&gt;0,K18,J18)+IF(N$6&lt;&gt;0,N18,M18)+IF(Q$6&lt;&gt;0,Q18,P18)+IF(T$6&lt;&gt;0,T18,S18))</f>
        <v>0</v>
      </c>
      <c r="X18" s="661">
        <f t="shared" ref="X18:X33" si="8">W18-V18</f>
        <v>0</v>
      </c>
      <c r="Y18" s="665">
        <f t="shared" ref="Y18:Y33" si="9">V18-I18</f>
        <v>0</v>
      </c>
      <c r="Z18" s="666">
        <f t="shared" ref="Z18:Z33" si="10">W18-I18</f>
        <v>0</v>
      </c>
      <c r="AA18" s="278"/>
    </row>
    <row r="19" spans="1:27" ht="15">
      <c r="A19" s="479">
        <f t="shared" si="1"/>
        <v>19</v>
      </c>
      <c r="B19" s="96"/>
      <c r="C19" s="50"/>
      <c r="D19" s="558"/>
      <c r="E19" s="319" t="str">
        <f>CONTROL!B53</f>
        <v>-</v>
      </c>
      <c r="F19" s="53"/>
      <c r="G19" s="658">
        <f>CONTROL!C53</f>
        <v>0</v>
      </c>
      <c r="H19" s="240"/>
      <c r="I19" s="625"/>
      <c r="J19" s="659">
        <f>CONTROL!$F53</f>
        <v>0</v>
      </c>
      <c r="K19" s="660">
        <f>CONTROL!L53</f>
        <v>0</v>
      </c>
      <c r="L19" s="661">
        <f t="shared" si="2"/>
        <v>0</v>
      </c>
      <c r="M19" s="659">
        <f>CONTROL!G53</f>
        <v>0</v>
      </c>
      <c r="N19" s="660">
        <f>CONTROL!M53</f>
        <v>0</v>
      </c>
      <c r="O19" s="661">
        <f t="shared" si="3"/>
        <v>0</v>
      </c>
      <c r="P19" s="659">
        <f>CONTROL!H53</f>
        <v>0</v>
      </c>
      <c r="Q19" s="660">
        <f>CONTROL!N53</f>
        <v>0</v>
      </c>
      <c r="R19" s="661">
        <f t="shared" si="4"/>
        <v>0</v>
      </c>
      <c r="S19" s="659">
        <f>CONTROL!I53</f>
        <v>0</v>
      </c>
      <c r="T19" s="660">
        <f>CONTROL!O53</f>
        <v>0</v>
      </c>
      <c r="U19" s="662">
        <f t="shared" si="5"/>
        <v>0</v>
      </c>
      <c r="V19" s="663">
        <f t="shared" si="6"/>
        <v>0</v>
      </c>
      <c r="W19" s="664">
        <f t="shared" si="7"/>
        <v>0</v>
      </c>
      <c r="X19" s="661">
        <f t="shared" si="8"/>
        <v>0</v>
      </c>
      <c r="Y19" s="665">
        <f t="shared" si="9"/>
        <v>0</v>
      </c>
      <c r="Z19" s="666">
        <f t="shared" si="10"/>
        <v>0</v>
      </c>
      <c r="AA19" s="278"/>
    </row>
    <row r="20" spans="1:27" ht="15">
      <c r="A20" s="479">
        <f t="shared" si="1"/>
        <v>20</v>
      </c>
      <c r="B20" s="96"/>
      <c r="C20" s="50"/>
      <c r="D20" s="558"/>
      <c r="E20" s="319" t="str">
        <f>CONTROL!B54</f>
        <v>-</v>
      </c>
      <c r="F20" s="53"/>
      <c r="G20" s="658">
        <f>CONTROL!C54</f>
        <v>0</v>
      </c>
      <c r="H20" s="240"/>
      <c r="I20" s="625"/>
      <c r="J20" s="659">
        <f>CONTROL!$F54</f>
        <v>0</v>
      </c>
      <c r="K20" s="660">
        <f>CONTROL!L54</f>
        <v>0</v>
      </c>
      <c r="L20" s="661">
        <f t="shared" si="2"/>
        <v>0</v>
      </c>
      <c r="M20" s="659">
        <f>CONTROL!G54</f>
        <v>0</v>
      </c>
      <c r="N20" s="660">
        <f>CONTROL!M54</f>
        <v>0</v>
      </c>
      <c r="O20" s="661">
        <f t="shared" si="3"/>
        <v>0</v>
      </c>
      <c r="P20" s="659">
        <f>CONTROL!H54</f>
        <v>0</v>
      </c>
      <c r="Q20" s="660">
        <f>CONTROL!N54</f>
        <v>0</v>
      </c>
      <c r="R20" s="661">
        <f t="shared" si="4"/>
        <v>0</v>
      </c>
      <c r="S20" s="659">
        <f>CONTROL!I54</f>
        <v>0</v>
      </c>
      <c r="T20" s="660">
        <f>CONTROL!O54</f>
        <v>0</v>
      </c>
      <c r="U20" s="662">
        <f t="shared" si="5"/>
        <v>0</v>
      </c>
      <c r="V20" s="663">
        <f t="shared" si="6"/>
        <v>0</v>
      </c>
      <c r="W20" s="664">
        <f t="shared" si="7"/>
        <v>0</v>
      </c>
      <c r="X20" s="661">
        <f t="shared" si="8"/>
        <v>0</v>
      </c>
      <c r="Y20" s="665">
        <f t="shared" si="9"/>
        <v>0</v>
      </c>
      <c r="Z20" s="666">
        <f t="shared" si="10"/>
        <v>0</v>
      </c>
      <c r="AA20" s="278"/>
    </row>
    <row r="21" spans="1:27" ht="15">
      <c r="A21" s="479">
        <f t="shared" si="1"/>
        <v>21</v>
      </c>
      <c r="B21" s="96"/>
      <c r="C21" s="50"/>
      <c r="D21" s="558"/>
      <c r="E21" s="319" t="str">
        <f>CONTROL!B55</f>
        <v>-</v>
      </c>
      <c r="F21" s="53"/>
      <c r="G21" s="658">
        <f>CONTROL!C55</f>
        <v>0</v>
      </c>
      <c r="H21" s="240"/>
      <c r="I21" s="667"/>
      <c r="J21" s="659">
        <f>CONTROL!$F55</f>
        <v>0</v>
      </c>
      <c r="K21" s="660">
        <f>CONTROL!L55</f>
        <v>0</v>
      </c>
      <c r="L21" s="661">
        <f t="shared" si="2"/>
        <v>0</v>
      </c>
      <c r="M21" s="659">
        <f>CONTROL!G55</f>
        <v>0</v>
      </c>
      <c r="N21" s="660">
        <f>CONTROL!M55</f>
        <v>0</v>
      </c>
      <c r="O21" s="661">
        <f t="shared" si="3"/>
        <v>0</v>
      </c>
      <c r="P21" s="659">
        <f>CONTROL!H55</f>
        <v>0</v>
      </c>
      <c r="Q21" s="660">
        <f>CONTROL!N55</f>
        <v>0</v>
      </c>
      <c r="R21" s="661">
        <f t="shared" si="4"/>
        <v>0</v>
      </c>
      <c r="S21" s="659">
        <f>CONTROL!I55</f>
        <v>0</v>
      </c>
      <c r="T21" s="660">
        <f>CONTROL!O55</f>
        <v>0</v>
      </c>
      <c r="U21" s="662">
        <f t="shared" si="5"/>
        <v>0</v>
      </c>
      <c r="V21" s="663">
        <f t="shared" si="6"/>
        <v>0</v>
      </c>
      <c r="W21" s="664">
        <f t="shared" si="7"/>
        <v>0</v>
      </c>
      <c r="X21" s="661">
        <f t="shared" si="8"/>
        <v>0</v>
      </c>
      <c r="Y21" s="665">
        <f t="shared" si="9"/>
        <v>0</v>
      </c>
      <c r="Z21" s="666">
        <f t="shared" si="10"/>
        <v>0</v>
      </c>
      <c r="AA21" s="278"/>
    </row>
    <row r="22" spans="1:27" ht="15">
      <c r="A22" s="479">
        <f t="shared" si="1"/>
        <v>22</v>
      </c>
      <c r="B22" s="96"/>
      <c r="C22" s="50"/>
      <c r="D22" s="558"/>
      <c r="E22" s="319" t="str">
        <f>CONTROL!B56</f>
        <v>-</v>
      </c>
      <c r="F22" s="53"/>
      <c r="G22" s="658">
        <f>CONTROL!C56</f>
        <v>0</v>
      </c>
      <c r="H22" s="240"/>
      <c r="I22" s="667"/>
      <c r="J22" s="659">
        <f>CONTROL!$F56</f>
        <v>0</v>
      </c>
      <c r="K22" s="660">
        <f>CONTROL!L56</f>
        <v>0</v>
      </c>
      <c r="L22" s="661">
        <f t="shared" si="2"/>
        <v>0</v>
      </c>
      <c r="M22" s="659">
        <f>CONTROL!G56</f>
        <v>0</v>
      </c>
      <c r="N22" s="660">
        <f>CONTROL!M56</f>
        <v>0</v>
      </c>
      <c r="O22" s="661">
        <f t="shared" si="3"/>
        <v>0</v>
      </c>
      <c r="P22" s="659">
        <f>CONTROL!H56</f>
        <v>0</v>
      </c>
      <c r="Q22" s="660">
        <f>CONTROL!N56</f>
        <v>0</v>
      </c>
      <c r="R22" s="661">
        <f t="shared" si="4"/>
        <v>0</v>
      </c>
      <c r="S22" s="659">
        <f>CONTROL!I56</f>
        <v>0</v>
      </c>
      <c r="T22" s="660">
        <f>CONTROL!O56</f>
        <v>0</v>
      </c>
      <c r="U22" s="662">
        <f t="shared" si="5"/>
        <v>0</v>
      </c>
      <c r="V22" s="663">
        <f t="shared" si="6"/>
        <v>0</v>
      </c>
      <c r="W22" s="664">
        <f t="shared" si="7"/>
        <v>0</v>
      </c>
      <c r="X22" s="661">
        <f t="shared" si="8"/>
        <v>0</v>
      </c>
      <c r="Y22" s="665">
        <f t="shared" si="9"/>
        <v>0</v>
      </c>
      <c r="Z22" s="666">
        <f t="shared" si="10"/>
        <v>0</v>
      </c>
      <c r="AA22" s="278"/>
    </row>
    <row r="23" spans="1:27" ht="15">
      <c r="A23" s="479">
        <f t="shared" si="1"/>
        <v>23</v>
      </c>
      <c r="B23" s="96"/>
      <c r="C23" s="50"/>
      <c r="D23" s="558"/>
      <c r="E23" s="319" t="str">
        <f>CONTROL!B57</f>
        <v>-</v>
      </c>
      <c r="F23" s="53"/>
      <c r="G23" s="658">
        <f>CONTROL!C57</f>
        <v>0</v>
      </c>
      <c r="H23" s="240"/>
      <c r="I23" s="667"/>
      <c r="J23" s="659">
        <f>CONTROL!$F57</f>
        <v>0</v>
      </c>
      <c r="K23" s="660">
        <f>CONTROL!L57</f>
        <v>0</v>
      </c>
      <c r="L23" s="661">
        <f t="shared" si="2"/>
        <v>0</v>
      </c>
      <c r="M23" s="659">
        <f>CONTROL!G57</f>
        <v>0</v>
      </c>
      <c r="N23" s="660">
        <f>CONTROL!M57</f>
        <v>0</v>
      </c>
      <c r="O23" s="661">
        <f t="shared" si="3"/>
        <v>0</v>
      </c>
      <c r="P23" s="659">
        <f>CONTROL!H57</f>
        <v>0</v>
      </c>
      <c r="Q23" s="660">
        <f>CONTROL!N57</f>
        <v>0</v>
      </c>
      <c r="R23" s="661">
        <f t="shared" si="4"/>
        <v>0</v>
      </c>
      <c r="S23" s="659">
        <f>CONTROL!I57</f>
        <v>0</v>
      </c>
      <c r="T23" s="660">
        <f>CONTROL!O57</f>
        <v>0</v>
      </c>
      <c r="U23" s="662">
        <f t="shared" si="5"/>
        <v>0</v>
      </c>
      <c r="V23" s="663">
        <f t="shared" si="6"/>
        <v>0</v>
      </c>
      <c r="W23" s="664">
        <f t="shared" si="7"/>
        <v>0</v>
      </c>
      <c r="X23" s="661">
        <f t="shared" si="8"/>
        <v>0</v>
      </c>
      <c r="Y23" s="665">
        <f t="shared" si="9"/>
        <v>0</v>
      </c>
      <c r="Z23" s="666">
        <f t="shared" si="10"/>
        <v>0</v>
      </c>
      <c r="AA23" s="278"/>
    </row>
    <row r="24" spans="1:27" ht="15">
      <c r="A24" s="479">
        <f t="shared" si="1"/>
        <v>24</v>
      </c>
      <c r="B24" s="96"/>
      <c r="C24" s="50"/>
      <c r="D24" s="558"/>
      <c r="E24" s="319" t="str">
        <f>CONTROL!B58</f>
        <v>-</v>
      </c>
      <c r="F24" s="53"/>
      <c r="G24" s="658">
        <f>CONTROL!C58</f>
        <v>0</v>
      </c>
      <c r="H24" s="240"/>
      <c r="I24" s="667"/>
      <c r="J24" s="659">
        <f>CONTROL!$F58</f>
        <v>0</v>
      </c>
      <c r="K24" s="660">
        <f>CONTROL!L58</f>
        <v>0</v>
      </c>
      <c r="L24" s="661">
        <f t="shared" si="2"/>
        <v>0</v>
      </c>
      <c r="M24" s="659">
        <f>CONTROL!G58</f>
        <v>0</v>
      </c>
      <c r="N24" s="660">
        <f>CONTROL!M58</f>
        <v>0</v>
      </c>
      <c r="O24" s="661">
        <f t="shared" si="3"/>
        <v>0</v>
      </c>
      <c r="P24" s="659">
        <f>CONTROL!H58</f>
        <v>0</v>
      </c>
      <c r="Q24" s="660">
        <f>CONTROL!N58</f>
        <v>0</v>
      </c>
      <c r="R24" s="661">
        <f t="shared" si="4"/>
        <v>0</v>
      </c>
      <c r="S24" s="659">
        <f>CONTROL!I58</f>
        <v>0</v>
      </c>
      <c r="T24" s="660">
        <f>CONTROL!O58</f>
        <v>0</v>
      </c>
      <c r="U24" s="662">
        <f t="shared" si="5"/>
        <v>0</v>
      </c>
      <c r="V24" s="663">
        <f t="shared" si="6"/>
        <v>0</v>
      </c>
      <c r="W24" s="664">
        <f t="shared" si="7"/>
        <v>0</v>
      </c>
      <c r="X24" s="661">
        <f t="shared" si="8"/>
        <v>0</v>
      </c>
      <c r="Y24" s="665">
        <f t="shared" si="9"/>
        <v>0</v>
      </c>
      <c r="Z24" s="666">
        <f t="shared" si="10"/>
        <v>0</v>
      </c>
      <c r="AA24" s="278"/>
    </row>
    <row r="25" spans="1:27" ht="15">
      <c r="A25" s="479">
        <f t="shared" si="1"/>
        <v>25</v>
      </c>
      <c r="B25" s="96"/>
      <c r="C25" s="50"/>
      <c r="D25" s="558"/>
      <c r="E25" s="319" t="str">
        <f>CONTROL!B59</f>
        <v>-</v>
      </c>
      <c r="F25" s="53"/>
      <c r="G25" s="658">
        <f>CONTROL!C59</f>
        <v>0</v>
      </c>
      <c r="H25" s="240"/>
      <c r="I25" s="667"/>
      <c r="J25" s="659">
        <f>CONTROL!$F59</f>
        <v>0</v>
      </c>
      <c r="K25" s="660">
        <f>CONTROL!L59</f>
        <v>0</v>
      </c>
      <c r="L25" s="661">
        <f t="shared" si="2"/>
        <v>0</v>
      </c>
      <c r="M25" s="659">
        <f>CONTROL!G59</f>
        <v>0</v>
      </c>
      <c r="N25" s="660">
        <f>CONTROL!M59</f>
        <v>0</v>
      </c>
      <c r="O25" s="661">
        <f t="shared" si="3"/>
        <v>0</v>
      </c>
      <c r="P25" s="659">
        <f>CONTROL!H59</f>
        <v>0</v>
      </c>
      <c r="Q25" s="660">
        <f>CONTROL!N59</f>
        <v>0</v>
      </c>
      <c r="R25" s="661">
        <f t="shared" si="4"/>
        <v>0</v>
      </c>
      <c r="S25" s="659">
        <f>CONTROL!I59</f>
        <v>0</v>
      </c>
      <c r="T25" s="660">
        <f>CONTROL!O59</f>
        <v>0</v>
      </c>
      <c r="U25" s="662">
        <f t="shared" si="5"/>
        <v>0</v>
      </c>
      <c r="V25" s="663">
        <f t="shared" si="6"/>
        <v>0</v>
      </c>
      <c r="W25" s="664">
        <f t="shared" si="7"/>
        <v>0</v>
      </c>
      <c r="X25" s="661">
        <f t="shared" si="8"/>
        <v>0</v>
      </c>
      <c r="Y25" s="665">
        <f t="shared" si="9"/>
        <v>0</v>
      </c>
      <c r="Z25" s="666">
        <f t="shared" si="10"/>
        <v>0</v>
      </c>
      <c r="AA25" s="278"/>
    </row>
    <row r="26" spans="1:27" ht="15">
      <c r="A26" s="479">
        <f t="shared" si="1"/>
        <v>26</v>
      </c>
      <c r="B26" s="96"/>
      <c r="C26" s="50"/>
      <c r="D26" s="558"/>
      <c r="E26" s="319" t="str">
        <f>CONTROL!B60</f>
        <v>-</v>
      </c>
      <c r="F26" s="53"/>
      <c r="G26" s="658">
        <f>CONTROL!C60</f>
        <v>0</v>
      </c>
      <c r="H26" s="240"/>
      <c r="I26" s="667"/>
      <c r="J26" s="659">
        <f>CONTROL!$F60</f>
        <v>0</v>
      </c>
      <c r="K26" s="660">
        <f>CONTROL!L60</f>
        <v>0</v>
      </c>
      <c r="L26" s="661">
        <f t="shared" si="2"/>
        <v>0</v>
      </c>
      <c r="M26" s="659">
        <f>CONTROL!G60</f>
        <v>0</v>
      </c>
      <c r="N26" s="660">
        <f>CONTROL!M60</f>
        <v>0</v>
      </c>
      <c r="O26" s="661">
        <f t="shared" si="3"/>
        <v>0</v>
      </c>
      <c r="P26" s="659">
        <f>CONTROL!H60</f>
        <v>0</v>
      </c>
      <c r="Q26" s="660">
        <f>CONTROL!N60</f>
        <v>0</v>
      </c>
      <c r="R26" s="661">
        <f t="shared" si="4"/>
        <v>0</v>
      </c>
      <c r="S26" s="659">
        <f>CONTROL!I60</f>
        <v>0</v>
      </c>
      <c r="T26" s="660">
        <f>CONTROL!O60</f>
        <v>0</v>
      </c>
      <c r="U26" s="662">
        <f t="shared" si="5"/>
        <v>0</v>
      </c>
      <c r="V26" s="663">
        <f t="shared" si="6"/>
        <v>0</v>
      </c>
      <c r="W26" s="664">
        <f t="shared" si="7"/>
        <v>0</v>
      </c>
      <c r="X26" s="661">
        <f t="shared" si="8"/>
        <v>0</v>
      </c>
      <c r="Y26" s="665">
        <f t="shared" si="9"/>
        <v>0</v>
      </c>
      <c r="Z26" s="666">
        <f t="shared" si="10"/>
        <v>0</v>
      </c>
      <c r="AA26" s="278"/>
    </row>
    <row r="27" spans="1:27" ht="15">
      <c r="A27" s="479">
        <f t="shared" si="1"/>
        <v>27</v>
      </c>
      <c r="B27" s="96"/>
      <c r="C27" s="50"/>
      <c r="D27" s="558"/>
      <c r="E27" s="319" t="str">
        <f>CONTROL!B61</f>
        <v>-</v>
      </c>
      <c r="F27" s="53"/>
      <c r="G27" s="658">
        <f>CONTROL!C61</f>
        <v>0</v>
      </c>
      <c r="H27" s="240"/>
      <c r="I27" s="667"/>
      <c r="J27" s="659">
        <f>CONTROL!$F61</f>
        <v>0</v>
      </c>
      <c r="K27" s="660">
        <f>CONTROL!L61</f>
        <v>0</v>
      </c>
      <c r="L27" s="661">
        <f t="shared" si="2"/>
        <v>0</v>
      </c>
      <c r="M27" s="659">
        <f>CONTROL!G61</f>
        <v>0</v>
      </c>
      <c r="N27" s="660">
        <f>CONTROL!M61</f>
        <v>0</v>
      </c>
      <c r="O27" s="661">
        <f t="shared" si="3"/>
        <v>0</v>
      </c>
      <c r="P27" s="659">
        <f>CONTROL!H61</f>
        <v>0</v>
      </c>
      <c r="Q27" s="660">
        <f>CONTROL!N61</f>
        <v>0</v>
      </c>
      <c r="R27" s="661">
        <f t="shared" si="4"/>
        <v>0</v>
      </c>
      <c r="S27" s="659">
        <f>CONTROL!I61</f>
        <v>0</v>
      </c>
      <c r="T27" s="660">
        <f>CONTROL!O61</f>
        <v>0</v>
      </c>
      <c r="U27" s="662">
        <f t="shared" si="5"/>
        <v>0</v>
      </c>
      <c r="V27" s="663">
        <f t="shared" si="6"/>
        <v>0</v>
      </c>
      <c r="W27" s="664">
        <f t="shared" si="7"/>
        <v>0</v>
      </c>
      <c r="X27" s="661">
        <f t="shared" si="8"/>
        <v>0</v>
      </c>
      <c r="Y27" s="665">
        <f t="shared" si="9"/>
        <v>0</v>
      </c>
      <c r="Z27" s="666">
        <f t="shared" si="10"/>
        <v>0</v>
      </c>
      <c r="AA27" s="278"/>
    </row>
    <row r="28" spans="1:27" ht="15">
      <c r="A28" s="479">
        <f t="shared" si="1"/>
        <v>28</v>
      </c>
      <c r="B28" s="96"/>
      <c r="C28" s="50"/>
      <c r="D28" s="558"/>
      <c r="E28" s="319" t="str">
        <f>CONTROL!B62</f>
        <v>-</v>
      </c>
      <c r="F28" s="53"/>
      <c r="G28" s="658">
        <f>CONTROL!C62</f>
        <v>0</v>
      </c>
      <c r="H28" s="240"/>
      <c r="I28" s="667"/>
      <c r="J28" s="659">
        <f>CONTROL!$F62</f>
        <v>0</v>
      </c>
      <c r="K28" s="660">
        <f>CONTROL!L62</f>
        <v>0</v>
      </c>
      <c r="L28" s="661">
        <f t="shared" si="2"/>
        <v>0</v>
      </c>
      <c r="M28" s="659">
        <f>CONTROL!G62</f>
        <v>0</v>
      </c>
      <c r="N28" s="660">
        <f>CONTROL!M62</f>
        <v>0</v>
      </c>
      <c r="O28" s="661">
        <f t="shared" si="3"/>
        <v>0</v>
      </c>
      <c r="P28" s="659">
        <f>CONTROL!H62</f>
        <v>0</v>
      </c>
      <c r="Q28" s="660">
        <f>CONTROL!N62</f>
        <v>0</v>
      </c>
      <c r="R28" s="661">
        <f t="shared" si="4"/>
        <v>0</v>
      </c>
      <c r="S28" s="659">
        <f>CONTROL!I62</f>
        <v>0</v>
      </c>
      <c r="T28" s="660">
        <f>CONTROL!O62</f>
        <v>0</v>
      </c>
      <c r="U28" s="662">
        <f t="shared" si="5"/>
        <v>0</v>
      </c>
      <c r="V28" s="663">
        <f t="shared" si="6"/>
        <v>0</v>
      </c>
      <c r="W28" s="664">
        <f t="shared" si="7"/>
        <v>0</v>
      </c>
      <c r="X28" s="661">
        <f t="shared" si="8"/>
        <v>0</v>
      </c>
      <c r="Y28" s="665">
        <f t="shared" si="9"/>
        <v>0</v>
      </c>
      <c r="Z28" s="666">
        <f t="shared" si="10"/>
        <v>0</v>
      </c>
      <c r="AA28" s="278"/>
    </row>
    <row r="29" spans="1:27" ht="15">
      <c r="A29" s="479">
        <f t="shared" si="1"/>
        <v>29</v>
      </c>
      <c r="B29" s="96"/>
      <c r="C29" s="50"/>
      <c r="D29" s="558"/>
      <c r="E29" s="319" t="str">
        <f>CONTROL!B63</f>
        <v>-</v>
      </c>
      <c r="F29" s="53"/>
      <c r="G29" s="658">
        <f>CONTROL!C63</f>
        <v>0</v>
      </c>
      <c r="H29" s="240"/>
      <c r="I29" s="667"/>
      <c r="J29" s="659">
        <f>CONTROL!$F63</f>
        <v>0</v>
      </c>
      <c r="K29" s="660">
        <f>CONTROL!L63</f>
        <v>0</v>
      </c>
      <c r="L29" s="661">
        <f t="shared" si="2"/>
        <v>0</v>
      </c>
      <c r="M29" s="659">
        <f>CONTROL!G63</f>
        <v>0</v>
      </c>
      <c r="N29" s="660">
        <f>CONTROL!M63</f>
        <v>0</v>
      </c>
      <c r="O29" s="661">
        <f t="shared" si="3"/>
        <v>0</v>
      </c>
      <c r="P29" s="659">
        <f>CONTROL!H63</f>
        <v>0</v>
      </c>
      <c r="Q29" s="660">
        <f>CONTROL!N63</f>
        <v>0</v>
      </c>
      <c r="R29" s="661">
        <f t="shared" si="4"/>
        <v>0</v>
      </c>
      <c r="S29" s="659">
        <f>CONTROL!I63</f>
        <v>0</v>
      </c>
      <c r="T29" s="660">
        <f>CONTROL!O63</f>
        <v>0</v>
      </c>
      <c r="U29" s="662">
        <f t="shared" si="5"/>
        <v>0</v>
      </c>
      <c r="V29" s="663">
        <f t="shared" si="6"/>
        <v>0</v>
      </c>
      <c r="W29" s="664">
        <f t="shared" si="7"/>
        <v>0</v>
      </c>
      <c r="X29" s="661">
        <f t="shared" si="8"/>
        <v>0</v>
      </c>
      <c r="Y29" s="665">
        <f t="shared" si="9"/>
        <v>0</v>
      </c>
      <c r="Z29" s="666">
        <f t="shared" si="10"/>
        <v>0</v>
      </c>
      <c r="AA29" s="278"/>
    </row>
    <row r="30" spans="1:27" ht="15">
      <c r="A30" s="479">
        <f t="shared" si="1"/>
        <v>30</v>
      </c>
      <c r="B30" s="96"/>
      <c r="C30" s="50"/>
      <c r="D30" s="558"/>
      <c r="E30" s="319" t="str">
        <f>CONTROL!B64</f>
        <v>-</v>
      </c>
      <c r="F30" s="53"/>
      <c r="G30" s="658">
        <f>CONTROL!C64</f>
        <v>0</v>
      </c>
      <c r="H30" s="240"/>
      <c r="I30" s="667"/>
      <c r="J30" s="659">
        <f>CONTROL!$F64</f>
        <v>0</v>
      </c>
      <c r="K30" s="660">
        <f>CONTROL!L64</f>
        <v>0</v>
      </c>
      <c r="L30" s="661">
        <f t="shared" si="2"/>
        <v>0</v>
      </c>
      <c r="M30" s="659">
        <f>CONTROL!G64</f>
        <v>0</v>
      </c>
      <c r="N30" s="660">
        <f>CONTROL!M64</f>
        <v>0</v>
      </c>
      <c r="O30" s="661">
        <f t="shared" si="3"/>
        <v>0</v>
      </c>
      <c r="P30" s="659">
        <f>CONTROL!H64</f>
        <v>0</v>
      </c>
      <c r="Q30" s="660">
        <f>CONTROL!N64</f>
        <v>0</v>
      </c>
      <c r="R30" s="661">
        <f t="shared" si="4"/>
        <v>0</v>
      </c>
      <c r="S30" s="659">
        <f>CONTROL!I64</f>
        <v>0</v>
      </c>
      <c r="T30" s="660">
        <f>CONTROL!O64</f>
        <v>0</v>
      </c>
      <c r="U30" s="662">
        <f t="shared" si="5"/>
        <v>0</v>
      </c>
      <c r="V30" s="663">
        <f t="shared" si="6"/>
        <v>0</v>
      </c>
      <c r="W30" s="664">
        <f t="shared" si="7"/>
        <v>0</v>
      </c>
      <c r="X30" s="661">
        <f t="shared" si="8"/>
        <v>0</v>
      </c>
      <c r="Y30" s="665">
        <f t="shared" si="9"/>
        <v>0</v>
      </c>
      <c r="Z30" s="666">
        <f t="shared" si="10"/>
        <v>0</v>
      </c>
      <c r="AA30" s="278"/>
    </row>
    <row r="31" spans="1:27" ht="15">
      <c r="A31" s="479">
        <f t="shared" si="1"/>
        <v>31</v>
      </c>
      <c r="B31" s="96"/>
      <c r="C31" s="50"/>
      <c r="D31" s="558"/>
      <c r="E31" s="319" t="str">
        <f>CONTROL!B65</f>
        <v>-</v>
      </c>
      <c r="F31" s="53"/>
      <c r="G31" s="658">
        <f>CONTROL!C65</f>
        <v>0</v>
      </c>
      <c r="H31" s="240"/>
      <c r="I31" s="667"/>
      <c r="J31" s="659">
        <f>CONTROL!$F65</f>
        <v>0</v>
      </c>
      <c r="K31" s="660">
        <f>CONTROL!L65</f>
        <v>0</v>
      </c>
      <c r="L31" s="661">
        <f t="shared" si="2"/>
        <v>0</v>
      </c>
      <c r="M31" s="659">
        <f>CONTROL!G65</f>
        <v>0</v>
      </c>
      <c r="N31" s="660">
        <f>CONTROL!M65</f>
        <v>0</v>
      </c>
      <c r="O31" s="661">
        <f t="shared" si="3"/>
        <v>0</v>
      </c>
      <c r="P31" s="659">
        <f>CONTROL!H65</f>
        <v>0</v>
      </c>
      <c r="Q31" s="660">
        <f>CONTROL!N65</f>
        <v>0</v>
      </c>
      <c r="R31" s="661">
        <f t="shared" si="4"/>
        <v>0</v>
      </c>
      <c r="S31" s="659">
        <f>CONTROL!I65</f>
        <v>0</v>
      </c>
      <c r="T31" s="660">
        <f>CONTROL!O65</f>
        <v>0</v>
      </c>
      <c r="U31" s="662">
        <f t="shared" si="5"/>
        <v>0</v>
      </c>
      <c r="V31" s="663">
        <f t="shared" si="6"/>
        <v>0</v>
      </c>
      <c r="W31" s="664">
        <f t="shared" si="7"/>
        <v>0</v>
      </c>
      <c r="X31" s="661">
        <f t="shared" si="8"/>
        <v>0</v>
      </c>
      <c r="Y31" s="665">
        <f t="shared" si="9"/>
        <v>0</v>
      </c>
      <c r="Z31" s="666">
        <f t="shared" si="10"/>
        <v>0</v>
      </c>
      <c r="AA31" s="278"/>
    </row>
    <row r="32" spans="1:27" ht="15">
      <c r="A32" s="479">
        <f t="shared" si="1"/>
        <v>32</v>
      </c>
      <c r="B32" s="96"/>
      <c r="C32" s="50"/>
      <c r="D32" s="558"/>
      <c r="E32" s="319" t="str">
        <f>CONTROL!B66</f>
        <v>-</v>
      </c>
      <c r="F32" s="53"/>
      <c r="G32" s="658">
        <f>CONTROL!C66</f>
        <v>0</v>
      </c>
      <c r="H32" s="240"/>
      <c r="I32" s="667"/>
      <c r="J32" s="659">
        <f>CONTROL!$F66</f>
        <v>0</v>
      </c>
      <c r="K32" s="660">
        <f>CONTROL!L66</f>
        <v>0</v>
      </c>
      <c r="L32" s="661">
        <f t="shared" si="2"/>
        <v>0</v>
      </c>
      <c r="M32" s="659">
        <f>CONTROL!G66</f>
        <v>0</v>
      </c>
      <c r="N32" s="660">
        <f>CONTROL!M66</f>
        <v>0</v>
      </c>
      <c r="O32" s="661">
        <f t="shared" si="3"/>
        <v>0</v>
      </c>
      <c r="P32" s="659">
        <f>CONTROL!H66</f>
        <v>0</v>
      </c>
      <c r="Q32" s="660">
        <f>CONTROL!N66</f>
        <v>0</v>
      </c>
      <c r="R32" s="661">
        <f t="shared" si="4"/>
        <v>0</v>
      </c>
      <c r="S32" s="659">
        <f>CONTROL!I66</f>
        <v>0</v>
      </c>
      <c r="T32" s="660">
        <f>CONTROL!O66</f>
        <v>0</v>
      </c>
      <c r="U32" s="662">
        <f t="shared" si="5"/>
        <v>0</v>
      </c>
      <c r="V32" s="663">
        <f t="shared" si="6"/>
        <v>0</v>
      </c>
      <c r="W32" s="664">
        <f t="shared" si="7"/>
        <v>0</v>
      </c>
      <c r="X32" s="661">
        <f t="shared" si="8"/>
        <v>0</v>
      </c>
      <c r="Y32" s="665">
        <f t="shared" si="9"/>
        <v>0</v>
      </c>
      <c r="Z32" s="666">
        <f t="shared" si="10"/>
        <v>0</v>
      </c>
      <c r="AA32" s="278"/>
    </row>
    <row r="33" spans="1:27" ht="15">
      <c r="A33" s="479">
        <f t="shared" si="1"/>
        <v>33</v>
      </c>
      <c r="B33" s="96"/>
      <c r="C33" s="50"/>
      <c r="D33" s="50"/>
      <c r="E33" s="53" t="s">
        <v>353</v>
      </c>
      <c r="F33" s="53"/>
      <c r="G33" s="668">
        <f>CONTROL!F105</f>
        <v>0</v>
      </c>
      <c r="H33" s="240"/>
      <c r="I33" s="667"/>
      <c r="J33" s="659">
        <f>SUM(CONTROL!F67:F101)</f>
        <v>0</v>
      </c>
      <c r="K33" s="660">
        <f>SUM(CONTROL!L67:L101)</f>
        <v>0</v>
      </c>
      <c r="L33" s="661">
        <f t="shared" si="2"/>
        <v>0</v>
      </c>
      <c r="M33" s="659">
        <f>SUM(CONTROL!G67:G101)</f>
        <v>0</v>
      </c>
      <c r="N33" s="660">
        <f>SUM(CONTROL!M67:M101)</f>
        <v>0</v>
      </c>
      <c r="O33" s="661">
        <f t="shared" si="3"/>
        <v>0</v>
      </c>
      <c r="P33" s="659">
        <f>SUM(CONTROL!H67:H101)</f>
        <v>0</v>
      </c>
      <c r="Q33" s="660">
        <f>SUM(CONTROL!N67:N101)</f>
        <v>0</v>
      </c>
      <c r="R33" s="661">
        <f t="shared" si="4"/>
        <v>0</v>
      </c>
      <c r="S33" s="659">
        <f>SUM(CONTROL!I67:I101)</f>
        <v>0</v>
      </c>
      <c r="T33" s="660">
        <f>SUM(CONTROL!O67:O101)</f>
        <v>0</v>
      </c>
      <c r="U33" s="662">
        <f t="shared" si="5"/>
        <v>0</v>
      </c>
      <c r="V33" s="663">
        <f t="shared" si="6"/>
        <v>0</v>
      </c>
      <c r="W33" s="664">
        <f t="shared" si="7"/>
        <v>0</v>
      </c>
      <c r="X33" s="661">
        <f t="shared" si="8"/>
        <v>0</v>
      </c>
      <c r="Y33" s="665">
        <f t="shared" si="9"/>
        <v>0</v>
      </c>
      <c r="Z33" s="666">
        <f t="shared" si="10"/>
        <v>0</v>
      </c>
      <c r="AA33" s="278"/>
    </row>
    <row r="34" spans="1:27" ht="30" customHeight="1">
      <c r="A34" s="480">
        <f t="shared" si="1"/>
        <v>34</v>
      </c>
      <c r="B34" s="280"/>
      <c r="C34" s="140"/>
      <c r="D34" s="1051" t="s">
        <v>352</v>
      </c>
      <c r="E34" s="1051"/>
      <c r="F34" s="559"/>
      <c r="G34" s="560">
        <f>IFERROR(SUMPRODUCT(G18:G33,G163:G178)/SUM(G163:G178),0)</f>
        <v>0</v>
      </c>
      <c r="H34" s="240"/>
      <c r="I34" s="659">
        <f t="shared" ref="I34:Z34" si="11">SUM(I18:I33)</f>
        <v>0</v>
      </c>
      <c r="J34" s="659">
        <f t="shared" si="11"/>
        <v>0</v>
      </c>
      <c r="K34" s="669">
        <f t="shared" si="11"/>
        <v>0</v>
      </c>
      <c r="L34" s="669">
        <f t="shared" si="11"/>
        <v>0</v>
      </c>
      <c r="M34" s="659">
        <f t="shared" si="11"/>
        <v>0</v>
      </c>
      <c r="N34" s="669">
        <f t="shared" si="11"/>
        <v>0</v>
      </c>
      <c r="O34" s="669">
        <f t="shared" si="11"/>
        <v>0</v>
      </c>
      <c r="P34" s="659">
        <f t="shared" si="11"/>
        <v>0</v>
      </c>
      <c r="Q34" s="669">
        <f t="shared" si="11"/>
        <v>0</v>
      </c>
      <c r="R34" s="669">
        <f t="shared" si="11"/>
        <v>0</v>
      </c>
      <c r="S34" s="659">
        <f t="shared" si="11"/>
        <v>0</v>
      </c>
      <c r="T34" s="669">
        <f t="shared" si="11"/>
        <v>0</v>
      </c>
      <c r="U34" s="670">
        <f t="shared" si="11"/>
        <v>0</v>
      </c>
      <c r="V34" s="663">
        <f t="shared" si="11"/>
        <v>0</v>
      </c>
      <c r="W34" s="669">
        <f t="shared" si="11"/>
        <v>0</v>
      </c>
      <c r="X34" s="671">
        <f t="shared" si="11"/>
        <v>0</v>
      </c>
      <c r="Y34" s="665">
        <f t="shared" si="11"/>
        <v>0</v>
      </c>
      <c r="Z34" s="666">
        <f t="shared" si="11"/>
        <v>0</v>
      </c>
      <c r="AA34" s="282"/>
    </row>
    <row r="35" spans="1:27" ht="15">
      <c r="A35" s="479">
        <f t="shared" si="1"/>
        <v>35</v>
      </c>
      <c r="B35" s="96"/>
      <c r="C35" s="50"/>
      <c r="D35" s="97" t="s">
        <v>26</v>
      </c>
      <c r="E35" s="94"/>
      <c r="F35" s="94"/>
      <c r="G35" s="57"/>
      <c r="H35" s="240"/>
      <c r="I35" s="667"/>
      <c r="J35" s="672"/>
      <c r="K35" s="673"/>
      <c r="L35" s="661">
        <f>IF(K$18&lt;&gt;0,K35-J35,0)</f>
        <v>0</v>
      </c>
      <c r="M35" s="674"/>
      <c r="N35" s="675"/>
      <c r="O35" s="661">
        <f>IF(N$18&lt;&gt;0,N35-M35,0)</f>
        <v>0</v>
      </c>
      <c r="P35" s="674"/>
      <c r="Q35" s="675"/>
      <c r="R35" s="661">
        <f>IF(Q$18&lt;&gt;0,Q35-P35,0)</f>
        <v>0</v>
      </c>
      <c r="S35" s="674"/>
      <c r="T35" s="675"/>
      <c r="U35" s="662">
        <f>IF(T$18&lt;&gt;0,T35-S35,0)</f>
        <v>0</v>
      </c>
      <c r="V35" s="663">
        <f>J35+M35+P35+S35</f>
        <v>0</v>
      </c>
      <c r="W35" s="664">
        <f>SUM(IF(K$6&lt;&gt;0,K35,J35)+IF(N$6&lt;&gt;0,N35,M35)+IF(Q$6&lt;&gt;0,Q35,P35)+IF(T$6&lt;&gt;0,T35,S35))</f>
        <v>0</v>
      </c>
      <c r="X35" s="661">
        <f>W35-V35</f>
        <v>0</v>
      </c>
      <c r="Y35" s="665">
        <f>V35-I35</f>
        <v>0</v>
      </c>
      <c r="Z35" s="666">
        <f>W35-I35</f>
        <v>0</v>
      </c>
      <c r="AA35" s="278"/>
    </row>
    <row r="36" spans="1:27" ht="15">
      <c r="A36" s="479">
        <f t="shared" si="1"/>
        <v>36</v>
      </c>
      <c r="B36" s="96"/>
      <c r="C36" s="50"/>
      <c r="D36" s="97" t="s">
        <v>27</v>
      </c>
      <c r="E36" s="94"/>
      <c r="F36" s="94"/>
      <c r="G36" s="57"/>
      <c r="H36" s="240"/>
      <c r="I36" s="676"/>
      <c r="J36" s="676"/>
      <c r="K36" s="676"/>
      <c r="L36" s="676"/>
      <c r="M36" s="676"/>
      <c r="N36" s="676"/>
      <c r="O36" s="676"/>
      <c r="P36" s="676"/>
      <c r="Q36" s="676"/>
      <c r="R36" s="676"/>
      <c r="S36" s="676"/>
      <c r="T36" s="676"/>
      <c r="U36" s="666"/>
      <c r="V36" s="677"/>
      <c r="W36" s="676"/>
      <c r="X36" s="676"/>
      <c r="Y36" s="676"/>
      <c r="Z36" s="666"/>
      <c r="AA36" s="278"/>
    </row>
    <row r="37" spans="1:27" ht="15">
      <c r="A37" s="479">
        <f t="shared" si="1"/>
        <v>37</v>
      </c>
      <c r="B37" s="96"/>
      <c r="C37" s="50"/>
      <c r="D37" s="50"/>
      <c r="E37" s="120" t="s">
        <v>28</v>
      </c>
      <c r="F37" s="120"/>
      <c r="G37" s="56"/>
      <c r="H37" s="240"/>
      <c r="I37" s="667"/>
      <c r="J37" s="672"/>
      <c r="K37" s="673"/>
      <c r="L37" s="661">
        <f>IF(K$18&lt;&gt;0,K37-J37,0)</f>
        <v>0</v>
      </c>
      <c r="M37" s="674"/>
      <c r="N37" s="675"/>
      <c r="O37" s="661">
        <f>IF(N$18&lt;&gt;0,N37-M37,0)</f>
        <v>0</v>
      </c>
      <c r="P37" s="674"/>
      <c r="Q37" s="675"/>
      <c r="R37" s="661">
        <f>IF(Q$18&lt;&gt;0,Q37-P37,0)</f>
        <v>0</v>
      </c>
      <c r="S37" s="674"/>
      <c r="T37" s="675"/>
      <c r="U37" s="662">
        <f>IF(T$18&lt;&gt;0,T37-S37,0)</f>
        <v>0</v>
      </c>
      <c r="V37" s="663">
        <f>J37+M37+P37+S37</f>
        <v>0</v>
      </c>
      <c r="W37" s="664">
        <f>SUM(IF(K$6&lt;&gt;0,K37,J37)+IF(N$6&lt;&gt;0,N37,M37)+IF(Q$6&lt;&gt;0,Q37,P37)+IF(T$6&lt;&gt;0,T37,S37))</f>
        <v>0</v>
      </c>
      <c r="X37" s="661">
        <f>W37-V37</f>
        <v>0</v>
      </c>
      <c r="Y37" s="665">
        <f>V37-I37</f>
        <v>0</v>
      </c>
      <c r="Z37" s="666">
        <f>W37-I37</f>
        <v>0</v>
      </c>
      <c r="AA37" s="278"/>
    </row>
    <row r="38" spans="1:27" ht="15">
      <c r="A38" s="479">
        <f t="shared" si="1"/>
        <v>38</v>
      </c>
      <c r="B38" s="96"/>
      <c r="C38" s="50"/>
      <c r="D38" s="50"/>
      <c r="E38" s="120" t="s">
        <v>157</v>
      </c>
      <c r="F38" s="120"/>
      <c r="G38" s="56"/>
      <c r="H38" s="240"/>
      <c r="I38" s="667"/>
      <c r="J38" s="672"/>
      <c r="K38" s="673"/>
      <c r="L38" s="661">
        <f>IF(K$18&lt;&gt;0,K38-J38,0)</f>
        <v>0</v>
      </c>
      <c r="M38" s="674"/>
      <c r="N38" s="675"/>
      <c r="O38" s="661">
        <f>IF(N$18&lt;&gt;0,N38-M38,0)</f>
        <v>0</v>
      </c>
      <c r="P38" s="674"/>
      <c r="Q38" s="675"/>
      <c r="R38" s="661">
        <f>IF(Q$18&lt;&gt;0,Q38-P38,0)</f>
        <v>0</v>
      </c>
      <c r="S38" s="674"/>
      <c r="T38" s="675"/>
      <c r="U38" s="662">
        <f>IF(T$18&lt;&gt;0,T38-S38,0)</f>
        <v>0</v>
      </c>
      <c r="V38" s="663">
        <f>J38+M38+P38+S38</f>
        <v>0</v>
      </c>
      <c r="W38" s="664">
        <f>SUM(IF(K$6&lt;&gt;0,K38,J38)+IF(N$6&lt;&gt;0,N38,M38)+IF(Q$6&lt;&gt;0,Q38,P38)+IF(T$6&lt;&gt;0,T38,S38))</f>
        <v>0</v>
      </c>
      <c r="X38" s="661">
        <f>W38-V38</f>
        <v>0</v>
      </c>
      <c r="Y38" s="665">
        <f>V38-I38</f>
        <v>0</v>
      </c>
      <c r="Z38" s="666">
        <f>W38-I38</f>
        <v>0</v>
      </c>
      <c r="AA38" s="278"/>
    </row>
    <row r="39" spans="1:27" ht="15">
      <c r="A39" s="479">
        <f t="shared" si="1"/>
        <v>39</v>
      </c>
      <c r="B39" s="96"/>
      <c r="C39" s="50"/>
      <c r="D39" s="50"/>
      <c r="E39" s="120" t="s">
        <v>29</v>
      </c>
      <c r="F39" s="120"/>
      <c r="G39" s="56"/>
      <c r="H39" s="240"/>
      <c r="I39" s="667"/>
      <c r="J39" s="672"/>
      <c r="K39" s="673"/>
      <c r="L39" s="661">
        <f>IF(K$18&lt;&gt;0,K39-J39,0)</f>
        <v>0</v>
      </c>
      <c r="M39" s="674"/>
      <c r="N39" s="675"/>
      <c r="O39" s="661">
        <f>IF(N$18&lt;&gt;0,N39-M39,0)</f>
        <v>0</v>
      </c>
      <c r="P39" s="674"/>
      <c r="Q39" s="675"/>
      <c r="R39" s="661">
        <f>IF(Q$18&lt;&gt;0,Q39-P39,0)</f>
        <v>0</v>
      </c>
      <c r="S39" s="674"/>
      <c r="T39" s="675"/>
      <c r="U39" s="662">
        <f>IF(T$18&lt;&gt;0,T39-S39,0)</f>
        <v>0</v>
      </c>
      <c r="V39" s="663">
        <f>J39+M39+P39+S39</f>
        <v>0</v>
      </c>
      <c r="W39" s="664">
        <f>SUM(IF(K$6&lt;&gt;0,K39,J39)+IF(N$6&lt;&gt;0,N39,M39)+IF(Q$6&lt;&gt;0,Q39,P39)+IF(T$6&lt;&gt;0,T39,S39))</f>
        <v>0</v>
      </c>
      <c r="X39" s="661">
        <f>W39-V39</f>
        <v>0</v>
      </c>
      <c r="Y39" s="665">
        <f>V39-I39</f>
        <v>0</v>
      </c>
      <c r="Z39" s="666">
        <f>W39-I39</f>
        <v>0</v>
      </c>
      <c r="AA39" s="278"/>
    </row>
    <row r="40" spans="1:27" ht="15">
      <c r="A40" s="479">
        <f t="shared" si="1"/>
        <v>40</v>
      </c>
      <c r="B40" s="96"/>
      <c r="C40" s="50"/>
      <c r="D40" s="50" t="s">
        <v>1238</v>
      </c>
      <c r="E40" s="120"/>
      <c r="F40" s="120"/>
      <c r="G40" s="56"/>
      <c r="H40" s="240"/>
      <c r="I40" s="667"/>
      <c r="J40" s="672"/>
      <c r="K40" s="673"/>
      <c r="L40" s="661"/>
      <c r="M40" s="674"/>
      <c r="N40" s="675"/>
      <c r="O40" s="661"/>
      <c r="P40" s="674"/>
      <c r="Q40" s="675"/>
      <c r="R40" s="661"/>
      <c r="S40" s="674"/>
      <c r="T40" s="675"/>
      <c r="U40" s="662"/>
      <c r="V40" s="663">
        <f>J40+M40+P40+S40</f>
        <v>0</v>
      </c>
      <c r="W40" s="664">
        <f>SUM(IF(K$6&lt;&gt;0,K40,J40)+IF(N$6&lt;&gt;0,N40,M40)+IF(Q$6&lt;&gt;0,Q40,P40)+IF(T$6&lt;&gt;0,T40,S40))</f>
        <v>0</v>
      </c>
      <c r="X40" s="661">
        <f>W40-V40</f>
        <v>0</v>
      </c>
      <c r="Y40" s="665">
        <f>V40-I40</f>
        <v>0</v>
      </c>
      <c r="Z40" s="666">
        <f>W40-I40</f>
        <v>0</v>
      </c>
      <c r="AA40" s="278"/>
    </row>
    <row r="41" spans="1:27" ht="16.8">
      <c r="A41" s="479">
        <f t="shared" si="1"/>
        <v>41</v>
      </c>
      <c r="B41" s="96"/>
      <c r="C41" s="50"/>
      <c r="D41" s="97" t="s">
        <v>29</v>
      </c>
      <c r="E41" s="94"/>
      <c r="F41" s="94"/>
      <c r="G41" s="57"/>
      <c r="H41" s="240"/>
      <c r="I41" s="678"/>
      <c r="J41" s="679"/>
      <c r="K41" s="680"/>
      <c r="L41" s="681">
        <f>IF(K$18&lt;&gt;0,K41-J41,0)</f>
        <v>0</v>
      </c>
      <c r="M41" s="682"/>
      <c r="N41" s="683"/>
      <c r="O41" s="681">
        <f>IF(N$18&lt;&gt;0,N41-M41,0)</f>
        <v>0</v>
      </c>
      <c r="P41" s="682"/>
      <c r="Q41" s="683"/>
      <c r="R41" s="681">
        <f>IF(Q$18&lt;&gt;0,Q41-P41,0)</f>
        <v>0</v>
      </c>
      <c r="S41" s="682"/>
      <c r="T41" s="683"/>
      <c r="U41" s="684">
        <f>IF(T$18&lt;&gt;0,T41-S41,0)</f>
        <v>0</v>
      </c>
      <c r="V41" s="685">
        <f>J41+M41+P41+S41</f>
        <v>0</v>
      </c>
      <c r="W41" s="686">
        <f>SUM(IF(K$6&lt;&gt;0,K41,J41)+IF(N$6&lt;&gt;0,N41,M41)+IF(Q$6&lt;&gt;0,Q41,P41)+IF(T$6&lt;&gt;0,T41,S41))</f>
        <v>0</v>
      </c>
      <c r="X41" s="681">
        <f>W41-V41</f>
        <v>0</v>
      </c>
      <c r="Y41" s="687">
        <f>V41-I41</f>
        <v>0</v>
      </c>
      <c r="Z41" s="688">
        <f>W41-I41</f>
        <v>0</v>
      </c>
      <c r="AA41" s="278"/>
    </row>
    <row r="42" spans="1:27" ht="15">
      <c r="A42" s="479">
        <f t="shared" si="1"/>
        <v>42</v>
      </c>
      <c r="B42" s="96"/>
      <c r="C42" s="50" t="s">
        <v>30</v>
      </c>
      <c r="D42" s="97"/>
      <c r="E42" s="94"/>
      <c r="F42" s="94"/>
      <c r="G42" s="57"/>
      <c r="H42" s="240"/>
      <c r="I42" s="676">
        <f t="shared" ref="I42:Z42" si="12">SUM(I34:I41)</f>
        <v>0</v>
      </c>
      <c r="J42" s="659">
        <f t="shared" si="12"/>
        <v>0</v>
      </c>
      <c r="K42" s="669">
        <f t="shared" si="12"/>
        <v>0</v>
      </c>
      <c r="L42" s="669">
        <f t="shared" si="12"/>
        <v>0</v>
      </c>
      <c r="M42" s="659">
        <f t="shared" si="12"/>
        <v>0</v>
      </c>
      <c r="N42" s="669">
        <f t="shared" si="12"/>
        <v>0</v>
      </c>
      <c r="O42" s="669">
        <f t="shared" si="12"/>
        <v>0</v>
      </c>
      <c r="P42" s="659">
        <f t="shared" si="12"/>
        <v>0</v>
      </c>
      <c r="Q42" s="669">
        <f t="shared" si="12"/>
        <v>0</v>
      </c>
      <c r="R42" s="669">
        <f t="shared" si="12"/>
        <v>0</v>
      </c>
      <c r="S42" s="659">
        <f t="shared" si="12"/>
        <v>0</v>
      </c>
      <c r="T42" s="669">
        <f t="shared" si="12"/>
        <v>0</v>
      </c>
      <c r="U42" s="670">
        <f t="shared" si="12"/>
        <v>0</v>
      </c>
      <c r="V42" s="663">
        <f t="shared" si="12"/>
        <v>0</v>
      </c>
      <c r="W42" s="669">
        <f t="shared" si="12"/>
        <v>0</v>
      </c>
      <c r="X42" s="671">
        <f t="shared" si="12"/>
        <v>0</v>
      </c>
      <c r="Y42" s="665">
        <f t="shared" si="12"/>
        <v>0</v>
      </c>
      <c r="Z42" s="666">
        <f t="shared" si="12"/>
        <v>0</v>
      </c>
      <c r="AA42" s="278"/>
    </row>
    <row r="43" spans="1:27" ht="15">
      <c r="A43" s="479">
        <f t="shared" si="1"/>
        <v>43</v>
      </c>
      <c r="B43" s="96"/>
      <c r="C43" s="50"/>
      <c r="D43" s="50"/>
      <c r="E43" s="53"/>
      <c r="F43" s="53"/>
      <c r="G43" s="51"/>
      <c r="H43" s="240"/>
      <c r="I43" s="689"/>
      <c r="J43" s="689"/>
      <c r="K43" s="689"/>
      <c r="L43" s="689"/>
      <c r="M43" s="689"/>
      <c r="N43" s="689"/>
      <c r="O43" s="689"/>
      <c r="P43" s="689"/>
      <c r="Q43" s="689"/>
      <c r="R43" s="689"/>
      <c r="S43" s="689"/>
      <c r="T43" s="689"/>
      <c r="U43" s="690"/>
      <c r="V43" s="689"/>
      <c r="W43" s="689"/>
      <c r="X43" s="689"/>
      <c r="Y43" s="689"/>
      <c r="Z43" s="690"/>
      <c r="AA43" s="278"/>
    </row>
    <row r="44" spans="1:27" ht="15">
      <c r="A44" s="479">
        <f t="shared" si="1"/>
        <v>44</v>
      </c>
      <c r="B44" s="92"/>
      <c r="C44" s="93" t="s">
        <v>31</v>
      </c>
      <c r="D44" s="93"/>
      <c r="E44" s="53"/>
      <c r="F44" s="53"/>
      <c r="G44" s="51"/>
      <c r="H44" s="240"/>
      <c r="I44" s="98"/>
      <c r="J44" s="98"/>
      <c r="K44" s="98"/>
      <c r="L44" s="98"/>
      <c r="M44" s="98"/>
      <c r="N44" s="98"/>
      <c r="O44" s="98"/>
      <c r="P44" s="98"/>
      <c r="Q44" s="98"/>
      <c r="R44" s="98"/>
      <c r="S44" s="98"/>
      <c r="T44" s="98"/>
      <c r="U44" s="99"/>
      <c r="V44" s="98"/>
      <c r="W44" s="98"/>
      <c r="X44" s="98"/>
      <c r="Y44" s="98"/>
      <c r="Z44" s="99"/>
      <c r="AA44" s="278"/>
    </row>
    <row r="45" spans="1:27" ht="15">
      <c r="A45" s="479">
        <f t="shared" si="1"/>
        <v>45</v>
      </c>
      <c r="B45" s="96"/>
      <c r="C45" s="50"/>
      <c r="D45" s="97" t="s">
        <v>32</v>
      </c>
      <c r="E45" s="94"/>
      <c r="F45" s="94"/>
      <c r="G45" s="57"/>
      <c r="H45" s="240"/>
      <c r="I45" s="667"/>
      <c r="J45" s="672"/>
      <c r="K45" s="673"/>
      <c r="L45" s="661">
        <f>IF(K$18&lt;&gt;0,K45-J45,0)</f>
        <v>0</v>
      </c>
      <c r="M45" s="674"/>
      <c r="N45" s="675"/>
      <c r="O45" s="661">
        <f>IF(N$18&lt;&gt;0,N45-M45,0)</f>
        <v>0</v>
      </c>
      <c r="P45" s="674"/>
      <c r="Q45" s="675"/>
      <c r="R45" s="661">
        <f>IF(Q$18&lt;&gt;0,Q45-P45,0)</f>
        <v>0</v>
      </c>
      <c r="S45" s="674"/>
      <c r="T45" s="675"/>
      <c r="U45" s="662">
        <f>IF(T$18&lt;&gt;0,T45-S45,0)</f>
        <v>0</v>
      </c>
      <c r="V45" s="663">
        <f>J45+M45+P45+S45</f>
        <v>0</v>
      </c>
      <c r="W45" s="664">
        <f>SUM(IF(K$6&lt;&gt;0,K45,J45)+IF(N$6&lt;&gt;0,N45,M45)+IF(Q$6&lt;&gt;0,Q45,P45)+IF(T$6&lt;&gt;0,T45,S45))</f>
        <v>0</v>
      </c>
      <c r="X45" s="661">
        <f>W45-V45</f>
        <v>0</v>
      </c>
      <c r="Y45" s="665">
        <f>V45-I45</f>
        <v>0</v>
      </c>
      <c r="Z45" s="666">
        <f>W45-I45</f>
        <v>0</v>
      </c>
      <c r="AA45" s="278"/>
    </row>
    <row r="46" spans="1:27" ht="15">
      <c r="A46" s="479">
        <f t="shared" si="1"/>
        <v>46</v>
      </c>
      <c r="B46" s="96"/>
      <c r="C46" s="50"/>
      <c r="D46" s="97" t="s">
        <v>33</v>
      </c>
      <c r="E46" s="94"/>
      <c r="F46" s="94"/>
      <c r="G46" s="57"/>
      <c r="H46" s="240"/>
      <c r="I46" s="667"/>
      <c r="J46" s="672"/>
      <c r="K46" s="673"/>
      <c r="L46" s="661">
        <f>IF(K$18&lt;&gt;0,K46-J46,0)</f>
        <v>0</v>
      </c>
      <c r="M46" s="674"/>
      <c r="N46" s="675"/>
      <c r="O46" s="661">
        <f>IF(N$18&lt;&gt;0,N46-M46,0)</f>
        <v>0</v>
      </c>
      <c r="P46" s="674"/>
      <c r="Q46" s="675"/>
      <c r="R46" s="661">
        <f>IF(Q$18&lt;&gt;0,Q46-P46,0)</f>
        <v>0</v>
      </c>
      <c r="S46" s="674"/>
      <c r="T46" s="675"/>
      <c r="U46" s="662">
        <f>IF(T$18&lt;&gt;0,T46-S46,0)</f>
        <v>0</v>
      </c>
      <c r="V46" s="663">
        <f>J46+M46+P46+S46</f>
        <v>0</v>
      </c>
      <c r="W46" s="664">
        <f>SUM(IF(K$6&lt;&gt;0,K46,J46)+IF(N$6&lt;&gt;0,N46,M46)+IF(Q$6&lt;&gt;0,Q46,P46)+IF(T$6&lt;&gt;0,T46,S46))</f>
        <v>0</v>
      </c>
      <c r="X46" s="661">
        <f>W46-V46</f>
        <v>0</v>
      </c>
      <c r="Y46" s="665">
        <f>V46-I46</f>
        <v>0</v>
      </c>
      <c r="Z46" s="666">
        <f>W46-I46</f>
        <v>0</v>
      </c>
      <c r="AA46" s="278"/>
    </row>
    <row r="47" spans="1:27" ht="15">
      <c r="A47" s="479">
        <f t="shared" si="1"/>
        <v>47</v>
      </c>
      <c r="B47" s="96"/>
      <c r="C47" s="50"/>
      <c r="D47" s="97" t="s">
        <v>34</v>
      </c>
      <c r="E47" s="94"/>
      <c r="F47" s="94"/>
      <c r="G47" s="57"/>
      <c r="H47" s="240"/>
      <c r="I47" s="667"/>
      <c r="J47" s="672"/>
      <c r="K47" s="673"/>
      <c r="L47" s="661">
        <f>IF(K$18&lt;&gt;0,K47-J47,0)</f>
        <v>0</v>
      </c>
      <c r="M47" s="674"/>
      <c r="N47" s="675"/>
      <c r="O47" s="661">
        <f>IF(N$18&lt;&gt;0,N47-M47,0)</f>
        <v>0</v>
      </c>
      <c r="P47" s="674"/>
      <c r="Q47" s="675"/>
      <c r="R47" s="661">
        <f>IF(Q$18&lt;&gt;0,Q47-P47,0)</f>
        <v>0</v>
      </c>
      <c r="S47" s="674"/>
      <c r="T47" s="675"/>
      <c r="U47" s="662">
        <f>IF(T$18&lt;&gt;0,T47-S47,0)</f>
        <v>0</v>
      </c>
      <c r="V47" s="663">
        <f>J47+M47+P47+S47</f>
        <v>0</v>
      </c>
      <c r="W47" s="664">
        <f>SUM(IF(K$6&lt;&gt;0,K47,J47)+IF(N$6&lt;&gt;0,N47,M47)+IF(Q$6&lt;&gt;0,Q47,P47)+IF(T$6&lt;&gt;0,T47,S47))</f>
        <v>0</v>
      </c>
      <c r="X47" s="661">
        <f>W47-V47</f>
        <v>0</v>
      </c>
      <c r="Y47" s="665">
        <f>V47-I47</f>
        <v>0</v>
      </c>
      <c r="Z47" s="666">
        <f>W47-I47</f>
        <v>0</v>
      </c>
      <c r="AA47" s="278"/>
    </row>
    <row r="48" spans="1:27" ht="15">
      <c r="A48" s="479">
        <f t="shared" si="1"/>
        <v>48</v>
      </c>
      <c r="B48" s="96"/>
      <c r="C48" s="50"/>
      <c r="D48" s="97" t="s">
        <v>35</v>
      </c>
      <c r="E48" s="94"/>
      <c r="F48" s="94"/>
      <c r="G48" s="57"/>
      <c r="H48" s="240"/>
      <c r="I48" s="667"/>
      <c r="J48" s="672"/>
      <c r="K48" s="673"/>
      <c r="L48" s="661">
        <f>IF(K$18&lt;&gt;0,K48-J48,0)</f>
        <v>0</v>
      </c>
      <c r="M48" s="674"/>
      <c r="N48" s="675"/>
      <c r="O48" s="661">
        <f>IF(N$18&lt;&gt;0,N48-M48,0)</f>
        <v>0</v>
      </c>
      <c r="P48" s="674"/>
      <c r="Q48" s="675"/>
      <c r="R48" s="661">
        <f>IF(Q$18&lt;&gt;0,Q48-P48,0)</f>
        <v>0</v>
      </c>
      <c r="S48" s="674"/>
      <c r="T48" s="675"/>
      <c r="U48" s="662">
        <f>IF(T$18&lt;&gt;0,T48-S48,0)</f>
        <v>0</v>
      </c>
      <c r="V48" s="663">
        <f>J48+M48+P48+S48</f>
        <v>0</v>
      </c>
      <c r="W48" s="664">
        <f>SUM(IF(K$6&lt;&gt;0,K48,J48)+IF(N$6&lt;&gt;0,N48,M48)+IF(Q$6&lt;&gt;0,Q48,P48)+IF(T$6&lt;&gt;0,T48,S48))</f>
        <v>0</v>
      </c>
      <c r="X48" s="661">
        <f>W48-V48</f>
        <v>0</v>
      </c>
      <c r="Y48" s="665">
        <f>V48-I48</f>
        <v>0</v>
      </c>
      <c r="Z48" s="666">
        <f>W48-I48</f>
        <v>0</v>
      </c>
      <c r="AA48" s="278"/>
    </row>
    <row r="49" spans="1:27" ht="15">
      <c r="A49" s="479">
        <f t="shared" si="1"/>
        <v>49</v>
      </c>
      <c r="B49" s="96"/>
      <c r="C49" s="50"/>
      <c r="D49" s="97" t="s">
        <v>27</v>
      </c>
      <c r="E49" s="94"/>
      <c r="F49" s="94"/>
      <c r="G49" s="57"/>
      <c r="H49" s="240"/>
      <c r="I49" s="676"/>
      <c r="J49" s="676"/>
      <c r="K49" s="676"/>
      <c r="L49" s="676"/>
      <c r="M49" s="676"/>
      <c r="N49" s="676"/>
      <c r="O49" s="676"/>
      <c r="P49" s="676"/>
      <c r="Q49" s="676"/>
      <c r="R49" s="676"/>
      <c r="S49" s="676"/>
      <c r="T49" s="676"/>
      <c r="U49" s="666"/>
      <c r="V49" s="677"/>
      <c r="W49" s="676"/>
      <c r="X49" s="676"/>
      <c r="Y49" s="676"/>
      <c r="Z49" s="666"/>
      <c r="AA49" s="278"/>
    </row>
    <row r="50" spans="1:27" ht="15">
      <c r="A50" s="479">
        <f t="shared" si="1"/>
        <v>50</v>
      </c>
      <c r="B50" s="96"/>
      <c r="C50" s="50"/>
      <c r="D50" s="50"/>
      <c r="E50" s="120" t="s">
        <v>36</v>
      </c>
      <c r="F50" s="120"/>
      <c r="G50" s="56"/>
      <c r="H50" s="240"/>
      <c r="I50" s="625"/>
      <c r="J50" s="624"/>
      <c r="K50" s="673"/>
      <c r="L50" s="661">
        <f>IF(K$18&lt;&gt;0,K50-J50,0)</f>
        <v>0</v>
      </c>
      <c r="M50" s="624"/>
      <c r="N50" s="675"/>
      <c r="O50" s="661">
        <f>IF(N$18&lt;&gt;0,N50-M50,0)</f>
        <v>0</v>
      </c>
      <c r="P50" s="624"/>
      <c r="Q50" s="675"/>
      <c r="R50" s="661">
        <f>IF(Q$18&lt;&gt;0,Q50-P50,0)</f>
        <v>0</v>
      </c>
      <c r="S50" s="624"/>
      <c r="T50" s="675"/>
      <c r="U50" s="662">
        <f>IF(T$18&lt;&gt;0,T50-S50,0)</f>
        <v>0</v>
      </c>
      <c r="V50" s="663">
        <f>J50+M50+P50+S50</f>
        <v>0</v>
      </c>
      <c r="W50" s="664">
        <f>SUM(IF(K$6&lt;&gt;0,K50,J50)+IF(N$6&lt;&gt;0,N50,M50)+IF(Q$6&lt;&gt;0,Q50,P50)+IF(T$6&lt;&gt;0,T50,S50))</f>
        <v>0</v>
      </c>
      <c r="X50" s="661">
        <f>W50-V50</f>
        <v>0</v>
      </c>
      <c r="Y50" s="665">
        <f>V50-I50</f>
        <v>0</v>
      </c>
      <c r="Z50" s="666">
        <f>W50-I50</f>
        <v>0</v>
      </c>
      <c r="AA50" s="278"/>
    </row>
    <row r="51" spans="1:27" ht="15">
      <c r="A51" s="479">
        <f t="shared" si="1"/>
        <v>51</v>
      </c>
      <c r="B51" s="96"/>
      <c r="C51" s="50"/>
      <c r="D51" s="50"/>
      <c r="E51" s="120" t="s">
        <v>29</v>
      </c>
      <c r="F51" s="120"/>
      <c r="G51" s="56"/>
      <c r="H51" s="240"/>
      <c r="I51" s="625"/>
      <c r="J51" s="624"/>
      <c r="K51" s="673"/>
      <c r="L51" s="661">
        <f>IF(K$18&lt;&gt;0,K51-J51,0)</f>
        <v>0</v>
      </c>
      <c r="M51" s="674"/>
      <c r="N51" s="675"/>
      <c r="O51" s="661">
        <f>IF(N$18&lt;&gt;0,N51-M51,0)</f>
        <v>0</v>
      </c>
      <c r="P51" s="674"/>
      <c r="Q51" s="675"/>
      <c r="R51" s="661">
        <f>IF(Q$18&lt;&gt;0,Q51-P51,0)</f>
        <v>0</v>
      </c>
      <c r="S51" s="674"/>
      <c r="T51" s="675"/>
      <c r="U51" s="662">
        <f>IF(T$18&lt;&gt;0,T51-S51,0)</f>
        <v>0</v>
      </c>
      <c r="V51" s="663">
        <f>J51+M51+P51+S51</f>
        <v>0</v>
      </c>
      <c r="W51" s="664">
        <f>SUM(IF(K$6&lt;&gt;0,K51,J51)+IF(N$6&lt;&gt;0,N51,M51)+IF(Q$6&lt;&gt;0,Q51,P51)+IF(T$6&lt;&gt;0,T51,S51))</f>
        <v>0</v>
      </c>
      <c r="X51" s="661">
        <f>W51-V51</f>
        <v>0</v>
      </c>
      <c r="Y51" s="665">
        <f>V51-I51</f>
        <v>0</v>
      </c>
      <c r="Z51" s="666">
        <f>W51-I51</f>
        <v>0</v>
      </c>
      <c r="AA51" s="278"/>
    </row>
    <row r="52" spans="1:27" ht="16.8">
      <c r="A52" s="479">
        <f t="shared" si="1"/>
        <v>52</v>
      </c>
      <c r="B52" s="96"/>
      <c r="C52" s="50"/>
      <c r="D52" s="97" t="s">
        <v>37</v>
      </c>
      <c r="E52" s="94"/>
      <c r="F52" s="94"/>
      <c r="G52" s="57"/>
      <c r="H52" s="240"/>
      <c r="I52" s="678"/>
      <c r="J52" s="679"/>
      <c r="K52" s="680"/>
      <c r="L52" s="681">
        <f>IF(K$18&lt;&gt;0,K52-J52,0)</f>
        <v>0</v>
      </c>
      <c r="M52" s="682"/>
      <c r="N52" s="683"/>
      <c r="O52" s="681">
        <f>IF(N$18&lt;&gt;0,N52-M52,0)</f>
        <v>0</v>
      </c>
      <c r="P52" s="682"/>
      <c r="Q52" s="683"/>
      <c r="R52" s="681">
        <f>IF(Q$18&lt;&gt;0,Q52-P52,0)</f>
        <v>0</v>
      </c>
      <c r="S52" s="682"/>
      <c r="T52" s="683"/>
      <c r="U52" s="684">
        <f>IF(T$18&lt;&gt;0,T52-S52,0)</f>
        <v>0</v>
      </c>
      <c r="V52" s="685">
        <f>J52+M52+P52+S52</f>
        <v>0</v>
      </c>
      <c r="W52" s="686">
        <f>SUM(IF(K$6&lt;&gt;0,K52,J52)+IF(N$6&lt;&gt;0,N52,M52)+IF(Q$6&lt;&gt;0,Q52,P52)+IF(T$6&lt;&gt;0,T52,S52))</f>
        <v>0</v>
      </c>
      <c r="X52" s="681">
        <f>W52-V52</f>
        <v>0</v>
      </c>
      <c r="Y52" s="687">
        <f>V52-I52</f>
        <v>0</v>
      </c>
      <c r="Z52" s="688">
        <f>W52-I52</f>
        <v>0</v>
      </c>
      <c r="AA52" s="278"/>
    </row>
    <row r="53" spans="1:27" ht="15">
      <c r="A53" s="479">
        <f t="shared" si="1"/>
        <v>53</v>
      </c>
      <c r="B53" s="96"/>
      <c r="C53" s="50" t="s">
        <v>38</v>
      </c>
      <c r="D53" s="97"/>
      <c r="E53" s="94"/>
      <c r="F53" s="94"/>
      <c r="G53" s="57"/>
      <c r="H53" s="240"/>
      <c r="I53" s="676">
        <f t="shared" ref="I53:Z53" si="13">SUM(I45:I52)</f>
        <v>0</v>
      </c>
      <c r="J53" s="659">
        <f t="shared" si="13"/>
        <v>0</v>
      </c>
      <c r="K53" s="669">
        <f t="shared" si="13"/>
        <v>0</v>
      </c>
      <c r="L53" s="669">
        <f t="shared" si="13"/>
        <v>0</v>
      </c>
      <c r="M53" s="659">
        <f t="shared" si="13"/>
        <v>0</v>
      </c>
      <c r="N53" s="669">
        <f t="shared" si="13"/>
        <v>0</v>
      </c>
      <c r="O53" s="669">
        <f t="shared" si="13"/>
        <v>0</v>
      </c>
      <c r="P53" s="659">
        <f t="shared" si="13"/>
        <v>0</v>
      </c>
      <c r="Q53" s="669">
        <f t="shared" si="13"/>
        <v>0</v>
      </c>
      <c r="R53" s="669">
        <f t="shared" si="13"/>
        <v>0</v>
      </c>
      <c r="S53" s="659">
        <f t="shared" si="13"/>
        <v>0</v>
      </c>
      <c r="T53" s="669">
        <f t="shared" si="13"/>
        <v>0</v>
      </c>
      <c r="U53" s="670">
        <f t="shared" si="13"/>
        <v>0</v>
      </c>
      <c r="V53" s="663">
        <f t="shared" si="13"/>
        <v>0</v>
      </c>
      <c r="W53" s="669">
        <f t="shared" si="13"/>
        <v>0</v>
      </c>
      <c r="X53" s="671">
        <f t="shared" si="13"/>
        <v>0</v>
      </c>
      <c r="Y53" s="665">
        <f t="shared" si="13"/>
        <v>0</v>
      </c>
      <c r="Z53" s="666">
        <f t="shared" si="13"/>
        <v>0</v>
      </c>
      <c r="AA53" s="278"/>
    </row>
    <row r="54" spans="1:27" ht="15">
      <c r="A54" s="479">
        <f t="shared" si="1"/>
        <v>54</v>
      </c>
      <c r="B54" s="96"/>
      <c r="C54" s="50"/>
      <c r="D54" s="50"/>
      <c r="E54" s="53"/>
      <c r="F54" s="53"/>
      <c r="G54" s="51"/>
      <c r="H54" s="240"/>
      <c r="I54" s="689"/>
      <c r="J54" s="689"/>
      <c r="K54" s="689"/>
      <c r="L54" s="689"/>
      <c r="M54" s="689"/>
      <c r="N54" s="689"/>
      <c r="O54" s="689"/>
      <c r="P54" s="689"/>
      <c r="Q54" s="689"/>
      <c r="R54" s="689"/>
      <c r="S54" s="689"/>
      <c r="T54" s="689"/>
      <c r="U54" s="690"/>
      <c r="V54" s="689"/>
      <c r="W54" s="689"/>
      <c r="X54" s="689"/>
      <c r="Y54" s="689"/>
      <c r="Z54" s="690"/>
      <c r="AA54" s="278"/>
    </row>
    <row r="55" spans="1:27" ht="15">
      <c r="A55" s="479">
        <f t="shared" si="1"/>
        <v>55</v>
      </c>
      <c r="B55" s="92"/>
      <c r="C55" s="93" t="s">
        <v>39</v>
      </c>
      <c r="D55" s="93"/>
      <c r="E55" s="53"/>
      <c r="F55" s="53"/>
      <c r="G55" s="51"/>
      <c r="H55" s="240"/>
      <c r="I55" s="98"/>
      <c r="J55" s="98"/>
      <c r="K55" s="98"/>
      <c r="L55" s="98"/>
      <c r="M55" s="98"/>
      <c r="N55" s="98"/>
      <c r="O55" s="98"/>
      <c r="P55" s="98"/>
      <c r="Q55" s="98"/>
      <c r="R55" s="98"/>
      <c r="S55" s="98"/>
      <c r="T55" s="98"/>
      <c r="U55" s="99"/>
      <c r="V55" s="98"/>
      <c r="W55" s="98"/>
      <c r="X55" s="98"/>
      <c r="Y55" s="98"/>
      <c r="Z55" s="99"/>
      <c r="AA55" s="278"/>
    </row>
    <row r="56" spans="1:27" ht="15">
      <c r="A56" s="479">
        <f t="shared" si="1"/>
        <v>56</v>
      </c>
      <c r="B56" s="96"/>
      <c r="C56" s="50"/>
      <c r="D56" s="97" t="s">
        <v>40</v>
      </c>
      <c r="E56" s="94"/>
      <c r="F56" s="94"/>
      <c r="G56" s="57"/>
      <c r="H56" s="240"/>
      <c r="I56" s="667"/>
      <c r="J56" s="672"/>
      <c r="K56" s="673"/>
      <c r="L56" s="661">
        <f t="shared" ref="L56:L63" si="14">IF(K$18&lt;&gt;0,K56-J56,0)</f>
        <v>0</v>
      </c>
      <c r="M56" s="674"/>
      <c r="N56" s="675"/>
      <c r="O56" s="661">
        <f t="shared" ref="O56:O63" si="15">IF(N$18&lt;&gt;0,N56-M56,0)</f>
        <v>0</v>
      </c>
      <c r="P56" s="674"/>
      <c r="Q56" s="675"/>
      <c r="R56" s="661">
        <f t="shared" ref="R56:R63" si="16">IF(Q$18&lt;&gt;0,Q56-P56,0)</f>
        <v>0</v>
      </c>
      <c r="S56" s="674"/>
      <c r="T56" s="675"/>
      <c r="U56" s="662">
        <f t="shared" ref="U56:U63" si="17">IF(T$18&lt;&gt;0,T56-S56,0)</f>
        <v>0</v>
      </c>
      <c r="V56" s="663">
        <f t="shared" ref="V56:V63" si="18">J56+M56+P56+S56</f>
        <v>0</v>
      </c>
      <c r="W56" s="664">
        <f t="shared" ref="W56:W63" si="19">SUM(IF(K$6&lt;&gt;0,K56,J56)+IF(N$6&lt;&gt;0,N56,M56)+IF(Q$6&lt;&gt;0,Q56,P56)+IF(T$6&lt;&gt;0,T56,S56))</f>
        <v>0</v>
      </c>
      <c r="X56" s="661">
        <f t="shared" ref="X56:X63" si="20">W56-V56</f>
        <v>0</v>
      </c>
      <c r="Y56" s="665">
        <f t="shared" ref="Y56:Y63" si="21">V56-I56</f>
        <v>0</v>
      </c>
      <c r="Z56" s="666">
        <f t="shared" ref="Z56:Z63" si="22">W56-I56</f>
        <v>0</v>
      </c>
      <c r="AA56" s="278"/>
    </row>
    <row r="57" spans="1:27" ht="15">
      <c r="A57" s="479">
        <f t="shared" si="1"/>
        <v>57</v>
      </c>
      <c r="B57" s="96"/>
      <c r="C57" s="50"/>
      <c r="D57" s="97" t="s">
        <v>41</v>
      </c>
      <c r="E57" s="94"/>
      <c r="F57" s="94"/>
      <c r="G57" s="57"/>
      <c r="H57" s="240"/>
      <c r="I57" s="667"/>
      <c r="J57" s="672"/>
      <c r="K57" s="673"/>
      <c r="L57" s="661">
        <f t="shared" si="14"/>
        <v>0</v>
      </c>
      <c r="M57" s="674"/>
      <c r="N57" s="675"/>
      <c r="O57" s="661">
        <f t="shared" si="15"/>
        <v>0</v>
      </c>
      <c r="P57" s="674"/>
      <c r="Q57" s="675"/>
      <c r="R57" s="661">
        <f t="shared" si="16"/>
        <v>0</v>
      </c>
      <c r="S57" s="674"/>
      <c r="T57" s="675"/>
      <c r="U57" s="662">
        <f t="shared" si="17"/>
        <v>0</v>
      </c>
      <c r="V57" s="663">
        <f t="shared" si="18"/>
        <v>0</v>
      </c>
      <c r="W57" s="664">
        <f t="shared" si="19"/>
        <v>0</v>
      </c>
      <c r="X57" s="661">
        <f t="shared" si="20"/>
        <v>0</v>
      </c>
      <c r="Y57" s="665">
        <f t="shared" si="21"/>
        <v>0</v>
      </c>
      <c r="Z57" s="666">
        <f t="shared" si="22"/>
        <v>0</v>
      </c>
      <c r="AA57" s="278"/>
    </row>
    <row r="58" spans="1:27" ht="15">
      <c r="A58" s="479">
        <f t="shared" si="1"/>
        <v>58</v>
      </c>
      <c r="B58" s="96"/>
      <c r="C58" s="50"/>
      <c r="D58" s="97" t="s">
        <v>42</v>
      </c>
      <c r="E58" s="94"/>
      <c r="F58" s="94"/>
      <c r="G58" s="57"/>
      <c r="H58" s="240"/>
      <c r="I58" s="667"/>
      <c r="J58" s="672"/>
      <c r="K58" s="673"/>
      <c r="L58" s="661">
        <f t="shared" si="14"/>
        <v>0</v>
      </c>
      <c r="M58" s="674"/>
      <c r="N58" s="675"/>
      <c r="O58" s="661">
        <f t="shared" si="15"/>
        <v>0</v>
      </c>
      <c r="P58" s="674"/>
      <c r="Q58" s="675"/>
      <c r="R58" s="661">
        <f t="shared" si="16"/>
        <v>0</v>
      </c>
      <c r="S58" s="674"/>
      <c r="T58" s="675"/>
      <c r="U58" s="662">
        <f t="shared" si="17"/>
        <v>0</v>
      </c>
      <c r="V58" s="663">
        <f t="shared" si="18"/>
        <v>0</v>
      </c>
      <c r="W58" s="664">
        <f t="shared" si="19"/>
        <v>0</v>
      </c>
      <c r="X58" s="661">
        <f t="shared" si="20"/>
        <v>0</v>
      </c>
      <c r="Y58" s="665">
        <f t="shared" si="21"/>
        <v>0</v>
      </c>
      <c r="Z58" s="666">
        <f t="shared" si="22"/>
        <v>0</v>
      </c>
      <c r="AA58" s="278"/>
    </row>
    <row r="59" spans="1:27" ht="15">
      <c r="A59" s="479">
        <f t="shared" si="1"/>
        <v>59</v>
      </c>
      <c r="B59" s="96"/>
      <c r="C59" s="50"/>
      <c r="D59" s="97" t="s">
        <v>43</v>
      </c>
      <c r="E59" s="94"/>
      <c r="F59" s="94"/>
      <c r="G59" s="57"/>
      <c r="H59" s="240"/>
      <c r="I59" s="667"/>
      <c r="J59" s="672"/>
      <c r="K59" s="673"/>
      <c r="L59" s="661">
        <f t="shared" si="14"/>
        <v>0</v>
      </c>
      <c r="M59" s="674"/>
      <c r="N59" s="675"/>
      <c r="O59" s="661">
        <f t="shared" si="15"/>
        <v>0</v>
      </c>
      <c r="P59" s="674"/>
      <c r="Q59" s="675"/>
      <c r="R59" s="661">
        <f t="shared" si="16"/>
        <v>0</v>
      </c>
      <c r="S59" s="674"/>
      <c r="T59" s="675"/>
      <c r="U59" s="662">
        <f t="shared" si="17"/>
        <v>0</v>
      </c>
      <c r="V59" s="663">
        <f t="shared" si="18"/>
        <v>0</v>
      </c>
      <c r="W59" s="664">
        <f t="shared" si="19"/>
        <v>0</v>
      </c>
      <c r="X59" s="661">
        <f t="shared" si="20"/>
        <v>0</v>
      </c>
      <c r="Y59" s="665">
        <f t="shared" si="21"/>
        <v>0</v>
      </c>
      <c r="Z59" s="666">
        <f t="shared" si="22"/>
        <v>0</v>
      </c>
      <c r="AA59" s="278"/>
    </row>
    <row r="60" spans="1:27" ht="15">
      <c r="A60" s="479">
        <f t="shared" si="1"/>
        <v>60</v>
      </c>
      <c r="B60" s="96"/>
      <c r="C60" s="50"/>
      <c r="D60" s="97" t="s">
        <v>44</v>
      </c>
      <c r="E60" s="94"/>
      <c r="F60" s="94"/>
      <c r="G60" s="57"/>
      <c r="H60" s="240"/>
      <c r="I60" s="667"/>
      <c r="J60" s="672"/>
      <c r="K60" s="673"/>
      <c r="L60" s="661">
        <f t="shared" si="14"/>
        <v>0</v>
      </c>
      <c r="M60" s="674"/>
      <c r="N60" s="675"/>
      <c r="O60" s="661">
        <f t="shared" si="15"/>
        <v>0</v>
      </c>
      <c r="P60" s="674"/>
      <c r="Q60" s="675"/>
      <c r="R60" s="661">
        <f t="shared" si="16"/>
        <v>0</v>
      </c>
      <c r="S60" s="674"/>
      <c r="T60" s="675"/>
      <c r="U60" s="662">
        <f t="shared" si="17"/>
        <v>0</v>
      </c>
      <c r="V60" s="663">
        <f t="shared" si="18"/>
        <v>0</v>
      </c>
      <c r="W60" s="664">
        <f t="shared" si="19"/>
        <v>0</v>
      </c>
      <c r="X60" s="661">
        <f t="shared" si="20"/>
        <v>0</v>
      </c>
      <c r="Y60" s="665">
        <f t="shared" si="21"/>
        <v>0</v>
      </c>
      <c r="Z60" s="666">
        <f t="shared" si="22"/>
        <v>0</v>
      </c>
      <c r="AA60" s="278"/>
    </row>
    <row r="61" spans="1:27" ht="15">
      <c r="A61" s="479">
        <f t="shared" si="1"/>
        <v>61</v>
      </c>
      <c r="B61" s="96"/>
      <c r="C61" s="50"/>
      <c r="D61" s="97" t="s">
        <v>45</v>
      </c>
      <c r="E61" s="94"/>
      <c r="F61" s="94"/>
      <c r="G61" s="57"/>
      <c r="H61" s="240"/>
      <c r="I61" s="625"/>
      <c r="J61" s="624"/>
      <c r="K61" s="673"/>
      <c r="L61" s="661">
        <f t="shared" si="14"/>
        <v>0</v>
      </c>
      <c r="M61" s="624"/>
      <c r="N61" s="675"/>
      <c r="O61" s="661">
        <f t="shared" si="15"/>
        <v>0</v>
      </c>
      <c r="P61" s="624"/>
      <c r="Q61" s="675"/>
      <c r="R61" s="661">
        <f t="shared" si="16"/>
        <v>0</v>
      </c>
      <c r="S61" s="624"/>
      <c r="T61" s="675"/>
      <c r="U61" s="662">
        <f t="shared" si="17"/>
        <v>0</v>
      </c>
      <c r="V61" s="663">
        <f t="shared" si="18"/>
        <v>0</v>
      </c>
      <c r="W61" s="664">
        <f t="shared" si="19"/>
        <v>0</v>
      </c>
      <c r="X61" s="661">
        <f t="shared" si="20"/>
        <v>0</v>
      </c>
      <c r="Y61" s="665">
        <f t="shared" si="21"/>
        <v>0</v>
      </c>
      <c r="Z61" s="666">
        <f t="shared" si="22"/>
        <v>0</v>
      </c>
      <c r="AA61" s="278"/>
    </row>
    <row r="62" spans="1:27" ht="15">
      <c r="A62" s="479">
        <f t="shared" si="1"/>
        <v>62</v>
      </c>
      <c r="B62" s="96"/>
      <c r="C62" s="50"/>
      <c r="D62" s="97" t="s">
        <v>46</v>
      </c>
      <c r="E62" s="94"/>
      <c r="F62" s="94"/>
      <c r="G62" s="57"/>
      <c r="H62" s="240"/>
      <c r="I62" s="667"/>
      <c r="J62" s="672"/>
      <c r="K62" s="673"/>
      <c r="L62" s="661">
        <f t="shared" si="14"/>
        <v>0</v>
      </c>
      <c r="M62" s="674"/>
      <c r="N62" s="675"/>
      <c r="O62" s="661">
        <f t="shared" si="15"/>
        <v>0</v>
      </c>
      <c r="P62" s="674"/>
      <c r="Q62" s="675"/>
      <c r="R62" s="661">
        <f t="shared" si="16"/>
        <v>0</v>
      </c>
      <c r="S62" s="674"/>
      <c r="T62" s="675"/>
      <c r="U62" s="662">
        <f t="shared" si="17"/>
        <v>0</v>
      </c>
      <c r="V62" s="663">
        <f t="shared" si="18"/>
        <v>0</v>
      </c>
      <c r="W62" s="664">
        <f t="shared" si="19"/>
        <v>0</v>
      </c>
      <c r="X62" s="661">
        <f t="shared" si="20"/>
        <v>0</v>
      </c>
      <c r="Y62" s="665">
        <f t="shared" si="21"/>
        <v>0</v>
      </c>
      <c r="Z62" s="666">
        <f t="shared" si="22"/>
        <v>0</v>
      </c>
      <c r="AA62" s="278"/>
    </row>
    <row r="63" spans="1:27" ht="16.8">
      <c r="A63" s="479">
        <f t="shared" si="1"/>
        <v>63</v>
      </c>
      <c r="B63" s="96"/>
      <c r="C63" s="50"/>
      <c r="D63" s="97" t="s">
        <v>47</v>
      </c>
      <c r="E63" s="94"/>
      <c r="F63" s="94"/>
      <c r="G63" s="57"/>
      <c r="H63" s="240"/>
      <c r="I63" s="678"/>
      <c r="J63" s="679"/>
      <c r="K63" s="680"/>
      <c r="L63" s="681">
        <f t="shared" si="14"/>
        <v>0</v>
      </c>
      <c r="M63" s="682"/>
      <c r="N63" s="683"/>
      <c r="O63" s="681">
        <f t="shared" si="15"/>
        <v>0</v>
      </c>
      <c r="P63" s="682"/>
      <c r="Q63" s="683"/>
      <c r="R63" s="681">
        <f t="shared" si="16"/>
        <v>0</v>
      </c>
      <c r="S63" s="682"/>
      <c r="T63" s="683"/>
      <c r="U63" s="684">
        <f t="shared" si="17"/>
        <v>0</v>
      </c>
      <c r="V63" s="685">
        <f t="shared" si="18"/>
        <v>0</v>
      </c>
      <c r="W63" s="686">
        <f t="shared" si="19"/>
        <v>0</v>
      </c>
      <c r="X63" s="681">
        <f t="shared" si="20"/>
        <v>0</v>
      </c>
      <c r="Y63" s="687">
        <f t="shared" si="21"/>
        <v>0</v>
      </c>
      <c r="Z63" s="688">
        <f t="shared" si="22"/>
        <v>0</v>
      </c>
      <c r="AA63" s="278"/>
    </row>
    <row r="64" spans="1:27" ht="15">
      <c r="A64" s="479">
        <f t="shared" si="1"/>
        <v>64</v>
      </c>
      <c r="B64" s="96"/>
      <c r="C64" s="50" t="s">
        <v>48</v>
      </c>
      <c r="D64" s="97"/>
      <c r="E64" s="94"/>
      <c r="F64" s="94"/>
      <c r="G64" s="57"/>
      <c r="H64" s="240"/>
      <c r="I64" s="676">
        <f t="shared" ref="I64:Z64" si="23">SUM(I56:I63)</f>
        <v>0</v>
      </c>
      <c r="J64" s="659">
        <f t="shared" si="23"/>
        <v>0</v>
      </c>
      <c r="K64" s="669">
        <f t="shared" si="23"/>
        <v>0</v>
      </c>
      <c r="L64" s="669">
        <f t="shared" si="23"/>
        <v>0</v>
      </c>
      <c r="M64" s="659">
        <f t="shared" si="23"/>
        <v>0</v>
      </c>
      <c r="N64" s="669">
        <f t="shared" si="23"/>
        <v>0</v>
      </c>
      <c r="O64" s="669">
        <f t="shared" si="23"/>
        <v>0</v>
      </c>
      <c r="P64" s="659">
        <f t="shared" si="23"/>
        <v>0</v>
      </c>
      <c r="Q64" s="669">
        <f t="shared" si="23"/>
        <v>0</v>
      </c>
      <c r="R64" s="669">
        <f t="shared" si="23"/>
        <v>0</v>
      </c>
      <c r="S64" s="659">
        <f t="shared" si="23"/>
        <v>0</v>
      </c>
      <c r="T64" s="669">
        <f t="shared" si="23"/>
        <v>0</v>
      </c>
      <c r="U64" s="670">
        <f t="shared" si="23"/>
        <v>0</v>
      </c>
      <c r="V64" s="663">
        <f t="shared" si="23"/>
        <v>0</v>
      </c>
      <c r="W64" s="669">
        <f t="shared" si="23"/>
        <v>0</v>
      </c>
      <c r="X64" s="671">
        <f t="shared" si="23"/>
        <v>0</v>
      </c>
      <c r="Y64" s="665">
        <f t="shared" si="23"/>
        <v>0</v>
      </c>
      <c r="Z64" s="666">
        <f t="shared" si="23"/>
        <v>0</v>
      </c>
      <c r="AA64" s="278"/>
    </row>
    <row r="65" spans="1:27" ht="15">
      <c r="A65" s="479">
        <f t="shared" si="1"/>
        <v>65</v>
      </c>
      <c r="B65" s="96"/>
      <c r="C65" s="50"/>
      <c r="D65" s="97"/>
      <c r="E65" s="94"/>
      <c r="F65" s="94"/>
      <c r="G65" s="57"/>
      <c r="H65" s="240"/>
      <c r="I65" s="676"/>
      <c r="J65" s="676"/>
      <c r="K65" s="676"/>
      <c r="L65" s="676"/>
      <c r="M65" s="676"/>
      <c r="N65" s="676"/>
      <c r="O65" s="676"/>
      <c r="P65" s="676"/>
      <c r="Q65" s="676"/>
      <c r="R65" s="676"/>
      <c r="S65" s="676"/>
      <c r="T65" s="676"/>
      <c r="U65" s="691"/>
      <c r="V65" s="692"/>
      <c r="W65" s="676"/>
      <c r="X65" s="676"/>
      <c r="Y65" s="676"/>
      <c r="Z65" s="666"/>
      <c r="AA65" s="278"/>
    </row>
    <row r="66" spans="1:27" ht="17.399999999999999" thickBot="1">
      <c r="A66" s="479">
        <f t="shared" si="1"/>
        <v>66</v>
      </c>
      <c r="B66" s="109" t="s">
        <v>49</v>
      </c>
      <c r="C66" s="110"/>
      <c r="D66" s="110"/>
      <c r="E66" s="111"/>
      <c r="F66" s="127"/>
      <c r="G66" s="112"/>
      <c r="H66" s="503"/>
      <c r="I66" s="693">
        <f t="shared" ref="I66:Z66" si="24">I64+I53+I42</f>
        <v>0</v>
      </c>
      <c r="J66" s="694">
        <f t="shared" si="24"/>
        <v>0</v>
      </c>
      <c r="K66" s="695">
        <f t="shared" si="24"/>
        <v>0</v>
      </c>
      <c r="L66" s="693">
        <f t="shared" si="24"/>
        <v>0</v>
      </c>
      <c r="M66" s="696">
        <f t="shared" si="24"/>
        <v>0</v>
      </c>
      <c r="N66" s="697">
        <f t="shared" si="24"/>
        <v>0</v>
      </c>
      <c r="O66" s="693">
        <f t="shared" si="24"/>
        <v>0</v>
      </c>
      <c r="P66" s="696">
        <f t="shared" si="24"/>
        <v>0</v>
      </c>
      <c r="Q66" s="697">
        <f t="shared" si="24"/>
        <v>0</v>
      </c>
      <c r="R66" s="693">
        <f t="shared" si="24"/>
        <v>0</v>
      </c>
      <c r="S66" s="696">
        <f t="shared" si="24"/>
        <v>0</v>
      </c>
      <c r="T66" s="697">
        <f t="shared" si="24"/>
        <v>0</v>
      </c>
      <c r="U66" s="698">
        <f t="shared" si="24"/>
        <v>0</v>
      </c>
      <c r="V66" s="699">
        <f t="shared" si="24"/>
        <v>0</v>
      </c>
      <c r="W66" s="700">
        <f t="shared" si="24"/>
        <v>0</v>
      </c>
      <c r="X66" s="701">
        <f t="shared" si="24"/>
        <v>0</v>
      </c>
      <c r="Y66" s="702">
        <f t="shared" si="24"/>
        <v>0</v>
      </c>
      <c r="Z66" s="703">
        <f t="shared" si="24"/>
        <v>0</v>
      </c>
      <c r="AA66" s="288"/>
    </row>
    <row r="67" spans="1:27" ht="18.600000000000001" thickTop="1">
      <c r="A67" s="479">
        <f t="shared" si="1"/>
        <v>67</v>
      </c>
      <c r="B67" s="257"/>
      <c r="C67" s="93"/>
      <c r="D67" s="93"/>
      <c r="E67" s="94"/>
      <c r="F67" s="94"/>
      <c r="G67" s="57"/>
      <c r="H67" s="240"/>
      <c r="I67" s="95"/>
      <c r="J67" s="95"/>
      <c r="K67" s="95"/>
      <c r="L67" s="95"/>
      <c r="M67" s="95"/>
      <c r="N67" s="95"/>
      <c r="O67" s="95"/>
      <c r="P67" s="95"/>
      <c r="Q67" s="95"/>
      <c r="R67" s="95"/>
      <c r="S67" s="95"/>
      <c r="T67" s="95"/>
      <c r="U67" s="496"/>
      <c r="V67" s="497"/>
      <c r="W67" s="289"/>
      <c r="X67" s="290"/>
      <c r="Y67" s="289"/>
      <c r="Z67" s="499"/>
      <c r="AA67" s="493"/>
    </row>
    <row r="68" spans="1:27" ht="15">
      <c r="A68" s="479">
        <f t="shared" ref="A68:A131" si="25">A67+1</f>
        <v>68</v>
      </c>
      <c r="B68" s="92"/>
      <c r="C68" s="93"/>
      <c r="D68" s="93"/>
      <c r="E68" s="94"/>
      <c r="F68" s="94"/>
      <c r="G68" s="57"/>
      <c r="H68" s="240"/>
      <c r="I68" s="95"/>
      <c r="J68" s="95"/>
      <c r="K68" s="95"/>
      <c r="L68" s="95"/>
      <c r="M68" s="95"/>
      <c r="N68" s="95"/>
      <c r="O68" s="95"/>
      <c r="P68" s="95"/>
      <c r="Q68" s="95"/>
      <c r="R68" s="95"/>
      <c r="S68" s="95"/>
      <c r="T68" s="95"/>
      <c r="U68" s="496"/>
      <c r="V68" s="498"/>
      <c r="W68" s="292"/>
      <c r="X68" s="95"/>
      <c r="Y68" s="292"/>
      <c r="Z68" s="374"/>
      <c r="AA68" s="278"/>
    </row>
    <row r="69" spans="1:27" ht="15">
      <c r="A69" s="479">
        <f t="shared" si="25"/>
        <v>69</v>
      </c>
      <c r="B69" s="92" t="s">
        <v>50</v>
      </c>
      <c r="C69" s="93"/>
      <c r="D69" s="93"/>
      <c r="E69" s="94"/>
      <c r="F69" s="94"/>
      <c r="G69" s="57"/>
      <c r="H69" s="240"/>
      <c r="I69" s="95"/>
      <c r="J69" s="95"/>
      <c r="K69" s="95"/>
      <c r="L69" s="95"/>
      <c r="M69" s="95"/>
      <c r="N69" s="95"/>
      <c r="O69" s="95"/>
      <c r="P69" s="95"/>
      <c r="Q69" s="95"/>
      <c r="R69" s="95"/>
      <c r="S69" s="95"/>
      <c r="T69" s="95"/>
      <c r="U69" s="118"/>
      <c r="V69" s="292"/>
      <c r="W69" s="292"/>
      <c r="X69" s="95"/>
      <c r="Y69" s="292"/>
      <c r="Z69" s="374"/>
      <c r="AA69" s="878"/>
    </row>
    <row r="70" spans="1:27" ht="30">
      <c r="A70" s="479">
        <f t="shared" si="25"/>
        <v>70</v>
      </c>
      <c r="B70" s="96"/>
      <c r="C70" s="119" t="s">
        <v>76</v>
      </c>
      <c r="D70" s="50"/>
      <c r="E70" s="94"/>
      <c r="F70" s="94"/>
      <c r="G70" s="57" t="s">
        <v>363</v>
      </c>
      <c r="H70" s="240"/>
      <c r="I70" s="95"/>
      <c r="J70" s="95"/>
      <c r="K70" s="95"/>
      <c r="L70" s="95"/>
      <c r="M70" s="95"/>
      <c r="N70" s="95"/>
      <c r="O70" s="95"/>
      <c r="P70" s="95"/>
      <c r="Q70" s="95"/>
      <c r="R70" s="95"/>
      <c r="S70" s="95"/>
      <c r="T70" s="95"/>
      <c r="U70" s="118"/>
      <c r="V70" s="95"/>
      <c r="W70" s="95"/>
      <c r="X70" s="95"/>
      <c r="Y70" s="293"/>
      <c r="Z70" s="118"/>
      <c r="AA70" s="278"/>
    </row>
    <row r="71" spans="1:27" ht="15">
      <c r="A71" s="479">
        <f t="shared" si="25"/>
        <v>71</v>
      </c>
      <c r="B71" s="96"/>
      <c r="C71" s="94"/>
      <c r="D71" s="54" t="s">
        <v>110</v>
      </c>
      <c r="E71" s="120"/>
      <c r="F71" s="120"/>
      <c r="G71" s="704">
        <f>(IF('3.) Staffing Plan'!G13&gt;0,'3.) Staffing Plan'!G13,'3.) Staffing Plan'!F13)+IF('3.) Staffing Plan'!I13&gt;0,'3.) Staffing Plan'!I13,'3.) Staffing Plan'!H13)+IF('3.) Staffing Plan'!K13&gt;0,'3.) Staffing Plan'!K13,'3.) Staffing Plan'!J13)+IF('3.) Staffing Plan'!M13&gt;0,'3.) Staffing Plan'!M13,'3.) Staffing Plan'!L13))/4</f>
        <v>0</v>
      </c>
      <c r="H71" s="240"/>
      <c r="I71" s="705"/>
      <c r="J71" s="672"/>
      <c r="K71" s="673"/>
      <c r="L71" s="707">
        <f t="shared" ref="L71:L76" si="26">IF(K$18&lt;&gt;0,J71-K71,0)</f>
        <v>0</v>
      </c>
      <c r="M71" s="672"/>
      <c r="N71" s="673"/>
      <c r="O71" s="707">
        <f t="shared" ref="O71:O76" si="27">IF(N$18&lt;&gt;0,M71-N71,0)</f>
        <v>0</v>
      </c>
      <c r="P71" s="672"/>
      <c r="Q71" s="673"/>
      <c r="R71" s="707">
        <f t="shared" ref="R71:R76" si="28">IF(Q$18&lt;&gt;0,P71-Q71,0)</f>
        <v>0</v>
      </c>
      <c r="S71" s="672"/>
      <c r="T71" s="673"/>
      <c r="U71" s="662">
        <f t="shared" ref="U71:U76" si="29">IF(T$18&lt;&gt;0,S71-T71,0)</f>
        <v>0</v>
      </c>
      <c r="V71" s="663">
        <f t="shared" ref="V71:V76" si="30">J71+M71+P71+S71</f>
        <v>0</v>
      </c>
      <c r="W71" s="664">
        <f t="shared" ref="W71:W76" si="31">SUM(IF(K$6&lt;&gt;0,K71,J71)+IF(N$6&lt;&gt;0,N71,M71)+IF(Q$6&lt;&gt;0,Q71,P71)+IF(T$6&lt;&gt;0,T71,S71))</f>
        <v>0</v>
      </c>
      <c r="X71" s="661">
        <f t="shared" ref="X71:X76" si="32">V71-W71</f>
        <v>0</v>
      </c>
      <c r="Y71" s="665">
        <f t="shared" ref="Y71:Y76" si="33">I71-V71</f>
        <v>0</v>
      </c>
      <c r="Z71" s="666">
        <f t="shared" ref="Z71:Z76" si="34">I71-W71</f>
        <v>0</v>
      </c>
      <c r="AA71" s="278"/>
    </row>
    <row r="72" spans="1:27" ht="15">
      <c r="A72" s="479">
        <f t="shared" si="25"/>
        <v>72</v>
      </c>
      <c r="B72" s="96"/>
      <c r="C72" s="94"/>
      <c r="D72" s="54" t="s">
        <v>111</v>
      </c>
      <c r="E72" s="120"/>
      <c r="F72" s="120"/>
      <c r="G72" s="704">
        <f>(IF('3.) Staffing Plan'!G14&gt;0,'3.) Staffing Plan'!G14,'3.) Staffing Plan'!F14)+IF('3.) Staffing Plan'!I14&gt;0,'3.) Staffing Plan'!I14,'3.) Staffing Plan'!H14)+IF('3.) Staffing Plan'!K14&gt;0,'3.) Staffing Plan'!K14,'3.) Staffing Plan'!J14)+IF('3.) Staffing Plan'!M14&gt;0,'3.) Staffing Plan'!M14,'3.) Staffing Plan'!L14))/4</f>
        <v>0</v>
      </c>
      <c r="H72" s="240"/>
      <c r="I72" s="705"/>
      <c r="J72" s="672"/>
      <c r="K72" s="673"/>
      <c r="L72" s="707">
        <f t="shared" si="26"/>
        <v>0</v>
      </c>
      <c r="M72" s="672"/>
      <c r="N72" s="673"/>
      <c r="O72" s="707">
        <f t="shared" si="27"/>
        <v>0</v>
      </c>
      <c r="P72" s="672"/>
      <c r="Q72" s="673"/>
      <c r="R72" s="707">
        <f t="shared" si="28"/>
        <v>0</v>
      </c>
      <c r="S72" s="672"/>
      <c r="T72" s="673"/>
      <c r="U72" s="662">
        <f t="shared" si="29"/>
        <v>0</v>
      </c>
      <c r="V72" s="663">
        <f t="shared" si="30"/>
        <v>0</v>
      </c>
      <c r="W72" s="664">
        <f t="shared" si="31"/>
        <v>0</v>
      </c>
      <c r="X72" s="661">
        <f t="shared" si="32"/>
        <v>0</v>
      </c>
      <c r="Y72" s="665">
        <f t="shared" si="33"/>
        <v>0</v>
      </c>
      <c r="Z72" s="666">
        <f t="shared" si="34"/>
        <v>0</v>
      </c>
      <c r="AA72" s="278"/>
    </row>
    <row r="73" spans="1:27" ht="15">
      <c r="A73" s="479">
        <f t="shared" si="25"/>
        <v>73</v>
      </c>
      <c r="B73" s="96"/>
      <c r="C73" s="94"/>
      <c r="D73" s="54" t="s">
        <v>112</v>
      </c>
      <c r="E73" s="120"/>
      <c r="F73" s="120"/>
      <c r="G73" s="704">
        <f>(IF('3.) Staffing Plan'!G15&gt;0,'3.) Staffing Plan'!G15,'3.) Staffing Plan'!F15)+IF('3.) Staffing Plan'!I15&gt;0,'3.) Staffing Plan'!I15,'3.) Staffing Plan'!H15)+IF('3.) Staffing Plan'!K15&gt;0,'3.) Staffing Plan'!K15,'3.) Staffing Plan'!J15)+IF('3.) Staffing Plan'!M15&gt;0,'3.) Staffing Plan'!M15,'3.) Staffing Plan'!L15))/4</f>
        <v>0</v>
      </c>
      <c r="H73" s="240"/>
      <c r="I73" s="705"/>
      <c r="J73" s="672"/>
      <c r="K73" s="673"/>
      <c r="L73" s="707">
        <f t="shared" si="26"/>
        <v>0</v>
      </c>
      <c r="M73" s="672"/>
      <c r="N73" s="673"/>
      <c r="O73" s="707">
        <f t="shared" si="27"/>
        <v>0</v>
      </c>
      <c r="P73" s="672"/>
      <c r="Q73" s="673"/>
      <c r="R73" s="707">
        <f t="shared" si="28"/>
        <v>0</v>
      </c>
      <c r="S73" s="672"/>
      <c r="T73" s="673"/>
      <c r="U73" s="662">
        <f t="shared" si="29"/>
        <v>0</v>
      </c>
      <c r="V73" s="663">
        <f t="shared" si="30"/>
        <v>0</v>
      </c>
      <c r="W73" s="664">
        <f t="shared" si="31"/>
        <v>0</v>
      </c>
      <c r="X73" s="661">
        <f t="shared" si="32"/>
        <v>0</v>
      </c>
      <c r="Y73" s="665">
        <f t="shared" si="33"/>
        <v>0</v>
      </c>
      <c r="Z73" s="666">
        <f t="shared" si="34"/>
        <v>0</v>
      </c>
      <c r="AA73" s="278"/>
    </row>
    <row r="74" spans="1:27" ht="15">
      <c r="A74" s="479">
        <f t="shared" si="25"/>
        <v>74</v>
      </c>
      <c r="B74" s="96"/>
      <c r="C74" s="94"/>
      <c r="D74" s="54" t="s">
        <v>98</v>
      </c>
      <c r="E74" s="120"/>
      <c r="F74" s="120"/>
      <c r="G74" s="704">
        <f>(IF('3.) Staffing Plan'!G16&gt;0,'3.) Staffing Plan'!G16,'3.) Staffing Plan'!F16)+IF('3.) Staffing Plan'!I16&gt;0,'3.) Staffing Plan'!I16,'3.) Staffing Plan'!H16)+IF('3.) Staffing Plan'!K16&gt;0,'3.) Staffing Plan'!K16,'3.) Staffing Plan'!J16)+IF('3.) Staffing Plan'!M16&gt;0,'3.) Staffing Plan'!M16,'3.) Staffing Plan'!L16))/4</f>
        <v>0</v>
      </c>
      <c r="H74" s="240"/>
      <c r="I74" s="705"/>
      <c r="J74" s="624"/>
      <c r="K74" s="673"/>
      <c r="L74" s="707">
        <f t="shared" si="26"/>
        <v>0</v>
      </c>
      <c r="M74" s="624"/>
      <c r="N74" s="673"/>
      <c r="O74" s="707">
        <f t="shared" si="27"/>
        <v>0</v>
      </c>
      <c r="P74" s="624"/>
      <c r="Q74" s="673"/>
      <c r="R74" s="707">
        <f t="shared" si="28"/>
        <v>0</v>
      </c>
      <c r="S74" s="624"/>
      <c r="T74" s="673"/>
      <c r="U74" s="662">
        <f t="shared" si="29"/>
        <v>0</v>
      </c>
      <c r="V74" s="663">
        <f t="shared" si="30"/>
        <v>0</v>
      </c>
      <c r="W74" s="664">
        <f t="shared" si="31"/>
        <v>0</v>
      </c>
      <c r="X74" s="661">
        <f t="shared" si="32"/>
        <v>0</v>
      </c>
      <c r="Y74" s="665">
        <f t="shared" si="33"/>
        <v>0</v>
      </c>
      <c r="Z74" s="666">
        <f t="shared" si="34"/>
        <v>0</v>
      </c>
      <c r="AA74" s="278"/>
    </row>
    <row r="75" spans="1:27" ht="15">
      <c r="A75" s="479">
        <f t="shared" si="25"/>
        <v>75</v>
      </c>
      <c r="B75" s="96"/>
      <c r="C75" s="94"/>
      <c r="D75" s="54" t="s">
        <v>99</v>
      </c>
      <c r="E75" s="120"/>
      <c r="F75" s="120"/>
      <c r="G75" s="704">
        <f>(IF('3.) Staffing Plan'!G17&gt;0,'3.) Staffing Plan'!G17,'3.) Staffing Plan'!F17)+IF('3.) Staffing Plan'!I17&gt;0,'3.) Staffing Plan'!I17,'3.) Staffing Plan'!H17)+IF('3.) Staffing Plan'!K17&gt;0,'3.) Staffing Plan'!K17,'3.) Staffing Plan'!J17)+IF('3.) Staffing Plan'!M17&gt;0,'3.) Staffing Plan'!M17,'3.) Staffing Plan'!L17))/4</f>
        <v>0</v>
      </c>
      <c r="H75" s="240"/>
      <c r="I75" s="705"/>
      <c r="J75" s="672"/>
      <c r="K75" s="673"/>
      <c r="L75" s="707">
        <f t="shared" si="26"/>
        <v>0</v>
      </c>
      <c r="M75" s="672"/>
      <c r="N75" s="673"/>
      <c r="O75" s="707">
        <f t="shared" si="27"/>
        <v>0</v>
      </c>
      <c r="P75" s="672"/>
      <c r="Q75" s="673"/>
      <c r="R75" s="707">
        <f t="shared" si="28"/>
        <v>0</v>
      </c>
      <c r="S75" s="672"/>
      <c r="T75" s="673"/>
      <c r="U75" s="662">
        <f t="shared" si="29"/>
        <v>0</v>
      </c>
      <c r="V75" s="663">
        <f t="shared" si="30"/>
        <v>0</v>
      </c>
      <c r="W75" s="664">
        <f t="shared" si="31"/>
        <v>0</v>
      </c>
      <c r="X75" s="661">
        <f t="shared" si="32"/>
        <v>0</v>
      </c>
      <c r="Y75" s="665">
        <f t="shared" si="33"/>
        <v>0</v>
      </c>
      <c r="Z75" s="666">
        <f t="shared" si="34"/>
        <v>0</v>
      </c>
      <c r="AA75" s="278"/>
    </row>
    <row r="76" spans="1:27" ht="16.8">
      <c r="A76" s="479">
        <f t="shared" si="25"/>
        <v>76</v>
      </c>
      <c r="B76" s="96"/>
      <c r="C76" s="94"/>
      <c r="D76" s="54" t="s">
        <v>113</v>
      </c>
      <c r="E76" s="120"/>
      <c r="F76" s="120"/>
      <c r="G76" s="708">
        <f>(IF('3.) Staffing Plan'!G18&gt;0,'3.) Staffing Plan'!G18,'3.) Staffing Plan'!F18)+IF('3.) Staffing Plan'!I18&gt;0,'3.) Staffing Plan'!I18,'3.) Staffing Plan'!H18)+IF('3.) Staffing Plan'!K18&gt;0,'3.) Staffing Plan'!K18,'3.) Staffing Plan'!J18)+IF('3.) Staffing Plan'!M18&gt;0,'3.) Staffing Plan'!M18,'3.) Staffing Plan'!L18))/4</f>
        <v>0</v>
      </c>
      <c r="H76" s="240"/>
      <c r="I76" s="678"/>
      <c r="J76" s="679"/>
      <c r="K76" s="680"/>
      <c r="L76" s="709">
        <f t="shared" si="26"/>
        <v>0</v>
      </c>
      <c r="M76" s="679"/>
      <c r="N76" s="680"/>
      <c r="O76" s="709">
        <f t="shared" si="27"/>
        <v>0</v>
      </c>
      <c r="P76" s="679"/>
      <c r="Q76" s="680"/>
      <c r="R76" s="709">
        <f t="shared" si="28"/>
        <v>0</v>
      </c>
      <c r="S76" s="679"/>
      <c r="T76" s="680"/>
      <c r="U76" s="684">
        <f t="shared" si="29"/>
        <v>0</v>
      </c>
      <c r="V76" s="685">
        <f t="shared" si="30"/>
        <v>0</v>
      </c>
      <c r="W76" s="686">
        <f t="shared" si="31"/>
        <v>0</v>
      </c>
      <c r="X76" s="681">
        <f t="shared" si="32"/>
        <v>0</v>
      </c>
      <c r="Y76" s="687">
        <f t="shared" si="33"/>
        <v>0</v>
      </c>
      <c r="Z76" s="688">
        <f t="shared" si="34"/>
        <v>0</v>
      </c>
      <c r="AA76" s="278"/>
    </row>
    <row r="77" spans="1:27" ht="15">
      <c r="A77" s="479">
        <f t="shared" si="25"/>
        <v>77</v>
      </c>
      <c r="B77" s="96"/>
      <c r="C77" s="55" t="s">
        <v>75</v>
      </c>
      <c r="D77" s="94"/>
      <c r="E77" s="120"/>
      <c r="F77" s="120"/>
      <c r="G77" s="704">
        <f>SUM(G71:G76)</f>
        <v>0</v>
      </c>
      <c r="H77" s="240"/>
      <c r="I77" s="710">
        <f t="shared" ref="I77:Z77" si="35">SUM(I71:I76)</f>
        <v>0</v>
      </c>
      <c r="J77" s="627">
        <f t="shared" si="35"/>
        <v>0</v>
      </c>
      <c r="K77" s="711">
        <f t="shared" si="35"/>
        <v>0</v>
      </c>
      <c r="L77" s="712">
        <f t="shared" si="35"/>
        <v>0</v>
      </c>
      <c r="M77" s="627">
        <f t="shared" si="35"/>
        <v>0</v>
      </c>
      <c r="N77" s="711">
        <f t="shared" si="35"/>
        <v>0</v>
      </c>
      <c r="O77" s="712">
        <f t="shared" si="35"/>
        <v>0</v>
      </c>
      <c r="P77" s="627">
        <f t="shared" si="35"/>
        <v>0</v>
      </c>
      <c r="Q77" s="711">
        <f t="shared" si="35"/>
        <v>0</v>
      </c>
      <c r="R77" s="712">
        <f t="shared" si="35"/>
        <v>0</v>
      </c>
      <c r="S77" s="627">
        <f t="shared" si="35"/>
        <v>0</v>
      </c>
      <c r="T77" s="711">
        <f t="shared" si="35"/>
        <v>0</v>
      </c>
      <c r="U77" s="713">
        <f t="shared" si="35"/>
        <v>0</v>
      </c>
      <c r="V77" s="714">
        <f t="shared" si="35"/>
        <v>0</v>
      </c>
      <c r="W77" s="711">
        <f t="shared" si="35"/>
        <v>0</v>
      </c>
      <c r="X77" s="715">
        <f t="shared" si="35"/>
        <v>0</v>
      </c>
      <c r="Y77" s="710">
        <f t="shared" si="35"/>
        <v>0</v>
      </c>
      <c r="Z77" s="716">
        <f t="shared" si="35"/>
        <v>0</v>
      </c>
      <c r="AA77" s="278"/>
    </row>
    <row r="78" spans="1:27" ht="15">
      <c r="A78" s="479">
        <f t="shared" si="25"/>
        <v>78</v>
      </c>
      <c r="B78" s="96"/>
      <c r="C78" s="94"/>
      <c r="D78" s="120"/>
      <c r="E78" s="120"/>
      <c r="F78" s="120"/>
      <c r="G78" s="295"/>
      <c r="H78" s="240"/>
      <c r="I78" s="95"/>
      <c r="J78" s="95"/>
      <c r="K78" s="95"/>
      <c r="L78" s="95"/>
      <c r="M78" s="95"/>
      <c r="N78" s="95"/>
      <c r="O78" s="95"/>
      <c r="P78" s="95"/>
      <c r="Q78" s="95"/>
      <c r="R78" s="95"/>
      <c r="S78" s="95"/>
      <c r="T78" s="95"/>
      <c r="U78" s="118"/>
      <c r="V78" s="95"/>
      <c r="W78" s="95"/>
      <c r="X78" s="95"/>
      <c r="Y78" s="95"/>
      <c r="Z78" s="118"/>
      <c r="AA78" s="278"/>
    </row>
    <row r="79" spans="1:27" ht="15">
      <c r="A79" s="479">
        <f t="shared" si="25"/>
        <v>79</v>
      </c>
      <c r="B79" s="96"/>
      <c r="C79" s="119" t="s">
        <v>77</v>
      </c>
      <c r="D79" s="50"/>
      <c r="E79" s="94"/>
      <c r="F79" s="94"/>
      <c r="G79" s="296"/>
      <c r="H79" s="240"/>
      <c r="I79" s="95"/>
      <c r="J79" s="95"/>
      <c r="K79" s="95"/>
      <c r="L79" s="95"/>
      <c r="M79" s="95"/>
      <c r="N79" s="95"/>
      <c r="O79" s="95"/>
      <c r="P79" s="95"/>
      <c r="Q79" s="95"/>
      <c r="R79" s="95"/>
      <c r="S79" s="95"/>
      <c r="T79" s="95"/>
      <c r="U79" s="118"/>
      <c r="V79" s="95"/>
      <c r="W79" s="95"/>
      <c r="X79" s="95"/>
      <c r="Y79" s="95"/>
      <c r="Z79" s="118"/>
      <c r="AA79" s="278"/>
    </row>
    <row r="80" spans="1:27" ht="15">
      <c r="A80" s="479">
        <f t="shared" si="25"/>
        <v>80</v>
      </c>
      <c r="B80" s="96"/>
      <c r="C80" s="94"/>
      <c r="D80" s="54" t="s">
        <v>51</v>
      </c>
      <c r="E80" s="120"/>
      <c r="F80" s="120"/>
      <c r="G80" s="704">
        <f>(IF('3.) Staffing Plan'!G24&gt;0,'3.) Staffing Plan'!G24,'3.) Staffing Plan'!F24)+IF('3.) Staffing Plan'!I24&gt;0,'3.) Staffing Plan'!I24,'3.) Staffing Plan'!H24)+IF('3.) Staffing Plan'!K24&gt;0,'3.) Staffing Plan'!K24,'3.) Staffing Plan'!J24)+IF('3.) Staffing Plan'!M24&gt;0,'3.) Staffing Plan'!M24,'3.) Staffing Plan'!L24))/4</f>
        <v>0</v>
      </c>
      <c r="H80" s="504"/>
      <c r="I80" s="667"/>
      <c r="J80" s="672"/>
      <c r="K80" s="673"/>
      <c r="L80" s="661">
        <f t="shared" ref="L80:L87" si="36">IF(K$18&lt;&gt;0,J80-K80,0)</f>
        <v>0</v>
      </c>
      <c r="M80" s="672"/>
      <c r="N80" s="673"/>
      <c r="O80" s="661">
        <f t="shared" ref="O80:O87" si="37">IF(N$18&lt;&gt;0,M80-N80,0)</f>
        <v>0</v>
      </c>
      <c r="P80" s="672"/>
      <c r="Q80" s="673"/>
      <c r="R80" s="661">
        <f t="shared" ref="R80:R87" si="38">IF(Q$18&lt;&gt;0,P80-Q80,0)</f>
        <v>0</v>
      </c>
      <c r="S80" s="672"/>
      <c r="T80" s="673"/>
      <c r="U80" s="662">
        <f t="shared" ref="U80:U87" si="39">IF(T$18&lt;&gt;0,S80-T80,0)</f>
        <v>0</v>
      </c>
      <c r="V80" s="663">
        <f t="shared" ref="V80:V87" si="40">J80+M80+P80+S80</f>
        <v>0</v>
      </c>
      <c r="W80" s="664">
        <f t="shared" ref="W80:W87" si="41">SUM(IF(K$6&lt;&gt;0,K80,J80)+IF(N$6&lt;&gt;0,N80,M80)+IF(Q$6&lt;&gt;0,Q80,P80)+IF(T$6&lt;&gt;0,T80,S80))</f>
        <v>0</v>
      </c>
      <c r="X80" s="661">
        <f t="shared" ref="X80:X87" si="42">V80-W80</f>
        <v>0</v>
      </c>
      <c r="Y80" s="665">
        <f t="shared" ref="Y80:Y87" si="43">I80-V80</f>
        <v>0</v>
      </c>
      <c r="Z80" s="666">
        <f t="shared" ref="Z80:Z87" si="44">I80-W80</f>
        <v>0</v>
      </c>
      <c r="AA80" s="278"/>
    </row>
    <row r="81" spans="1:27" ht="15">
      <c r="A81" s="479">
        <f t="shared" si="25"/>
        <v>81</v>
      </c>
      <c r="B81" s="96"/>
      <c r="C81" s="94"/>
      <c r="D81" s="54" t="s">
        <v>52</v>
      </c>
      <c r="E81" s="120"/>
      <c r="F81" s="120"/>
      <c r="G81" s="704">
        <f>(IF('3.) Staffing Plan'!G25&gt;0,'3.) Staffing Plan'!G25,'3.) Staffing Plan'!F25)+IF('3.) Staffing Plan'!I25&gt;0,'3.) Staffing Plan'!I25,'3.) Staffing Plan'!H25)+IF('3.) Staffing Plan'!K25&gt;0,'3.) Staffing Plan'!K25,'3.) Staffing Plan'!J25)+IF('3.) Staffing Plan'!M25&gt;0,'3.) Staffing Plan'!M25,'3.) Staffing Plan'!L25))/4</f>
        <v>0</v>
      </c>
      <c r="H81" s="504"/>
      <c r="I81" s="667"/>
      <c r="J81" s="672"/>
      <c r="K81" s="673"/>
      <c r="L81" s="661">
        <f t="shared" si="36"/>
        <v>0</v>
      </c>
      <c r="M81" s="672"/>
      <c r="N81" s="673"/>
      <c r="O81" s="661">
        <f t="shared" si="37"/>
        <v>0</v>
      </c>
      <c r="P81" s="672"/>
      <c r="Q81" s="673"/>
      <c r="R81" s="661">
        <f t="shared" si="38"/>
        <v>0</v>
      </c>
      <c r="S81" s="672"/>
      <c r="T81" s="673"/>
      <c r="U81" s="662">
        <f t="shared" si="39"/>
        <v>0</v>
      </c>
      <c r="V81" s="663">
        <f t="shared" si="40"/>
        <v>0</v>
      </c>
      <c r="W81" s="664">
        <f t="shared" si="41"/>
        <v>0</v>
      </c>
      <c r="X81" s="661">
        <f t="shared" si="42"/>
        <v>0</v>
      </c>
      <c r="Y81" s="665">
        <f t="shared" si="43"/>
        <v>0</v>
      </c>
      <c r="Z81" s="666">
        <f t="shared" si="44"/>
        <v>0</v>
      </c>
      <c r="AA81" s="278"/>
    </row>
    <row r="82" spans="1:27" ht="15">
      <c r="A82" s="479">
        <f t="shared" si="25"/>
        <v>82</v>
      </c>
      <c r="B82" s="96"/>
      <c r="C82" s="94"/>
      <c r="D82" s="54" t="s">
        <v>10</v>
      </c>
      <c r="E82" s="120"/>
      <c r="F82" s="120"/>
      <c r="G82" s="704">
        <f>(IF('3.) Staffing Plan'!G26&gt;0,'3.) Staffing Plan'!G26,'3.) Staffing Plan'!F26)+IF('3.) Staffing Plan'!I26&gt;0,'3.) Staffing Plan'!I26,'3.) Staffing Plan'!H26)+IF('3.) Staffing Plan'!K26&gt;0,'3.) Staffing Plan'!K26,'3.) Staffing Plan'!J26)+IF('3.) Staffing Plan'!M26&gt;0,'3.) Staffing Plan'!M26,'3.) Staffing Plan'!L26))/4</f>
        <v>0</v>
      </c>
      <c r="H82" s="504"/>
      <c r="I82" s="667"/>
      <c r="J82" s="672"/>
      <c r="K82" s="673"/>
      <c r="L82" s="661">
        <f t="shared" si="36"/>
        <v>0</v>
      </c>
      <c r="M82" s="672"/>
      <c r="N82" s="673"/>
      <c r="O82" s="661">
        <f t="shared" si="37"/>
        <v>0</v>
      </c>
      <c r="P82" s="672"/>
      <c r="Q82" s="673"/>
      <c r="R82" s="661">
        <f t="shared" si="38"/>
        <v>0</v>
      </c>
      <c r="S82" s="672"/>
      <c r="T82" s="673"/>
      <c r="U82" s="662">
        <f t="shared" si="39"/>
        <v>0</v>
      </c>
      <c r="V82" s="663">
        <f t="shared" si="40"/>
        <v>0</v>
      </c>
      <c r="W82" s="664">
        <f t="shared" si="41"/>
        <v>0</v>
      </c>
      <c r="X82" s="661">
        <f t="shared" si="42"/>
        <v>0</v>
      </c>
      <c r="Y82" s="665">
        <f t="shared" si="43"/>
        <v>0</v>
      </c>
      <c r="Z82" s="666">
        <f t="shared" si="44"/>
        <v>0</v>
      </c>
      <c r="AA82" s="278"/>
    </row>
    <row r="83" spans="1:27" ht="15">
      <c r="A83" s="479">
        <f t="shared" si="25"/>
        <v>83</v>
      </c>
      <c r="B83" s="96"/>
      <c r="C83" s="94"/>
      <c r="D83" s="54" t="s">
        <v>11</v>
      </c>
      <c r="E83" s="120"/>
      <c r="F83" s="120"/>
      <c r="G83" s="704">
        <f>(IF('3.) Staffing Plan'!G27&gt;0,'3.) Staffing Plan'!G27,'3.) Staffing Plan'!F27)+IF('3.) Staffing Plan'!I27&gt;0,'3.) Staffing Plan'!I27,'3.) Staffing Plan'!H27)+IF('3.) Staffing Plan'!K27&gt;0,'3.) Staffing Plan'!K27,'3.) Staffing Plan'!J27)+IF('3.) Staffing Plan'!M27&gt;0,'3.) Staffing Plan'!M27,'3.) Staffing Plan'!L27))/4</f>
        <v>0</v>
      </c>
      <c r="H83" s="504"/>
      <c r="I83" s="667"/>
      <c r="J83" s="672"/>
      <c r="K83" s="673"/>
      <c r="L83" s="661">
        <f t="shared" si="36"/>
        <v>0</v>
      </c>
      <c r="M83" s="672"/>
      <c r="N83" s="673"/>
      <c r="O83" s="661">
        <f t="shared" si="37"/>
        <v>0</v>
      </c>
      <c r="P83" s="672"/>
      <c r="Q83" s="673"/>
      <c r="R83" s="661">
        <f t="shared" si="38"/>
        <v>0</v>
      </c>
      <c r="S83" s="672"/>
      <c r="T83" s="673"/>
      <c r="U83" s="662">
        <f t="shared" si="39"/>
        <v>0</v>
      </c>
      <c r="V83" s="663">
        <f t="shared" si="40"/>
        <v>0</v>
      </c>
      <c r="W83" s="664">
        <f t="shared" si="41"/>
        <v>0</v>
      </c>
      <c r="X83" s="661">
        <f t="shared" si="42"/>
        <v>0</v>
      </c>
      <c r="Y83" s="665">
        <f t="shared" si="43"/>
        <v>0</v>
      </c>
      <c r="Z83" s="666">
        <f t="shared" si="44"/>
        <v>0</v>
      </c>
      <c r="AA83" s="278"/>
    </row>
    <row r="84" spans="1:27" ht="15">
      <c r="A84" s="479">
        <f t="shared" si="25"/>
        <v>84</v>
      </c>
      <c r="B84" s="96"/>
      <c r="C84" s="94"/>
      <c r="D84" s="54" t="s">
        <v>12</v>
      </c>
      <c r="E84" s="120"/>
      <c r="F84" s="120"/>
      <c r="G84" s="704">
        <f>(IF('3.) Staffing Plan'!G28&gt;0,'3.) Staffing Plan'!G28,'3.) Staffing Plan'!F28)+IF('3.) Staffing Plan'!I28&gt;0,'3.) Staffing Plan'!I28,'3.) Staffing Plan'!H28)+IF('3.) Staffing Plan'!K28&gt;0,'3.) Staffing Plan'!K28,'3.) Staffing Plan'!J28)+IF('3.) Staffing Plan'!M28&gt;0,'3.) Staffing Plan'!M28,'3.) Staffing Plan'!L28))/4</f>
        <v>0</v>
      </c>
      <c r="H84" s="504"/>
      <c r="I84" s="667"/>
      <c r="J84" s="672"/>
      <c r="K84" s="673"/>
      <c r="L84" s="661">
        <f t="shared" si="36"/>
        <v>0</v>
      </c>
      <c r="M84" s="672"/>
      <c r="N84" s="673"/>
      <c r="O84" s="661">
        <f t="shared" si="37"/>
        <v>0</v>
      </c>
      <c r="P84" s="672"/>
      <c r="Q84" s="673"/>
      <c r="R84" s="661">
        <f t="shared" si="38"/>
        <v>0</v>
      </c>
      <c r="S84" s="672"/>
      <c r="T84" s="673"/>
      <c r="U84" s="662">
        <f t="shared" si="39"/>
        <v>0</v>
      </c>
      <c r="V84" s="663">
        <f t="shared" si="40"/>
        <v>0</v>
      </c>
      <c r="W84" s="664">
        <f t="shared" si="41"/>
        <v>0</v>
      </c>
      <c r="X84" s="661">
        <f t="shared" si="42"/>
        <v>0</v>
      </c>
      <c r="Y84" s="665">
        <f t="shared" si="43"/>
        <v>0</v>
      </c>
      <c r="Z84" s="666">
        <f t="shared" si="44"/>
        <v>0</v>
      </c>
      <c r="AA84" s="278"/>
    </row>
    <row r="85" spans="1:27" ht="15">
      <c r="A85" s="479">
        <f t="shared" si="25"/>
        <v>85</v>
      </c>
      <c r="B85" s="96"/>
      <c r="C85" s="94"/>
      <c r="D85" s="54" t="s">
        <v>13</v>
      </c>
      <c r="E85" s="120"/>
      <c r="F85" s="120"/>
      <c r="G85" s="704">
        <f>(IF('3.) Staffing Plan'!G29&gt;0,'3.) Staffing Plan'!G29,'3.) Staffing Plan'!F29)+IF('3.) Staffing Plan'!I29&gt;0,'3.) Staffing Plan'!I29,'3.) Staffing Plan'!H29)+IF('3.) Staffing Plan'!K29&gt;0,'3.) Staffing Plan'!K29,'3.) Staffing Plan'!J29)+IF('3.) Staffing Plan'!M29&gt;0,'3.) Staffing Plan'!M29,'3.) Staffing Plan'!L29))/4</f>
        <v>0</v>
      </c>
      <c r="H85" s="504"/>
      <c r="I85" s="667"/>
      <c r="J85" s="624"/>
      <c r="K85" s="673"/>
      <c r="L85" s="661">
        <f t="shared" si="36"/>
        <v>0</v>
      </c>
      <c r="M85" s="624"/>
      <c r="N85" s="673"/>
      <c r="O85" s="661">
        <f t="shared" si="37"/>
        <v>0</v>
      </c>
      <c r="P85" s="624"/>
      <c r="Q85" s="673"/>
      <c r="R85" s="661">
        <f t="shared" si="38"/>
        <v>0</v>
      </c>
      <c r="S85" s="624"/>
      <c r="T85" s="673"/>
      <c r="U85" s="662">
        <f t="shared" si="39"/>
        <v>0</v>
      </c>
      <c r="V85" s="663">
        <f t="shared" si="40"/>
        <v>0</v>
      </c>
      <c r="W85" s="664">
        <f t="shared" si="41"/>
        <v>0</v>
      </c>
      <c r="X85" s="661">
        <f t="shared" si="42"/>
        <v>0</v>
      </c>
      <c r="Y85" s="665">
        <f t="shared" si="43"/>
        <v>0</v>
      </c>
      <c r="Z85" s="666">
        <f t="shared" si="44"/>
        <v>0</v>
      </c>
      <c r="AA85" s="278"/>
    </row>
    <row r="86" spans="1:27" ht="15">
      <c r="A86" s="479">
        <f t="shared" si="25"/>
        <v>86</v>
      </c>
      <c r="B86" s="96"/>
      <c r="C86" s="94"/>
      <c r="D86" s="54" t="s">
        <v>73</v>
      </c>
      <c r="E86" s="120"/>
      <c r="F86" s="120"/>
      <c r="G86" s="704">
        <f>(IF('3.) Staffing Plan'!G30&gt;0,'3.) Staffing Plan'!G30,'3.) Staffing Plan'!F30)+IF('3.) Staffing Plan'!I30&gt;0,'3.) Staffing Plan'!I30,'3.) Staffing Plan'!H30)+IF('3.) Staffing Plan'!K30&gt;0,'3.) Staffing Plan'!K30,'3.) Staffing Plan'!J30)+IF('3.) Staffing Plan'!M30&gt;0,'3.) Staffing Plan'!M30,'3.) Staffing Plan'!L30))/4</f>
        <v>0</v>
      </c>
      <c r="H86" s="504"/>
      <c r="I86" s="667"/>
      <c r="J86" s="672"/>
      <c r="K86" s="673"/>
      <c r="L86" s="661">
        <f t="shared" si="36"/>
        <v>0</v>
      </c>
      <c r="M86" s="672"/>
      <c r="N86" s="673"/>
      <c r="O86" s="661">
        <f t="shared" si="37"/>
        <v>0</v>
      </c>
      <c r="P86" s="672"/>
      <c r="Q86" s="673"/>
      <c r="R86" s="661">
        <f t="shared" si="38"/>
        <v>0</v>
      </c>
      <c r="S86" s="672"/>
      <c r="T86" s="673"/>
      <c r="U86" s="662">
        <f t="shared" si="39"/>
        <v>0</v>
      </c>
      <c r="V86" s="663">
        <f t="shared" si="40"/>
        <v>0</v>
      </c>
      <c r="W86" s="664">
        <f t="shared" si="41"/>
        <v>0</v>
      </c>
      <c r="X86" s="661">
        <f t="shared" si="42"/>
        <v>0</v>
      </c>
      <c r="Y86" s="665">
        <f t="shared" si="43"/>
        <v>0</v>
      </c>
      <c r="Z86" s="666">
        <f t="shared" si="44"/>
        <v>0</v>
      </c>
      <c r="AA86" s="278"/>
    </row>
    <row r="87" spans="1:27" ht="16.8">
      <c r="A87" s="479">
        <f t="shared" si="25"/>
        <v>87</v>
      </c>
      <c r="B87" s="96"/>
      <c r="C87" s="94"/>
      <c r="D87" s="58" t="s">
        <v>29</v>
      </c>
      <c r="E87" s="120"/>
      <c r="F87" s="120"/>
      <c r="G87" s="708">
        <f>(IF('3.) Staffing Plan'!G31&gt;0,'3.) Staffing Plan'!G31,'3.) Staffing Plan'!F31)+IF('3.) Staffing Plan'!I31&gt;0,'3.) Staffing Plan'!I31,'3.) Staffing Plan'!H31)+IF('3.) Staffing Plan'!K31&gt;0,'3.) Staffing Plan'!K31,'3.) Staffing Plan'!J31)+IF('3.) Staffing Plan'!M31&gt;0,'3.) Staffing Plan'!M31,'3.) Staffing Plan'!L31))/4</f>
        <v>0</v>
      </c>
      <c r="H87" s="504"/>
      <c r="I87" s="678"/>
      <c r="J87" s="679"/>
      <c r="K87" s="680"/>
      <c r="L87" s="681">
        <f t="shared" si="36"/>
        <v>0</v>
      </c>
      <c r="M87" s="679"/>
      <c r="N87" s="680"/>
      <c r="O87" s="681">
        <f t="shared" si="37"/>
        <v>0</v>
      </c>
      <c r="P87" s="679"/>
      <c r="Q87" s="680"/>
      <c r="R87" s="681">
        <f t="shared" si="38"/>
        <v>0</v>
      </c>
      <c r="S87" s="679"/>
      <c r="T87" s="680"/>
      <c r="U87" s="684">
        <f t="shared" si="39"/>
        <v>0</v>
      </c>
      <c r="V87" s="685">
        <f t="shared" si="40"/>
        <v>0</v>
      </c>
      <c r="W87" s="686">
        <f t="shared" si="41"/>
        <v>0</v>
      </c>
      <c r="X87" s="681">
        <f t="shared" si="42"/>
        <v>0</v>
      </c>
      <c r="Y87" s="687">
        <f t="shared" si="43"/>
        <v>0</v>
      </c>
      <c r="Z87" s="688">
        <f t="shared" si="44"/>
        <v>0</v>
      </c>
      <c r="AA87" s="278"/>
    </row>
    <row r="88" spans="1:27" ht="15">
      <c r="A88" s="479">
        <f t="shared" si="25"/>
        <v>88</v>
      </c>
      <c r="B88" s="96"/>
      <c r="C88" s="55" t="s">
        <v>78</v>
      </c>
      <c r="D88" s="94"/>
      <c r="E88" s="120"/>
      <c r="F88" s="120"/>
      <c r="G88" s="704">
        <f>SUM(G80:G87)</f>
        <v>0</v>
      </c>
      <c r="H88" s="504"/>
      <c r="I88" s="717">
        <f t="shared" ref="I88:Z88" si="45">SUM(I80:I87)</f>
        <v>0</v>
      </c>
      <c r="J88" s="718">
        <f t="shared" si="45"/>
        <v>0</v>
      </c>
      <c r="K88" s="711">
        <f t="shared" si="45"/>
        <v>0</v>
      </c>
      <c r="L88" s="711">
        <f t="shared" si="45"/>
        <v>0</v>
      </c>
      <c r="M88" s="718">
        <f t="shared" si="45"/>
        <v>0</v>
      </c>
      <c r="N88" s="711">
        <f t="shared" si="45"/>
        <v>0</v>
      </c>
      <c r="O88" s="711">
        <f t="shared" si="45"/>
        <v>0</v>
      </c>
      <c r="P88" s="718">
        <f t="shared" si="45"/>
        <v>0</v>
      </c>
      <c r="Q88" s="711">
        <f t="shared" si="45"/>
        <v>0</v>
      </c>
      <c r="R88" s="711">
        <f t="shared" si="45"/>
        <v>0</v>
      </c>
      <c r="S88" s="718">
        <f t="shared" si="45"/>
        <v>0</v>
      </c>
      <c r="T88" s="711">
        <f t="shared" si="45"/>
        <v>0</v>
      </c>
      <c r="U88" s="713">
        <f t="shared" si="45"/>
        <v>0</v>
      </c>
      <c r="V88" s="714">
        <f t="shared" si="45"/>
        <v>0</v>
      </c>
      <c r="W88" s="711">
        <f t="shared" si="45"/>
        <v>0</v>
      </c>
      <c r="X88" s="715">
        <f t="shared" si="45"/>
        <v>0</v>
      </c>
      <c r="Y88" s="710">
        <f t="shared" si="45"/>
        <v>0</v>
      </c>
      <c r="Z88" s="716">
        <f t="shared" si="45"/>
        <v>0</v>
      </c>
      <c r="AA88" s="278"/>
    </row>
    <row r="89" spans="1:27" ht="15">
      <c r="A89" s="479">
        <f t="shared" si="25"/>
        <v>89</v>
      </c>
      <c r="B89" s="96"/>
      <c r="C89" s="94"/>
      <c r="D89" s="120"/>
      <c r="E89" s="120"/>
      <c r="F89" s="120"/>
      <c r="G89" s="295"/>
      <c r="H89" s="240"/>
      <c r="I89" s="95"/>
      <c r="J89" s="95"/>
      <c r="K89" s="95"/>
      <c r="L89" s="95"/>
      <c r="M89" s="95"/>
      <c r="N89" s="95"/>
      <c r="O89" s="95"/>
      <c r="P89" s="95"/>
      <c r="Q89" s="95"/>
      <c r="R89" s="95"/>
      <c r="S89" s="95"/>
      <c r="T89" s="95"/>
      <c r="U89" s="118"/>
      <c r="V89" s="95"/>
      <c r="W89" s="95"/>
      <c r="X89" s="95"/>
      <c r="Y89" s="95"/>
      <c r="Z89" s="118"/>
      <c r="AA89" s="278"/>
    </row>
    <row r="90" spans="1:27" ht="15">
      <c r="A90" s="479">
        <f t="shared" si="25"/>
        <v>90</v>
      </c>
      <c r="B90" s="96"/>
      <c r="C90" s="119" t="s">
        <v>79</v>
      </c>
      <c r="D90" s="50"/>
      <c r="E90" s="94"/>
      <c r="F90" s="94"/>
      <c r="G90" s="298"/>
      <c r="H90" s="240"/>
      <c r="I90" s="95"/>
      <c r="J90" s="95"/>
      <c r="K90" s="95"/>
      <c r="L90" s="95"/>
      <c r="M90" s="95"/>
      <c r="N90" s="95"/>
      <c r="O90" s="95"/>
      <c r="P90" s="95"/>
      <c r="Q90" s="95"/>
      <c r="R90" s="95"/>
      <c r="S90" s="95"/>
      <c r="T90" s="95"/>
      <c r="U90" s="118"/>
      <c r="V90" s="95"/>
      <c r="W90" s="95"/>
      <c r="X90" s="95"/>
      <c r="Y90" s="95"/>
      <c r="Z90" s="118"/>
      <c r="AA90" s="278"/>
    </row>
    <row r="91" spans="1:27" ht="15">
      <c r="A91" s="479">
        <f t="shared" si="25"/>
        <v>91</v>
      </c>
      <c r="B91" s="96"/>
      <c r="C91" s="94"/>
      <c r="D91" s="54" t="s">
        <v>100</v>
      </c>
      <c r="E91" s="120"/>
      <c r="F91" s="120"/>
      <c r="G91" s="704">
        <f>(IF('3.) Staffing Plan'!G37&gt;0,'3.) Staffing Plan'!G37,'3.) Staffing Plan'!F37)+IF('3.) Staffing Plan'!I37&gt;0,'3.) Staffing Plan'!I37,'3.) Staffing Plan'!H37)+IF('3.) Staffing Plan'!K37&gt;0,'3.) Staffing Plan'!K37,'3.) Staffing Plan'!J37)+IF('3.) Staffing Plan'!M37&gt;0,'3.) Staffing Plan'!M37,'3.) Staffing Plan'!L37))/4</f>
        <v>0</v>
      </c>
      <c r="H91" s="240"/>
      <c r="I91" s="667"/>
      <c r="J91" s="672"/>
      <c r="K91" s="673"/>
      <c r="L91" s="661">
        <f>IF(K$18&lt;&gt;0,J91-K91,0)</f>
        <v>0</v>
      </c>
      <c r="M91" s="672"/>
      <c r="N91" s="673"/>
      <c r="O91" s="661">
        <f>IF(N$18&lt;&gt;0,M91-N91,0)</f>
        <v>0</v>
      </c>
      <c r="P91" s="672"/>
      <c r="Q91" s="673"/>
      <c r="R91" s="661">
        <f>IF(Q$18&lt;&gt;0,P91-Q91,0)</f>
        <v>0</v>
      </c>
      <c r="S91" s="672"/>
      <c r="T91" s="673"/>
      <c r="U91" s="662">
        <f>IF(T$18&lt;&gt;0,S91-T91,0)</f>
        <v>0</v>
      </c>
      <c r="V91" s="663">
        <f>J91+M91+P91+S91</f>
        <v>0</v>
      </c>
      <c r="W91" s="664">
        <f>SUM(IF(K$6&lt;&gt;0,K91,J91)+IF(N$6&lt;&gt;0,N91,M91)+IF(Q$6&lt;&gt;0,Q91,P91)+IF(T$6&lt;&gt;0,T91,S91))</f>
        <v>0</v>
      </c>
      <c r="X91" s="661">
        <f>V91-W91</f>
        <v>0</v>
      </c>
      <c r="Y91" s="665">
        <f>I91-V91</f>
        <v>0</v>
      </c>
      <c r="Z91" s="666">
        <f>I91-W91</f>
        <v>0</v>
      </c>
      <c r="AA91" s="278"/>
    </row>
    <row r="92" spans="1:27" ht="15">
      <c r="A92" s="479">
        <f t="shared" si="25"/>
        <v>92</v>
      </c>
      <c r="B92" s="96"/>
      <c r="C92" s="94"/>
      <c r="D92" s="54" t="s">
        <v>101</v>
      </c>
      <c r="E92" s="120"/>
      <c r="F92" s="120"/>
      <c r="G92" s="704">
        <f>(IF('3.) Staffing Plan'!G38&gt;0,'3.) Staffing Plan'!G38,'3.) Staffing Plan'!F38)+IF('3.) Staffing Plan'!I38&gt;0,'3.) Staffing Plan'!I38,'3.) Staffing Plan'!H38)+IF('3.) Staffing Plan'!K38&gt;0,'3.) Staffing Plan'!K38,'3.) Staffing Plan'!J38)+IF('3.) Staffing Plan'!M38&gt;0,'3.) Staffing Plan'!M38,'3.) Staffing Plan'!L38))/4</f>
        <v>0</v>
      </c>
      <c r="H92" s="240"/>
      <c r="I92" s="667"/>
      <c r="J92" s="672"/>
      <c r="K92" s="673"/>
      <c r="L92" s="661">
        <f>IF(K$18&lt;&gt;0,J92-K92,0)</f>
        <v>0</v>
      </c>
      <c r="M92" s="672"/>
      <c r="N92" s="673"/>
      <c r="O92" s="661">
        <f>IF(N$18&lt;&gt;0,M92-N92,0)</f>
        <v>0</v>
      </c>
      <c r="P92" s="672"/>
      <c r="Q92" s="673"/>
      <c r="R92" s="661">
        <f>IF(Q$18&lt;&gt;0,P92-Q92,0)</f>
        <v>0</v>
      </c>
      <c r="S92" s="672"/>
      <c r="T92" s="673"/>
      <c r="U92" s="662">
        <f>IF(T$18&lt;&gt;0,S92-T92,0)</f>
        <v>0</v>
      </c>
      <c r="V92" s="663">
        <f>J92+M92+P92+S92</f>
        <v>0</v>
      </c>
      <c r="W92" s="664">
        <f>SUM(IF(K$6&lt;&gt;0,K92,J92)+IF(N$6&lt;&gt;0,N92,M92)+IF(Q$6&lt;&gt;0,Q92,P92)+IF(T$6&lt;&gt;0,T92,S92))</f>
        <v>0</v>
      </c>
      <c r="X92" s="661">
        <f>V92-W92</f>
        <v>0</v>
      </c>
      <c r="Y92" s="665">
        <f>I92-V92</f>
        <v>0</v>
      </c>
      <c r="Z92" s="666">
        <f>I92-W92</f>
        <v>0</v>
      </c>
      <c r="AA92" s="278"/>
    </row>
    <row r="93" spans="1:27" ht="15">
      <c r="A93" s="479">
        <f t="shared" si="25"/>
        <v>93</v>
      </c>
      <c r="B93" s="96"/>
      <c r="C93" s="94"/>
      <c r="D93" s="54" t="s">
        <v>102</v>
      </c>
      <c r="E93" s="120"/>
      <c r="F93" s="120"/>
      <c r="G93" s="704">
        <f>(IF('3.) Staffing Plan'!G39&gt;0,'3.) Staffing Plan'!G39,'3.) Staffing Plan'!F39)+IF('3.) Staffing Plan'!I39&gt;0,'3.) Staffing Plan'!I39,'3.) Staffing Plan'!H39)+IF('3.) Staffing Plan'!K39&gt;0,'3.) Staffing Plan'!K39,'3.) Staffing Plan'!J39)+IF('3.) Staffing Plan'!M39&gt;0,'3.) Staffing Plan'!M39,'3.) Staffing Plan'!L39))/4</f>
        <v>0</v>
      </c>
      <c r="H93" s="240"/>
      <c r="I93" s="667"/>
      <c r="J93" s="624"/>
      <c r="K93" s="673"/>
      <c r="L93" s="661">
        <f>IF(K$18&lt;&gt;0,J93-K93,0)</f>
        <v>0</v>
      </c>
      <c r="M93" s="624"/>
      <c r="N93" s="673"/>
      <c r="O93" s="661">
        <f>IF(N$18&lt;&gt;0,M93-N93,0)</f>
        <v>0</v>
      </c>
      <c r="P93" s="624"/>
      <c r="Q93" s="673"/>
      <c r="R93" s="661">
        <f>IF(Q$18&lt;&gt;0,P93-Q93,0)</f>
        <v>0</v>
      </c>
      <c r="S93" s="624"/>
      <c r="T93" s="673"/>
      <c r="U93" s="662">
        <f>IF(T$18&lt;&gt;0,S93-T93,0)</f>
        <v>0</v>
      </c>
      <c r="V93" s="663">
        <f>J93+M93+P93+S93</f>
        <v>0</v>
      </c>
      <c r="W93" s="664">
        <f>SUM(IF(K$6&lt;&gt;0,K93,J93)+IF(N$6&lt;&gt;0,N93,M93)+IF(Q$6&lt;&gt;0,Q93,P93)+IF(T$6&lt;&gt;0,T93,S93))</f>
        <v>0</v>
      </c>
      <c r="X93" s="661">
        <f>V93-W93</f>
        <v>0</v>
      </c>
      <c r="Y93" s="665">
        <f>I93-V93</f>
        <v>0</v>
      </c>
      <c r="Z93" s="666">
        <f>I93-W93</f>
        <v>0</v>
      </c>
      <c r="AA93" s="278"/>
    </row>
    <row r="94" spans="1:27" ht="15">
      <c r="A94" s="479">
        <f t="shared" si="25"/>
        <v>94</v>
      </c>
      <c r="B94" s="96"/>
      <c r="C94" s="94"/>
      <c r="D94" s="54" t="s">
        <v>7</v>
      </c>
      <c r="E94" s="120"/>
      <c r="F94" s="120"/>
      <c r="G94" s="704">
        <f>(IF('3.) Staffing Plan'!G40&gt;0,'3.) Staffing Plan'!G40,'3.) Staffing Plan'!F40)+IF('3.) Staffing Plan'!I40&gt;0,'3.) Staffing Plan'!I40,'3.) Staffing Plan'!H40)+IF('3.) Staffing Plan'!K40&gt;0,'3.) Staffing Plan'!K40,'3.) Staffing Plan'!J40)+IF('3.) Staffing Plan'!M40&gt;0,'3.) Staffing Plan'!M40,'3.) Staffing Plan'!L40))/4</f>
        <v>0</v>
      </c>
      <c r="H94" s="240"/>
      <c r="I94" s="667"/>
      <c r="J94" s="672"/>
      <c r="K94" s="673"/>
      <c r="L94" s="661">
        <f>IF(K$18&lt;&gt;0,J94-K94,0)</f>
        <v>0</v>
      </c>
      <c r="M94" s="672"/>
      <c r="N94" s="673"/>
      <c r="O94" s="661">
        <f>IF(N$18&lt;&gt;0,M94-N94,0)</f>
        <v>0</v>
      </c>
      <c r="P94" s="672"/>
      <c r="Q94" s="673"/>
      <c r="R94" s="661">
        <f>IF(Q$18&lt;&gt;0,P94-Q94,0)</f>
        <v>0</v>
      </c>
      <c r="S94" s="672"/>
      <c r="T94" s="673"/>
      <c r="U94" s="662">
        <f>IF(T$18&lt;&gt;0,S94-T94,0)</f>
        <v>0</v>
      </c>
      <c r="V94" s="663">
        <f>J94+M94+P94+S94</f>
        <v>0</v>
      </c>
      <c r="W94" s="664">
        <f>SUM(IF(K$6&lt;&gt;0,K94,J94)+IF(N$6&lt;&gt;0,N94,M94)+IF(Q$6&lt;&gt;0,Q94,P94)+IF(T$6&lt;&gt;0,T94,S94))</f>
        <v>0</v>
      </c>
      <c r="X94" s="661">
        <f>V94-W94</f>
        <v>0</v>
      </c>
      <c r="Y94" s="665">
        <f>I94-V94</f>
        <v>0</v>
      </c>
      <c r="Z94" s="666">
        <f>I94-W94</f>
        <v>0</v>
      </c>
      <c r="AA94" s="278"/>
    </row>
    <row r="95" spans="1:27" ht="16.8">
      <c r="A95" s="479">
        <f t="shared" si="25"/>
        <v>95</v>
      </c>
      <c r="B95" s="96"/>
      <c r="C95" s="94"/>
      <c r="D95" s="54" t="s">
        <v>29</v>
      </c>
      <c r="E95" s="120"/>
      <c r="F95" s="120"/>
      <c r="G95" s="708">
        <f>(IF('3.) Staffing Plan'!G41&gt;0,'3.) Staffing Plan'!G41,'3.) Staffing Plan'!F41)+IF('3.) Staffing Plan'!I41&gt;0,'3.) Staffing Plan'!I41,'3.) Staffing Plan'!H41)+IF('3.) Staffing Plan'!K41&gt;0,'3.) Staffing Plan'!K41,'3.) Staffing Plan'!J41)+IF('3.) Staffing Plan'!M41&gt;0,'3.) Staffing Plan'!M41,'3.) Staffing Plan'!L41))/4</f>
        <v>0</v>
      </c>
      <c r="H95" s="240"/>
      <c r="I95" s="678"/>
      <c r="J95" s="679"/>
      <c r="K95" s="680"/>
      <c r="L95" s="681">
        <f>IF(K$18&lt;&gt;0,J95-K95,0)</f>
        <v>0</v>
      </c>
      <c r="M95" s="679"/>
      <c r="N95" s="680"/>
      <c r="O95" s="681">
        <f>IF(N$18&lt;&gt;0,M95-N95,0)</f>
        <v>0</v>
      </c>
      <c r="P95" s="679"/>
      <c r="Q95" s="680"/>
      <c r="R95" s="681">
        <f>IF(Q$18&lt;&gt;0,P95-Q95,0)</f>
        <v>0</v>
      </c>
      <c r="S95" s="679"/>
      <c r="T95" s="680"/>
      <c r="U95" s="684">
        <f>IF(T$18&lt;&gt;0,S95-T95,0)</f>
        <v>0</v>
      </c>
      <c r="V95" s="685">
        <f>J95+M95+P95+S95</f>
        <v>0</v>
      </c>
      <c r="W95" s="686">
        <f>SUM(IF(K$6&lt;&gt;0,K95,J95)+IF(N$6&lt;&gt;0,N95,M95)+IF(Q$6&lt;&gt;0,Q95,P95)+IF(T$6&lt;&gt;0,T95,S95))</f>
        <v>0</v>
      </c>
      <c r="X95" s="681">
        <f>V95-W95</f>
        <v>0</v>
      </c>
      <c r="Y95" s="687">
        <f>I95-V95</f>
        <v>0</v>
      </c>
      <c r="Z95" s="688">
        <f>I95-W95</f>
        <v>0</v>
      </c>
      <c r="AA95" s="278"/>
    </row>
    <row r="96" spans="1:27" ht="15">
      <c r="A96" s="479">
        <f t="shared" si="25"/>
        <v>96</v>
      </c>
      <c r="B96" s="96"/>
      <c r="C96" s="55" t="s">
        <v>80</v>
      </c>
      <c r="D96" s="94"/>
      <c r="E96" s="120"/>
      <c r="F96" s="120"/>
      <c r="G96" s="704">
        <f>SUM(G91:G95)</f>
        <v>0</v>
      </c>
      <c r="H96" s="240"/>
      <c r="I96" s="717">
        <f t="shared" ref="I96:Z96" si="46">SUM(I91:I95)</f>
        <v>0</v>
      </c>
      <c r="J96" s="711">
        <f t="shared" si="46"/>
        <v>0</v>
      </c>
      <c r="K96" s="711">
        <f t="shared" si="46"/>
        <v>0</v>
      </c>
      <c r="L96" s="711">
        <f t="shared" si="46"/>
        <v>0</v>
      </c>
      <c r="M96" s="711">
        <f t="shared" si="46"/>
        <v>0</v>
      </c>
      <c r="N96" s="711">
        <f t="shared" si="46"/>
        <v>0</v>
      </c>
      <c r="O96" s="711">
        <f t="shared" si="46"/>
        <v>0</v>
      </c>
      <c r="P96" s="711">
        <f t="shared" si="46"/>
        <v>0</v>
      </c>
      <c r="Q96" s="711">
        <f t="shared" si="46"/>
        <v>0</v>
      </c>
      <c r="R96" s="711">
        <f t="shared" si="46"/>
        <v>0</v>
      </c>
      <c r="S96" s="711">
        <f t="shared" si="46"/>
        <v>0</v>
      </c>
      <c r="T96" s="711">
        <f t="shared" si="46"/>
        <v>0</v>
      </c>
      <c r="U96" s="713">
        <f t="shared" si="46"/>
        <v>0</v>
      </c>
      <c r="V96" s="714">
        <f t="shared" si="46"/>
        <v>0</v>
      </c>
      <c r="W96" s="711">
        <f t="shared" si="46"/>
        <v>0</v>
      </c>
      <c r="X96" s="715">
        <f t="shared" si="46"/>
        <v>0</v>
      </c>
      <c r="Y96" s="710">
        <f t="shared" si="46"/>
        <v>0</v>
      </c>
      <c r="Z96" s="716">
        <f t="shared" si="46"/>
        <v>0</v>
      </c>
      <c r="AA96" s="278"/>
    </row>
    <row r="97" spans="1:27" ht="15">
      <c r="A97" s="479">
        <f t="shared" si="25"/>
        <v>97</v>
      </c>
      <c r="B97" s="96"/>
      <c r="C97" s="94"/>
      <c r="D97" s="120"/>
      <c r="E97" s="120"/>
      <c r="F97" s="120"/>
      <c r="G97" s="295"/>
      <c r="H97" s="240"/>
      <c r="I97" s="689"/>
      <c r="J97" s="689"/>
      <c r="K97" s="689"/>
      <c r="L97" s="689"/>
      <c r="M97" s="689"/>
      <c r="N97" s="689"/>
      <c r="O97" s="689"/>
      <c r="P97" s="689"/>
      <c r="Q97" s="689"/>
      <c r="R97" s="689"/>
      <c r="S97" s="689"/>
      <c r="T97" s="689"/>
      <c r="U97" s="690"/>
      <c r="V97" s="689"/>
      <c r="W97" s="689"/>
      <c r="X97" s="689"/>
      <c r="Y97" s="689"/>
      <c r="Z97" s="690"/>
      <c r="AA97" s="278"/>
    </row>
    <row r="98" spans="1:27" ht="15">
      <c r="A98" s="479">
        <f t="shared" si="25"/>
        <v>98</v>
      </c>
      <c r="B98" s="96"/>
      <c r="C98" s="60" t="s">
        <v>81</v>
      </c>
      <c r="D98" s="50"/>
      <c r="E98" s="50"/>
      <c r="F98" s="50"/>
      <c r="G98" s="704">
        <f>G77+G88+G96</f>
        <v>0</v>
      </c>
      <c r="H98" s="240"/>
      <c r="I98" s="676">
        <f t="shared" ref="I98:Z98" si="47">I77+I88+I96</f>
        <v>0</v>
      </c>
      <c r="J98" s="659">
        <f t="shared" si="47"/>
        <v>0</v>
      </c>
      <c r="K98" s="669">
        <f t="shared" si="47"/>
        <v>0</v>
      </c>
      <c r="L98" s="669">
        <f t="shared" si="47"/>
        <v>0</v>
      </c>
      <c r="M98" s="659">
        <f t="shared" si="47"/>
        <v>0</v>
      </c>
      <c r="N98" s="669">
        <f t="shared" si="47"/>
        <v>0</v>
      </c>
      <c r="O98" s="669">
        <f t="shared" si="47"/>
        <v>0</v>
      </c>
      <c r="P98" s="659">
        <f t="shared" si="47"/>
        <v>0</v>
      </c>
      <c r="Q98" s="669">
        <f t="shared" si="47"/>
        <v>0</v>
      </c>
      <c r="R98" s="669">
        <f t="shared" si="47"/>
        <v>0</v>
      </c>
      <c r="S98" s="659">
        <f t="shared" si="47"/>
        <v>0</v>
      </c>
      <c r="T98" s="669">
        <f t="shared" si="47"/>
        <v>0</v>
      </c>
      <c r="U98" s="670">
        <f t="shared" si="47"/>
        <v>0</v>
      </c>
      <c r="V98" s="663">
        <f t="shared" si="47"/>
        <v>0</v>
      </c>
      <c r="W98" s="669">
        <f t="shared" si="47"/>
        <v>0</v>
      </c>
      <c r="X98" s="671">
        <f t="shared" si="47"/>
        <v>0</v>
      </c>
      <c r="Y98" s="665">
        <f t="shared" si="47"/>
        <v>0</v>
      </c>
      <c r="Z98" s="666">
        <f t="shared" si="47"/>
        <v>0</v>
      </c>
      <c r="AA98" s="278"/>
    </row>
    <row r="99" spans="1:27" ht="15">
      <c r="A99" s="479">
        <f t="shared" si="25"/>
        <v>99</v>
      </c>
      <c r="B99" s="96"/>
      <c r="C99" s="94"/>
      <c r="D99" s="120"/>
      <c r="E99" s="120"/>
      <c r="F99" s="120"/>
      <c r="G99" s="295"/>
      <c r="H99" s="240"/>
      <c r="I99" s="689"/>
      <c r="J99" s="689"/>
      <c r="K99" s="689"/>
      <c r="L99" s="689"/>
      <c r="M99" s="689"/>
      <c r="N99" s="689"/>
      <c r="O99" s="689"/>
      <c r="P99" s="689"/>
      <c r="Q99" s="689"/>
      <c r="R99" s="689"/>
      <c r="S99" s="689"/>
      <c r="T99" s="689"/>
      <c r="U99" s="690"/>
      <c r="V99" s="689"/>
      <c r="W99" s="689"/>
      <c r="X99" s="689"/>
      <c r="Y99" s="689"/>
      <c r="Z99" s="690"/>
      <c r="AA99" s="278"/>
    </row>
    <row r="100" spans="1:27" ht="15">
      <c r="A100" s="479">
        <f t="shared" si="25"/>
        <v>100</v>
      </c>
      <c r="B100" s="96"/>
      <c r="C100" s="119" t="s">
        <v>82</v>
      </c>
      <c r="D100" s="50"/>
      <c r="E100" s="50"/>
      <c r="F100" s="50"/>
      <c r="G100" s="298"/>
      <c r="H100" s="240"/>
      <c r="I100" s="95"/>
      <c r="J100" s="95"/>
      <c r="K100" s="95"/>
      <c r="L100" s="95"/>
      <c r="M100" s="95"/>
      <c r="N100" s="95"/>
      <c r="O100" s="95"/>
      <c r="P100" s="95"/>
      <c r="Q100" s="95"/>
      <c r="R100" s="95"/>
      <c r="S100" s="95"/>
      <c r="T100" s="95"/>
      <c r="U100" s="118"/>
      <c r="V100" s="95"/>
      <c r="W100" s="95"/>
      <c r="X100" s="95"/>
      <c r="Y100" s="95"/>
      <c r="Z100" s="118"/>
      <c r="AA100" s="278"/>
    </row>
    <row r="101" spans="1:27" ht="15">
      <c r="A101" s="479">
        <f t="shared" si="25"/>
        <v>101</v>
      </c>
      <c r="B101" s="96"/>
      <c r="C101" s="94"/>
      <c r="D101" s="54" t="s">
        <v>14</v>
      </c>
      <c r="E101" s="50"/>
      <c r="F101" s="50"/>
      <c r="G101" s="298"/>
      <c r="H101" s="240"/>
      <c r="I101" s="667"/>
      <c r="J101" s="624"/>
      <c r="K101" s="673"/>
      <c r="L101" s="661">
        <f>IF(K$18&lt;&gt;0,J101-K101,0)</f>
        <v>0</v>
      </c>
      <c r="M101" s="624"/>
      <c r="N101" s="673"/>
      <c r="O101" s="661">
        <f>IF(N$18&lt;&gt;0,M101-N101,0)</f>
        <v>0</v>
      </c>
      <c r="P101" s="624"/>
      <c r="Q101" s="673"/>
      <c r="R101" s="661">
        <f>IF(Q$18&lt;&gt;0,P101-Q101,0)</f>
        <v>0</v>
      </c>
      <c r="S101" s="624"/>
      <c r="T101" s="673"/>
      <c r="U101" s="662">
        <f>IF(T$18&lt;&gt;0,S101-T101,0)</f>
        <v>0</v>
      </c>
      <c r="V101" s="663">
        <f>J101+M101+P101+S101</f>
        <v>0</v>
      </c>
      <c r="W101" s="664">
        <f>SUM(IF(K$6&lt;&gt;0,K101,J101)+IF(N$6&lt;&gt;0,N101,M101)+IF(Q$6&lt;&gt;0,Q101,P101)+IF(T$6&lt;&gt;0,T101,S101))</f>
        <v>0</v>
      </c>
      <c r="X101" s="661">
        <f>V101-W101</f>
        <v>0</v>
      </c>
      <c r="Y101" s="665">
        <f>I101-V101</f>
        <v>0</v>
      </c>
      <c r="Z101" s="666">
        <f>I101-W101</f>
        <v>0</v>
      </c>
      <c r="AA101" s="278"/>
    </row>
    <row r="102" spans="1:27" ht="15">
      <c r="A102" s="479">
        <f t="shared" si="25"/>
        <v>102</v>
      </c>
      <c r="B102" s="96"/>
      <c r="C102" s="94"/>
      <c r="D102" s="120" t="s">
        <v>69</v>
      </c>
      <c r="E102" s="50"/>
      <c r="F102" s="50"/>
      <c r="G102" s="298"/>
      <c r="H102" s="240"/>
      <c r="I102" s="667"/>
      <c r="J102" s="624"/>
      <c r="K102" s="673"/>
      <c r="L102" s="661">
        <f>IF(K$18&lt;&gt;0,J102-K102,0)</f>
        <v>0</v>
      </c>
      <c r="M102" s="624"/>
      <c r="N102" s="673"/>
      <c r="O102" s="661">
        <f>IF(N$18&lt;&gt;0,M102-N102,0)</f>
        <v>0</v>
      </c>
      <c r="P102" s="624"/>
      <c r="Q102" s="673"/>
      <c r="R102" s="661">
        <f>IF(Q$18&lt;&gt;0,P102-Q102,0)</f>
        <v>0</v>
      </c>
      <c r="S102" s="624"/>
      <c r="T102" s="673"/>
      <c r="U102" s="662">
        <f>IF(T$18&lt;&gt;0,S102-T102,0)</f>
        <v>0</v>
      </c>
      <c r="V102" s="663">
        <f>J102+M102+P102+S102</f>
        <v>0</v>
      </c>
      <c r="W102" s="664">
        <f>SUM(IF(K$6&lt;&gt;0,K102,J102)+IF(N$6&lt;&gt;0,N102,M102)+IF(Q$6&lt;&gt;0,Q102,P102)+IF(T$6&lt;&gt;0,T102,S102))</f>
        <v>0</v>
      </c>
      <c r="X102" s="661">
        <f>V102-W102</f>
        <v>0</v>
      </c>
      <c r="Y102" s="665">
        <f>I102-V102</f>
        <v>0</v>
      </c>
      <c r="Z102" s="666">
        <f>I102-W102</f>
        <v>0</v>
      </c>
      <c r="AA102" s="278"/>
    </row>
    <row r="103" spans="1:27" ht="16.8">
      <c r="A103" s="479">
        <f t="shared" si="25"/>
        <v>103</v>
      </c>
      <c r="B103" s="96"/>
      <c r="C103" s="94"/>
      <c r="D103" s="54" t="s">
        <v>58</v>
      </c>
      <c r="E103" s="50"/>
      <c r="F103" s="50"/>
      <c r="G103" s="298"/>
      <c r="H103" s="240"/>
      <c r="I103" s="678"/>
      <c r="J103" s="679"/>
      <c r="K103" s="680"/>
      <c r="L103" s="681">
        <f>IF(K$18&lt;&gt;0,J103-K103,0)</f>
        <v>0</v>
      </c>
      <c r="M103" s="679"/>
      <c r="N103" s="680"/>
      <c r="O103" s="681">
        <f>IF(N$18&lt;&gt;0,M103-N103,0)</f>
        <v>0</v>
      </c>
      <c r="P103" s="679"/>
      <c r="Q103" s="680"/>
      <c r="R103" s="681">
        <f>IF(Q$18&lt;&gt;0,P103-Q103,0)</f>
        <v>0</v>
      </c>
      <c r="S103" s="679"/>
      <c r="T103" s="680"/>
      <c r="U103" s="684">
        <f>IF(T$18&lt;&gt;0,S103-T103,0)</f>
        <v>0</v>
      </c>
      <c r="V103" s="685">
        <f>J103+M103+P103+S103</f>
        <v>0</v>
      </c>
      <c r="W103" s="686">
        <f>SUM(IF(K$6&lt;&gt;0,K103,J103)+IF(N$6&lt;&gt;0,N103,M103)+IF(Q$6&lt;&gt;0,Q103,P103)+IF(T$6&lt;&gt;0,T103,S103))</f>
        <v>0</v>
      </c>
      <c r="X103" s="681">
        <f>V103-W103</f>
        <v>0</v>
      </c>
      <c r="Y103" s="687">
        <f>I103-V103</f>
        <v>0</v>
      </c>
      <c r="Z103" s="688">
        <f>I103-W103</f>
        <v>0</v>
      </c>
      <c r="AA103" s="278"/>
    </row>
    <row r="104" spans="1:27" ht="15">
      <c r="A104" s="479">
        <f t="shared" si="25"/>
        <v>104</v>
      </c>
      <c r="B104" s="96"/>
      <c r="C104" s="55" t="s">
        <v>83</v>
      </c>
      <c r="D104" s="50"/>
      <c r="E104" s="50"/>
      <c r="F104" s="50"/>
      <c r="G104" s="298"/>
      <c r="H104" s="240"/>
      <c r="I104" s="676">
        <f t="shared" ref="I104:Z104" si="48">SUM(I101:I103)</f>
        <v>0</v>
      </c>
      <c r="J104" s="659">
        <f t="shared" si="48"/>
        <v>0</v>
      </c>
      <c r="K104" s="669">
        <f t="shared" si="48"/>
        <v>0</v>
      </c>
      <c r="L104" s="669">
        <f t="shared" si="48"/>
        <v>0</v>
      </c>
      <c r="M104" s="659">
        <f t="shared" si="48"/>
        <v>0</v>
      </c>
      <c r="N104" s="669">
        <f t="shared" si="48"/>
        <v>0</v>
      </c>
      <c r="O104" s="669">
        <f t="shared" si="48"/>
        <v>0</v>
      </c>
      <c r="P104" s="659">
        <f t="shared" si="48"/>
        <v>0</v>
      </c>
      <c r="Q104" s="669">
        <f t="shared" si="48"/>
        <v>0</v>
      </c>
      <c r="R104" s="669">
        <f t="shared" si="48"/>
        <v>0</v>
      </c>
      <c r="S104" s="659">
        <f t="shared" si="48"/>
        <v>0</v>
      </c>
      <c r="T104" s="669">
        <f t="shared" si="48"/>
        <v>0</v>
      </c>
      <c r="U104" s="670">
        <f t="shared" si="48"/>
        <v>0</v>
      </c>
      <c r="V104" s="663">
        <f t="shared" si="48"/>
        <v>0</v>
      </c>
      <c r="W104" s="669">
        <f t="shared" si="48"/>
        <v>0</v>
      </c>
      <c r="X104" s="671">
        <f t="shared" si="48"/>
        <v>0</v>
      </c>
      <c r="Y104" s="665">
        <f t="shared" si="48"/>
        <v>0</v>
      </c>
      <c r="Z104" s="553">
        <f t="shared" si="48"/>
        <v>0</v>
      </c>
      <c r="AA104" s="278"/>
    </row>
    <row r="105" spans="1:27" ht="15">
      <c r="A105" s="479">
        <f t="shared" si="25"/>
        <v>105</v>
      </c>
      <c r="B105" s="96"/>
      <c r="C105" s="94"/>
      <c r="D105" s="120"/>
      <c r="E105" s="120"/>
      <c r="F105" s="120"/>
      <c r="G105" s="295"/>
      <c r="H105" s="240"/>
      <c r="I105" s="689"/>
      <c r="J105" s="689"/>
      <c r="K105" s="689"/>
      <c r="L105" s="689"/>
      <c r="M105" s="689"/>
      <c r="N105" s="689"/>
      <c r="O105" s="689"/>
      <c r="P105" s="689"/>
      <c r="Q105" s="689"/>
      <c r="R105" s="689"/>
      <c r="S105" s="689"/>
      <c r="T105" s="689"/>
      <c r="U105" s="690"/>
      <c r="V105" s="689"/>
      <c r="W105" s="689"/>
      <c r="X105" s="689"/>
      <c r="Y105" s="689"/>
      <c r="Z105" s="118"/>
      <c r="AA105" s="278"/>
    </row>
    <row r="106" spans="1:27" ht="15">
      <c r="A106" s="479">
        <f t="shared" si="25"/>
        <v>106</v>
      </c>
      <c r="B106" s="96"/>
      <c r="C106" s="60" t="s">
        <v>84</v>
      </c>
      <c r="D106" s="50"/>
      <c r="E106" s="50"/>
      <c r="F106" s="50"/>
      <c r="G106" s="704">
        <f>G98</f>
        <v>0</v>
      </c>
      <c r="H106" s="240"/>
      <c r="I106" s="676">
        <f t="shared" ref="I106:Z106" si="49">I98+I104</f>
        <v>0</v>
      </c>
      <c r="J106" s="659">
        <f t="shared" si="49"/>
        <v>0</v>
      </c>
      <c r="K106" s="669">
        <f t="shared" si="49"/>
        <v>0</v>
      </c>
      <c r="L106" s="669">
        <f t="shared" si="49"/>
        <v>0</v>
      </c>
      <c r="M106" s="659">
        <f t="shared" si="49"/>
        <v>0</v>
      </c>
      <c r="N106" s="669">
        <f t="shared" si="49"/>
        <v>0</v>
      </c>
      <c r="O106" s="669">
        <f t="shared" si="49"/>
        <v>0</v>
      </c>
      <c r="P106" s="659">
        <f t="shared" si="49"/>
        <v>0</v>
      </c>
      <c r="Q106" s="669">
        <f t="shared" si="49"/>
        <v>0</v>
      </c>
      <c r="R106" s="669">
        <f t="shared" si="49"/>
        <v>0</v>
      </c>
      <c r="S106" s="659">
        <f t="shared" si="49"/>
        <v>0</v>
      </c>
      <c r="T106" s="669">
        <f t="shared" si="49"/>
        <v>0</v>
      </c>
      <c r="U106" s="670">
        <f t="shared" si="49"/>
        <v>0</v>
      </c>
      <c r="V106" s="663">
        <f t="shared" si="49"/>
        <v>0</v>
      </c>
      <c r="W106" s="669">
        <f t="shared" si="49"/>
        <v>0</v>
      </c>
      <c r="X106" s="671">
        <f t="shared" si="49"/>
        <v>0</v>
      </c>
      <c r="Y106" s="665">
        <f t="shared" si="49"/>
        <v>0</v>
      </c>
      <c r="Z106" s="666">
        <f t="shared" si="49"/>
        <v>0</v>
      </c>
      <c r="AA106" s="278"/>
    </row>
    <row r="107" spans="1:27" ht="15">
      <c r="A107" s="479">
        <f t="shared" si="25"/>
        <v>107</v>
      </c>
      <c r="B107" s="96"/>
      <c r="C107" s="94"/>
      <c r="D107" s="94"/>
      <c r="E107" s="120"/>
      <c r="F107" s="120"/>
      <c r="G107" s="56"/>
      <c r="H107" s="240"/>
      <c r="I107" s="689"/>
      <c r="J107" s="689"/>
      <c r="K107" s="689"/>
      <c r="L107" s="689"/>
      <c r="M107" s="689"/>
      <c r="N107" s="689"/>
      <c r="O107" s="689"/>
      <c r="P107" s="689"/>
      <c r="Q107" s="689"/>
      <c r="R107" s="689"/>
      <c r="S107" s="689"/>
      <c r="T107" s="689"/>
      <c r="U107" s="690"/>
      <c r="V107" s="689"/>
      <c r="W107" s="689"/>
      <c r="X107" s="689"/>
      <c r="Y107" s="689"/>
      <c r="Z107" s="690"/>
      <c r="AA107" s="278"/>
    </row>
    <row r="108" spans="1:27" ht="15">
      <c r="A108" s="479">
        <f t="shared" si="25"/>
        <v>108</v>
      </c>
      <c r="B108" s="96"/>
      <c r="C108" s="119" t="s">
        <v>85</v>
      </c>
      <c r="D108" s="94"/>
      <c r="E108" s="120"/>
      <c r="F108" s="120"/>
      <c r="G108" s="56"/>
      <c r="H108" s="240"/>
      <c r="I108" s="95"/>
      <c r="J108" s="95"/>
      <c r="K108" s="95"/>
      <c r="L108" s="95"/>
      <c r="M108" s="95"/>
      <c r="N108" s="95"/>
      <c r="O108" s="95"/>
      <c r="P108" s="95"/>
      <c r="Q108" s="95"/>
      <c r="R108" s="95"/>
      <c r="S108" s="95"/>
      <c r="T108" s="95"/>
      <c r="U108" s="118"/>
      <c r="V108" s="95"/>
      <c r="W108" s="95"/>
      <c r="X108" s="95"/>
      <c r="Y108" s="95"/>
      <c r="Z108" s="118"/>
      <c r="AA108" s="278"/>
    </row>
    <row r="109" spans="1:27" ht="15">
      <c r="A109" s="479">
        <f t="shared" si="25"/>
        <v>109</v>
      </c>
      <c r="B109" s="96"/>
      <c r="C109" s="94"/>
      <c r="D109" s="50" t="s">
        <v>65</v>
      </c>
      <c r="E109" s="120"/>
      <c r="F109" s="120"/>
      <c r="G109" s="56"/>
      <c r="H109" s="240"/>
      <c r="I109" s="625"/>
      <c r="J109" s="672"/>
      <c r="K109" s="673"/>
      <c r="L109" s="661">
        <f t="shared" ref="L109:L117" si="50">IF(K$18&lt;&gt;0,J109-K109,0)</f>
        <v>0</v>
      </c>
      <c r="M109" s="674"/>
      <c r="N109" s="675"/>
      <c r="O109" s="661">
        <f t="shared" ref="O109:O117" si="51">IF(N$18&lt;&gt;0,M109-N109,0)</f>
        <v>0</v>
      </c>
      <c r="P109" s="674"/>
      <c r="Q109" s="675"/>
      <c r="R109" s="661">
        <f t="shared" ref="R109:R117" si="52">IF(Q$18&lt;&gt;0,P109-Q109,0)</f>
        <v>0</v>
      </c>
      <c r="S109" s="622"/>
      <c r="T109" s="675"/>
      <c r="U109" s="662">
        <f t="shared" ref="U109:U117" si="53">IF(T$18&lt;&gt;0,S109-T109,0)</f>
        <v>0</v>
      </c>
      <c r="V109" s="663">
        <f t="shared" ref="V109:V117" si="54">J109+M109+P109+S109</f>
        <v>0</v>
      </c>
      <c r="W109" s="664">
        <f t="shared" ref="W109:W117" si="55">SUM(IF(K$6&lt;&gt;0,K109,J109)+IF(N$6&lt;&gt;0,N109,M109)+IF(Q$6&lt;&gt;0,Q109,P109)+IF(T$6&lt;&gt;0,T109,S109))</f>
        <v>0</v>
      </c>
      <c r="X109" s="661">
        <f t="shared" ref="X109:X117" si="56">V109-W109</f>
        <v>0</v>
      </c>
      <c r="Y109" s="665">
        <f t="shared" ref="Y109:Y117" si="57">I109-V109</f>
        <v>0</v>
      </c>
      <c r="Z109" s="666">
        <f t="shared" ref="Z109:Z117" si="58">I109-W109</f>
        <v>0</v>
      </c>
      <c r="AA109" s="278"/>
    </row>
    <row r="110" spans="1:27" ht="15">
      <c r="A110" s="479">
        <f t="shared" si="25"/>
        <v>110</v>
      </c>
      <c r="B110" s="96"/>
      <c r="C110" s="94"/>
      <c r="D110" s="54" t="s">
        <v>5</v>
      </c>
      <c r="E110" s="120"/>
      <c r="F110" s="120"/>
      <c r="G110" s="56"/>
      <c r="H110" s="240"/>
      <c r="I110" s="625"/>
      <c r="J110" s="672"/>
      <c r="K110" s="673"/>
      <c r="L110" s="661">
        <f t="shared" si="50"/>
        <v>0</v>
      </c>
      <c r="M110" s="674"/>
      <c r="N110" s="675"/>
      <c r="O110" s="661">
        <f t="shared" si="51"/>
        <v>0</v>
      </c>
      <c r="P110" s="674"/>
      <c r="Q110" s="675"/>
      <c r="R110" s="661">
        <f t="shared" si="52"/>
        <v>0</v>
      </c>
      <c r="S110" s="622"/>
      <c r="T110" s="675"/>
      <c r="U110" s="662">
        <f t="shared" si="53"/>
        <v>0</v>
      </c>
      <c r="V110" s="663">
        <f t="shared" si="54"/>
        <v>0</v>
      </c>
      <c r="W110" s="664">
        <f t="shared" si="55"/>
        <v>0</v>
      </c>
      <c r="X110" s="661">
        <f t="shared" si="56"/>
        <v>0</v>
      </c>
      <c r="Y110" s="665">
        <f t="shared" si="57"/>
        <v>0</v>
      </c>
      <c r="Z110" s="666">
        <f t="shared" si="58"/>
        <v>0</v>
      </c>
      <c r="AA110" s="278"/>
    </row>
    <row r="111" spans="1:27" ht="15">
      <c r="A111" s="479">
        <f t="shared" si="25"/>
        <v>111</v>
      </c>
      <c r="B111" s="96"/>
      <c r="C111" s="94"/>
      <c r="D111" s="54" t="s">
        <v>66</v>
      </c>
      <c r="E111" s="120"/>
      <c r="F111" s="120"/>
      <c r="G111" s="56"/>
      <c r="H111" s="240"/>
      <c r="I111" s="625"/>
      <c r="J111" s="672"/>
      <c r="K111" s="673"/>
      <c r="L111" s="661">
        <f t="shared" si="50"/>
        <v>0</v>
      </c>
      <c r="M111" s="672"/>
      <c r="N111" s="675"/>
      <c r="O111" s="661">
        <f t="shared" si="51"/>
        <v>0</v>
      </c>
      <c r="P111" s="672"/>
      <c r="Q111" s="675"/>
      <c r="R111" s="661">
        <f t="shared" si="52"/>
        <v>0</v>
      </c>
      <c r="S111" s="672"/>
      <c r="T111" s="675"/>
      <c r="U111" s="662">
        <f t="shared" si="53"/>
        <v>0</v>
      </c>
      <c r="V111" s="663">
        <f t="shared" si="54"/>
        <v>0</v>
      </c>
      <c r="W111" s="664">
        <f t="shared" si="55"/>
        <v>0</v>
      </c>
      <c r="X111" s="661">
        <f t="shared" si="56"/>
        <v>0</v>
      </c>
      <c r="Y111" s="665">
        <f t="shared" si="57"/>
        <v>0</v>
      </c>
      <c r="Z111" s="666">
        <f t="shared" si="58"/>
        <v>0</v>
      </c>
      <c r="AA111" s="278"/>
    </row>
    <row r="112" spans="1:27" ht="15">
      <c r="A112" s="479">
        <f t="shared" si="25"/>
        <v>112</v>
      </c>
      <c r="B112" s="96"/>
      <c r="C112" s="94"/>
      <c r="D112" s="54" t="s">
        <v>15</v>
      </c>
      <c r="E112" s="120"/>
      <c r="F112" s="120"/>
      <c r="G112" s="56"/>
      <c r="H112" s="240"/>
      <c r="I112" s="625"/>
      <c r="J112" s="672"/>
      <c r="K112" s="673"/>
      <c r="L112" s="661">
        <f t="shared" si="50"/>
        <v>0</v>
      </c>
      <c r="M112" s="674"/>
      <c r="N112" s="675"/>
      <c r="O112" s="661">
        <f t="shared" si="51"/>
        <v>0</v>
      </c>
      <c r="P112" s="674"/>
      <c r="Q112" s="675"/>
      <c r="R112" s="661">
        <f t="shared" si="52"/>
        <v>0</v>
      </c>
      <c r="S112" s="622"/>
      <c r="T112" s="675"/>
      <c r="U112" s="662">
        <f t="shared" si="53"/>
        <v>0</v>
      </c>
      <c r="V112" s="663">
        <f t="shared" si="54"/>
        <v>0</v>
      </c>
      <c r="W112" s="664">
        <f t="shared" si="55"/>
        <v>0</v>
      </c>
      <c r="X112" s="661">
        <f t="shared" si="56"/>
        <v>0</v>
      </c>
      <c r="Y112" s="665">
        <f t="shared" si="57"/>
        <v>0</v>
      </c>
      <c r="Z112" s="666">
        <f t="shared" si="58"/>
        <v>0</v>
      </c>
      <c r="AA112" s="278"/>
    </row>
    <row r="113" spans="1:27" ht="15">
      <c r="A113" s="479">
        <f t="shared" si="25"/>
        <v>113</v>
      </c>
      <c r="B113" s="96"/>
      <c r="C113" s="94"/>
      <c r="D113" s="54" t="s">
        <v>57</v>
      </c>
      <c r="E113" s="120"/>
      <c r="F113" s="120"/>
      <c r="G113" s="56"/>
      <c r="H113" s="240"/>
      <c r="I113" s="625"/>
      <c r="J113" s="672"/>
      <c r="K113" s="673"/>
      <c r="L113" s="661">
        <f t="shared" si="50"/>
        <v>0</v>
      </c>
      <c r="M113" s="674"/>
      <c r="N113" s="675"/>
      <c r="O113" s="661">
        <f t="shared" si="51"/>
        <v>0</v>
      </c>
      <c r="P113" s="674"/>
      <c r="Q113" s="675"/>
      <c r="R113" s="661">
        <f t="shared" si="52"/>
        <v>0</v>
      </c>
      <c r="S113" s="622"/>
      <c r="T113" s="675"/>
      <c r="U113" s="662">
        <f t="shared" si="53"/>
        <v>0</v>
      </c>
      <c r="V113" s="663">
        <f t="shared" si="54"/>
        <v>0</v>
      </c>
      <c r="W113" s="664">
        <f t="shared" si="55"/>
        <v>0</v>
      </c>
      <c r="X113" s="661">
        <f t="shared" si="56"/>
        <v>0</v>
      </c>
      <c r="Y113" s="665">
        <f t="shared" si="57"/>
        <v>0</v>
      </c>
      <c r="Z113" s="666">
        <f t="shared" si="58"/>
        <v>0</v>
      </c>
      <c r="AA113" s="278"/>
    </row>
    <row r="114" spans="1:27" ht="15">
      <c r="A114" s="479">
        <f t="shared" si="25"/>
        <v>114</v>
      </c>
      <c r="B114" s="96"/>
      <c r="C114" s="94"/>
      <c r="D114" s="54" t="s">
        <v>16</v>
      </c>
      <c r="E114" s="120"/>
      <c r="F114" s="120"/>
      <c r="G114" s="56"/>
      <c r="H114" s="240"/>
      <c r="I114" s="625"/>
      <c r="J114" s="672"/>
      <c r="K114" s="673"/>
      <c r="L114" s="661">
        <f t="shared" si="50"/>
        <v>0</v>
      </c>
      <c r="M114" s="674"/>
      <c r="N114" s="675"/>
      <c r="O114" s="661">
        <f t="shared" si="51"/>
        <v>0</v>
      </c>
      <c r="P114" s="674"/>
      <c r="Q114" s="675"/>
      <c r="R114" s="661">
        <f t="shared" si="52"/>
        <v>0</v>
      </c>
      <c r="S114" s="622"/>
      <c r="T114" s="675"/>
      <c r="U114" s="662">
        <f t="shared" si="53"/>
        <v>0</v>
      </c>
      <c r="V114" s="663">
        <f t="shared" si="54"/>
        <v>0</v>
      </c>
      <c r="W114" s="664">
        <f t="shared" si="55"/>
        <v>0</v>
      </c>
      <c r="X114" s="661">
        <f t="shared" si="56"/>
        <v>0</v>
      </c>
      <c r="Y114" s="665">
        <f t="shared" si="57"/>
        <v>0</v>
      </c>
      <c r="Z114" s="666">
        <f t="shared" si="58"/>
        <v>0</v>
      </c>
      <c r="AA114" s="278"/>
    </row>
    <row r="115" spans="1:27" ht="15">
      <c r="A115" s="479">
        <f t="shared" si="25"/>
        <v>115</v>
      </c>
      <c r="B115" s="96"/>
      <c r="C115" s="94"/>
      <c r="D115" s="54" t="s">
        <v>17</v>
      </c>
      <c r="E115" s="120"/>
      <c r="F115" s="120"/>
      <c r="G115" s="56"/>
      <c r="H115" s="240"/>
      <c r="I115" s="625"/>
      <c r="J115" s="672"/>
      <c r="K115" s="673"/>
      <c r="L115" s="661">
        <f t="shared" si="50"/>
        <v>0</v>
      </c>
      <c r="M115" s="674"/>
      <c r="N115" s="675"/>
      <c r="O115" s="661">
        <f t="shared" si="51"/>
        <v>0</v>
      </c>
      <c r="P115" s="674"/>
      <c r="Q115" s="675"/>
      <c r="R115" s="661">
        <f t="shared" si="52"/>
        <v>0</v>
      </c>
      <c r="S115" s="622"/>
      <c r="T115" s="675"/>
      <c r="U115" s="662">
        <f t="shared" si="53"/>
        <v>0</v>
      </c>
      <c r="V115" s="663">
        <f t="shared" si="54"/>
        <v>0</v>
      </c>
      <c r="W115" s="664">
        <f t="shared" si="55"/>
        <v>0</v>
      </c>
      <c r="X115" s="661">
        <f t="shared" si="56"/>
        <v>0</v>
      </c>
      <c r="Y115" s="665">
        <f t="shared" si="57"/>
        <v>0</v>
      </c>
      <c r="Z115" s="666">
        <f t="shared" si="58"/>
        <v>0</v>
      </c>
      <c r="AA115" s="278"/>
    </row>
    <row r="116" spans="1:27" ht="15">
      <c r="A116" s="479">
        <f t="shared" si="25"/>
        <v>116</v>
      </c>
      <c r="B116" s="96"/>
      <c r="C116" s="94"/>
      <c r="D116" s="54" t="s">
        <v>68</v>
      </c>
      <c r="E116" s="120"/>
      <c r="F116" s="120"/>
      <c r="G116" s="56"/>
      <c r="H116" s="240"/>
      <c r="I116" s="625"/>
      <c r="J116" s="672"/>
      <c r="K116" s="673"/>
      <c r="L116" s="661">
        <f t="shared" si="50"/>
        <v>0</v>
      </c>
      <c r="M116" s="674"/>
      <c r="N116" s="675"/>
      <c r="O116" s="661">
        <f t="shared" si="51"/>
        <v>0</v>
      </c>
      <c r="P116" s="674"/>
      <c r="Q116" s="675"/>
      <c r="R116" s="661">
        <f t="shared" si="52"/>
        <v>0</v>
      </c>
      <c r="S116" s="622"/>
      <c r="T116" s="675"/>
      <c r="U116" s="662">
        <f t="shared" si="53"/>
        <v>0</v>
      </c>
      <c r="V116" s="663">
        <f t="shared" si="54"/>
        <v>0</v>
      </c>
      <c r="W116" s="664">
        <f t="shared" si="55"/>
        <v>0</v>
      </c>
      <c r="X116" s="661">
        <f t="shared" si="56"/>
        <v>0</v>
      </c>
      <c r="Y116" s="665">
        <f t="shared" si="57"/>
        <v>0</v>
      </c>
      <c r="Z116" s="666">
        <f t="shared" si="58"/>
        <v>0</v>
      </c>
      <c r="AA116" s="278"/>
    </row>
    <row r="117" spans="1:27" ht="16.8">
      <c r="A117" s="479">
        <f t="shared" si="25"/>
        <v>117</v>
      </c>
      <c r="B117" s="96"/>
      <c r="C117" s="94"/>
      <c r="D117" s="50" t="s">
        <v>67</v>
      </c>
      <c r="E117" s="120"/>
      <c r="F117" s="120"/>
      <c r="G117" s="56"/>
      <c r="H117" s="240"/>
      <c r="I117" s="620"/>
      <c r="J117" s="679"/>
      <c r="K117" s="680"/>
      <c r="L117" s="681">
        <f t="shared" si="50"/>
        <v>0</v>
      </c>
      <c r="M117" s="682"/>
      <c r="N117" s="683"/>
      <c r="O117" s="681">
        <f t="shared" si="51"/>
        <v>0</v>
      </c>
      <c r="P117" s="682"/>
      <c r="Q117" s="683"/>
      <c r="R117" s="681">
        <f t="shared" si="52"/>
        <v>0</v>
      </c>
      <c r="S117" s="682"/>
      <c r="T117" s="683"/>
      <c r="U117" s="684">
        <f t="shared" si="53"/>
        <v>0</v>
      </c>
      <c r="V117" s="685">
        <f t="shared" si="54"/>
        <v>0</v>
      </c>
      <c r="W117" s="686">
        <f t="shared" si="55"/>
        <v>0</v>
      </c>
      <c r="X117" s="681">
        <f t="shared" si="56"/>
        <v>0</v>
      </c>
      <c r="Y117" s="687">
        <f t="shared" si="57"/>
        <v>0</v>
      </c>
      <c r="Z117" s="688">
        <f t="shared" si="58"/>
        <v>0</v>
      </c>
      <c r="AA117" s="278"/>
    </row>
    <row r="118" spans="1:27" ht="15">
      <c r="A118" s="479">
        <f t="shared" si="25"/>
        <v>118</v>
      </c>
      <c r="B118" s="96"/>
      <c r="C118" s="55" t="s">
        <v>86</v>
      </c>
      <c r="D118" s="94"/>
      <c r="E118" s="120"/>
      <c r="F118" s="120"/>
      <c r="G118" s="56"/>
      <c r="H118" s="240"/>
      <c r="I118" s="676">
        <f t="shared" ref="I118:Z118" si="59">SUM(I109:I117)</f>
        <v>0</v>
      </c>
      <c r="J118" s="659">
        <f t="shared" si="59"/>
        <v>0</v>
      </c>
      <c r="K118" s="669">
        <f t="shared" si="59"/>
        <v>0</v>
      </c>
      <c r="L118" s="669">
        <f t="shared" si="59"/>
        <v>0</v>
      </c>
      <c r="M118" s="659">
        <f t="shared" si="59"/>
        <v>0</v>
      </c>
      <c r="N118" s="669">
        <f t="shared" si="59"/>
        <v>0</v>
      </c>
      <c r="O118" s="669">
        <f t="shared" si="59"/>
        <v>0</v>
      </c>
      <c r="P118" s="659">
        <f t="shared" si="59"/>
        <v>0</v>
      </c>
      <c r="Q118" s="669">
        <f t="shared" si="59"/>
        <v>0</v>
      </c>
      <c r="R118" s="669">
        <f t="shared" si="59"/>
        <v>0</v>
      </c>
      <c r="S118" s="659">
        <f t="shared" si="59"/>
        <v>0</v>
      </c>
      <c r="T118" s="669">
        <f t="shared" si="59"/>
        <v>0</v>
      </c>
      <c r="U118" s="670">
        <f t="shared" si="59"/>
        <v>0</v>
      </c>
      <c r="V118" s="663">
        <f t="shared" si="59"/>
        <v>0</v>
      </c>
      <c r="W118" s="669">
        <f t="shared" si="59"/>
        <v>0</v>
      </c>
      <c r="X118" s="671">
        <f t="shared" si="59"/>
        <v>0</v>
      </c>
      <c r="Y118" s="665">
        <f t="shared" si="59"/>
        <v>0</v>
      </c>
      <c r="Z118" s="666">
        <f t="shared" si="59"/>
        <v>0</v>
      </c>
      <c r="AA118" s="278"/>
    </row>
    <row r="119" spans="1:27" ht="15">
      <c r="A119" s="479">
        <f t="shared" si="25"/>
        <v>119</v>
      </c>
      <c r="B119" s="96"/>
      <c r="C119" s="94"/>
      <c r="D119" s="120"/>
      <c r="E119" s="120"/>
      <c r="F119" s="120"/>
      <c r="G119" s="56"/>
      <c r="H119" s="240"/>
      <c r="I119" s="689"/>
      <c r="J119" s="689"/>
      <c r="K119" s="689"/>
      <c r="L119" s="689"/>
      <c r="M119" s="689"/>
      <c r="N119" s="689"/>
      <c r="O119" s="689"/>
      <c r="P119" s="689"/>
      <c r="Q119" s="689"/>
      <c r="R119" s="689"/>
      <c r="S119" s="689"/>
      <c r="T119" s="689"/>
      <c r="U119" s="690"/>
      <c r="V119" s="689"/>
      <c r="W119" s="689"/>
      <c r="X119" s="689"/>
      <c r="Y119" s="689"/>
      <c r="Z119" s="690"/>
      <c r="AA119" s="278"/>
    </row>
    <row r="120" spans="1:27" ht="15">
      <c r="A120" s="479">
        <f t="shared" si="25"/>
        <v>120</v>
      </c>
      <c r="B120" s="96"/>
      <c r="C120" s="119" t="s">
        <v>87</v>
      </c>
      <c r="D120" s="120"/>
      <c r="E120" s="120"/>
      <c r="F120" s="120"/>
      <c r="G120" s="56"/>
      <c r="H120" s="240"/>
      <c r="I120" s="95"/>
      <c r="J120" s="95"/>
      <c r="K120" s="95"/>
      <c r="L120" s="95"/>
      <c r="M120" s="95"/>
      <c r="N120" s="95"/>
      <c r="O120" s="95"/>
      <c r="P120" s="95"/>
      <c r="Q120" s="95"/>
      <c r="R120" s="95"/>
      <c r="S120" s="95"/>
      <c r="T120" s="95"/>
      <c r="U120" s="118"/>
      <c r="V120" s="95"/>
      <c r="W120" s="95"/>
      <c r="X120" s="95"/>
      <c r="Y120" s="95"/>
      <c r="Z120" s="118"/>
      <c r="AA120" s="878"/>
    </row>
    <row r="121" spans="1:27" ht="15">
      <c r="A121" s="479">
        <f t="shared" si="25"/>
        <v>121</v>
      </c>
      <c r="B121" s="96"/>
      <c r="C121" s="94"/>
      <c r="D121" s="54" t="s">
        <v>1</v>
      </c>
      <c r="E121" s="50"/>
      <c r="F121" s="50"/>
      <c r="G121" s="59"/>
      <c r="H121" s="240"/>
      <c r="I121" s="625"/>
      <c r="J121" s="624"/>
      <c r="K121" s="673"/>
      <c r="L121" s="661">
        <f t="shared" ref="L121:L140" si="60">IF(K$18&lt;&gt;0,J121-K121,0)</f>
        <v>0</v>
      </c>
      <c r="M121" s="622"/>
      <c r="N121" s="675"/>
      <c r="O121" s="661">
        <f t="shared" ref="O121:O140" si="61">IF(N$18&lt;&gt;0,M121-N121,0)</f>
        <v>0</v>
      </c>
      <c r="P121" s="622"/>
      <c r="Q121" s="675"/>
      <c r="R121" s="661">
        <f t="shared" ref="R121:R140" si="62">IF(Q$18&lt;&gt;0,P121-Q121,0)</f>
        <v>0</v>
      </c>
      <c r="S121" s="622"/>
      <c r="T121" s="675"/>
      <c r="U121" s="662">
        <f t="shared" ref="U121:U140" si="63">IF(T$18&lt;&gt;0,S121-T121,0)</f>
        <v>0</v>
      </c>
      <c r="V121" s="663">
        <f t="shared" ref="V121:V140" si="64">J121+M121+P121+S121</f>
        <v>0</v>
      </c>
      <c r="W121" s="664">
        <f t="shared" ref="W121:W140" si="65">SUM(IF(K$6&lt;&gt;0,K121,J121)+IF(N$6&lt;&gt;0,N121,M121)+IF(Q$6&lt;&gt;0,Q121,P121)+IF(T$6&lt;&gt;0,T121,S121))</f>
        <v>0</v>
      </c>
      <c r="X121" s="661">
        <f t="shared" ref="X121:X140" si="66">V121-W121</f>
        <v>0</v>
      </c>
      <c r="Y121" s="665">
        <f t="shared" ref="Y121:Y140" si="67">I121-V121</f>
        <v>0</v>
      </c>
      <c r="Z121" s="666">
        <f t="shared" ref="Z121:Z140" si="68">I121-W121</f>
        <v>0</v>
      </c>
      <c r="AA121" s="278"/>
    </row>
    <row r="122" spans="1:27" ht="15">
      <c r="A122" s="479">
        <f t="shared" si="25"/>
        <v>122</v>
      </c>
      <c r="B122" s="96"/>
      <c r="C122" s="94"/>
      <c r="D122" s="54" t="s">
        <v>71</v>
      </c>
      <c r="E122" s="50"/>
      <c r="F122" s="50"/>
      <c r="G122" s="59"/>
      <c r="H122" s="240"/>
      <c r="I122" s="625"/>
      <c r="J122" s="624"/>
      <c r="K122" s="673"/>
      <c r="L122" s="661">
        <f t="shared" si="60"/>
        <v>0</v>
      </c>
      <c r="M122" s="622"/>
      <c r="N122" s="675"/>
      <c r="O122" s="661">
        <f t="shared" si="61"/>
        <v>0</v>
      </c>
      <c r="P122" s="622"/>
      <c r="Q122" s="675"/>
      <c r="R122" s="661">
        <f t="shared" si="62"/>
        <v>0</v>
      </c>
      <c r="S122" s="622"/>
      <c r="T122" s="675"/>
      <c r="U122" s="662">
        <f t="shared" si="63"/>
        <v>0</v>
      </c>
      <c r="V122" s="663">
        <f t="shared" si="64"/>
        <v>0</v>
      </c>
      <c r="W122" s="664">
        <f t="shared" si="65"/>
        <v>0</v>
      </c>
      <c r="X122" s="661">
        <f t="shared" si="66"/>
        <v>0</v>
      </c>
      <c r="Y122" s="665">
        <f t="shared" si="67"/>
        <v>0</v>
      </c>
      <c r="Z122" s="666">
        <f t="shared" si="68"/>
        <v>0</v>
      </c>
      <c r="AA122" s="278"/>
    </row>
    <row r="123" spans="1:27" ht="15">
      <c r="A123" s="479">
        <f t="shared" si="25"/>
        <v>123</v>
      </c>
      <c r="B123" s="96"/>
      <c r="C123" s="94"/>
      <c r="D123" s="54" t="s">
        <v>64</v>
      </c>
      <c r="E123" s="50"/>
      <c r="F123" s="50"/>
      <c r="G123" s="59"/>
      <c r="H123" s="240"/>
      <c r="I123" s="625"/>
      <c r="J123" s="624"/>
      <c r="K123" s="673"/>
      <c r="L123" s="661">
        <f t="shared" si="60"/>
        <v>0</v>
      </c>
      <c r="M123" s="622"/>
      <c r="N123" s="675"/>
      <c r="O123" s="661">
        <f t="shared" si="61"/>
        <v>0</v>
      </c>
      <c r="P123" s="622"/>
      <c r="Q123" s="675"/>
      <c r="R123" s="661">
        <f t="shared" si="62"/>
        <v>0</v>
      </c>
      <c r="S123" s="622"/>
      <c r="T123" s="675"/>
      <c r="U123" s="662">
        <f t="shared" si="63"/>
        <v>0</v>
      </c>
      <c r="V123" s="663">
        <f t="shared" si="64"/>
        <v>0</v>
      </c>
      <c r="W123" s="664">
        <f t="shared" si="65"/>
        <v>0</v>
      </c>
      <c r="X123" s="661">
        <f t="shared" si="66"/>
        <v>0</v>
      </c>
      <c r="Y123" s="665">
        <f t="shared" si="67"/>
        <v>0</v>
      </c>
      <c r="Z123" s="666">
        <f t="shared" si="68"/>
        <v>0</v>
      </c>
      <c r="AA123" s="278"/>
    </row>
    <row r="124" spans="1:27" ht="15">
      <c r="A124" s="479">
        <f t="shared" si="25"/>
        <v>124</v>
      </c>
      <c r="B124" s="96"/>
      <c r="C124" s="94"/>
      <c r="D124" s="54" t="s">
        <v>70</v>
      </c>
      <c r="E124" s="50"/>
      <c r="F124" s="50"/>
      <c r="G124" s="59"/>
      <c r="H124" s="240"/>
      <c r="I124" s="625"/>
      <c r="J124" s="624"/>
      <c r="K124" s="673"/>
      <c r="L124" s="661">
        <f t="shared" si="60"/>
        <v>0</v>
      </c>
      <c r="M124" s="622"/>
      <c r="N124" s="675"/>
      <c r="O124" s="661">
        <f t="shared" si="61"/>
        <v>0</v>
      </c>
      <c r="P124" s="622"/>
      <c r="Q124" s="675"/>
      <c r="R124" s="661">
        <f t="shared" si="62"/>
        <v>0</v>
      </c>
      <c r="S124" s="622"/>
      <c r="T124" s="675"/>
      <c r="U124" s="662">
        <f t="shared" si="63"/>
        <v>0</v>
      </c>
      <c r="V124" s="663">
        <f t="shared" si="64"/>
        <v>0</v>
      </c>
      <c r="W124" s="664">
        <f t="shared" si="65"/>
        <v>0</v>
      </c>
      <c r="X124" s="661">
        <f t="shared" si="66"/>
        <v>0</v>
      </c>
      <c r="Y124" s="665">
        <f t="shared" si="67"/>
        <v>0</v>
      </c>
      <c r="Z124" s="666">
        <f t="shared" si="68"/>
        <v>0</v>
      </c>
      <c r="AA124" s="278"/>
    </row>
    <row r="125" spans="1:27" ht="15">
      <c r="A125" s="479">
        <f t="shared" si="25"/>
        <v>125</v>
      </c>
      <c r="B125" s="96"/>
      <c r="C125" s="94"/>
      <c r="D125" s="50" t="s">
        <v>72</v>
      </c>
      <c r="E125" s="50"/>
      <c r="F125" s="50"/>
      <c r="G125" s="59"/>
      <c r="H125" s="240"/>
      <c r="I125" s="625"/>
      <c r="J125" s="624"/>
      <c r="K125" s="673"/>
      <c r="L125" s="661">
        <f t="shared" si="60"/>
        <v>0</v>
      </c>
      <c r="M125" s="622"/>
      <c r="N125" s="675"/>
      <c r="O125" s="661">
        <f t="shared" si="61"/>
        <v>0</v>
      </c>
      <c r="P125" s="622"/>
      <c r="Q125" s="675"/>
      <c r="R125" s="661">
        <f t="shared" si="62"/>
        <v>0</v>
      </c>
      <c r="S125" s="622"/>
      <c r="T125" s="675"/>
      <c r="U125" s="662">
        <f t="shared" si="63"/>
        <v>0</v>
      </c>
      <c r="V125" s="663">
        <f t="shared" si="64"/>
        <v>0</v>
      </c>
      <c r="W125" s="664">
        <f t="shared" si="65"/>
        <v>0</v>
      </c>
      <c r="X125" s="661">
        <f t="shared" si="66"/>
        <v>0</v>
      </c>
      <c r="Y125" s="665">
        <f t="shared" si="67"/>
        <v>0</v>
      </c>
      <c r="Z125" s="666">
        <f t="shared" si="68"/>
        <v>0</v>
      </c>
      <c r="AA125" s="278"/>
    </row>
    <row r="126" spans="1:27" ht="15">
      <c r="A126" s="479">
        <f t="shared" si="25"/>
        <v>126</v>
      </c>
      <c r="B126" s="96"/>
      <c r="C126" s="94"/>
      <c r="D126" s="50" t="s">
        <v>56</v>
      </c>
      <c r="E126" s="50"/>
      <c r="F126" s="50"/>
      <c r="G126" s="59"/>
      <c r="H126" s="240"/>
      <c r="I126" s="625"/>
      <c r="J126" s="624"/>
      <c r="K126" s="673"/>
      <c r="L126" s="661">
        <f t="shared" si="60"/>
        <v>0</v>
      </c>
      <c r="M126" s="622"/>
      <c r="N126" s="675"/>
      <c r="O126" s="661">
        <f t="shared" si="61"/>
        <v>0</v>
      </c>
      <c r="P126" s="622"/>
      <c r="Q126" s="675"/>
      <c r="R126" s="661">
        <f t="shared" si="62"/>
        <v>0</v>
      </c>
      <c r="S126" s="622"/>
      <c r="T126" s="675"/>
      <c r="U126" s="662">
        <f t="shared" si="63"/>
        <v>0</v>
      </c>
      <c r="V126" s="663">
        <f t="shared" si="64"/>
        <v>0</v>
      </c>
      <c r="W126" s="664">
        <f t="shared" si="65"/>
        <v>0</v>
      </c>
      <c r="X126" s="661">
        <f t="shared" si="66"/>
        <v>0</v>
      </c>
      <c r="Y126" s="665">
        <f t="shared" si="67"/>
        <v>0</v>
      </c>
      <c r="Z126" s="666">
        <f t="shared" si="68"/>
        <v>0</v>
      </c>
      <c r="AA126" s="278"/>
    </row>
    <row r="127" spans="1:27" ht="15">
      <c r="A127" s="479">
        <f t="shared" si="25"/>
        <v>127</v>
      </c>
      <c r="B127" s="96"/>
      <c r="C127" s="94"/>
      <c r="D127" s="54" t="s">
        <v>62</v>
      </c>
      <c r="E127" s="50"/>
      <c r="F127" s="50"/>
      <c r="G127" s="59"/>
      <c r="H127" s="240"/>
      <c r="I127" s="625"/>
      <c r="J127" s="624"/>
      <c r="K127" s="673"/>
      <c r="L127" s="661">
        <f t="shared" si="60"/>
        <v>0</v>
      </c>
      <c r="M127" s="622"/>
      <c r="N127" s="675"/>
      <c r="O127" s="661">
        <f t="shared" si="61"/>
        <v>0</v>
      </c>
      <c r="P127" s="622"/>
      <c r="Q127" s="675"/>
      <c r="R127" s="661">
        <f t="shared" si="62"/>
        <v>0</v>
      </c>
      <c r="S127" s="622"/>
      <c r="T127" s="675"/>
      <c r="U127" s="662">
        <f t="shared" si="63"/>
        <v>0</v>
      </c>
      <c r="V127" s="663">
        <f t="shared" si="64"/>
        <v>0</v>
      </c>
      <c r="W127" s="664">
        <f t="shared" si="65"/>
        <v>0</v>
      </c>
      <c r="X127" s="661">
        <f t="shared" si="66"/>
        <v>0</v>
      </c>
      <c r="Y127" s="665">
        <f t="shared" si="67"/>
        <v>0</v>
      </c>
      <c r="Z127" s="666">
        <f t="shared" si="68"/>
        <v>0</v>
      </c>
      <c r="AA127" s="278"/>
    </row>
    <row r="128" spans="1:27" ht="15">
      <c r="A128" s="479">
        <f t="shared" si="25"/>
        <v>128</v>
      </c>
      <c r="B128" s="96"/>
      <c r="C128" s="94"/>
      <c r="D128" s="50" t="s">
        <v>53</v>
      </c>
      <c r="E128" s="50"/>
      <c r="F128" s="50"/>
      <c r="G128" s="59"/>
      <c r="H128" s="240"/>
      <c r="I128" s="625"/>
      <c r="J128" s="624"/>
      <c r="K128" s="673"/>
      <c r="L128" s="661">
        <f t="shared" si="60"/>
        <v>0</v>
      </c>
      <c r="M128" s="624"/>
      <c r="N128" s="675"/>
      <c r="O128" s="661">
        <f t="shared" si="61"/>
        <v>0</v>
      </c>
      <c r="P128" s="624"/>
      <c r="Q128" s="675"/>
      <c r="R128" s="661">
        <f t="shared" si="62"/>
        <v>0</v>
      </c>
      <c r="S128" s="622"/>
      <c r="T128" s="675"/>
      <c r="U128" s="662">
        <f t="shared" si="63"/>
        <v>0</v>
      </c>
      <c r="V128" s="663">
        <f t="shared" si="64"/>
        <v>0</v>
      </c>
      <c r="W128" s="664">
        <f t="shared" si="65"/>
        <v>0</v>
      </c>
      <c r="X128" s="661">
        <f t="shared" si="66"/>
        <v>0</v>
      </c>
      <c r="Y128" s="665">
        <f t="shared" si="67"/>
        <v>0</v>
      </c>
      <c r="Z128" s="666">
        <f t="shared" si="68"/>
        <v>0</v>
      </c>
      <c r="AA128" s="278"/>
    </row>
    <row r="129" spans="1:27" ht="15">
      <c r="A129" s="479">
        <f t="shared" si="25"/>
        <v>129</v>
      </c>
      <c r="B129" s="96"/>
      <c r="C129" s="94"/>
      <c r="D129" s="54" t="s">
        <v>60</v>
      </c>
      <c r="E129" s="50"/>
      <c r="F129" s="50"/>
      <c r="G129" s="59"/>
      <c r="H129" s="240"/>
      <c r="I129" s="625"/>
      <c r="J129" s="624"/>
      <c r="K129" s="673"/>
      <c r="L129" s="661">
        <f t="shared" si="60"/>
        <v>0</v>
      </c>
      <c r="M129" s="622"/>
      <c r="N129" s="675"/>
      <c r="O129" s="661">
        <f t="shared" si="61"/>
        <v>0</v>
      </c>
      <c r="P129" s="622"/>
      <c r="Q129" s="675"/>
      <c r="R129" s="661">
        <f t="shared" si="62"/>
        <v>0</v>
      </c>
      <c r="S129" s="622"/>
      <c r="T129" s="675"/>
      <c r="U129" s="662">
        <f t="shared" si="63"/>
        <v>0</v>
      </c>
      <c r="V129" s="663">
        <f t="shared" si="64"/>
        <v>0</v>
      </c>
      <c r="W129" s="664">
        <f t="shared" si="65"/>
        <v>0</v>
      </c>
      <c r="X129" s="661">
        <f t="shared" si="66"/>
        <v>0</v>
      </c>
      <c r="Y129" s="665">
        <f t="shared" si="67"/>
        <v>0</v>
      </c>
      <c r="Z129" s="666">
        <f t="shared" si="68"/>
        <v>0</v>
      </c>
      <c r="AA129" s="278"/>
    </row>
    <row r="130" spans="1:27" ht="15">
      <c r="A130" s="479">
        <f t="shared" si="25"/>
        <v>130</v>
      </c>
      <c r="B130" s="96"/>
      <c r="C130" s="94"/>
      <c r="D130" s="54" t="s">
        <v>2</v>
      </c>
      <c r="E130" s="50"/>
      <c r="F130" s="50"/>
      <c r="G130" s="59"/>
      <c r="H130" s="240"/>
      <c r="I130" s="625"/>
      <c r="J130" s="624"/>
      <c r="K130" s="673"/>
      <c r="L130" s="661">
        <f t="shared" si="60"/>
        <v>0</v>
      </c>
      <c r="M130" s="622"/>
      <c r="N130" s="675"/>
      <c r="O130" s="661">
        <f t="shared" si="61"/>
        <v>0</v>
      </c>
      <c r="P130" s="622"/>
      <c r="Q130" s="675"/>
      <c r="R130" s="661">
        <f t="shared" si="62"/>
        <v>0</v>
      </c>
      <c r="S130" s="622"/>
      <c r="T130" s="675"/>
      <c r="U130" s="662">
        <f t="shared" si="63"/>
        <v>0</v>
      </c>
      <c r="V130" s="663">
        <f t="shared" si="64"/>
        <v>0</v>
      </c>
      <c r="W130" s="664">
        <f t="shared" si="65"/>
        <v>0</v>
      </c>
      <c r="X130" s="661">
        <f t="shared" si="66"/>
        <v>0</v>
      </c>
      <c r="Y130" s="665">
        <f t="shared" si="67"/>
        <v>0</v>
      </c>
      <c r="Z130" s="666">
        <f t="shared" si="68"/>
        <v>0</v>
      </c>
      <c r="AA130" s="278"/>
    </row>
    <row r="131" spans="1:27" ht="15">
      <c r="A131" s="479">
        <f t="shared" si="25"/>
        <v>131</v>
      </c>
      <c r="B131" s="96"/>
      <c r="C131" s="94"/>
      <c r="D131" s="54" t="s">
        <v>19</v>
      </c>
      <c r="E131" s="50"/>
      <c r="F131" s="50"/>
      <c r="G131" s="59"/>
      <c r="H131" s="240"/>
      <c r="I131" s="625"/>
      <c r="J131" s="624"/>
      <c r="K131" s="673"/>
      <c r="L131" s="661">
        <f t="shared" si="60"/>
        <v>0</v>
      </c>
      <c r="M131" s="622"/>
      <c r="N131" s="675"/>
      <c r="O131" s="661">
        <f t="shared" si="61"/>
        <v>0</v>
      </c>
      <c r="P131" s="622"/>
      <c r="Q131" s="675"/>
      <c r="R131" s="661">
        <f t="shared" si="62"/>
        <v>0</v>
      </c>
      <c r="S131" s="622"/>
      <c r="T131" s="675"/>
      <c r="U131" s="662">
        <f t="shared" si="63"/>
        <v>0</v>
      </c>
      <c r="V131" s="663">
        <f t="shared" si="64"/>
        <v>0</v>
      </c>
      <c r="W131" s="664">
        <f t="shared" si="65"/>
        <v>0</v>
      </c>
      <c r="X131" s="661">
        <f t="shared" si="66"/>
        <v>0</v>
      </c>
      <c r="Y131" s="665">
        <f t="shared" si="67"/>
        <v>0</v>
      </c>
      <c r="Z131" s="666">
        <f t="shared" si="68"/>
        <v>0</v>
      </c>
      <c r="AA131" s="278"/>
    </row>
    <row r="132" spans="1:27" ht="15">
      <c r="A132" s="479">
        <f t="shared" ref="A132:A195" si="69">A131+1</f>
        <v>132</v>
      </c>
      <c r="B132" s="96"/>
      <c r="C132" s="94"/>
      <c r="D132" s="54" t="s">
        <v>63</v>
      </c>
      <c r="E132" s="50"/>
      <c r="F132" s="50"/>
      <c r="G132" s="59"/>
      <c r="H132" s="240"/>
      <c r="I132" s="625"/>
      <c r="J132" s="624"/>
      <c r="K132" s="673"/>
      <c r="L132" s="661">
        <f t="shared" si="60"/>
        <v>0</v>
      </c>
      <c r="M132" s="622"/>
      <c r="N132" s="675"/>
      <c r="O132" s="661">
        <f t="shared" si="61"/>
        <v>0</v>
      </c>
      <c r="P132" s="622"/>
      <c r="Q132" s="675"/>
      <c r="R132" s="661">
        <f t="shared" si="62"/>
        <v>0</v>
      </c>
      <c r="S132" s="622"/>
      <c r="T132" s="675"/>
      <c r="U132" s="662">
        <f t="shared" si="63"/>
        <v>0</v>
      </c>
      <c r="V132" s="663">
        <f t="shared" si="64"/>
        <v>0</v>
      </c>
      <c r="W132" s="664">
        <f t="shared" si="65"/>
        <v>0</v>
      </c>
      <c r="X132" s="661">
        <f t="shared" si="66"/>
        <v>0</v>
      </c>
      <c r="Y132" s="665">
        <f t="shared" si="67"/>
        <v>0</v>
      </c>
      <c r="Z132" s="666">
        <f t="shared" si="68"/>
        <v>0</v>
      </c>
      <c r="AA132" s="278"/>
    </row>
    <row r="133" spans="1:27" ht="15">
      <c r="A133" s="479">
        <f t="shared" si="69"/>
        <v>133</v>
      </c>
      <c r="B133" s="96"/>
      <c r="C133" s="94"/>
      <c r="D133" s="50" t="s">
        <v>6</v>
      </c>
      <c r="E133" s="50"/>
      <c r="F133" s="50"/>
      <c r="G133" s="59"/>
      <c r="H133" s="240"/>
      <c r="I133" s="625"/>
      <c r="J133" s="624"/>
      <c r="K133" s="673"/>
      <c r="L133" s="661">
        <f t="shared" si="60"/>
        <v>0</v>
      </c>
      <c r="M133" s="622"/>
      <c r="N133" s="675"/>
      <c r="O133" s="661">
        <f t="shared" si="61"/>
        <v>0</v>
      </c>
      <c r="P133" s="622"/>
      <c r="Q133" s="675"/>
      <c r="R133" s="661">
        <f t="shared" si="62"/>
        <v>0</v>
      </c>
      <c r="S133" s="622"/>
      <c r="T133" s="675"/>
      <c r="U133" s="662">
        <f t="shared" si="63"/>
        <v>0</v>
      </c>
      <c r="V133" s="663">
        <f t="shared" si="64"/>
        <v>0</v>
      </c>
      <c r="W133" s="664">
        <f t="shared" si="65"/>
        <v>0</v>
      </c>
      <c r="X133" s="661">
        <f t="shared" si="66"/>
        <v>0</v>
      </c>
      <c r="Y133" s="665">
        <f t="shared" si="67"/>
        <v>0</v>
      </c>
      <c r="Z133" s="666">
        <f t="shared" si="68"/>
        <v>0</v>
      </c>
      <c r="AA133" s="278"/>
    </row>
    <row r="134" spans="1:27" ht="15">
      <c r="A134" s="479">
        <f t="shared" si="69"/>
        <v>134</v>
      </c>
      <c r="B134" s="96"/>
      <c r="C134" s="94"/>
      <c r="D134" s="50" t="s">
        <v>18</v>
      </c>
      <c r="E134" s="50"/>
      <c r="F134" s="50"/>
      <c r="G134" s="59"/>
      <c r="H134" s="240"/>
      <c r="I134" s="625"/>
      <c r="J134" s="624"/>
      <c r="K134" s="673"/>
      <c r="L134" s="661">
        <f t="shared" si="60"/>
        <v>0</v>
      </c>
      <c r="M134" s="622"/>
      <c r="N134" s="675"/>
      <c r="O134" s="661">
        <f t="shared" si="61"/>
        <v>0</v>
      </c>
      <c r="P134" s="622"/>
      <c r="Q134" s="675"/>
      <c r="R134" s="661">
        <f t="shared" si="62"/>
        <v>0</v>
      </c>
      <c r="S134" s="622"/>
      <c r="T134" s="675"/>
      <c r="U134" s="662">
        <f t="shared" si="63"/>
        <v>0</v>
      </c>
      <c r="V134" s="663">
        <f t="shared" si="64"/>
        <v>0</v>
      </c>
      <c r="W134" s="664">
        <f t="shared" si="65"/>
        <v>0</v>
      </c>
      <c r="X134" s="661">
        <f t="shared" si="66"/>
        <v>0</v>
      </c>
      <c r="Y134" s="665">
        <f t="shared" si="67"/>
        <v>0</v>
      </c>
      <c r="Z134" s="666">
        <f t="shared" si="68"/>
        <v>0</v>
      </c>
      <c r="AA134" s="278"/>
    </row>
    <row r="135" spans="1:27" ht="15">
      <c r="A135" s="479">
        <f t="shared" si="69"/>
        <v>135</v>
      </c>
      <c r="B135" s="96"/>
      <c r="C135" s="94"/>
      <c r="D135" s="54" t="s">
        <v>8</v>
      </c>
      <c r="E135" s="50"/>
      <c r="F135" s="50"/>
      <c r="G135" s="59"/>
      <c r="H135" s="240"/>
      <c r="I135" s="625"/>
      <c r="J135" s="624"/>
      <c r="K135" s="673"/>
      <c r="L135" s="661">
        <f t="shared" si="60"/>
        <v>0</v>
      </c>
      <c r="M135" s="622"/>
      <c r="N135" s="675"/>
      <c r="O135" s="661">
        <f t="shared" si="61"/>
        <v>0</v>
      </c>
      <c r="P135" s="622"/>
      <c r="Q135" s="675"/>
      <c r="R135" s="661">
        <f t="shared" si="62"/>
        <v>0</v>
      </c>
      <c r="S135" s="622"/>
      <c r="T135" s="675"/>
      <c r="U135" s="662">
        <f t="shared" si="63"/>
        <v>0</v>
      </c>
      <c r="V135" s="663">
        <f t="shared" si="64"/>
        <v>0</v>
      </c>
      <c r="W135" s="664">
        <f t="shared" si="65"/>
        <v>0</v>
      </c>
      <c r="X135" s="661">
        <f t="shared" si="66"/>
        <v>0</v>
      </c>
      <c r="Y135" s="665">
        <f t="shared" si="67"/>
        <v>0</v>
      </c>
      <c r="Z135" s="666">
        <f t="shared" si="68"/>
        <v>0</v>
      </c>
      <c r="AA135" s="278"/>
    </row>
    <row r="136" spans="1:27" ht="15">
      <c r="A136" s="479">
        <f t="shared" si="69"/>
        <v>136</v>
      </c>
      <c r="B136" s="96"/>
      <c r="C136" s="94"/>
      <c r="D136" s="54" t="s">
        <v>59</v>
      </c>
      <c r="E136" s="50"/>
      <c r="F136" s="50"/>
      <c r="G136" s="59"/>
      <c r="H136" s="240"/>
      <c r="I136" s="625"/>
      <c r="J136" s="624"/>
      <c r="K136" s="673"/>
      <c r="L136" s="661">
        <f t="shared" si="60"/>
        <v>0</v>
      </c>
      <c r="M136" s="622"/>
      <c r="N136" s="675"/>
      <c r="O136" s="661">
        <f t="shared" si="61"/>
        <v>0</v>
      </c>
      <c r="P136" s="622"/>
      <c r="Q136" s="675"/>
      <c r="R136" s="661">
        <f t="shared" si="62"/>
        <v>0</v>
      </c>
      <c r="S136" s="622"/>
      <c r="T136" s="675"/>
      <c r="U136" s="662">
        <f t="shared" si="63"/>
        <v>0</v>
      </c>
      <c r="V136" s="663">
        <f t="shared" si="64"/>
        <v>0</v>
      </c>
      <c r="W136" s="664">
        <f t="shared" si="65"/>
        <v>0</v>
      </c>
      <c r="X136" s="661">
        <f t="shared" si="66"/>
        <v>0</v>
      </c>
      <c r="Y136" s="665">
        <f t="shared" si="67"/>
        <v>0</v>
      </c>
      <c r="Z136" s="666">
        <f t="shared" si="68"/>
        <v>0</v>
      </c>
      <c r="AA136" s="278"/>
    </row>
    <row r="137" spans="1:27" ht="15">
      <c r="A137" s="479">
        <f t="shared" si="69"/>
        <v>137</v>
      </c>
      <c r="B137" s="96"/>
      <c r="C137" s="94"/>
      <c r="D137" s="54" t="s">
        <v>74</v>
      </c>
      <c r="E137" s="50"/>
      <c r="F137" s="50"/>
      <c r="G137" s="59"/>
      <c r="H137" s="240"/>
      <c r="I137" s="625"/>
      <c r="J137" s="624"/>
      <c r="K137" s="673"/>
      <c r="L137" s="661">
        <f t="shared" si="60"/>
        <v>0</v>
      </c>
      <c r="M137" s="624"/>
      <c r="N137" s="675"/>
      <c r="O137" s="661">
        <f t="shared" si="61"/>
        <v>0</v>
      </c>
      <c r="P137" s="624"/>
      <c r="Q137" s="675"/>
      <c r="R137" s="661">
        <f t="shared" si="62"/>
        <v>0</v>
      </c>
      <c r="S137" s="624"/>
      <c r="T137" s="675"/>
      <c r="U137" s="662">
        <f t="shared" si="63"/>
        <v>0</v>
      </c>
      <c r="V137" s="663">
        <f t="shared" si="64"/>
        <v>0</v>
      </c>
      <c r="W137" s="664">
        <f t="shared" si="65"/>
        <v>0</v>
      </c>
      <c r="X137" s="661">
        <f t="shared" si="66"/>
        <v>0</v>
      </c>
      <c r="Y137" s="665">
        <f t="shared" si="67"/>
        <v>0</v>
      </c>
      <c r="Z137" s="666">
        <f t="shared" si="68"/>
        <v>0</v>
      </c>
      <c r="AA137" s="278"/>
    </row>
    <row r="138" spans="1:27" ht="15">
      <c r="A138" s="479">
        <f t="shared" si="69"/>
        <v>138</v>
      </c>
      <c r="B138" s="96"/>
      <c r="C138" s="94"/>
      <c r="D138" s="54" t="s">
        <v>61</v>
      </c>
      <c r="E138" s="50"/>
      <c r="F138" s="50"/>
      <c r="G138" s="59"/>
      <c r="H138" s="240"/>
      <c r="I138" s="625"/>
      <c r="J138" s="624"/>
      <c r="K138" s="673"/>
      <c r="L138" s="661">
        <f t="shared" si="60"/>
        <v>0</v>
      </c>
      <c r="M138" s="674"/>
      <c r="N138" s="675"/>
      <c r="O138" s="661">
        <f t="shared" si="61"/>
        <v>0</v>
      </c>
      <c r="P138" s="674"/>
      <c r="Q138" s="675"/>
      <c r="R138" s="661">
        <f t="shared" si="62"/>
        <v>0</v>
      </c>
      <c r="S138" s="674"/>
      <c r="T138" s="675"/>
      <c r="U138" s="662">
        <f t="shared" si="63"/>
        <v>0</v>
      </c>
      <c r="V138" s="663">
        <f t="shared" si="64"/>
        <v>0</v>
      </c>
      <c r="W138" s="664">
        <f t="shared" si="65"/>
        <v>0</v>
      </c>
      <c r="X138" s="661">
        <f t="shared" si="66"/>
        <v>0</v>
      </c>
      <c r="Y138" s="665">
        <f t="shared" si="67"/>
        <v>0</v>
      </c>
      <c r="Z138" s="666">
        <f t="shared" si="68"/>
        <v>0</v>
      </c>
      <c r="AA138" s="278"/>
    </row>
    <row r="139" spans="1:27" ht="15">
      <c r="A139" s="479">
        <f t="shared" si="69"/>
        <v>139</v>
      </c>
      <c r="B139" s="96"/>
      <c r="C139" s="94"/>
      <c r="D139" s="54" t="s">
        <v>41</v>
      </c>
      <c r="E139" s="50"/>
      <c r="F139" s="50"/>
      <c r="G139" s="59"/>
      <c r="H139" s="240"/>
      <c r="I139" s="667"/>
      <c r="J139" s="672"/>
      <c r="K139" s="673"/>
      <c r="L139" s="661">
        <f t="shared" si="60"/>
        <v>0</v>
      </c>
      <c r="M139" s="674"/>
      <c r="N139" s="675"/>
      <c r="O139" s="661">
        <f t="shared" si="61"/>
        <v>0</v>
      </c>
      <c r="P139" s="674"/>
      <c r="Q139" s="675"/>
      <c r="R139" s="661">
        <f t="shared" si="62"/>
        <v>0</v>
      </c>
      <c r="S139" s="674"/>
      <c r="T139" s="675"/>
      <c r="U139" s="662">
        <f t="shared" si="63"/>
        <v>0</v>
      </c>
      <c r="V139" s="663">
        <f t="shared" si="64"/>
        <v>0</v>
      </c>
      <c r="W139" s="664">
        <f t="shared" si="65"/>
        <v>0</v>
      </c>
      <c r="X139" s="661">
        <f t="shared" si="66"/>
        <v>0</v>
      </c>
      <c r="Y139" s="665">
        <f t="shared" si="67"/>
        <v>0</v>
      </c>
      <c r="Z139" s="666">
        <f t="shared" si="68"/>
        <v>0</v>
      </c>
      <c r="AA139" s="278"/>
    </row>
    <row r="140" spans="1:27" ht="16.8">
      <c r="A140" s="479">
        <f t="shared" si="69"/>
        <v>140</v>
      </c>
      <c r="B140" s="96"/>
      <c r="C140" s="94"/>
      <c r="D140" s="50" t="s">
        <v>29</v>
      </c>
      <c r="E140" s="50"/>
      <c r="F140" s="50"/>
      <c r="G140" s="59"/>
      <c r="H140" s="240"/>
      <c r="I140" s="678"/>
      <c r="J140" s="679"/>
      <c r="K140" s="680"/>
      <c r="L140" s="681">
        <f t="shared" si="60"/>
        <v>0</v>
      </c>
      <c r="M140" s="679"/>
      <c r="N140" s="683"/>
      <c r="O140" s="681">
        <f t="shared" si="61"/>
        <v>0</v>
      </c>
      <c r="P140" s="679"/>
      <c r="Q140" s="683"/>
      <c r="R140" s="681">
        <f t="shared" si="62"/>
        <v>0</v>
      </c>
      <c r="S140" s="679"/>
      <c r="T140" s="683"/>
      <c r="U140" s="684">
        <f t="shared" si="63"/>
        <v>0</v>
      </c>
      <c r="V140" s="685">
        <f t="shared" si="64"/>
        <v>0</v>
      </c>
      <c r="W140" s="686">
        <f t="shared" si="65"/>
        <v>0</v>
      </c>
      <c r="X140" s="681">
        <f t="shared" si="66"/>
        <v>0</v>
      </c>
      <c r="Y140" s="687">
        <f t="shared" si="67"/>
        <v>0</v>
      </c>
      <c r="Z140" s="688">
        <f t="shared" si="68"/>
        <v>0</v>
      </c>
      <c r="AA140" s="278"/>
    </row>
    <row r="141" spans="1:27" ht="15">
      <c r="A141" s="479">
        <f t="shared" si="69"/>
        <v>141</v>
      </c>
      <c r="B141" s="96"/>
      <c r="C141" s="55" t="s">
        <v>88</v>
      </c>
      <c r="D141" s="50"/>
      <c r="E141" s="50"/>
      <c r="F141" s="50"/>
      <c r="G141" s="59"/>
      <c r="H141" s="240"/>
      <c r="I141" s="676">
        <f t="shared" ref="I141:Z141" si="70">SUM(I121:I140)</f>
        <v>0</v>
      </c>
      <c r="J141" s="659">
        <f t="shared" si="70"/>
        <v>0</v>
      </c>
      <c r="K141" s="669">
        <f t="shared" si="70"/>
        <v>0</v>
      </c>
      <c r="L141" s="669">
        <f t="shared" si="70"/>
        <v>0</v>
      </c>
      <c r="M141" s="659">
        <f t="shared" si="70"/>
        <v>0</v>
      </c>
      <c r="N141" s="669">
        <f t="shared" si="70"/>
        <v>0</v>
      </c>
      <c r="O141" s="669">
        <f t="shared" si="70"/>
        <v>0</v>
      </c>
      <c r="P141" s="659">
        <f t="shared" si="70"/>
        <v>0</v>
      </c>
      <c r="Q141" s="669">
        <f t="shared" si="70"/>
        <v>0</v>
      </c>
      <c r="R141" s="669">
        <f t="shared" si="70"/>
        <v>0</v>
      </c>
      <c r="S141" s="659">
        <f t="shared" si="70"/>
        <v>0</v>
      </c>
      <c r="T141" s="669">
        <f t="shared" si="70"/>
        <v>0</v>
      </c>
      <c r="U141" s="670">
        <f t="shared" si="70"/>
        <v>0</v>
      </c>
      <c r="V141" s="663">
        <f t="shared" si="70"/>
        <v>0</v>
      </c>
      <c r="W141" s="669">
        <f t="shared" si="70"/>
        <v>0</v>
      </c>
      <c r="X141" s="671">
        <f t="shared" si="70"/>
        <v>0</v>
      </c>
      <c r="Y141" s="665">
        <f t="shared" si="70"/>
        <v>0</v>
      </c>
      <c r="Z141" s="666">
        <f t="shared" si="70"/>
        <v>0</v>
      </c>
      <c r="AA141" s="278"/>
    </row>
    <row r="142" spans="1:27" ht="15">
      <c r="A142" s="479">
        <f t="shared" si="69"/>
        <v>142</v>
      </c>
      <c r="B142" s="96"/>
      <c r="C142" s="94"/>
      <c r="D142" s="120"/>
      <c r="E142" s="120"/>
      <c r="F142" s="120"/>
      <c r="G142" s="56"/>
      <c r="H142" s="240"/>
      <c r="I142" s="689"/>
      <c r="J142" s="689"/>
      <c r="K142" s="689"/>
      <c r="L142" s="689"/>
      <c r="M142" s="689"/>
      <c r="N142" s="689"/>
      <c r="O142" s="689"/>
      <c r="P142" s="689"/>
      <c r="Q142" s="689"/>
      <c r="R142" s="689"/>
      <c r="S142" s="689"/>
      <c r="T142" s="689"/>
      <c r="U142" s="690"/>
      <c r="V142" s="689"/>
      <c r="W142" s="689"/>
      <c r="X142" s="689"/>
      <c r="Y142" s="689"/>
      <c r="Z142" s="690"/>
      <c r="AA142" s="278"/>
    </row>
    <row r="143" spans="1:27" ht="15">
      <c r="A143" s="479">
        <f t="shared" si="69"/>
        <v>143</v>
      </c>
      <c r="B143" s="96"/>
      <c r="C143" s="119" t="s">
        <v>89</v>
      </c>
      <c r="D143" s="50"/>
      <c r="E143" s="123"/>
      <c r="F143" s="123"/>
      <c r="G143" s="124"/>
      <c r="H143" s="240"/>
      <c r="I143" s="98"/>
      <c r="J143" s="98"/>
      <c r="K143" s="98"/>
      <c r="L143" s="98"/>
      <c r="M143" s="98"/>
      <c r="N143" s="98"/>
      <c r="O143" s="98"/>
      <c r="P143" s="98"/>
      <c r="Q143" s="98"/>
      <c r="R143" s="98"/>
      <c r="S143" s="98"/>
      <c r="T143" s="98"/>
      <c r="U143" s="99"/>
      <c r="V143" s="98"/>
      <c r="W143" s="98"/>
      <c r="X143" s="98"/>
      <c r="Y143" s="98"/>
      <c r="Z143" s="99"/>
      <c r="AA143" s="278"/>
    </row>
    <row r="144" spans="1:27" ht="15">
      <c r="A144" s="479">
        <f t="shared" si="69"/>
        <v>144</v>
      </c>
      <c r="B144" s="96"/>
      <c r="C144" s="50"/>
      <c r="D144" s="54" t="s">
        <v>3</v>
      </c>
      <c r="E144" s="53"/>
      <c r="F144" s="53"/>
      <c r="G144" s="124"/>
      <c r="H144" s="240"/>
      <c r="I144" s="625"/>
      <c r="J144" s="624"/>
      <c r="K144" s="673"/>
      <c r="L144" s="661">
        <f t="shared" ref="L144:L150" si="71">IF(K$18&lt;&gt;0,J144-K144,0)</f>
        <v>0</v>
      </c>
      <c r="M144" s="622"/>
      <c r="N144" s="675"/>
      <c r="O144" s="661">
        <f t="shared" ref="O144:O150" si="72">IF(N$18&lt;&gt;0,M144-N144,0)</f>
        <v>0</v>
      </c>
      <c r="P144" s="622"/>
      <c r="Q144" s="675"/>
      <c r="R144" s="661">
        <f t="shared" ref="R144:R150" si="73">IF(Q$18&lt;&gt;0,P144-Q144,0)</f>
        <v>0</v>
      </c>
      <c r="S144" s="622"/>
      <c r="T144" s="675"/>
      <c r="U144" s="662">
        <f t="shared" ref="U144:U150" si="74">IF(T$18&lt;&gt;0,S144-T144,0)</f>
        <v>0</v>
      </c>
      <c r="V144" s="663">
        <f t="shared" ref="V144:V150" si="75">J144+M144+P144+S144</f>
        <v>0</v>
      </c>
      <c r="W144" s="664">
        <f t="shared" ref="W144:W150" si="76">SUM(IF(K$6&lt;&gt;0,K144,J144)+IF(N$6&lt;&gt;0,N144,M144)+IF(Q$6&lt;&gt;0,Q144,P144)+IF(T$6&lt;&gt;0,T144,S144))</f>
        <v>0</v>
      </c>
      <c r="X144" s="661">
        <f t="shared" ref="X144:X150" si="77">V144-W144</f>
        <v>0</v>
      </c>
      <c r="Y144" s="665">
        <f t="shared" ref="Y144:Y150" si="78">I144-V144</f>
        <v>0</v>
      </c>
      <c r="Z144" s="666">
        <f t="shared" ref="Z144:Z150" si="79">I144-W144</f>
        <v>0</v>
      </c>
      <c r="AA144" s="278"/>
    </row>
    <row r="145" spans="1:27" ht="15">
      <c r="A145" s="479">
        <f t="shared" si="69"/>
        <v>145</v>
      </c>
      <c r="B145" s="96"/>
      <c r="C145" s="50"/>
      <c r="D145" s="54" t="s">
        <v>4</v>
      </c>
      <c r="E145" s="53"/>
      <c r="F145" s="53"/>
      <c r="G145" s="124"/>
      <c r="H145" s="240"/>
      <c r="I145" s="625"/>
      <c r="J145" s="624"/>
      <c r="K145" s="673"/>
      <c r="L145" s="661">
        <f t="shared" si="71"/>
        <v>0</v>
      </c>
      <c r="M145" s="622"/>
      <c r="N145" s="675"/>
      <c r="O145" s="661">
        <f t="shared" si="72"/>
        <v>0</v>
      </c>
      <c r="P145" s="622"/>
      <c r="Q145" s="675"/>
      <c r="R145" s="661">
        <f t="shared" si="73"/>
        <v>0</v>
      </c>
      <c r="S145" s="622"/>
      <c r="T145" s="675"/>
      <c r="U145" s="662">
        <f t="shared" si="74"/>
        <v>0</v>
      </c>
      <c r="V145" s="663">
        <f t="shared" si="75"/>
        <v>0</v>
      </c>
      <c r="W145" s="664">
        <f t="shared" si="76"/>
        <v>0</v>
      </c>
      <c r="X145" s="661">
        <f t="shared" si="77"/>
        <v>0</v>
      </c>
      <c r="Y145" s="665">
        <f t="shared" si="78"/>
        <v>0</v>
      </c>
      <c r="Z145" s="666">
        <f t="shared" si="79"/>
        <v>0</v>
      </c>
      <c r="AA145" s="278"/>
    </row>
    <row r="146" spans="1:27" ht="15">
      <c r="A146" s="479">
        <f t="shared" si="69"/>
        <v>146</v>
      </c>
      <c r="B146" s="96"/>
      <c r="C146" s="50"/>
      <c r="D146" s="50" t="s">
        <v>348</v>
      </c>
      <c r="E146" s="53"/>
      <c r="F146" s="53"/>
      <c r="G146" s="124"/>
      <c r="H146" s="240"/>
      <c r="I146" s="625"/>
      <c r="J146" s="621"/>
      <c r="K146" s="673"/>
      <c r="L146" s="661">
        <f t="shared" si="71"/>
        <v>0</v>
      </c>
      <c r="M146" s="622"/>
      <c r="N146" s="675"/>
      <c r="O146" s="661">
        <f t="shared" si="72"/>
        <v>0</v>
      </c>
      <c r="P146" s="622"/>
      <c r="Q146" s="675"/>
      <c r="R146" s="661">
        <f t="shared" si="73"/>
        <v>0</v>
      </c>
      <c r="S146" s="622"/>
      <c r="T146" s="675"/>
      <c r="U146" s="662">
        <f t="shared" si="74"/>
        <v>0</v>
      </c>
      <c r="V146" s="663">
        <f t="shared" si="75"/>
        <v>0</v>
      </c>
      <c r="W146" s="664">
        <f t="shared" si="76"/>
        <v>0</v>
      </c>
      <c r="X146" s="661">
        <f t="shared" si="77"/>
        <v>0</v>
      </c>
      <c r="Y146" s="665">
        <f t="shared" si="78"/>
        <v>0</v>
      </c>
      <c r="Z146" s="666">
        <f t="shared" si="79"/>
        <v>0</v>
      </c>
      <c r="AA146" s="278"/>
    </row>
    <row r="147" spans="1:27" ht="15">
      <c r="A147" s="479">
        <f t="shared" si="69"/>
        <v>147</v>
      </c>
      <c r="B147" s="96"/>
      <c r="C147" s="50"/>
      <c r="D147" s="50" t="s">
        <v>54</v>
      </c>
      <c r="E147" s="53"/>
      <c r="F147" s="53"/>
      <c r="G147" s="124"/>
      <c r="H147" s="240"/>
      <c r="I147" s="625"/>
      <c r="J147" s="624"/>
      <c r="K147" s="673"/>
      <c r="L147" s="661">
        <f t="shared" si="71"/>
        <v>0</v>
      </c>
      <c r="M147" s="622"/>
      <c r="N147" s="675"/>
      <c r="O147" s="661">
        <f t="shared" si="72"/>
        <v>0</v>
      </c>
      <c r="P147" s="622"/>
      <c r="Q147" s="675"/>
      <c r="R147" s="661">
        <f t="shared" si="73"/>
        <v>0</v>
      </c>
      <c r="S147" s="622"/>
      <c r="T147" s="675"/>
      <c r="U147" s="662">
        <f t="shared" si="74"/>
        <v>0</v>
      </c>
      <c r="V147" s="663">
        <f t="shared" si="75"/>
        <v>0</v>
      </c>
      <c r="W147" s="664">
        <f t="shared" si="76"/>
        <v>0</v>
      </c>
      <c r="X147" s="661">
        <f t="shared" si="77"/>
        <v>0</v>
      </c>
      <c r="Y147" s="665">
        <f t="shared" si="78"/>
        <v>0</v>
      </c>
      <c r="Z147" s="666">
        <f t="shared" si="79"/>
        <v>0</v>
      </c>
      <c r="AA147" s="278"/>
    </row>
    <row r="148" spans="1:27" ht="15">
      <c r="A148" s="479">
        <f t="shared" si="69"/>
        <v>148</v>
      </c>
      <c r="B148" s="96"/>
      <c r="C148" s="50"/>
      <c r="D148" s="50" t="s">
        <v>56</v>
      </c>
      <c r="E148" s="53"/>
      <c r="F148" s="53"/>
      <c r="G148" s="124"/>
      <c r="H148" s="240"/>
      <c r="I148" s="625"/>
      <c r="J148" s="624"/>
      <c r="K148" s="673"/>
      <c r="L148" s="661">
        <f t="shared" si="71"/>
        <v>0</v>
      </c>
      <c r="M148" s="622"/>
      <c r="N148" s="675"/>
      <c r="O148" s="661">
        <f t="shared" si="72"/>
        <v>0</v>
      </c>
      <c r="P148" s="622"/>
      <c r="Q148" s="675"/>
      <c r="R148" s="661">
        <f t="shared" si="73"/>
        <v>0</v>
      </c>
      <c r="S148" s="622"/>
      <c r="T148" s="675"/>
      <c r="U148" s="662">
        <f t="shared" si="74"/>
        <v>0</v>
      </c>
      <c r="V148" s="663">
        <f t="shared" si="75"/>
        <v>0</v>
      </c>
      <c r="W148" s="664">
        <f t="shared" si="76"/>
        <v>0</v>
      </c>
      <c r="X148" s="661">
        <f t="shared" si="77"/>
        <v>0</v>
      </c>
      <c r="Y148" s="665">
        <f t="shared" si="78"/>
        <v>0</v>
      </c>
      <c r="Z148" s="666">
        <f t="shared" si="79"/>
        <v>0</v>
      </c>
      <c r="AA148" s="278"/>
    </row>
    <row r="149" spans="1:27" ht="15">
      <c r="A149" s="479">
        <f t="shared" si="69"/>
        <v>149</v>
      </c>
      <c r="B149" s="96"/>
      <c r="C149" s="50"/>
      <c r="D149" s="54" t="s">
        <v>7</v>
      </c>
      <c r="E149" s="53"/>
      <c r="F149" s="53"/>
      <c r="G149" s="124"/>
      <c r="H149" s="240"/>
      <c r="I149" s="667"/>
      <c r="J149" s="624"/>
      <c r="K149" s="673"/>
      <c r="L149" s="661">
        <f t="shared" si="71"/>
        <v>0</v>
      </c>
      <c r="M149" s="622"/>
      <c r="N149" s="675"/>
      <c r="O149" s="661">
        <f t="shared" si="72"/>
        <v>0</v>
      </c>
      <c r="P149" s="622"/>
      <c r="Q149" s="675"/>
      <c r="R149" s="661">
        <f t="shared" si="73"/>
        <v>0</v>
      </c>
      <c r="S149" s="622"/>
      <c r="T149" s="675"/>
      <c r="U149" s="662">
        <f t="shared" si="74"/>
        <v>0</v>
      </c>
      <c r="V149" s="663">
        <f t="shared" si="75"/>
        <v>0</v>
      </c>
      <c r="W149" s="664">
        <f t="shared" si="76"/>
        <v>0</v>
      </c>
      <c r="X149" s="661">
        <f t="shared" si="77"/>
        <v>0</v>
      </c>
      <c r="Y149" s="665">
        <f t="shared" si="78"/>
        <v>0</v>
      </c>
      <c r="Z149" s="666">
        <f t="shared" si="79"/>
        <v>0</v>
      </c>
      <c r="AA149" s="278"/>
    </row>
    <row r="150" spans="1:27" ht="16.8">
      <c r="A150" s="479">
        <f t="shared" si="69"/>
        <v>150</v>
      </c>
      <c r="B150" s="96"/>
      <c r="C150" s="50"/>
      <c r="D150" s="50" t="s">
        <v>9</v>
      </c>
      <c r="E150" s="53"/>
      <c r="F150" s="53"/>
      <c r="G150" s="124"/>
      <c r="H150" s="240"/>
      <c r="I150" s="678"/>
      <c r="J150" s="623"/>
      <c r="K150" s="680"/>
      <c r="L150" s="681">
        <f t="shared" si="71"/>
        <v>0</v>
      </c>
      <c r="M150" s="623"/>
      <c r="N150" s="683"/>
      <c r="O150" s="681">
        <f t="shared" si="72"/>
        <v>0</v>
      </c>
      <c r="P150" s="623"/>
      <c r="Q150" s="683"/>
      <c r="R150" s="681">
        <f t="shared" si="73"/>
        <v>0</v>
      </c>
      <c r="S150" s="623"/>
      <c r="T150" s="683"/>
      <c r="U150" s="684">
        <f t="shared" si="74"/>
        <v>0</v>
      </c>
      <c r="V150" s="685">
        <f t="shared" si="75"/>
        <v>0</v>
      </c>
      <c r="W150" s="686">
        <f t="shared" si="76"/>
        <v>0</v>
      </c>
      <c r="X150" s="681">
        <f t="shared" si="77"/>
        <v>0</v>
      </c>
      <c r="Y150" s="687">
        <f t="shared" si="78"/>
        <v>0</v>
      </c>
      <c r="Z150" s="688">
        <f t="shared" si="79"/>
        <v>0</v>
      </c>
      <c r="AA150" s="278"/>
    </row>
    <row r="151" spans="1:27" ht="15">
      <c r="A151" s="479">
        <f t="shared" si="69"/>
        <v>151</v>
      </c>
      <c r="B151" s="96"/>
      <c r="C151" s="120" t="s">
        <v>90</v>
      </c>
      <c r="D151" s="50"/>
      <c r="E151" s="123"/>
      <c r="F151" s="123"/>
      <c r="G151" s="124"/>
      <c r="H151" s="240"/>
      <c r="I151" s="676">
        <f t="shared" ref="I151:Z151" si="80">SUM(I144:I150)</f>
        <v>0</v>
      </c>
      <c r="J151" s="659">
        <f t="shared" si="80"/>
        <v>0</v>
      </c>
      <c r="K151" s="669">
        <f t="shared" si="80"/>
        <v>0</v>
      </c>
      <c r="L151" s="669">
        <f t="shared" si="80"/>
        <v>0</v>
      </c>
      <c r="M151" s="659">
        <f t="shared" si="80"/>
        <v>0</v>
      </c>
      <c r="N151" s="669">
        <f t="shared" si="80"/>
        <v>0</v>
      </c>
      <c r="O151" s="669">
        <f t="shared" si="80"/>
        <v>0</v>
      </c>
      <c r="P151" s="659">
        <f t="shared" si="80"/>
        <v>0</v>
      </c>
      <c r="Q151" s="669">
        <f t="shared" si="80"/>
        <v>0</v>
      </c>
      <c r="R151" s="669">
        <f t="shared" si="80"/>
        <v>0</v>
      </c>
      <c r="S151" s="659">
        <f t="shared" si="80"/>
        <v>0</v>
      </c>
      <c r="T151" s="669">
        <f t="shared" si="80"/>
        <v>0</v>
      </c>
      <c r="U151" s="670">
        <f t="shared" si="80"/>
        <v>0</v>
      </c>
      <c r="V151" s="663">
        <f t="shared" si="80"/>
        <v>0</v>
      </c>
      <c r="W151" s="669">
        <f t="shared" si="80"/>
        <v>0</v>
      </c>
      <c r="X151" s="671">
        <f t="shared" si="80"/>
        <v>0</v>
      </c>
      <c r="Y151" s="665">
        <f t="shared" si="80"/>
        <v>0</v>
      </c>
      <c r="Z151" s="666">
        <f t="shared" si="80"/>
        <v>0</v>
      </c>
      <c r="AA151" s="278"/>
    </row>
    <row r="152" spans="1:27" ht="15">
      <c r="A152" s="479">
        <f t="shared" si="69"/>
        <v>152</v>
      </c>
      <c r="B152" s="96"/>
      <c r="C152" s="119"/>
      <c r="D152" s="50"/>
      <c r="E152" s="123"/>
      <c r="F152" s="123"/>
      <c r="G152" s="124"/>
      <c r="H152" s="240"/>
      <c r="I152" s="676"/>
      <c r="J152" s="676"/>
      <c r="K152" s="676"/>
      <c r="L152" s="676"/>
      <c r="M152" s="676"/>
      <c r="N152" s="676"/>
      <c r="O152" s="676"/>
      <c r="P152" s="676"/>
      <c r="Q152" s="676"/>
      <c r="R152" s="676"/>
      <c r="S152" s="676"/>
      <c r="T152" s="676"/>
      <c r="U152" s="666"/>
      <c r="V152" s="676"/>
      <c r="W152" s="676"/>
      <c r="X152" s="676"/>
      <c r="Y152" s="676"/>
      <c r="Z152" s="666"/>
      <c r="AA152" s="278"/>
    </row>
    <row r="153" spans="1:27" ht="15">
      <c r="A153" s="479">
        <f t="shared" si="69"/>
        <v>153</v>
      </c>
      <c r="B153" s="96"/>
      <c r="C153" s="119" t="s">
        <v>91</v>
      </c>
      <c r="D153" s="50"/>
      <c r="E153" s="123"/>
      <c r="F153" s="123"/>
      <c r="G153" s="124"/>
      <c r="H153" s="240"/>
      <c r="I153" s="625"/>
      <c r="J153" s="624"/>
      <c r="K153" s="673"/>
      <c r="L153" s="661">
        <f>IF(K$18&lt;&gt;0,J153-K153,0)</f>
        <v>0</v>
      </c>
      <c r="M153" s="674"/>
      <c r="N153" s="675"/>
      <c r="O153" s="661">
        <f>IF(N$18&lt;&gt;0,M153-N153,0)</f>
        <v>0</v>
      </c>
      <c r="P153" s="674"/>
      <c r="Q153" s="675"/>
      <c r="R153" s="661">
        <f>IF(Q$18&lt;&gt;0,P153-Q153,0)</f>
        <v>0</v>
      </c>
      <c r="S153" s="674"/>
      <c r="T153" s="675"/>
      <c r="U153" s="662">
        <f>IF(T$18&lt;&gt;0,S153-T153,0)</f>
        <v>0</v>
      </c>
      <c r="V153" s="663">
        <f>J153+M153+P153+S153</f>
        <v>0</v>
      </c>
      <c r="W153" s="664">
        <f>SUM(IF(K$6&lt;&gt;0,K153,J153)+IF(N$6&lt;&gt;0,N153,M153)+IF(Q$6&lt;&gt;0,Q153,P153)+IF(T$6&lt;&gt;0,T153,S153))</f>
        <v>0</v>
      </c>
      <c r="X153" s="661">
        <f>V153-W153</f>
        <v>0</v>
      </c>
      <c r="Y153" s="665">
        <f>I153-V153</f>
        <v>0</v>
      </c>
      <c r="Z153" s="666">
        <f>I153-W153</f>
        <v>0</v>
      </c>
      <c r="AA153" s="278"/>
    </row>
    <row r="154" spans="1:27" ht="15">
      <c r="A154" s="479">
        <f t="shared" si="69"/>
        <v>154</v>
      </c>
      <c r="B154" s="96"/>
      <c r="C154" s="119" t="s">
        <v>1332</v>
      </c>
      <c r="D154" s="50"/>
      <c r="E154" s="123"/>
      <c r="F154" s="123"/>
      <c r="G154" s="124"/>
      <c r="H154" s="240"/>
      <c r="I154" s="625"/>
      <c r="J154" s="624"/>
      <c r="K154" s="673"/>
      <c r="L154" s="661">
        <f>IF(K$18&lt;&gt;0,J154-K154,0)</f>
        <v>0</v>
      </c>
      <c r="M154" s="674"/>
      <c r="N154" s="675"/>
      <c r="O154" s="661">
        <f>IF(N$18&lt;&gt;0,M154-N154,0)</f>
        <v>0</v>
      </c>
      <c r="P154" s="674"/>
      <c r="Q154" s="675"/>
      <c r="R154" s="661">
        <f>IF(Q$18&lt;&gt;0,P154-Q154,0)</f>
        <v>0</v>
      </c>
      <c r="S154" s="674"/>
      <c r="T154" s="675"/>
      <c r="U154" s="662">
        <f>IF(T$18&lt;&gt;0,S154-T154,0)</f>
        <v>0</v>
      </c>
      <c r="V154" s="663">
        <f>J154+M154+P154+S154</f>
        <v>0</v>
      </c>
      <c r="W154" s="664">
        <f>SUM(IF(K$6&lt;&gt;0,K154,J154)+IF(N$6&lt;&gt;0,N154,M154)+IF(Q$6&lt;&gt;0,Q154,P154)+IF(T$6&lt;&gt;0,T154,S154))</f>
        <v>0</v>
      </c>
      <c r="X154" s="661">
        <f>V154-W154</f>
        <v>0</v>
      </c>
      <c r="Y154" s="665">
        <f>I154-V154</f>
        <v>0</v>
      </c>
      <c r="Z154" s="666">
        <f>I154-W154</f>
        <v>0</v>
      </c>
      <c r="AA154" s="278"/>
    </row>
    <row r="155" spans="1:27" ht="15">
      <c r="A155" s="479">
        <f t="shared" si="69"/>
        <v>155</v>
      </c>
      <c r="B155" s="96"/>
      <c r="C155" s="119" t="s">
        <v>1262</v>
      </c>
      <c r="D155" s="50"/>
      <c r="E155" s="123"/>
      <c r="F155" s="123"/>
      <c r="G155" s="124"/>
      <c r="H155" s="240"/>
      <c r="I155" s="625"/>
      <c r="J155" s="624"/>
      <c r="K155" s="673"/>
      <c r="L155" s="661">
        <f>IF(K$18&lt;&gt;0,J155-K155,0)</f>
        <v>0</v>
      </c>
      <c r="M155" s="674"/>
      <c r="N155" s="675"/>
      <c r="O155" s="661">
        <f>IF(N$18&lt;&gt;0,M155-N155,0)</f>
        <v>0</v>
      </c>
      <c r="P155" s="674"/>
      <c r="Q155" s="675"/>
      <c r="R155" s="661">
        <f>IF(Q$18&lt;&gt;0,P155-Q155,0)</f>
        <v>0</v>
      </c>
      <c r="S155" s="674"/>
      <c r="T155" s="675"/>
      <c r="U155" s="662">
        <f>IF(T$18&lt;&gt;0,S155-T155,0)</f>
        <v>0</v>
      </c>
      <c r="V155" s="663">
        <f>J155+M155+P155+S155</f>
        <v>0</v>
      </c>
      <c r="W155" s="664">
        <f>SUM(IF(K$6&lt;&gt;0,K155,J155)+IF(N$6&lt;&gt;0,N155,M155)+IF(Q$6&lt;&gt;0,Q155,P155)+IF(T$6&lt;&gt;0,T155,S155))</f>
        <v>0</v>
      </c>
      <c r="X155" s="661">
        <f>V155-W155</f>
        <v>0</v>
      </c>
      <c r="Y155" s="665">
        <f>I155-V155</f>
        <v>0</v>
      </c>
      <c r="Z155" s="666">
        <f>I155-W155</f>
        <v>0</v>
      </c>
      <c r="AA155" s="278"/>
    </row>
    <row r="156" spans="1:27" ht="15">
      <c r="A156" s="479">
        <f t="shared" si="69"/>
        <v>156</v>
      </c>
      <c r="B156" s="96"/>
      <c r="C156" s="119"/>
      <c r="D156" s="50"/>
      <c r="E156" s="123"/>
      <c r="F156" s="123"/>
      <c r="G156" s="124"/>
      <c r="H156" s="240"/>
      <c r="I156" s="676"/>
      <c r="J156" s="676"/>
      <c r="K156" s="676"/>
      <c r="L156" s="676"/>
      <c r="M156" s="676"/>
      <c r="N156" s="676"/>
      <c r="O156" s="676"/>
      <c r="P156" s="676"/>
      <c r="Q156" s="676"/>
      <c r="R156" s="676"/>
      <c r="S156" s="676"/>
      <c r="T156" s="676"/>
      <c r="U156" s="666"/>
      <c r="V156" s="676"/>
      <c r="W156" s="676"/>
      <c r="X156" s="676"/>
      <c r="Y156" s="676"/>
      <c r="Z156" s="666"/>
      <c r="AA156" s="278"/>
    </row>
    <row r="157" spans="1:27" ht="16.8">
      <c r="A157" s="479">
        <f t="shared" si="69"/>
        <v>157</v>
      </c>
      <c r="B157" s="92" t="s">
        <v>55</v>
      </c>
      <c r="C157" s="93"/>
      <c r="D157" s="93"/>
      <c r="E157" s="94"/>
      <c r="F157" s="94"/>
      <c r="G157" s="57"/>
      <c r="H157" s="505"/>
      <c r="I157" s="719">
        <f>I106+I118+I141+I151+I153+I154+I155</f>
        <v>0</v>
      </c>
      <c r="J157" s="719">
        <f t="shared" ref="J157:Z157" si="81">J106+J118+J141+J151+J153+J154+J155</f>
        <v>0</v>
      </c>
      <c r="K157" s="719">
        <f t="shared" si="81"/>
        <v>0</v>
      </c>
      <c r="L157" s="719">
        <f t="shared" si="81"/>
        <v>0</v>
      </c>
      <c r="M157" s="719">
        <f t="shared" si="81"/>
        <v>0</v>
      </c>
      <c r="N157" s="719">
        <f t="shared" si="81"/>
        <v>0</v>
      </c>
      <c r="O157" s="719">
        <f t="shared" si="81"/>
        <v>0</v>
      </c>
      <c r="P157" s="719">
        <f t="shared" si="81"/>
        <v>0</v>
      </c>
      <c r="Q157" s="719">
        <f t="shared" si="81"/>
        <v>0</v>
      </c>
      <c r="R157" s="719">
        <f t="shared" si="81"/>
        <v>0</v>
      </c>
      <c r="S157" s="719">
        <f t="shared" si="81"/>
        <v>0</v>
      </c>
      <c r="T157" s="719">
        <f t="shared" si="81"/>
        <v>0</v>
      </c>
      <c r="U157" s="719">
        <f t="shared" si="81"/>
        <v>0</v>
      </c>
      <c r="V157" s="719">
        <f t="shared" si="81"/>
        <v>0</v>
      </c>
      <c r="W157" s="719">
        <f t="shared" si="81"/>
        <v>0</v>
      </c>
      <c r="X157" s="719">
        <f t="shared" si="81"/>
        <v>0</v>
      </c>
      <c r="Y157" s="719">
        <f t="shared" si="81"/>
        <v>0</v>
      </c>
      <c r="Z157" s="719">
        <f t="shared" si="81"/>
        <v>0</v>
      </c>
      <c r="AA157" s="278"/>
    </row>
    <row r="158" spans="1:27" ht="15">
      <c r="A158" s="479">
        <f t="shared" si="69"/>
        <v>158</v>
      </c>
      <c r="B158" s="96"/>
      <c r="C158" s="50"/>
      <c r="D158" s="50"/>
      <c r="E158" s="53"/>
      <c r="F158" s="53"/>
      <c r="G158" s="51"/>
      <c r="H158" s="240"/>
      <c r="I158" s="676"/>
      <c r="J158" s="676"/>
      <c r="K158" s="676"/>
      <c r="L158" s="676"/>
      <c r="M158" s="676"/>
      <c r="N158" s="676"/>
      <c r="O158" s="676"/>
      <c r="P158" s="676"/>
      <c r="Q158" s="676"/>
      <c r="R158" s="676"/>
      <c r="S158" s="676"/>
      <c r="T158" s="676"/>
      <c r="U158" s="666"/>
      <c r="V158" s="676"/>
      <c r="W158" s="676"/>
      <c r="X158" s="676"/>
      <c r="Y158" s="676"/>
      <c r="Z158" s="666"/>
      <c r="AA158" s="278"/>
    </row>
    <row r="159" spans="1:27" ht="17.399999999999999" thickBot="1">
      <c r="A159" s="479">
        <f t="shared" si="69"/>
        <v>159</v>
      </c>
      <c r="B159" s="125" t="s">
        <v>96</v>
      </c>
      <c r="C159" s="126"/>
      <c r="D159" s="126"/>
      <c r="E159" s="127"/>
      <c r="F159" s="127"/>
      <c r="G159" s="112"/>
      <c r="H159" s="506"/>
      <c r="I159" s="693">
        <f>I66-I157</f>
        <v>0</v>
      </c>
      <c r="J159" s="696">
        <f>J66-J157</f>
        <v>0</v>
      </c>
      <c r="K159" s="697">
        <f>K66-K157</f>
        <v>0</v>
      </c>
      <c r="L159" s="697">
        <f>L66+L157</f>
        <v>0</v>
      </c>
      <c r="M159" s="696">
        <f>M66-M157</f>
        <v>0</v>
      </c>
      <c r="N159" s="697">
        <f>N66-N157</f>
        <v>0</v>
      </c>
      <c r="O159" s="697">
        <f>O66+O157</f>
        <v>0</v>
      </c>
      <c r="P159" s="696">
        <f>P66-P157</f>
        <v>0</v>
      </c>
      <c r="Q159" s="697">
        <f>Q66-Q157</f>
        <v>0</v>
      </c>
      <c r="R159" s="697">
        <f>R66+R157</f>
        <v>0</v>
      </c>
      <c r="S159" s="696">
        <f>S66-S157</f>
        <v>0</v>
      </c>
      <c r="T159" s="697">
        <f>T66-T157</f>
        <v>0</v>
      </c>
      <c r="U159" s="720">
        <f>U66+U157</f>
        <v>0</v>
      </c>
      <c r="V159" s="721">
        <f>V66-V157</f>
        <v>0</v>
      </c>
      <c r="W159" s="697">
        <f>W66-W157</f>
        <v>0</v>
      </c>
      <c r="X159" s="722">
        <f>X66+X157</f>
        <v>0</v>
      </c>
      <c r="Y159" s="723">
        <f>Y66+Y157</f>
        <v>0</v>
      </c>
      <c r="Z159" s="724">
        <f>Z66+Z157</f>
        <v>0</v>
      </c>
      <c r="AA159" s="278"/>
    </row>
    <row r="160" spans="1:27" ht="18.600000000000001" thickTop="1">
      <c r="A160" s="479">
        <f t="shared" si="69"/>
        <v>160</v>
      </c>
      <c r="B160" s="257"/>
      <c r="C160" s="301"/>
      <c r="D160" s="301"/>
      <c r="E160" s="116"/>
      <c r="F160" s="116"/>
      <c r="G160" s="117"/>
      <c r="H160" s="507"/>
      <c r="I160" s="302"/>
      <c r="J160" s="302"/>
      <c r="K160" s="302"/>
      <c r="L160" s="302"/>
      <c r="M160" s="302"/>
      <c r="N160" s="302"/>
      <c r="O160" s="302"/>
      <c r="P160" s="302"/>
      <c r="Q160" s="302"/>
      <c r="R160" s="302"/>
      <c r="S160" s="302"/>
      <c r="T160" s="302"/>
      <c r="U160" s="494"/>
      <c r="V160" s="495"/>
      <c r="W160" s="303"/>
      <c r="X160" s="302"/>
      <c r="Y160" s="303"/>
      <c r="Z160" s="492"/>
      <c r="AA160" s="493"/>
    </row>
    <row r="161" spans="1:27" ht="15">
      <c r="A161" s="479">
        <f t="shared" si="69"/>
        <v>161</v>
      </c>
      <c r="B161" s="92" t="s">
        <v>92</v>
      </c>
      <c r="C161" s="82"/>
      <c r="D161" s="82"/>
      <c r="E161" s="94"/>
      <c r="F161" s="94"/>
      <c r="G161" s="57"/>
      <c r="H161" s="508"/>
      <c r="I161" s="128"/>
      <c r="J161" s="128"/>
      <c r="K161" s="128"/>
      <c r="L161" s="128"/>
      <c r="M161" s="128"/>
      <c r="N161" s="128"/>
      <c r="O161" s="128"/>
      <c r="P161" s="128"/>
      <c r="Q161" s="128"/>
      <c r="R161" s="128"/>
      <c r="S161" s="128"/>
      <c r="T161" s="128"/>
      <c r="U161" s="129"/>
      <c r="V161" s="155"/>
      <c r="W161" s="155"/>
      <c r="X161" s="128"/>
      <c r="Y161" s="155"/>
      <c r="Z161" s="554"/>
      <c r="AA161" s="878"/>
    </row>
    <row r="162" spans="1:27" s="546" customFormat="1" ht="15">
      <c r="A162" s="479">
        <f t="shared" si="69"/>
        <v>162</v>
      </c>
      <c r="B162" s="280"/>
      <c r="C162" s="93"/>
      <c r="D162" s="93" t="s">
        <v>337</v>
      </c>
      <c r="E162" s="97"/>
      <c r="F162" s="97"/>
      <c r="G162" s="56"/>
      <c r="H162" s="543"/>
      <c r="I162" s="725">
        <f>'2.) Enrollment'!E16</f>
        <v>0</v>
      </c>
      <c r="J162" s="726">
        <f>'2.) Enrollment'!G16</f>
        <v>0</v>
      </c>
      <c r="K162" s="726">
        <f>'2.) Enrollment'!H16</f>
        <v>0</v>
      </c>
      <c r="L162" s="661">
        <f t="shared" ref="L162:L178" si="82">IF(K$163&gt;0,K162-J162,0)</f>
        <v>0</v>
      </c>
      <c r="M162" s="727">
        <f>'2.) Enrollment'!I16</f>
        <v>0</v>
      </c>
      <c r="N162" s="727">
        <f>'2.) Enrollment'!J16</f>
        <v>0</v>
      </c>
      <c r="O162" s="661">
        <f t="shared" ref="O162:O178" si="83">IF(N$163&gt;0,N162-M162,0)</f>
        <v>0</v>
      </c>
      <c r="P162" s="659">
        <f>'2.) Enrollment'!K16</f>
        <v>0</v>
      </c>
      <c r="Q162" s="659">
        <f>'2.) Enrollment'!L16</f>
        <v>0</v>
      </c>
      <c r="R162" s="661">
        <f t="shared" ref="R162:R178" si="84">IF(Q$163&gt;0,Q162-P162,0)</f>
        <v>0</v>
      </c>
      <c r="S162" s="659">
        <f>'2.) Enrollment'!M16</f>
        <v>0</v>
      </c>
      <c r="T162" s="659">
        <f>'2.) Enrollment'!N16</f>
        <v>0</v>
      </c>
      <c r="U162" s="662">
        <f t="shared" ref="U162:U178" si="85">IF(T$163&gt;0,T162-S162,0)</f>
        <v>0</v>
      </c>
      <c r="V162" s="544"/>
      <c r="W162" s="544"/>
      <c r="X162" s="141"/>
      <c r="Y162" s="544"/>
      <c r="Z162" s="545"/>
      <c r="AA162" s="282"/>
    </row>
    <row r="163" spans="1:27" ht="15">
      <c r="A163" s="479">
        <f t="shared" si="69"/>
        <v>163</v>
      </c>
      <c r="B163" s="96"/>
      <c r="C163" s="50"/>
      <c r="D163" s="50"/>
      <c r="E163" s="82" t="str">
        <f t="shared" ref="E163:E178" si="86">E18</f>
        <v>-</v>
      </c>
      <c r="F163" s="82"/>
      <c r="G163" s="304">
        <f>(IF($K$163&gt;0,K163,J163)+IF($N$163&gt;0,N163,M163)+IF($Q$163&gt;0,Q163,P163)+IF($T$163&gt;0,T163,S163))/4</f>
        <v>0</v>
      </c>
      <c r="H163" s="509"/>
      <c r="I163" s="728">
        <f>'2.) Enrollment'!E22</f>
        <v>0</v>
      </c>
      <c r="J163" s="729">
        <f>'2.) Enrollment'!G22</f>
        <v>0</v>
      </c>
      <c r="K163" s="729">
        <f>'2.) Enrollment'!H22</f>
        <v>0</v>
      </c>
      <c r="L163" s="661">
        <f t="shared" si="82"/>
        <v>0</v>
      </c>
      <c r="M163" s="730">
        <f>'2.) Enrollment'!I22</f>
        <v>0</v>
      </c>
      <c r="N163" s="730">
        <f>'2.) Enrollment'!J22</f>
        <v>0</v>
      </c>
      <c r="O163" s="661">
        <f t="shared" si="83"/>
        <v>0</v>
      </c>
      <c r="P163" s="659">
        <f>'2.) Enrollment'!K22</f>
        <v>0</v>
      </c>
      <c r="Q163" s="659">
        <f>'2.) Enrollment'!L22</f>
        <v>0</v>
      </c>
      <c r="R163" s="661">
        <f t="shared" si="84"/>
        <v>0</v>
      </c>
      <c r="S163" s="659">
        <f>'2.) Enrollment'!M22</f>
        <v>0</v>
      </c>
      <c r="T163" s="659">
        <f>'2.) Enrollment'!N22</f>
        <v>0</v>
      </c>
      <c r="U163" s="662">
        <f t="shared" si="85"/>
        <v>0</v>
      </c>
      <c r="V163" s="95"/>
      <c r="W163" s="95"/>
      <c r="X163" s="95"/>
      <c r="Y163" s="95"/>
      <c r="Z163" s="118"/>
      <c r="AA163" s="278"/>
    </row>
    <row r="164" spans="1:27" ht="15">
      <c r="A164" s="479">
        <f t="shared" si="69"/>
        <v>164</v>
      </c>
      <c r="B164" s="96"/>
      <c r="C164" s="50"/>
      <c r="D164" s="50"/>
      <c r="E164" s="82" t="str">
        <f t="shared" si="86"/>
        <v>-</v>
      </c>
      <c r="F164" s="82"/>
      <c r="G164" s="304">
        <f t="shared" ref="G164:G178" si="87">(IF($K$163&gt;0,K164,J164)+IF($N$163&gt;0,N164,M164)+IF($Q$163&gt;0,Q164,P164)+IF($T$163&gt;0,T164,S164))/4</f>
        <v>0</v>
      </c>
      <c r="H164" s="509"/>
      <c r="I164" s="728">
        <f>'2.) Enrollment'!E23</f>
        <v>0</v>
      </c>
      <c r="J164" s="729">
        <f>'2.) Enrollment'!G23</f>
        <v>0</v>
      </c>
      <c r="K164" s="729">
        <f>'2.) Enrollment'!H23</f>
        <v>0</v>
      </c>
      <c r="L164" s="661">
        <f t="shared" si="82"/>
        <v>0</v>
      </c>
      <c r="M164" s="730">
        <f>'2.) Enrollment'!I23</f>
        <v>0</v>
      </c>
      <c r="N164" s="730">
        <f>'2.) Enrollment'!J23</f>
        <v>0</v>
      </c>
      <c r="O164" s="661">
        <f t="shared" si="83"/>
        <v>0</v>
      </c>
      <c r="P164" s="659">
        <f>'2.) Enrollment'!K23</f>
        <v>0</v>
      </c>
      <c r="Q164" s="659">
        <f>'2.) Enrollment'!L23</f>
        <v>0</v>
      </c>
      <c r="R164" s="661">
        <f t="shared" si="84"/>
        <v>0</v>
      </c>
      <c r="S164" s="659">
        <f>'2.) Enrollment'!M23</f>
        <v>0</v>
      </c>
      <c r="T164" s="659">
        <f>'2.) Enrollment'!N23</f>
        <v>0</v>
      </c>
      <c r="U164" s="662">
        <f t="shared" si="85"/>
        <v>0</v>
      </c>
      <c r="V164" s="95"/>
      <c r="W164" s="95"/>
      <c r="X164" s="95"/>
      <c r="Y164" s="95"/>
      <c r="Z164" s="118"/>
      <c r="AA164" s="278"/>
    </row>
    <row r="165" spans="1:27" ht="15">
      <c r="A165" s="479">
        <f t="shared" si="69"/>
        <v>165</v>
      </c>
      <c r="B165" s="96"/>
      <c r="C165" s="50"/>
      <c r="D165" s="50"/>
      <c r="E165" s="82" t="str">
        <f t="shared" si="86"/>
        <v>-</v>
      </c>
      <c r="F165" s="82"/>
      <c r="G165" s="304">
        <f t="shared" si="87"/>
        <v>0</v>
      </c>
      <c r="H165" s="509"/>
      <c r="I165" s="728">
        <f>'2.) Enrollment'!E24</f>
        <v>0</v>
      </c>
      <c r="J165" s="729">
        <f>'2.) Enrollment'!G24</f>
        <v>0</v>
      </c>
      <c r="K165" s="729">
        <f>'2.) Enrollment'!H24</f>
        <v>0</v>
      </c>
      <c r="L165" s="661">
        <f t="shared" si="82"/>
        <v>0</v>
      </c>
      <c r="M165" s="730">
        <f>'2.) Enrollment'!I24</f>
        <v>0</v>
      </c>
      <c r="N165" s="730">
        <f>'2.) Enrollment'!J24</f>
        <v>0</v>
      </c>
      <c r="O165" s="661">
        <f t="shared" si="83"/>
        <v>0</v>
      </c>
      <c r="P165" s="659">
        <f>'2.) Enrollment'!K24</f>
        <v>0</v>
      </c>
      <c r="Q165" s="659">
        <f>'2.) Enrollment'!L24</f>
        <v>0</v>
      </c>
      <c r="R165" s="661">
        <f t="shared" si="84"/>
        <v>0</v>
      </c>
      <c r="S165" s="659">
        <f>'2.) Enrollment'!M24</f>
        <v>0</v>
      </c>
      <c r="T165" s="659">
        <f>'2.) Enrollment'!N24</f>
        <v>0</v>
      </c>
      <c r="U165" s="662">
        <f t="shared" si="85"/>
        <v>0</v>
      </c>
      <c r="V165" s="95"/>
      <c r="W165" s="95"/>
      <c r="X165" s="95"/>
      <c r="Y165" s="95"/>
      <c r="Z165" s="118"/>
      <c r="AA165" s="278"/>
    </row>
    <row r="166" spans="1:27" ht="15">
      <c r="A166" s="479">
        <f t="shared" si="69"/>
        <v>166</v>
      </c>
      <c r="B166" s="96"/>
      <c r="C166" s="50"/>
      <c r="D166" s="50"/>
      <c r="E166" s="82" t="str">
        <f t="shared" si="86"/>
        <v>-</v>
      </c>
      <c r="F166" s="82"/>
      <c r="G166" s="304">
        <f t="shared" si="87"/>
        <v>0</v>
      </c>
      <c r="H166" s="509"/>
      <c r="I166" s="728">
        <f>'2.) Enrollment'!E25</f>
        <v>0</v>
      </c>
      <c r="J166" s="729">
        <f>'2.) Enrollment'!G25</f>
        <v>0</v>
      </c>
      <c r="K166" s="729">
        <f>'2.) Enrollment'!H25</f>
        <v>0</v>
      </c>
      <c r="L166" s="661">
        <f t="shared" si="82"/>
        <v>0</v>
      </c>
      <c r="M166" s="730">
        <f>'2.) Enrollment'!I25</f>
        <v>0</v>
      </c>
      <c r="N166" s="730">
        <f>'2.) Enrollment'!J25</f>
        <v>0</v>
      </c>
      <c r="O166" s="661">
        <f t="shared" si="83"/>
        <v>0</v>
      </c>
      <c r="P166" s="659">
        <f>'2.) Enrollment'!K25</f>
        <v>0</v>
      </c>
      <c r="Q166" s="659">
        <f>'2.) Enrollment'!L25</f>
        <v>0</v>
      </c>
      <c r="R166" s="661">
        <f t="shared" si="84"/>
        <v>0</v>
      </c>
      <c r="S166" s="659">
        <f>'2.) Enrollment'!M25</f>
        <v>0</v>
      </c>
      <c r="T166" s="659">
        <f>'2.) Enrollment'!N25</f>
        <v>0</v>
      </c>
      <c r="U166" s="662">
        <f t="shared" si="85"/>
        <v>0</v>
      </c>
      <c r="V166" s="95"/>
      <c r="W166" s="95"/>
      <c r="X166" s="95"/>
      <c r="Y166" s="95"/>
      <c r="Z166" s="118"/>
      <c r="AA166" s="278"/>
    </row>
    <row r="167" spans="1:27" ht="15">
      <c r="A167" s="479">
        <f t="shared" si="69"/>
        <v>167</v>
      </c>
      <c r="B167" s="96"/>
      <c r="C167" s="50"/>
      <c r="D167" s="50"/>
      <c r="E167" s="82" t="str">
        <f t="shared" si="86"/>
        <v>-</v>
      </c>
      <c r="F167" s="82"/>
      <c r="G167" s="304">
        <f t="shared" si="87"/>
        <v>0</v>
      </c>
      <c r="H167" s="509"/>
      <c r="I167" s="728">
        <f>'2.) Enrollment'!E26</f>
        <v>0</v>
      </c>
      <c r="J167" s="729">
        <f>'2.) Enrollment'!G26</f>
        <v>0</v>
      </c>
      <c r="K167" s="729">
        <f>'2.) Enrollment'!H26</f>
        <v>0</v>
      </c>
      <c r="L167" s="661">
        <f t="shared" si="82"/>
        <v>0</v>
      </c>
      <c r="M167" s="730">
        <f>'2.) Enrollment'!I26</f>
        <v>0</v>
      </c>
      <c r="N167" s="730">
        <f>'2.) Enrollment'!J26</f>
        <v>0</v>
      </c>
      <c r="O167" s="661">
        <f t="shared" si="83"/>
        <v>0</v>
      </c>
      <c r="P167" s="659">
        <f>'2.) Enrollment'!K26</f>
        <v>0</v>
      </c>
      <c r="Q167" s="659">
        <f>'2.) Enrollment'!L26</f>
        <v>0</v>
      </c>
      <c r="R167" s="661">
        <f t="shared" si="84"/>
        <v>0</v>
      </c>
      <c r="S167" s="659">
        <f>'2.) Enrollment'!M26</f>
        <v>0</v>
      </c>
      <c r="T167" s="659">
        <f>'2.) Enrollment'!N26</f>
        <v>0</v>
      </c>
      <c r="U167" s="662">
        <f t="shared" si="85"/>
        <v>0</v>
      </c>
      <c r="V167" s="95"/>
      <c r="W167" s="95"/>
      <c r="X167" s="95"/>
      <c r="Y167" s="95"/>
      <c r="Z167" s="118"/>
      <c r="AA167" s="278"/>
    </row>
    <row r="168" spans="1:27" ht="15">
      <c r="A168" s="479">
        <f t="shared" si="69"/>
        <v>168</v>
      </c>
      <c r="B168" s="96"/>
      <c r="C168" s="50"/>
      <c r="D168" s="50"/>
      <c r="E168" s="82" t="str">
        <f t="shared" si="86"/>
        <v>-</v>
      </c>
      <c r="F168" s="82"/>
      <c r="G168" s="304">
        <f t="shared" si="87"/>
        <v>0</v>
      </c>
      <c r="H168" s="509"/>
      <c r="I168" s="728">
        <f>'2.) Enrollment'!E27</f>
        <v>0</v>
      </c>
      <c r="J168" s="729">
        <f>'2.) Enrollment'!G27</f>
        <v>0</v>
      </c>
      <c r="K168" s="729">
        <f>'2.) Enrollment'!H27</f>
        <v>0</v>
      </c>
      <c r="L168" s="661">
        <f t="shared" si="82"/>
        <v>0</v>
      </c>
      <c r="M168" s="730">
        <f>'2.) Enrollment'!I27</f>
        <v>0</v>
      </c>
      <c r="N168" s="730">
        <f>'2.) Enrollment'!J27</f>
        <v>0</v>
      </c>
      <c r="O168" s="661">
        <f t="shared" si="83"/>
        <v>0</v>
      </c>
      <c r="P168" s="659">
        <f>'2.) Enrollment'!K27</f>
        <v>0</v>
      </c>
      <c r="Q168" s="659">
        <f>'2.) Enrollment'!L27</f>
        <v>0</v>
      </c>
      <c r="R168" s="661">
        <f t="shared" si="84"/>
        <v>0</v>
      </c>
      <c r="S168" s="659">
        <f>'2.) Enrollment'!M27</f>
        <v>0</v>
      </c>
      <c r="T168" s="659">
        <f>'2.) Enrollment'!N27</f>
        <v>0</v>
      </c>
      <c r="U168" s="662">
        <f t="shared" si="85"/>
        <v>0</v>
      </c>
      <c r="V168" s="95"/>
      <c r="W168" s="95"/>
      <c r="X168" s="95"/>
      <c r="Y168" s="95"/>
      <c r="Z168" s="118"/>
      <c r="AA168" s="278"/>
    </row>
    <row r="169" spans="1:27" ht="15">
      <c r="A169" s="479">
        <f t="shared" si="69"/>
        <v>169</v>
      </c>
      <c r="B169" s="96"/>
      <c r="C169" s="50"/>
      <c r="D169" s="50"/>
      <c r="E169" s="82" t="str">
        <f t="shared" si="86"/>
        <v>-</v>
      </c>
      <c r="F169" s="82"/>
      <c r="G169" s="304">
        <f t="shared" si="87"/>
        <v>0</v>
      </c>
      <c r="H169" s="509"/>
      <c r="I169" s="728">
        <f>'2.) Enrollment'!E28</f>
        <v>0</v>
      </c>
      <c r="J169" s="729">
        <f>'2.) Enrollment'!G28</f>
        <v>0</v>
      </c>
      <c r="K169" s="729">
        <f>'2.) Enrollment'!H28</f>
        <v>0</v>
      </c>
      <c r="L169" s="661">
        <f t="shared" si="82"/>
        <v>0</v>
      </c>
      <c r="M169" s="730">
        <f>'2.) Enrollment'!I28</f>
        <v>0</v>
      </c>
      <c r="N169" s="730">
        <f>'2.) Enrollment'!J28</f>
        <v>0</v>
      </c>
      <c r="O169" s="661">
        <f t="shared" si="83"/>
        <v>0</v>
      </c>
      <c r="P169" s="659">
        <f>'2.) Enrollment'!K28</f>
        <v>0</v>
      </c>
      <c r="Q169" s="659">
        <f>'2.) Enrollment'!L28</f>
        <v>0</v>
      </c>
      <c r="R169" s="661">
        <f t="shared" si="84"/>
        <v>0</v>
      </c>
      <c r="S169" s="659">
        <f>'2.) Enrollment'!M28</f>
        <v>0</v>
      </c>
      <c r="T169" s="659">
        <f>'2.) Enrollment'!N28</f>
        <v>0</v>
      </c>
      <c r="U169" s="662">
        <f t="shared" si="85"/>
        <v>0</v>
      </c>
      <c r="V169" s="95"/>
      <c r="W169" s="95"/>
      <c r="X169" s="95"/>
      <c r="Y169" s="95"/>
      <c r="Z169" s="118"/>
      <c r="AA169" s="278"/>
    </row>
    <row r="170" spans="1:27" ht="15">
      <c r="A170" s="479">
        <f t="shared" si="69"/>
        <v>170</v>
      </c>
      <c r="B170" s="96"/>
      <c r="C170" s="50"/>
      <c r="D170" s="50"/>
      <c r="E170" s="82" t="str">
        <f t="shared" si="86"/>
        <v>-</v>
      </c>
      <c r="F170" s="82"/>
      <c r="G170" s="304">
        <f t="shared" si="87"/>
        <v>0</v>
      </c>
      <c r="H170" s="509"/>
      <c r="I170" s="728">
        <f>'2.) Enrollment'!E29</f>
        <v>0</v>
      </c>
      <c r="J170" s="729">
        <f>'2.) Enrollment'!G29</f>
        <v>0</v>
      </c>
      <c r="K170" s="729">
        <f>'2.) Enrollment'!H29</f>
        <v>0</v>
      </c>
      <c r="L170" s="661">
        <f t="shared" si="82"/>
        <v>0</v>
      </c>
      <c r="M170" s="730">
        <f>'2.) Enrollment'!I29</f>
        <v>0</v>
      </c>
      <c r="N170" s="730">
        <f>'2.) Enrollment'!J29</f>
        <v>0</v>
      </c>
      <c r="O170" s="661">
        <f t="shared" si="83"/>
        <v>0</v>
      </c>
      <c r="P170" s="659">
        <f>'2.) Enrollment'!K29</f>
        <v>0</v>
      </c>
      <c r="Q170" s="659">
        <f>'2.) Enrollment'!L29</f>
        <v>0</v>
      </c>
      <c r="R170" s="661">
        <f t="shared" si="84"/>
        <v>0</v>
      </c>
      <c r="S170" s="659">
        <f>'2.) Enrollment'!M29</f>
        <v>0</v>
      </c>
      <c r="T170" s="659">
        <f>'2.) Enrollment'!N29</f>
        <v>0</v>
      </c>
      <c r="U170" s="662">
        <f t="shared" si="85"/>
        <v>0</v>
      </c>
      <c r="V170" s="95"/>
      <c r="W170" s="95"/>
      <c r="X170" s="95"/>
      <c r="Y170" s="95"/>
      <c r="Z170" s="118"/>
      <c r="AA170" s="278"/>
    </row>
    <row r="171" spans="1:27" ht="15">
      <c r="A171" s="479">
        <f t="shared" si="69"/>
        <v>171</v>
      </c>
      <c r="B171" s="96"/>
      <c r="C171" s="50"/>
      <c r="D171" s="50"/>
      <c r="E171" s="82" t="str">
        <f t="shared" si="86"/>
        <v>-</v>
      </c>
      <c r="F171" s="82"/>
      <c r="G171" s="304">
        <f t="shared" si="87"/>
        <v>0</v>
      </c>
      <c r="H171" s="509"/>
      <c r="I171" s="728">
        <f>'2.) Enrollment'!E30</f>
        <v>0</v>
      </c>
      <c r="J171" s="729">
        <f>'2.) Enrollment'!G30</f>
        <v>0</v>
      </c>
      <c r="K171" s="729">
        <f>'2.) Enrollment'!H30</f>
        <v>0</v>
      </c>
      <c r="L171" s="661">
        <f t="shared" si="82"/>
        <v>0</v>
      </c>
      <c r="M171" s="730">
        <f>'2.) Enrollment'!I30</f>
        <v>0</v>
      </c>
      <c r="N171" s="730">
        <f>'2.) Enrollment'!J30</f>
        <v>0</v>
      </c>
      <c r="O171" s="661">
        <f t="shared" si="83"/>
        <v>0</v>
      </c>
      <c r="P171" s="659">
        <f>'2.) Enrollment'!K30</f>
        <v>0</v>
      </c>
      <c r="Q171" s="659">
        <f>'2.) Enrollment'!L30</f>
        <v>0</v>
      </c>
      <c r="R171" s="661">
        <f t="shared" si="84"/>
        <v>0</v>
      </c>
      <c r="S171" s="659">
        <f>'2.) Enrollment'!M30</f>
        <v>0</v>
      </c>
      <c r="T171" s="659">
        <f>'2.) Enrollment'!N30</f>
        <v>0</v>
      </c>
      <c r="U171" s="662">
        <f t="shared" si="85"/>
        <v>0</v>
      </c>
      <c r="V171" s="95"/>
      <c r="W171" s="95"/>
      <c r="X171" s="95"/>
      <c r="Y171" s="95"/>
      <c r="Z171" s="118"/>
      <c r="AA171" s="278"/>
    </row>
    <row r="172" spans="1:27" ht="15">
      <c r="A172" s="479">
        <f t="shared" si="69"/>
        <v>172</v>
      </c>
      <c r="B172" s="96"/>
      <c r="C172" s="50"/>
      <c r="D172" s="50"/>
      <c r="E172" s="82" t="str">
        <f t="shared" si="86"/>
        <v>-</v>
      </c>
      <c r="F172" s="82"/>
      <c r="G172" s="304">
        <f t="shared" si="87"/>
        <v>0</v>
      </c>
      <c r="H172" s="509"/>
      <c r="I172" s="728">
        <f>'2.) Enrollment'!E31</f>
        <v>0</v>
      </c>
      <c r="J172" s="729">
        <f>'2.) Enrollment'!G31</f>
        <v>0</v>
      </c>
      <c r="K172" s="729">
        <f>'2.) Enrollment'!H31</f>
        <v>0</v>
      </c>
      <c r="L172" s="661">
        <f t="shared" si="82"/>
        <v>0</v>
      </c>
      <c r="M172" s="730">
        <f>'2.) Enrollment'!I31</f>
        <v>0</v>
      </c>
      <c r="N172" s="730">
        <f>'2.) Enrollment'!J31</f>
        <v>0</v>
      </c>
      <c r="O172" s="661">
        <f t="shared" si="83"/>
        <v>0</v>
      </c>
      <c r="P172" s="659">
        <f>'2.) Enrollment'!K31</f>
        <v>0</v>
      </c>
      <c r="Q172" s="659">
        <f>'2.) Enrollment'!L31</f>
        <v>0</v>
      </c>
      <c r="R172" s="661">
        <f t="shared" si="84"/>
        <v>0</v>
      </c>
      <c r="S172" s="659">
        <f>'2.) Enrollment'!M31</f>
        <v>0</v>
      </c>
      <c r="T172" s="659">
        <f>'2.) Enrollment'!N31</f>
        <v>0</v>
      </c>
      <c r="U172" s="662">
        <f t="shared" si="85"/>
        <v>0</v>
      </c>
      <c r="V172" s="95"/>
      <c r="W172" s="95"/>
      <c r="X172" s="95"/>
      <c r="Y172" s="95"/>
      <c r="Z172" s="118"/>
      <c r="AA172" s="278"/>
    </row>
    <row r="173" spans="1:27" ht="15">
      <c r="A173" s="479">
        <f t="shared" si="69"/>
        <v>173</v>
      </c>
      <c r="B173" s="96"/>
      <c r="C173" s="50"/>
      <c r="D173" s="50"/>
      <c r="E173" s="82" t="str">
        <f t="shared" si="86"/>
        <v>-</v>
      </c>
      <c r="F173" s="82"/>
      <c r="G173" s="304">
        <f t="shared" si="87"/>
        <v>0</v>
      </c>
      <c r="H173" s="509"/>
      <c r="I173" s="728">
        <f>'2.) Enrollment'!E32</f>
        <v>0</v>
      </c>
      <c r="J173" s="729">
        <f>'2.) Enrollment'!G32</f>
        <v>0</v>
      </c>
      <c r="K173" s="729">
        <f>'2.) Enrollment'!H32</f>
        <v>0</v>
      </c>
      <c r="L173" s="661">
        <f t="shared" si="82"/>
        <v>0</v>
      </c>
      <c r="M173" s="730">
        <f>'2.) Enrollment'!I32</f>
        <v>0</v>
      </c>
      <c r="N173" s="730">
        <f>'2.) Enrollment'!J32</f>
        <v>0</v>
      </c>
      <c r="O173" s="661">
        <f t="shared" si="83"/>
        <v>0</v>
      </c>
      <c r="P173" s="659">
        <f>'2.) Enrollment'!K32</f>
        <v>0</v>
      </c>
      <c r="Q173" s="659">
        <f>'2.) Enrollment'!L32</f>
        <v>0</v>
      </c>
      <c r="R173" s="661">
        <f t="shared" si="84"/>
        <v>0</v>
      </c>
      <c r="S173" s="659">
        <f>'2.) Enrollment'!M32</f>
        <v>0</v>
      </c>
      <c r="T173" s="659">
        <f>'2.) Enrollment'!N32</f>
        <v>0</v>
      </c>
      <c r="U173" s="662">
        <f t="shared" si="85"/>
        <v>0</v>
      </c>
      <c r="V173" s="95"/>
      <c r="W173" s="95"/>
      <c r="X173" s="95"/>
      <c r="Y173" s="95"/>
      <c r="Z173" s="118"/>
      <c r="AA173" s="278"/>
    </row>
    <row r="174" spans="1:27" ht="15">
      <c r="A174" s="479">
        <f t="shared" si="69"/>
        <v>174</v>
      </c>
      <c r="B174" s="96"/>
      <c r="C174" s="50"/>
      <c r="D174" s="50"/>
      <c r="E174" s="82" t="str">
        <f t="shared" si="86"/>
        <v>-</v>
      </c>
      <c r="F174" s="82"/>
      <c r="G174" s="304">
        <f t="shared" si="87"/>
        <v>0</v>
      </c>
      <c r="H174" s="509"/>
      <c r="I174" s="728">
        <f>'2.) Enrollment'!E33</f>
        <v>0</v>
      </c>
      <c r="J174" s="729">
        <f>'2.) Enrollment'!G33</f>
        <v>0</v>
      </c>
      <c r="K174" s="729">
        <f>'2.) Enrollment'!H33</f>
        <v>0</v>
      </c>
      <c r="L174" s="661">
        <f t="shared" si="82"/>
        <v>0</v>
      </c>
      <c r="M174" s="730">
        <f>'2.) Enrollment'!I33</f>
        <v>0</v>
      </c>
      <c r="N174" s="730">
        <f>'2.) Enrollment'!J33</f>
        <v>0</v>
      </c>
      <c r="O174" s="661">
        <f t="shared" si="83"/>
        <v>0</v>
      </c>
      <c r="P174" s="659">
        <f>'2.) Enrollment'!K33</f>
        <v>0</v>
      </c>
      <c r="Q174" s="659">
        <f>'2.) Enrollment'!L33</f>
        <v>0</v>
      </c>
      <c r="R174" s="661">
        <f t="shared" si="84"/>
        <v>0</v>
      </c>
      <c r="S174" s="659">
        <f>'2.) Enrollment'!M33</f>
        <v>0</v>
      </c>
      <c r="T174" s="659">
        <f>'2.) Enrollment'!N33</f>
        <v>0</v>
      </c>
      <c r="U174" s="662">
        <f t="shared" si="85"/>
        <v>0</v>
      </c>
      <c r="V174" s="95"/>
      <c r="W174" s="95"/>
      <c r="X174" s="95"/>
      <c r="Y174" s="95"/>
      <c r="Z174" s="118"/>
      <c r="AA174" s="278"/>
    </row>
    <row r="175" spans="1:27" ht="15">
      <c r="A175" s="479">
        <f t="shared" si="69"/>
        <v>175</v>
      </c>
      <c r="B175" s="96"/>
      <c r="C175" s="50"/>
      <c r="D175" s="50"/>
      <c r="E175" s="82" t="str">
        <f t="shared" si="86"/>
        <v>-</v>
      </c>
      <c r="F175" s="82"/>
      <c r="G175" s="304">
        <f t="shared" si="87"/>
        <v>0</v>
      </c>
      <c r="H175" s="509"/>
      <c r="I175" s="728">
        <f>'2.) Enrollment'!E34</f>
        <v>0</v>
      </c>
      <c r="J175" s="729">
        <f>'2.) Enrollment'!G34</f>
        <v>0</v>
      </c>
      <c r="K175" s="729">
        <f>'2.) Enrollment'!H34</f>
        <v>0</v>
      </c>
      <c r="L175" s="661">
        <f t="shared" si="82"/>
        <v>0</v>
      </c>
      <c r="M175" s="730">
        <f>'2.) Enrollment'!I34</f>
        <v>0</v>
      </c>
      <c r="N175" s="730">
        <f>'2.) Enrollment'!J34</f>
        <v>0</v>
      </c>
      <c r="O175" s="661">
        <f t="shared" si="83"/>
        <v>0</v>
      </c>
      <c r="P175" s="659">
        <f>'2.) Enrollment'!K34</f>
        <v>0</v>
      </c>
      <c r="Q175" s="659">
        <f>'2.) Enrollment'!L34</f>
        <v>0</v>
      </c>
      <c r="R175" s="661">
        <f t="shared" si="84"/>
        <v>0</v>
      </c>
      <c r="S175" s="659">
        <f>'2.) Enrollment'!M34</f>
        <v>0</v>
      </c>
      <c r="T175" s="659">
        <f>'2.) Enrollment'!N34</f>
        <v>0</v>
      </c>
      <c r="U175" s="662">
        <f t="shared" si="85"/>
        <v>0</v>
      </c>
      <c r="V175" s="95"/>
      <c r="W175" s="95"/>
      <c r="X175" s="95"/>
      <c r="Y175" s="95"/>
      <c r="Z175" s="118"/>
      <c r="AA175" s="278"/>
    </row>
    <row r="176" spans="1:27" ht="15">
      <c r="A176" s="479">
        <f t="shared" si="69"/>
        <v>176</v>
      </c>
      <c r="B176" s="96"/>
      <c r="C176" s="50"/>
      <c r="D176" s="50"/>
      <c r="E176" s="82" t="str">
        <f t="shared" si="86"/>
        <v>-</v>
      </c>
      <c r="F176" s="82"/>
      <c r="G176" s="304">
        <f t="shared" si="87"/>
        <v>0</v>
      </c>
      <c r="H176" s="509"/>
      <c r="I176" s="728">
        <f>'2.) Enrollment'!E35</f>
        <v>0</v>
      </c>
      <c r="J176" s="729">
        <f>'2.) Enrollment'!G35</f>
        <v>0</v>
      </c>
      <c r="K176" s="729">
        <f>'2.) Enrollment'!H35</f>
        <v>0</v>
      </c>
      <c r="L176" s="661">
        <f t="shared" si="82"/>
        <v>0</v>
      </c>
      <c r="M176" s="730">
        <f>'2.) Enrollment'!I35</f>
        <v>0</v>
      </c>
      <c r="N176" s="730">
        <f>'2.) Enrollment'!J35</f>
        <v>0</v>
      </c>
      <c r="O176" s="661">
        <f t="shared" si="83"/>
        <v>0</v>
      </c>
      <c r="P176" s="659">
        <f>'2.) Enrollment'!K35</f>
        <v>0</v>
      </c>
      <c r="Q176" s="659">
        <f>'2.) Enrollment'!L35</f>
        <v>0</v>
      </c>
      <c r="R176" s="661">
        <f t="shared" si="84"/>
        <v>0</v>
      </c>
      <c r="S176" s="659">
        <f>'2.) Enrollment'!M35</f>
        <v>0</v>
      </c>
      <c r="T176" s="659">
        <f>'2.) Enrollment'!N35</f>
        <v>0</v>
      </c>
      <c r="U176" s="662">
        <f t="shared" si="85"/>
        <v>0</v>
      </c>
      <c r="V176" s="95"/>
      <c r="W176" s="95"/>
      <c r="X176" s="95"/>
      <c r="Y176" s="95"/>
      <c r="Z176" s="118"/>
      <c r="AA176" s="278"/>
    </row>
    <row r="177" spans="1:27" ht="15">
      <c r="A177" s="479">
        <f t="shared" si="69"/>
        <v>177</v>
      </c>
      <c r="B177" s="96"/>
      <c r="C177" s="50"/>
      <c r="D177" s="50"/>
      <c r="E177" s="82" t="str">
        <f t="shared" si="86"/>
        <v>-</v>
      </c>
      <c r="F177" s="82"/>
      <c r="G177" s="304">
        <f t="shared" si="87"/>
        <v>0</v>
      </c>
      <c r="H177" s="509"/>
      <c r="I177" s="728">
        <f>'2.) Enrollment'!E36</f>
        <v>0</v>
      </c>
      <c r="J177" s="729">
        <f>'2.) Enrollment'!G36</f>
        <v>0</v>
      </c>
      <c r="K177" s="729">
        <f>'2.) Enrollment'!H36</f>
        <v>0</v>
      </c>
      <c r="L177" s="661">
        <f t="shared" si="82"/>
        <v>0</v>
      </c>
      <c r="M177" s="730">
        <f>'2.) Enrollment'!I36</f>
        <v>0</v>
      </c>
      <c r="N177" s="730">
        <f>'2.) Enrollment'!J36</f>
        <v>0</v>
      </c>
      <c r="O177" s="661">
        <f t="shared" si="83"/>
        <v>0</v>
      </c>
      <c r="P177" s="659">
        <f>'2.) Enrollment'!K36</f>
        <v>0</v>
      </c>
      <c r="Q177" s="659">
        <f>'2.) Enrollment'!L36</f>
        <v>0</v>
      </c>
      <c r="R177" s="661">
        <f t="shared" si="84"/>
        <v>0</v>
      </c>
      <c r="S177" s="659">
        <f>'2.) Enrollment'!M36</f>
        <v>0</v>
      </c>
      <c r="T177" s="659">
        <f>'2.) Enrollment'!N36</f>
        <v>0</v>
      </c>
      <c r="U177" s="662">
        <f t="shared" si="85"/>
        <v>0</v>
      </c>
      <c r="V177" s="95"/>
      <c r="W177" s="95"/>
      <c r="X177" s="95"/>
      <c r="Y177" s="95"/>
      <c r="Z177" s="118"/>
      <c r="AA177" s="278"/>
    </row>
    <row r="178" spans="1:27" ht="16.8">
      <c r="A178" s="479">
        <f t="shared" si="69"/>
        <v>178</v>
      </c>
      <c r="B178" s="96"/>
      <c r="C178" s="50"/>
      <c r="D178" s="50"/>
      <c r="E178" s="82" t="str">
        <f t="shared" si="86"/>
        <v>ALL OTHER School Districts: ( Weighted Avg )</v>
      </c>
      <c r="F178" s="82"/>
      <c r="G178" s="304">
        <f t="shared" si="87"/>
        <v>0</v>
      </c>
      <c r="H178" s="510"/>
      <c r="I178" s="728">
        <f>SUM('2.) Enrollment'!E37:E71)</f>
        <v>0</v>
      </c>
      <c r="J178" s="729">
        <f>SUM('2.) Enrollment'!G37:G71)</f>
        <v>0</v>
      </c>
      <c r="K178" s="729">
        <f>SUM('2.) Enrollment'!H37:H71)</f>
        <v>0</v>
      </c>
      <c r="L178" s="661">
        <f t="shared" si="82"/>
        <v>0</v>
      </c>
      <c r="M178" s="730">
        <f>SUM('2.) Enrollment'!I37:I71)</f>
        <v>0</v>
      </c>
      <c r="N178" s="730">
        <f>SUM('2.) Enrollment'!J37:J71)</f>
        <v>0</v>
      </c>
      <c r="O178" s="661">
        <f t="shared" si="83"/>
        <v>0</v>
      </c>
      <c r="P178" s="730">
        <f>SUM('2.) Enrollment'!K37:K71)</f>
        <v>0</v>
      </c>
      <c r="Q178" s="730">
        <f>SUM('2.) Enrollment'!L37:L71)</f>
        <v>0</v>
      </c>
      <c r="R178" s="661">
        <f t="shared" si="84"/>
        <v>0</v>
      </c>
      <c r="S178" s="730">
        <f>SUM('2.) Enrollment'!M37:M71)</f>
        <v>0</v>
      </c>
      <c r="T178" s="730">
        <f>SUM('2.) Enrollment'!N37:N71)</f>
        <v>0</v>
      </c>
      <c r="U178" s="662">
        <f t="shared" si="85"/>
        <v>0</v>
      </c>
      <c r="V178" s="95"/>
      <c r="W178" s="30"/>
      <c r="X178" s="95"/>
      <c r="Y178" s="95"/>
      <c r="Z178" s="118"/>
      <c r="AA178" s="278"/>
    </row>
    <row r="179" spans="1:27" ht="16.8">
      <c r="A179" s="479">
        <f t="shared" si="69"/>
        <v>179</v>
      </c>
      <c r="B179" s="65" t="s">
        <v>93</v>
      </c>
      <c r="C179" s="66"/>
      <c r="D179" s="66"/>
      <c r="E179" s="82"/>
      <c r="F179" s="82"/>
      <c r="G179" s="59"/>
      <c r="H179" s="511"/>
      <c r="I179" s="731">
        <f t="shared" ref="I179:U179" si="88">SUM(I163:I178)</f>
        <v>0</v>
      </c>
      <c r="J179" s="732">
        <f t="shared" si="88"/>
        <v>0</v>
      </c>
      <c r="K179" s="733">
        <f t="shared" si="88"/>
        <v>0</v>
      </c>
      <c r="L179" s="733">
        <f t="shared" si="88"/>
        <v>0</v>
      </c>
      <c r="M179" s="732">
        <f t="shared" si="88"/>
        <v>0</v>
      </c>
      <c r="N179" s="733">
        <f t="shared" si="88"/>
        <v>0</v>
      </c>
      <c r="O179" s="733">
        <f t="shared" si="88"/>
        <v>0</v>
      </c>
      <c r="P179" s="732">
        <f t="shared" si="88"/>
        <v>0</v>
      </c>
      <c r="Q179" s="733">
        <f t="shared" si="88"/>
        <v>0</v>
      </c>
      <c r="R179" s="733">
        <f t="shared" si="88"/>
        <v>0</v>
      </c>
      <c r="S179" s="732">
        <f t="shared" si="88"/>
        <v>0</v>
      </c>
      <c r="T179" s="733">
        <f t="shared" si="88"/>
        <v>0</v>
      </c>
      <c r="U179" s="734">
        <f t="shared" si="88"/>
        <v>0</v>
      </c>
      <c r="V179" s="144"/>
      <c r="W179" s="144"/>
      <c r="X179" s="144"/>
      <c r="Y179" s="137"/>
      <c r="Z179" s="159"/>
      <c r="AA179" s="278"/>
    </row>
    <row r="180" spans="1:27" ht="15">
      <c r="A180" s="479">
        <f t="shared" si="69"/>
        <v>180</v>
      </c>
      <c r="B180" s="81"/>
      <c r="C180" s="82"/>
      <c r="D180" s="82"/>
      <c r="E180" s="82"/>
      <c r="F180" s="82"/>
      <c r="G180" s="59"/>
      <c r="H180" s="509"/>
      <c r="I180" s="735"/>
      <c r="J180" s="735"/>
      <c r="K180" s="735"/>
      <c r="L180" s="735"/>
      <c r="M180" s="735"/>
      <c r="N180" s="735"/>
      <c r="O180" s="735"/>
      <c r="P180" s="735"/>
      <c r="Q180" s="735"/>
      <c r="R180" s="735"/>
      <c r="S180" s="735"/>
      <c r="T180" s="735"/>
      <c r="U180" s="736"/>
      <c r="V180" s="316"/>
      <c r="W180" s="316"/>
      <c r="X180" s="130"/>
      <c r="Y180" s="71"/>
      <c r="Z180" s="72"/>
      <c r="AA180" s="278"/>
    </row>
    <row r="181" spans="1:27" ht="16.8">
      <c r="A181" s="479">
        <f t="shared" si="69"/>
        <v>181</v>
      </c>
      <c r="B181" s="92" t="s">
        <v>94</v>
      </c>
      <c r="C181" s="93"/>
      <c r="D181" s="93"/>
      <c r="E181" s="82"/>
      <c r="F181" s="82"/>
      <c r="G181" s="59"/>
      <c r="H181" s="511"/>
      <c r="I181" s="737">
        <f>IF(I179&gt;0,I66/I179,0)</f>
        <v>0</v>
      </c>
      <c r="J181" s="738">
        <f>IF(J179&gt;0,J66/J179,0)</f>
        <v>0</v>
      </c>
      <c r="K181" s="739">
        <f>IF(K163&gt;0,K66/K179,0)</f>
        <v>0</v>
      </c>
      <c r="L181" s="740">
        <f>IF(K$18&lt;&gt;0,K181-J181,0)</f>
        <v>0</v>
      </c>
      <c r="M181" s="738">
        <f>IF(M179&gt;0,M66/M179,0)</f>
        <v>0</v>
      </c>
      <c r="N181" s="739">
        <f>IF(N163&gt;0,N66/N179,0)</f>
        <v>0</v>
      </c>
      <c r="O181" s="719">
        <f>IF(N$18&lt;&gt;0,N181-M181,0)</f>
        <v>0</v>
      </c>
      <c r="P181" s="738">
        <f>IF(P179&gt;0,P66/P179,0)</f>
        <v>0</v>
      </c>
      <c r="Q181" s="739">
        <f>IF(Q163&gt;0,Q66/Q179,0)</f>
        <v>0</v>
      </c>
      <c r="R181" s="740">
        <f>IF(Q$18&lt;&gt;0,Q181-P181,0)</f>
        <v>0</v>
      </c>
      <c r="S181" s="738">
        <f>IF(S179&gt;0,S66/S179,0)</f>
        <v>0</v>
      </c>
      <c r="T181" s="739">
        <f>IF(T163&gt;0,T66/T179,0)</f>
        <v>0</v>
      </c>
      <c r="U181" s="741">
        <f>IF(T$18&lt;&gt;0,T181-S181,0)</f>
        <v>0</v>
      </c>
      <c r="V181" s="143"/>
      <c r="W181" s="143"/>
      <c r="X181" s="143"/>
      <c r="Y181" s="137"/>
      <c r="Z181" s="555"/>
      <c r="AA181" s="278"/>
    </row>
    <row r="182" spans="1:27" ht="15">
      <c r="A182" s="479">
        <f t="shared" si="69"/>
        <v>182</v>
      </c>
      <c r="B182" s="81"/>
      <c r="C182" s="82"/>
      <c r="D182" s="82"/>
      <c r="E182" s="82"/>
      <c r="F182" s="82"/>
      <c r="G182" s="59"/>
      <c r="H182" s="509"/>
      <c r="I182" s="735"/>
      <c r="J182" s="735"/>
      <c r="K182" s="735"/>
      <c r="L182" s="735"/>
      <c r="M182" s="735"/>
      <c r="N182" s="735"/>
      <c r="O182" s="735"/>
      <c r="P182" s="735"/>
      <c r="Q182" s="735"/>
      <c r="R182" s="735"/>
      <c r="S182" s="735"/>
      <c r="T182" s="735"/>
      <c r="U182" s="736"/>
      <c r="V182" s="130"/>
      <c r="W182" s="130"/>
      <c r="X182" s="130"/>
      <c r="Y182" s="130"/>
      <c r="Z182" s="131"/>
      <c r="AA182" s="278"/>
    </row>
    <row r="183" spans="1:27" ht="17.399999999999999" thickBot="1">
      <c r="A183" s="479">
        <f t="shared" si="69"/>
        <v>183</v>
      </c>
      <c r="B183" s="125" t="s">
        <v>95</v>
      </c>
      <c r="C183" s="126"/>
      <c r="D183" s="126"/>
      <c r="E183" s="310"/>
      <c r="F183" s="310"/>
      <c r="G183" s="311"/>
      <c r="H183" s="512"/>
      <c r="I183" s="742">
        <f>IF(I179&gt;0,I157/I179,0)</f>
        <v>0</v>
      </c>
      <c r="J183" s="743">
        <f>IF(J179&gt;0,J157/J179,0)</f>
        <v>0</v>
      </c>
      <c r="K183" s="744">
        <f>IF(K163&gt;0,K157/K179,0)</f>
        <v>0</v>
      </c>
      <c r="L183" s="745">
        <f>IF(K$18&lt;&gt;0,J183-K183,0)</f>
        <v>0</v>
      </c>
      <c r="M183" s="743">
        <f>IF(M179&gt;0,M157/M179,0)</f>
        <v>0</v>
      </c>
      <c r="N183" s="744">
        <f>IF(N163&gt;0,N157/N179,0)</f>
        <v>0</v>
      </c>
      <c r="O183" s="745">
        <f>IF(N$18&lt;&gt;0,M183-N183,0)</f>
        <v>0</v>
      </c>
      <c r="P183" s="743">
        <f>IF(P179&gt;0,P157/P179,0)</f>
        <v>0</v>
      </c>
      <c r="Q183" s="744">
        <f>IF(Q163&gt;0,Q157/Q179,0)</f>
        <v>0</v>
      </c>
      <c r="R183" s="745">
        <f>IF(Q$18&lt;&gt;0,P183-Q183,0)</f>
        <v>0</v>
      </c>
      <c r="S183" s="743">
        <f>IF(S179&gt;0,S157/S179,0)</f>
        <v>0</v>
      </c>
      <c r="T183" s="744">
        <f>IF(T163&gt;0,T157/T179,0)</f>
        <v>0</v>
      </c>
      <c r="U183" s="746">
        <f>IF(T$18&lt;&gt;0,S183-T183,0)</f>
        <v>0</v>
      </c>
      <c r="V183" s="315"/>
      <c r="W183" s="315"/>
      <c r="X183" s="315"/>
      <c r="Y183" s="315"/>
      <c r="Z183" s="556"/>
      <c r="AA183" s="747"/>
    </row>
    <row r="184" spans="1:27" ht="16.2" thickTop="1" thickBot="1">
      <c r="A184" s="479">
        <f t="shared" si="69"/>
        <v>184</v>
      </c>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5.6" thickTop="1">
      <c r="A185" s="479">
        <f t="shared" si="69"/>
        <v>185</v>
      </c>
      <c r="B185" s="877" t="s">
        <v>1245</v>
      </c>
      <c r="C185" s="876"/>
      <c r="D185" s="876"/>
      <c r="E185" s="969"/>
      <c r="F185" s="972"/>
      <c r="G185" s="972"/>
      <c r="H185" s="973"/>
      <c r="I185" s="973"/>
      <c r="J185" s="875"/>
      <c r="K185" s="875"/>
      <c r="L185" s="875"/>
      <c r="M185" s="875"/>
      <c r="N185" s="875"/>
      <c r="O185" s="875"/>
      <c r="P185" s="875"/>
      <c r="Q185" s="875"/>
      <c r="R185" s="875"/>
      <c r="S185" s="875"/>
      <c r="T185" s="875"/>
      <c r="U185" s="874"/>
      <c r="V185" s="643"/>
      <c r="W185" s="875"/>
      <c r="X185" s="875"/>
      <c r="Y185" s="875"/>
      <c r="Z185" s="875"/>
      <c r="AA185" s="870"/>
    </row>
    <row r="186" spans="1:27" ht="15">
      <c r="A186" s="479">
        <f t="shared" si="69"/>
        <v>186</v>
      </c>
      <c r="B186" s="963"/>
      <c r="C186" s="966" t="s">
        <v>1255</v>
      </c>
      <c r="D186" s="964"/>
      <c r="E186" s="959"/>
      <c r="F186" s="960"/>
      <c r="G186" s="960"/>
      <c r="H186" s="961"/>
      <c r="I186" s="961"/>
      <c r="J186" s="961"/>
      <c r="K186" s="961"/>
      <c r="L186" s="30"/>
      <c r="M186" s="961"/>
      <c r="N186" s="961"/>
      <c r="O186" s="30"/>
      <c r="P186" s="961"/>
      <c r="Q186" s="961"/>
      <c r="R186" s="30"/>
      <c r="S186" s="961"/>
      <c r="T186" s="30"/>
      <c r="U186" s="748"/>
      <c r="V186" s="869"/>
      <c r="W186" s="961"/>
      <c r="X186" s="30"/>
      <c r="Y186" s="961"/>
      <c r="Z186" s="961"/>
      <c r="AA186" s="748"/>
    </row>
    <row r="187" spans="1:27" ht="15">
      <c r="A187" s="479">
        <f t="shared" si="69"/>
        <v>187</v>
      </c>
      <c r="B187" s="963"/>
      <c r="C187" s="964"/>
      <c r="D187" s="1047" t="s">
        <v>1246</v>
      </c>
      <c r="E187" s="1047"/>
      <c r="F187" s="1047"/>
      <c r="G187" s="1047"/>
      <c r="H187" s="961"/>
      <c r="I187" s="949">
        <v>0</v>
      </c>
      <c r="J187" s="952">
        <v>0</v>
      </c>
      <c r="K187" s="984">
        <v>0</v>
      </c>
      <c r="L187" s="661">
        <f>IF(K$18&lt;&gt;0,J187-K187,0)</f>
        <v>0</v>
      </c>
      <c r="M187" s="984">
        <v>0</v>
      </c>
      <c r="N187" s="984">
        <v>0</v>
      </c>
      <c r="O187" s="661">
        <f>IF(N$18&lt;&gt;0,M187-N187,0)</f>
        <v>0</v>
      </c>
      <c r="P187" s="984">
        <v>0</v>
      </c>
      <c r="Q187" s="984">
        <v>0</v>
      </c>
      <c r="R187" s="661">
        <f>IF(Q$18&lt;&gt;0,P187-Q187,0)</f>
        <v>0</v>
      </c>
      <c r="S187" s="984">
        <v>0</v>
      </c>
      <c r="T187" s="984">
        <v>0</v>
      </c>
      <c r="U187" s="662">
        <f>IF(T$18&lt;&gt;0,S187-T187,0)</f>
        <v>0</v>
      </c>
      <c r="V187" s="663">
        <f>J187+M187+P187+S187</f>
        <v>0</v>
      </c>
      <c r="W187" s="664">
        <f>SUM(IF(K$6&lt;&gt;0,K187,J187)+IF(N$6&lt;&gt;0,N187,M187)+IF(Q$6&lt;&gt;0,Q187,P187)+IF(T$6&lt;&gt;0,T187,S187))</f>
        <v>0</v>
      </c>
      <c r="X187" s="660">
        <f>IF(W$18&lt;&gt;0,V187-W187,0)</f>
        <v>0</v>
      </c>
      <c r="Y187" s="660">
        <f>V187-I187</f>
        <v>0</v>
      </c>
      <c r="Z187" s="707">
        <f>W187-I187</f>
        <v>0</v>
      </c>
      <c r="AA187" s="868"/>
    </row>
    <row r="188" spans="1:27" ht="15">
      <c r="A188" s="479">
        <f t="shared" si="69"/>
        <v>188</v>
      </c>
      <c r="B188" s="963"/>
      <c r="C188" s="964"/>
      <c r="D188" s="1047" t="s">
        <v>29</v>
      </c>
      <c r="E188" s="1047"/>
      <c r="F188" s="1047"/>
      <c r="G188" s="1047"/>
      <c r="H188" s="961"/>
      <c r="I188" s="948">
        <v>0</v>
      </c>
      <c r="J188" s="951">
        <v>0</v>
      </c>
      <c r="K188" s="985">
        <v>0</v>
      </c>
      <c r="L188" s="661">
        <f>IF(K$18&lt;&gt;0,J188-K188,0)</f>
        <v>0</v>
      </c>
      <c r="M188" s="985">
        <v>0</v>
      </c>
      <c r="N188" s="985">
        <v>0</v>
      </c>
      <c r="O188" s="661">
        <f>IF(N$18&lt;&gt;0,M188-N188,0)</f>
        <v>0</v>
      </c>
      <c r="P188" s="985">
        <v>0</v>
      </c>
      <c r="Q188" s="985">
        <v>0</v>
      </c>
      <c r="R188" s="661">
        <f>IF(Q$18&lt;&gt;0,P188-Q188,0)</f>
        <v>0</v>
      </c>
      <c r="S188" s="985">
        <v>0</v>
      </c>
      <c r="T188" s="985">
        <v>0</v>
      </c>
      <c r="U188" s="662">
        <f>IF(T$18&lt;&gt;0,S188-T188,0)</f>
        <v>0</v>
      </c>
      <c r="V188" s="663">
        <f>J188+M188+P188+S188</f>
        <v>0</v>
      </c>
      <c r="W188" s="664">
        <f>SUM(IF(K$6&lt;&gt;0,K188,J188)+IF(N$6&lt;&gt;0,N188,M188)+IF(Q$6&lt;&gt;0,Q188,P188)+IF(T$6&lt;&gt;0,T188,S188))</f>
        <v>0</v>
      </c>
      <c r="X188" s="660">
        <f>IF(W$18&lt;&gt;0,V188-W188,0)</f>
        <v>0</v>
      </c>
      <c r="Y188" s="660">
        <f>V188-I188</f>
        <v>0</v>
      </c>
      <c r="Z188" s="707">
        <f>W188-I188</f>
        <v>0</v>
      </c>
      <c r="AA188" s="868"/>
    </row>
    <row r="189" spans="1:27" ht="15">
      <c r="A189" s="479">
        <f t="shared" si="69"/>
        <v>189</v>
      </c>
      <c r="B189" s="963"/>
      <c r="C189" s="964" t="s">
        <v>1247</v>
      </c>
      <c r="D189" s="974"/>
      <c r="E189" s="975"/>
      <c r="F189" s="960"/>
      <c r="G189" s="960"/>
      <c r="H189" s="961"/>
      <c r="I189" s="947">
        <f>SUM(I187:I188)</f>
        <v>0</v>
      </c>
      <c r="J189" s="950">
        <f t="shared" ref="J189:X189" si="89">SUM(J187:J188)</f>
        <v>0</v>
      </c>
      <c r="K189" s="976">
        <f t="shared" si="89"/>
        <v>0</v>
      </c>
      <c r="L189" s="976">
        <f t="shared" si="89"/>
        <v>0</v>
      </c>
      <c r="M189" s="976">
        <f t="shared" si="89"/>
        <v>0</v>
      </c>
      <c r="N189" s="976">
        <f t="shared" si="89"/>
        <v>0</v>
      </c>
      <c r="O189" s="976">
        <f t="shared" si="89"/>
        <v>0</v>
      </c>
      <c r="P189" s="976">
        <f t="shared" si="89"/>
        <v>0</v>
      </c>
      <c r="Q189" s="976">
        <f t="shared" si="89"/>
        <v>0</v>
      </c>
      <c r="R189" s="976">
        <f t="shared" si="89"/>
        <v>0</v>
      </c>
      <c r="S189" s="976">
        <f t="shared" si="89"/>
        <v>0</v>
      </c>
      <c r="T189" s="976">
        <f t="shared" si="89"/>
        <v>0</v>
      </c>
      <c r="U189" s="873">
        <f t="shared" si="89"/>
        <v>0</v>
      </c>
      <c r="V189" s="867">
        <f t="shared" si="89"/>
        <v>0</v>
      </c>
      <c r="W189" s="976">
        <f t="shared" si="89"/>
        <v>0</v>
      </c>
      <c r="X189" s="860">
        <f t="shared" si="89"/>
        <v>0</v>
      </c>
      <c r="Y189" s="860">
        <f>SUM(Y187:Y188)</f>
        <v>0</v>
      </c>
      <c r="Z189" s="940">
        <f>SUM(Z187:Z188)</f>
        <v>0</v>
      </c>
      <c r="AA189" s="868"/>
    </row>
    <row r="190" spans="1:27" ht="15">
      <c r="A190" s="479">
        <f t="shared" si="69"/>
        <v>190</v>
      </c>
      <c r="B190" s="963"/>
      <c r="C190" s="964" t="s">
        <v>1259</v>
      </c>
      <c r="D190" s="974"/>
      <c r="E190" s="975"/>
      <c r="F190" s="960"/>
      <c r="G190" s="960"/>
      <c r="H190" s="961"/>
      <c r="I190" s="977"/>
      <c r="J190" s="977"/>
      <c r="K190" s="977"/>
      <c r="L190" s="30"/>
      <c r="M190" s="977"/>
      <c r="N190" s="977"/>
      <c r="O190" s="30"/>
      <c r="P190" s="977"/>
      <c r="Q190" s="977"/>
      <c r="R190" s="30"/>
      <c r="S190" s="977"/>
      <c r="T190" s="977"/>
      <c r="U190" s="748"/>
      <c r="V190" s="866"/>
      <c r="W190" s="977"/>
      <c r="X190" s="30"/>
      <c r="Y190" s="977"/>
      <c r="Z190" s="977"/>
      <c r="AA190" s="868"/>
    </row>
    <row r="191" spans="1:27" ht="15">
      <c r="A191" s="479">
        <f t="shared" si="69"/>
        <v>191</v>
      </c>
      <c r="B191" s="963"/>
      <c r="C191" s="964"/>
      <c r="D191" s="1047" t="s">
        <v>1248</v>
      </c>
      <c r="E191" s="1047"/>
      <c r="F191" s="1047"/>
      <c r="G191" s="1047"/>
      <c r="H191" s="961"/>
      <c r="I191" s="945">
        <v>0</v>
      </c>
      <c r="J191" s="946">
        <v>0</v>
      </c>
      <c r="K191" s="965">
        <v>0</v>
      </c>
      <c r="L191" s="661">
        <f>IF(K$18&lt;&gt;0,J191-K191,0)</f>
        <v>0</v>
      </c>
      <c r="M191" s="965">
        <v>0</v>
      </c>
      <c r="N191" s="965">
        <v>0</v>
      </c>
      <c r="O191" s="661">
        <f>IF(N$18&lt;&gt;0,M191-N191,0)</f>
        <v>0</v>
      </c>
      <c r="P191" s="965">
        <v>0</v>
      </c>
      <c r="Q191" s="965">
        <v>0</v>
      </c>
      <c r="R191" s="661">
        <f>IF(Q$18&lt;&gt;0,P191-Q191,0)</f>
        <v>0</v>
      </c>
      <c r="S191" s="965">
        <v>0</v>
      </c>
      <c r="T191" s="965">
        <v>0</v>
      </c>
      <c r="U191" s="662">
        <f>IF(T$18&lt;&gt;0,S191-T191,0)</f>
        <v>0</v>
      </c>
      <c r="V191" s="663">
        <f>J191+M191+P191+S191</f>
        <v>0</v>
      </c>
      <c r="W191" s="664">
        <f>SUM(IF(K$6&lt;&gt;0,K191,J191)+IF(N$6&lt;&gt;0,N191,M191)+IF(Q$6&lt;&gt;0,Q191,P191)+IF(T$6&lt;&gt;0,T191,S191))</f>
        <v>0</v>
      </c>
      <c r="X191" s="660">
        <f>IF(W$18&lt;&gt;0,V191-W191,0)</f>
        <v>0</v>
      </c>
      <c r="Y191" s="660">
        <f>V191-I191</f>
        <v>0</v>
      </c>
      <c r="Z191" s="707">
        <f>W191-I191</f>
        <v>0</v>
      </c>
      <c r="AA191" s="868"/>
    </row>
    <row r="192" spans="1:27" ht="15">
      <c r="A192" s="479">
        <f t="shared" si="69"/>
        <v>192</v>
      </c>
      <c r="B192" s="963"/>
      <c r="C192" s="964"/>
      <c r="D192" s="1047" t="s">
        <v>29</v>
      </c>
      <c r="E192" s="1047"/>
      <c r="F192" s="1047"/>
      <c r="G192" s="1047"/>
      <c r="H192" s="961"/>
      <c r="I192" s="949">
        <v>0</v>
      </c>
      <c r="J192" s="952">
        <v>0</v>
      </c>
      <c r="K192" s="984">
        <v>0</v>
      </c>
      <c r="L192" s="661">
        <f>IF(K$18&lt;&gt;0,J192-K192,0)</f>
        <v>0</v>
      </c>
      <c r="M192" s="984">
        <v>0</v>
      </c>
      <c r="N192" s="984">
        <v>0</v>
      </c>
      <c r="O192" s="661">
        <f>IF(N$18&lt;&gt;0,M192-N192,0)</f>
        <v>0</v>
      </c>
      <c r="P192" s="984">
        <v>0</v>
      </c>
      <c r="Q192" s="984">
        <v>0</v>
      </c>
      <c r="R192" s="661">
        <f>IF(Q$18&lt;&gt;0,P192-Q192,0)</f>
        <v>0</v>
      </c>
      <c r="S192" s="984">
        <v>0</v>
      </c>
      <c r="T192" s="984">
        <v>0</v>
      </c>
      <c r="U192" s="662">
        <f>IF(T$18&lt;&gt;0,S192-T192,0)</f>
        <v>0</v>
      </c>
      <c r="V192" s="663">
        <f>J192+M192+P192+S192</f>
        <v>0</v>
      </c>
      <c r="W192" s="664">
        <f>SUM(IF(K$6&lt;&gt;0,K192,J192)+IF(N$6&lt;&gt;0,N192,M192)+IF(Q$6&lt;&gt;0,Q192,P192)+IF(T$6&lt;&gt;0,T192,S192))</f>
        <v>0</v>
      </c>
      <c r="X192" s="660">
        <f>IF(W$18&lt;&gt;0,V192-W192,0)</f>
        <v>0</v>
      </c>
      <c r="Y192" s="660">
        <f>V192-I192</f>
        <v>0</v>
      </c>
      <c r="Z192" s="707">
        <f>W192-I192</f>
        <v>0</v>
      </c>
      <c r="AA192" s="868"/>
    </row>
    <row r="193" spans="1:27" ht="15">
      <c r="A193" s="479">
        <f t="shared" si="69"/>
        <v>193</v>
      </c>
      <c r="B193" s="963"/>
      <c r="C193" s="964" t="s">
        <v>1249</v>
      </c>
      <c r="D193" s="974"/>
      <c r="E193" s="975"/>
      <c r="F193" s="960"/>
      <c r="G193" s="960"/>
      <c r="H193" s="961"/>
      <c r="I193" s="947">
        <f t="shared" ref="I193:Z193" si="90">SUM(I191:I192)</f>
        <v>0</v>
      </c>
      <c r="J193" s="950">
        <f t="shared" si="90"/>
        <v>0</v>
      </c>
      <c r="K193" s="976">
        <f t="shared" si="90"/>
        <v>0</v>
      </c>
      <c r="L193" s="976">
        <f t="shared" si="90"/>
        <v>0</v>
      </c>
      <c r="M193" s="976">
        <f t="shared" si="90"/>
        <v>0</v>
      </c>
      <c r="N193" s="976">
        <f t="shared" si="90"/>
        <v>0</v>
      </c>
      <c r="O193" s="976">
        <f t="shared" si="90"/>
        <v>0</v>
      </c>
      <c r="P193" s="976">
        <f t="shared" si="90"/>
        <v>0</v>
      </c>
      <c r="Q193" s="976">
        <f t="shared" si="90"/>
        <v>0</v>
      </c>
      <c r="R193" s="976">
        <f t="shared" si="90"/>
        <v>0</v>
      </c>
      <c r="S193" s="976">
        <f t="shared" si="90"/>
        <v>0</v>
      </c>
      <c r="T193" s="976">
        <f t="shared" si="90"/>
        <v>0</v>
      </c>
      <c r="U193" s="873">
        <f t="shared" si="90"/>
        <v>0</v>
      </c>
      <c r="V193" s="867">
        <f t="shared" si="90"/>
        <v>0</v>
      </c>
      <c r="W193" s="976">
        <f t="shared" si="90"/>
        <v>0</v>
      </c>
      <c r="X193" s="860">
        <f t="shared" si="90"/>
        <v>0</v>
      </c>
      <c r="Y193" s="860">
        <f t="shared" si="90"/>
        <v>0</v>
      </c>
      <c r="Z193" s="940">
        <f t="shared" si="90"/>
        <v>0</v>
      </c>
      <c r="AA193" s="868"/>
    </row>
    <row r="194" spans="1:27" ht="15">
      <c r="A194" s="479">
        <f t="shared" si="69"/>
        <v>194</v>
      </c>
      <c r="B194" s="963"/>
      <c r="C194" s="964" t="s">
        <v>1260</v>
      </c>
      <c r="D194" s="974"/>
      <c r="E194" s="975"/>
      <c r="F194" s="960"/>
      <c r="G194" s="962"/>
      <c r="H194" s="961"/>
      <c r="I194" s="977"/>
      <c r="J194" s="977"/>
      <c r="K194" s="977"/>
      <c r="L194" s="30"/>
      <c r="M194" s="977"/>
      <c r="N194" s="977"/>
      <c r="O194" s="30"/>
      <c r="P194" s="977"/>
      <c r="Q194" s="977"/>
      <c r="R194" s="30"/>
      <c r="S194" s="977"/>
      <c r="T194" s="977"/>
      <c r="U194" s="748"/>
      <c r="V194" s="866"/>
      <c r="W194" s="977"/>
      <c r="X194" s="30"/>
      <c r="Y194" s="977"/>
      <c r="Z194" s="977"/>
      <c r="AA194" s="868"/>
    </row>
    <row r="195" spans="1:27" ht="15">
      <c r="A195" s="479">
        <f t="shared" si="69"/>
        <v>195</v>
      </c>
      <c r="B195" s="963"/>
      <c r="C195" s="964"/>
      <c r="D195" s="1047" t="s">
        <v>1250</v>
      </c>
      <c r="E195" s="1047"/>
      <c r="F195" s="1047"/>
      <c r="G195" s="1047"/>
      <c r="H195" s="961"/>
      <c r="I195" s="949">
        <v>0</v>
      </c>
      <c r="J195" s="952">
        <v>0</v>
      </c>
      <c r="K195" s="984">
        <v>0</v>
      </c>
      <c r="L195" s="661">
        <f>IF(K$18&lt;&gt;0,J195-K195,0)</f>
        <v>0</v>
      </c>
      <c r="M195" s="984">
        <v>0</v>
      </c>
      <c r="N195" s="984">
        <v>0</v>
      </c>
      <c r="O195" s="661">
        <f>IF(N$18&lt;&gt;0,M195-N195,0)</f>
        <v>0</v>
      </c>
      <c r="P195" s="984">
        <v>0</v>
      </c>
      <c r="Q195" s="984">
        <v>0</v>
      </c>
      <c r="R195" s="661">
        <f>IF(Q$18&lt;&gt;0,P195-Q195,0)</f>
        <v>0</v>
      </c>
      <c r="S195" s="984">
        <v>0</v>
      </c>
      <c r="T195" s="984">
        <v>0</v>
      </c>
      <c r="U195" s="662">
        <f>IF(T$18&lt;&gt;0,S195-T195,0)</f>
        <v>0</v>
      </c>
      <c r="V195" s="663">
        <f>J195+M195+P195+S195</f>
        <v>0</v>
      </c>
      <c r="W195" s="664">
        <f>SUM(IF(K$6&lt;&gt;0,K195,J195)+IF(N$6&lt;&gt;0,N195,M195)+IF(Q$6&lt;&gt;0,Q195,P195)+IF(T$6&lt;&gt;0,T195,S195))</f>
        <v>0</v>
      </c>
      <c r="X195" s="660">
        <f>IF(W$18&lt;&gt;0,V195-W195,0)</f>
        <v>0</v>
      </c>
      <c r="Y195" s="660">
        <f>V195-I195</f>
        <v>0</v>
      </c>
      <c r="Z195" s="707">
        <f>W195-I195</f>
        <v>0</v>
      </c>
      <c r="AA195" s="868"/>
    </row>
    <row r="196" spans="1:27" ht="15">
      <c r="A196" s="479">
        <f t="shared" ref="A196:A205" si="91">A195+1</f>
        <v>196</v>
      </c>
      <c r="B196" s="963"/>
      <c r="C196" s="964"/>
      <c r="D196" s="1047" t="s">
        <v>29</v>
      </c>
      <c r="E196" s="1047"/>
      <c r="F196" s="1047"/>
      <c r="G196" s="1047"/>
      <c r="H196" s="961"/>
      <c r="I196" s="949">
        <v>0</v>
      </c>
      <c r="J196" s="952">
        <v>0</v>
      </c>
      <c r="K196" s="984">
        <v>0</v>
      </c>
      <c r="L196" s="661">
        <f>IF(K$18&lt;&gt;0,J196-K196,0)</f>
        <v>0</v>
      </c>
      <c r="M196" s="984">
        <v>0</v>
      </c>
      <c r="N196" s="984">
        <v>0</v>
      </c>
      <c r="O196" s="661">
        <f>IF(N$18&lt;&gt;0,M196-N196,0)</f>
        <v>0</v>
      </c>
      <c r="P196" s="984">
        <v>0</v>
      </c>
      <c r="Q196" s="984">
        <v>0</v>
      </c>
      <c r="R196" s="661">
        <f>IF(Q$18&lt;&gt;0,P196-Q196,0)</f>
        <v>0</v>
      </c>
      <c r="S196" s="984">
        <v>0</v>
      </c>
      <c r="T196" s="984">
        <v>0</v>
      </c>
      <c r="U196" s="662">
        <f>IF(T$18&lt;&gt;0,S196-T196,0)</f>
        <v>0</v>
      </c>
      <c r="V196" s="663">
        <f>J196+M196+P196+S196</f>
        <v>0</v>
      </c>
      <c r="W196" s="664">
        <f>SUM(IF(K$6&lt;&gt;0,K196,J196)+IF(N$6&lt;&gt;0,N196,M196)+IF(Q$6&lt;&gt;0,Q196,P196)+IF(T$6&lt;&gt;0,T196,S196))</f>
        <v>0</v>
      </c>
      <c r="X196" s="660">
        <f>IF(W$18&lt;&gt;0,V196-W196,0)</f>
        <v>0</v>
      </c>
      <c r="Y196" s="660">
        <f>V196-I196</f>
        <v>0</v>
      </c>
      <c r="Z196" s="707">
        <f>W196-I196</f>
        <v>0</v>
      </c>
      <c r="AA196" s="868"/>
    </row>
    <row r="197" spans="1:27" ht="15">
      <c r="A197" s="479">
        <f t="shared" si="91"/>
        <v>197</v>
      </c>
      <c r="B197" s="963"/>
      <c r="C197" s="964" t="s">
        <v>1251</v>
      </c>
      <c r="D197" s="964"/>
      <c r="E197" s="959"/>
      <c r="F197" s="960"/>
      <c r="G197" s="960"/>
      <c r="H197" s="961"/>
      <c r="I197" s="947">
        <f t="shared" ref="I197:Z197" si="92">SUM(I195:I196)</f>
        <v>0</v>
      </c>
      <c r="J197" s="950">
        <f t="shared" si="92"/>
        <v>0</v>
      </c>
      <c r="K197" s="976">
        <f t="shared" si="92"/>
        <v>0</v>
      </c>
      <c r="L197" s="976">
        <f t="shared" si="92"/>
        <v>0</v>
      </c>
      <c r="M197" s="976">
        <f t="shared" si="92"/>
        <v>0</v>
      </c>
      <c r="N197" s="976">
        <f t="shared" si="92"/>
        <v>0</v>
      </c>
      <c r="O197" s="976">
        <f t="shared" si="92"/>
        <v>0</v>
      </c>
      <c r="P197" s="976">
        <f t="shared" si="92"/>
        <v>0</v>
      </c>
      <c r="Q197" s="976">
        <f t="shared" si="92"/>
        <v>0</v>
      </c>
      <c r="R197" s="976">
        <f t="shared" si="92"/>
        <v>0</v>
      </c>
      <c r="S197" s="976">
        <f t="shared" si="92"/>
        <v>0</v>
      </c>
      <c r="T197" s="976">
        <f t="shared" si="92"/>
        <v>0</v>
      </c>
      <c r="U197" s="873">
        <f t="shared" si="92"/>
        <v>0</v>
      </c>
      <c r="V197" s="867">
        <f t="shared" si="92"/>
        <v>0</v>
      </c>
      <c r="W197" s="976">
        <f t="shared" si="92"/>
        <v>0</v>
      </c>
      <c r="X197" s="860">
        <f t="shared" si="92"/>
        <v>0</v>
      </c>
      <c r="Y197" s="939">
        <f t="shared" si="92"/>
        <v>0</v>
      </c>
      <c r="Z197" s="938">
        <f t="shared" si="92"/>
        <v>0</v>
      </c>
      <c r="AA197" s="868"/>
    </row>
    <row r="198" spans="1:27" ht="15">
      <c r="A198" s="479">
        <f t="shared" si="91"/>
        <v>198</v>
      </c>
      <c r="B198" s="963"/>
      <c r="C198" s="964"/>
      <c r="D198" s="964"/>
      <c r="E198" s="959"/>
      <c r="F198" s="960"/>
      <c r="G198" s="960"/>
      <c r="H198" s="961"/>
      <c r="I198" s="977"/>
      <c r="J198" s="977"/>
      <c r="K198" s="977"/>
      <c r="L198" s="30"/>
      <c r="M198" s="977"/>
      <c r="N198" s="977"/>
      <c r="O198" s="30"/>
      <c r="P198" s="977"/>
      <c r="Q198" s="977"/>
      <c r="R198" s="30"/>
      <c r="S198" s="977"/>
      <c r="T198" s="977"/>
      <c r="U198" s="748"/>
      <c r="V198" s="866"/>
      <c r="W198" s="977"/>
      <c r="X198" s="30"/>
      <c r="Y198" s="977"/>
      <c r="Z198" s="977"/>
      <c r="AA198" s="868"/>
    </row>
    <row r="199" spans="1:27" ht="15">
      <c r="A199" s="479">
        <f t="shared" si="91"/>
        <v>199</v>
      </c>
      <c r="B199" s="957" t="s">
        <v>1252</v>
      </c>
      <c r="C199" s="978"/>
      <c r="D199" s="978"/>
      <c r="E199" s="958"/>
      <c r="F199" s="979"/>
      <c r="G199" s="960"/>
      <c r="H199" s="961"/>
      <c r="I199" s="943">
        <f>I189+I193+I197</f>
        <v>0</v>
      </c>
      <c r="J199" s="944">
        <f t="shared" ref="J199:Z199" si="93">J189+J193+J197</f>
        <v>0</v>
      </c>
      <c r="K199" s="980">
        <f t="shared" si="93"/>
        <v>0</v>
      </c>
      <c r="L199" s="980">
        <f t="shared" si="93"/>
        <v>0</v>
      </c>
      <c r="M199" s="980">
        <f t="shared" si="93"/>
        <v>0</v>
      </c>
      <c r="N199" s="980">
        <f t="shared" si="93"/>
        <v>0</v>
      </c>
      <c r="O199" s="980">
        <f t="shared" si="93"/>
        <v>0</v>
      </c>
      <c r="P199" s="980">
        <f t="shared" si="93"/>
        <v>0</v>
      </c>
      <c r="Q199" s="980">
        <f t="shared" si="93"/>
        <v>0</v>
      </c>
      <c r="R199" s="980">
        <f t="shared" si="93"/>
        <v>0</v>
      </c>
      <c r="S199" s="980">
        <f t="shared" si="93"/>
        <v>0</v>
      </c>
      <c r="T199" s="980">
        <f t="shared" si="93"/>
        <v>0</v>
      </c>
      <c r="U199" s="872">
        <f t="shared" si="93"/>
        <v>0</v>
      </c>
      <c r="V199" s="865">
        <f t="shared" si="93"/>
        <v>0</v>
      </c>
      <c r="W199" s="980">
        <f t="shared" si="93"/>
        <v>0</v>
      </c>
      <c r="X199" s="937">
        <f t="shared" si="93"/>
        <v>0</v>
      </c>
      <c r="Y199" s="936">
        <f t="shared" si="93"/>
        <v>0</v>
      </c>
      <c r="Z199" s="935">
        <f t="shared" si="93"/>
        <v>0</v>
      </c>
      <c r="AA199" s="868"/>
    </row>
    <row r="200" spans="1:27" ht="15">
      <c r="A200" s="479">
        <f t="shared" si="91"/>
        <v>200</v>
      </c>
      <c r="B200" s="963"/>
      <c r="C200" s="964"/>
      <c r="D200" s="964"/>
      <c r="E200" s="959"/>
      <c r="F200" s="960"/>
      <c r="G200" s="960"/>
      <c r="H200" s="961"/>
      <c r="I200" s="977"/>
      <c r="J200" s="977"/>
      <c r="K200" s="977"/>
      <c r="L200" s="30"/>
      <c r="M200" s="977"/>
      <c r="N200" s="977"/>
      <c r="O200" s="30"/>
      <c r="P200" s="977"/>
      <c r="Q200" s="977"/>
      <c r="R200" s="30"/>
      <c r="S200" s="977"/>
      <c r="T200" s="977"/>
      <c r="U200" s="748"/>
      <c r="V200" s="866"/>
      <c r="W200" s="977"/>
      <c r="X200" s="30"/>
      <c r="Y200" s="977"/>
      <c r="Z200" s="977"/>
      <c r="AA200" s="868"/>
    </row>
    <row r="201" spans="1:27" ht="15">
      <c r="A201" s="479">
        <f t="shared" si="91"/>
        <v>201</v>
      </c>
      <c r="B201" s="957" t="s">
        <v>96</v>
      </c>
      <c r="C201" s="978"/>
      <c r="D201" s="978"/>
      <c r="E201" s="958"/>
      <c r="F201" s="979"/>
      <c r="G201" s="960"/>
      <c r="H201" s="961"/>
      <c r="I201" s="943">
        <f t="shared" ref="I201:Z201" si="94">I159+I199</f>
        <v>0</v>
      </c>
      <c r="J201" s="944">
        <f t="shared" si="94"/>
        <v>0</v>
      </c>
      <c r="K201" s="980">
        <f t="shared" si="94"/>
        <v>0</v>
      </c>
      <c r="L201" s="980">
        <f t="shared" si="94"/>
        <v>0</v>
      </c>
      <c r="M201" s="980">
        <f t="shared" si="94"/>
        <v>0</v>
      </c>
      <c r="N201" s="980">
        <f t="shared" si="94"/>
        <v>0</v>
      </c>
      <c r="O201" s="980">
        <f t="shared" si="94"/>
        <v>0</v>
      </c>
      <c r="P201" s="980">
        <f t="shared" si="94"/>
        <v>0</v>
      </c>
      <c r="Q201" s="980">
        <f t="shared" si="94"/>
        <v>0</v>
      </c>
      <c r="R201" s="980">
        <f t="shared" si="94"/>
        <v>0</v>
      </c>
      <c r="S201" s="980">
        <f t="shared" si="94"/>
        <v>0</v>
      </c>
      <c r="T201" s="980">
        <f t="shared" si="94"/>
        <v>0</v>
      </c>
      <c r="U201" s="872">
        <f t="shared" si="94"/>
        <v>0</v>
      </c>
      <c r="V201" s="865">
        <f t="shared" si="94"/>
        <v>0</v>
      </c>
      <c r="W201" s="980">
        <f t="shared" si="94"/>
        <v>0</v>
      </c>
      <c r="X201" s="937">
        <f t="shared" si="94"/>
        <v>0</v>
      </c>
      <c r="Y201" s="936">
        <f t="shared" si="94"/>
        <v>0</v>
      </c>
      <c r="Z201" s="935">
        <f t="shared" si="94"/>
        <v>0</v>
      </c>
      <c r="AA201" s="868"/>
    </row>
    <row r="202" spans="1:27" ht="15">
      <c r="A202" s="479">
        <f t="shared" si="91"/>
        <v>202</v>
      </c>
      <c r="B202" s="963"/>
      <c r="C202" s="964"/>
      <c r="D202" s="964"/>
      <c r="E202" s="959"/>
      <c r="F202" s="960"/>
      <c r="G202" s="960"/>
      <c r="H202" s="961"/>
      <c r="I202" s="977"/>
      <c r="J202" s="977"/>
      <c r="K202" s="977"/>
      <c r="L202" s="30"/>
      <c r="M202" s="977"/>
      <c r="N202" s="977"/>
      <c r="O202" s="30"/>
      <c r="P202" s="977"/>
      <c r="Q202" s="977"/>
      <c r="R202" s="30"/>
      <c r="S202" s="977"/>
      <c r="T202" s="977"/>
      <c r="U202" s="748"/>
      <c r="V202" s="866"/>
      <c r="W202" s="977"/>
      <c r="X202" s="30"/>
      <c r="Y202" s="977"/>
      <c r="Z202" s="977"/>
      <c r="AA202" s="868"/>
    </row>
    <row r="203" spans="1:27" ht="15">
      <c r="A203" s="479">
        <f t="shared" si="91"/>
        <v>203</v>
      </c>
      <c r="B203" s="957" t="s">
        <v>1253</v>
      </c>
      <c r="C203" s="959"/>
      <c r="D203" s="959"/>
      <c r="E203" s="959"/>
      <c r="F203" s="960"/>
      <c r="G203" s="960"/>
      <c r="H203" s="961"/>
      <c r="I203" s="949">
        <v>0</v>
      </c>
      <c r="J203" s="944">
        <f>I205</f>
        <v>0</v>
      </c>
      <c r="K203" s="980">
        <f>IF(K9&lt;&gt;0,J203,0)</f>
        <v>0</v>
      </c>
      <c r="L203" s="661">
        <f>IF(K$18&lt;&gt;0,J203-K203,0)</f>
        <v>0</v>
      </c>
      <c r="M203" s="980">
        <f>J205</f>
        <v>0</v>
      </c>
      <c r="N203" s="980">
        <f>IF(N9&lt;&gt;0,M203,0)</f>
        <v>0</v>
      </c>
      <c r="O203" s="661">
        <f>IF(N$18&lt;&gt;0,M203-N203,0)</f>
        <v>0</v>
      </c>
      <c r="P203" s="980">
        <f>M205</f>
        <v>0</v>
      </c>
      <c r="Q203" s="980">
        <f>IF(Q9&lt;&gt;0,P203,0)</f>
        <v>0</v>
      </c>
      <c r="R203" s="661">
        <f>IF(Q$18&lt;&gt;0,P203-Q203,0)</f>
        <v>0</v>
      </c>
      <c r="S203" s="980">
        <f>P205</f>
        <v>0</v>
      </c>
      <c r="T203" s="980">
        <f>IF(T9&lt;&gt;0,S203,0)</f>
        <v>0</v>
      </c>
      <c r="U203" s="662">
        <f>IF(T$18&lt;&gt;0,S203-T203,0)</f>
        <v>0</v>
      </c>
      <c r="V203" s="865">
        <f>J203</f>
        <v>0</v>
      </c>
      <c r="W203" s="664">
        <f>SUM(IF(K$6&lt;&gt;0,K203,J203))</f>
        <v>0</v>
      </c>
      <c r="X203" s="660">
        <f>IF(W$18&lt;&gt;0,V203-W203,0)</f>
        <v>0</v>
      </c>
      <c r="Y203" s="660">
        <f>V203-I203</f>
        <v>0</v>
      </c>
      <c r="Z203" s="707">
        <f>W203-I203</f>
        <v>0</v>
      </c>
      <c r="AA203" s="868"/>
    </row>
    <row r="204" spans="1:27" ht="15">
      <c r="A204" s="479">
        <f t="shared" si="91"/>
        <v>204</v>
      </c>
      <c r="B204" s="963"/>
      <c r="C204" s="964"/>
      <c r="D204" s="964"/>
      <c r="E204" s="959"/>
      <c r="F204" s="960"/>
      <c r="G204" s="960"/>
      <c r="H204" s="961"/>
      <c r="I204" s="970"/>
      <c r="J204" s="970"/>
      <c r="K204" s="970"/>
      <c r="L204" s="30"/>
      <c r="M204" s="970"/>
      <c r="N204" s="970"/>
      <c r="O204" s="30"/>
      <c r="P204" s="970"/>
      <c r="Q204" s="970"/>
      <c r="R204" s="30"/>
      <c r="S204" s="970"/>
      <c r="T204" s="970"/>
      <c r="U204" s="748"/>
      <c r="V204" s="864"/>
      <c r="W204" s="970"/>
      <c r="X204" s="30"/>
      <c r="Y204" s="970"/>
      <c r="Z204" s="970"/>
      <c r="AA204" s="868"/>
    </row>
    <row r="205" spans="1:27" ht="15.6" thickBot="1">
      <c r="A205" s="479">
        <f t="shared" si="91"/>
        <v>205</v>
      </c>
      <c r="B205" s="967" t="s">
        <v>1254</v>
      </c>
      <c r="C205" s="968"/>
      <c r="D205" s="968"/>
      <c r="E205" s="968"/>
      <c r="F205" s="981"/>
      <c r="G205" s="971"/>
      <c r="H205" s="982"/>
      <c r="I205" s="941">
        <f>I201+I203</f>
        <v>0</v>
      </c>
      <c r="J205" s="942">
        <f t="shared" ref="J205:Z205" si="95">J201+J203</f>
        <v>0</v>
      </c>
      <c r="K205" s="983">
        <f t="shared" si="95"/>
        <v>0</v>
      </c>
      <c r="L205" s="983">
        <f t="shared" si="95"/>
        <v>0</v>
      </c>
      <c r="M205" s="983">
        <f t="shared" si="95"/>
        <v>0</v>
      </c>
      <c r="N205" s="983">
        <f t="shared" si="95"/>
        <v>0</v>
      </c>
      <c r="O205" s="983">
        <f t="shared" si="95"/>
        <v>0</v>
      </c>
      <c r="P205" s="983">
        <f t="shared" si="95"/>
        <v>0</v>
      </c>
      <c r="Q205" s="983">
        <f t="shared" si="95"/>
        <v>0</v>
      </c>
      <c r="R205" s="983">
        <f t="shared" si="95"/>
        <v>0</v>
      </c>
      <c r="S205" s="983">
        <f t="shared" si="95"/>
        <v>0</v>
      </c>
      <c r="T205" s="983">
        <f t="shared" si="95"/>
        <v>0</v>
      </c>
      <c r="U205" s="871">
        <f t="shared" si="95"/>
        <v>0</v>
      </c>
      <c r="V205" s="863">
        <f>S205</f>
        <v>0</v>
      </c>
      <c r="W205" s="862">
        <f>SUM(IF(T$6&lt;&gt;0,T205,S205))</f>
        <v>0</v>
      </c>
      <c r="X205" s="934">
        <f t="shared" si="95"/>
        <v>0</v>
      </c>
      <c r="Y205" s="933">
        <f t="shared" si="95"/>
        <v>0</v>
      </c>
      <c r="Z205" s="932">
        <f t="shared" si="95"/>
        <v>0</v>
      </c>
      <c r="AA205" s="861"/>
    </row>
    <row r="206" spans="1:27" ht="13.8" thickTop="1">
      <c r="V206" s="30"/>
      <c r="W206" s="30"/>
      <c r="X206" s="30"/>
    </row>
    <row r="207" spans="1:27">
      <c r="J207" s="931"/>
      <c r="S207" s="931"/>
    </row>
  </sheetData>
  <sheetProtection algorithmName="SHA-512" hashValue="rpVhh/Rfs4WxN+F5Y3lfsU0dlHqQHMTXcyfS3ehBWVSnBeZdI6yT1cS93VO6Hduq/259n0vE4zrnX6rmCv/W9Q==" saltValue="hTYbuQUl/752pEdmREDypg==" spinCount="100000" sheet="1" objects="1" scenarios="1"/>
  <mergeCells count="19">
    <mergeCell ref="V3:Z3"/>
    <mergeCell ref="D34:E34"/>
    <mergeCell ref="S12:U12"/>
    <mergeCell ref="V12:X12"/>
    <mergeCell ref="Y12:Z12"/>
    <mergeCell ref="B12:E13"/>
    <mergeCell ref="G12:G13"/>
    <mergeCell ref="H12:H13"/>
    <mergeCell ref="J12:L12"/>
    <mergeCell ref="M12:O12"/>
    <mergeCell ref="P12:R12"/>
    <mergeCell ref="I14:I16"/>
    <mergeCell ref="J14:U16"/>
    <mergeCell ref="D195:G195"/>
    <mergeCell ref="D196:G196"/>
    <mergeCell ref="D187:G187"/>
    <mergeCell ref="D188:G188"/>
    <mergeCell ref="D191:G191"/>
    <mergeCell ref="D192:G192"/>
  </mergeCells>
  <conditionalFormatting sqref="I2:U2">
    <cfRule type="expression" dxfId="57" priority="2">
      <formula>$I$2=Mssg1</formula>
    </cfRule>
  </conditionalFormatting>
  <conditionalFormatting sqref="I4:U4">
    <cfRule type="expression" dxfId="56" priority="1">
      <formula>$I$4=Mssg2</formula>
    </cfRule>
  </conditionalFormatting>
  <dataValidations disablePrompts="1" count="5">
    <dataValidation errorStyle="information" allowBlank="1" showInputMessage="1" showErrorMessage="1" promptTitle="&quot;All OTHER Districts - Revenue&quot;" prompt="Please enter combined Revenue Per Pupil from &quot;All Other Schoool Districts. (Only enter when there are 16+ districts represented)." sqref="I33"/>
    <dataValidation type="custom" operator="lessThanOrEqual" allowBlank="1" showInputMessage="1" showErrorMessage="1" sqref="M17:N17 P17">
      <formula1>AND(S17&gt;=0,S17&lt;=1)</formula1>
    </dataValidation>
    <dataValidation type="custom" operator="lessThanOrEqual" allowBlank="1" showInputMessage="1" showErrorMessage="1" sqref="J17:K17">
      <formula1>AND(S17&gt;=0,S17&lt;=1)</formula1>
    </dataValidation>
    <dataValidation type="decimal" allowBlank="1" showInputMessage="1" showErrorMessage="1" sqref="S17:T17">
      <formula1>0</formula1>
      <formula2>1</formula2>
    </dataValidation>
    <dataValidation type="custom" operator="lessThanOrEqual" allowBlank="1" showInputMessage="1" showErrorMessage="1" sqref="Q17">
      <formula1>AND(T17&gt;=0,T17&lt;=1)</formula1>
    </dataValidation>
  </dataValidations>
  <printOptions horizontalCentered="1"/>
  <pageMargins left="0.49" right="0.45" top="0.31" bottom="0.28000000000000003" header="0.3" footer="0.3"/>
  <pageSetup scale="53" orientation="landscape" r:id="rId1"/>
  <headerFooter>
    <oddFooter>&amp;CPage &amp;P of &amp;N&amp;R&amp;F</oddFooter>
  </headerFooter>
  <rowBreaks count="3" manualBreakCount="3">
    <brk id="66" min="1" max="26" man="1"/>
    <brk id="118" min="1" max="26" man="1"/>
    <brk id="159" min="1" max="26" man="1"/>
  </rowBreaks>
  <colBreaks count="1" manualBreakCount="1">
    <brk id="21" min="1" max="181" man="1"/>
  </colBreaks>
  <ignoredErrors>
    <ignoredError sqref="L34 O34 R34 U34 V34:Z34 L159:U159" formula="1"/>
    <ignoredError sqref="I178:K178 M178 N178:T178" formulaRange="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3366"/>
    <pageSetUpPr fitToPage="1"/>
  </sheetPr>
  <dimension ref="A1:J46"/>
  <sheetViews>
    <sheetView showGridLines="0" topLeftCell="B2" zoomScale="80" zoomScaleNormal="80" zoomScaleSheetLayoutView="90" workbookViewId="0">
      <selection activeCell="E11" sqref="E11"/>
    </sheetView>
  </sheetViews>
  <sheetFormatPr defaultRowHeight="13.2"/>
  <cols>
    <col min="1" max="1" width="3.5546875" hidden="1" customWidth="1"/>
    <col min="2" max="2" width="3" customWidth="1"/>
    <col min="3" max="3" width="33.6640625" customWidth="1"/>
    <col min="4" max="4" width="40.6640625" customWidth="1"/>
    <col min="5" max="5" width="15.6640625" customWidth="1"/>
    <col min="6" max="6" width="1.6640625" customWidth="1"/>
    <col min="7" max="10" width="15.6640625" customWidth="1"/>
  </cols>
  <sheetData>
    <row r="1" spans="1:10" hidden="1">
      <c r="A1" s="848">
        <v>1</v>
      </c>
      <c r="B1" s="801"/>
      <c r="C1" s="801"/>
      <c r="D1" s="801"/>
      <c r="E1" s="802">
        <v>0</v>
      </c>
      <c r="F1" s="802"/>
      <c r="G1" s="802">
        <v>1</v>
      </c>
      <c r="H1" s="802">
        <v>2</v>
      </c>
      <c r="I1" s="802">
        <v>3</v>
      </c>
      <c r="J1" s="802">
        <v>4</v>
      </c>
    </row>
    <row r="2" spans="1:10" ht="18">
      <c r="A2" s="848">
        <v>2</v>
      </c>
      <c r="B2" s="1077" t="str">
        <f>IF(School="",Mssg1,School)</f>
        <v>Please enter school name on tab - "1) Name of School"</v>
      </c>
      <c r="C2" s="1077"/>
      <c r="D2" s="1077"/>
      <c r="E2" s="1077"/>
      <c r="F2" s="1077"/>
      <c r="G2" s="1077"/>
      <c r="H2" s="1077"/>
      <c r="I2" s="1077"/>
      <c r="J2" s="1077"/>
    </row>
    <row r="3" spans="1:10" ht="18">
      <c r="A3" s="848">
        <v>3</v>
      </c>
      <c r="B3" s="803" t="s">
        <v>194</v>
      </c>
      <c r="C3" s="803"/>
      <c r="D3" s="803"/>
      <c r="E3" s="803"/>
      <c r="F3" s="803"/>
      <c r="G3" s="803"/>
      <c r="H3" s="803"/>
      <c r="I3" s="803"/>
      <c r="J3" s="803"/>
    </row>
    <row r="4" spans="1:10" ht="18">
      <c r="A4" s="848">
        <v>4</v>
      </c>
      <c r="B4" s="1078" t="str">
        <f>IF(CONTROL!J12=0,Mssg2,AcadYr1)</f>
        <v>2020-21</v>
      </c>
      <c r="C4" s="1078"/>
      <c r="D4" s="1078"/>
      <c r="E4" s="1078"/>
      <c r="F4" s="1078"/>
      <c r="G4" s="1078"/>
      <c r="H4" s="1078"/>
      <c r="I4" s="1078"/>
      <c r="J4" s="1078"/>
    </row>
    <row r="5" spans="1:10" ht="15">
      <c r="A5" s="848">
        <v>5</v>
      </c>
      <c r="B5" s="804"/>
      <c r="C5" s="804"/>
      <c r="D5" s="804"/>
      <c r="E5" s="804"/>
      <c r="F5" s="804"/>
      <c r="G5" s="804"/>
      <c r="H5" s="804"/>
      <c r="I5" s="804"/>
      <c r="J5" s="804"/>
    </row>
    <row r="6" spans="1:10" ht="15">
      <c r="A6" s="848">
        <v>6</v>
      </c>
      <c r="B6" s="804"/>
      <c r="C6" s="804"/>
      <c r="D6" s="804"/>
      <c r="E6" s="998" t="s">
        <v>195</v>
      </c>
      <c r="F6" s="805"/>
      <c r="G6" s="998" t="s">
        <v>196</v>
      </c>
      <c r="H6" s="998" t="s">
        <v>197</v>
      </c>
      <c r="I6" s="998" t="s">
        <v>198</v>
      </c>
      <c r="J6" s="998" t="s">
        <v>199</v>
      </c>
    </row>
    <row r="7" spans="1:10" ht="30.75" customHeight="1" thickBot="1">
      <c r="A7" s="848">
        <v>7</v>
      </c>
      <c r="B7" s="804"/>
      <c r="C7" s="806"/>
      <c r="D7" s="804"/>
      <c r="E7" s="807" t="str">
        <f>PriorPeriod</f>
        <v>2019-20</v>
      </c>
      <c r="F7" s="808"/>
      <c r="G7" s="807" t="s">
        <v>200</v>
      </c>
      <c r="H7" s="807" t="s">
        <v>201</v>
      </c>
      <c r="I7" s="807" t="s">
        <v>202</v>
      </c>
      <c r="J7" s="807" t="s">
        <v>203</v>
      </c>
    </row>
    <row r="8" spans="1:10" ht="15" customHeight="1">
      <c r="A8" s="848">
        <v>8</v>
      </c>
      <c r="B8" s="1079" t="s">
        <v>204</v>
      </c>
      <c r="C8" s="1079"/>
      <c r="D8" s="1079"/>
      <c r="E8" s="809"/>
      <c r="F8" s="808"/>
      <c r="G8" s="809"/>
      <c r="H8" s="809"/>
      <c r="I8" s="809"/>
      <c r="J8" s="809"/>
    </row>
    <row r="9" spans="1:10" ht="15">
      <c r="A9" s="848">
        <v>9</v>
      </c>
      <c r="B9" s="804"/>
      <c r="C9" s="804"/>
      <c r="D9" s="804"/>
      <c r="E9" s="804"/>
      <c r="F9" s="804"/>
      <c r="G9" s="804"/>
      <c r="H9" s="804"/>
      <c r="I9" s="804"/>
      <c r="J9" s="804"/>
    </row>
    <row r="10" spans="1:10" ht="15">
      <c r="A10" s="848">
        <v>10</v>
      </c>
      <c r="B10" s="810" t="s">
        <v>205</v>
      </c>
      <c r="C10" s="811"/>
      <c r="D10" s="812"/>
      <c r="E10" s="813"/>
      <c r="F10" s="813"/>
      <c r="G10" s="814"/>
      <c r="H10" s="814"/>
      <c r="I10" s="814"/>
      <c r="J10" s="814"/>
    </row>
    <row r="11" spans="1:10" ht="15">
      <c r="A11" s="848">
        <v>11</v>
      </c>
      <c r="B11" s="804"/>
      <c r="C11" s="815" t="s">
        <v>206</v>
      </c>
      <c r="D11" s="815"/>
      <c r="E11" s="675">
        <v>0</v>
      </c>
      <c r="F11" s="816"/>
      <c r="G11" s="675">
        <v>0</v>
      </c>
      <c r="H11" s="675">
        <v>0</v>
      </c>
      <c r="I11" s="675">
        <v>0</v>
      </c>
      <c r="J11" s="675">
        <v>0</v>
      </c>
    </row>
    <row r="12" spans="1:10" ht="15">
      <c r="A12" s="848">
        <v>12</v>
      </c>
      <c r="B12" s="804"/>
      <c r="C12" s="804" t="s">
        <v>207</v>
      </c>
      <c r="D12" s="815"/>
      <c r="E12" s="675">
        <v>0</v>
      </c>
      <c r="F12" s="64"/>
      <c r="G12" s="675">
        <v>0</v>
      </c>
      <c r="H12" s="675">
        <v>0</v>
      </c>
      <c r="I12" s="675">
        <v>0</v>
      </c>
      <c r="J12" s="675">
        <v>0</v>
      </c>
    </row>
    <row r="13" spans="1:10" ht="15">
      <c r="A13" s="848">
        <v>13</v>
      </c>
      <c r="B13" s="804"/>
      <c r="C13" s="804" t="s">
        <v>208</v>
      </c>
      <c r="D13" s="815"/>
      <c r="E13" s="675">
        <v>0</v>
      </c>
      <c r="F13" s="64"/>
      <c r="G13" s="675">
        <v>0</v>
      </c>
      <c r="H13" s="675">
        <v>0</v>
      </c>
      <c r="I13" s="675">
        <v>0</v>
      </c>
      <c r="J13" s="675">
        <v>0</v>
      </c>
    </row>
    <row r="14" spans="1:10" ht="15">
      <c r="A14" s="848">
        <v>14</v>
      </c>
      <c r="B14" s="804"/>
      <c r="C14" s="804" t="s">
        <v>209</v>
      </c>
      <c r="D14" s="815"/>
      <c r="E14" s="675">
        <v>0</v>
      </c>
      <c r="F14" s="814"/>
      <c r="G14" s="675">
        <v>0</v>
      </c>
      <c r="H14" s="675">
        <v>0</v>
      </c>
      <c r="I14" s="675">
        <v>0</v>
      </c>
      <c r="J14" s="675">
        <v>0</v>
      </c>
    </row>
    <row r="15" spans="1:10" ht="16.8">
      <c r="A15" s="848">
        <v>15</v>
      </c>
      <c r="B15" s="804"/>
      <c r="C15" s="804" t="s">
        <v>210</v>
      </c>
      <c r="D15" s="815"/>
      <c r="E15" s="683">
        <v>0</v>
      </c>
      <c r="F15" s="814"/>
      <c r="G15" s="683">
        <v>0</v>
      </c>
      <c r="H15" s="683">
        <v>0</v>
      </c>
      <c r="I15" s="683">
        <v>0</v>
      </c>
      <c r="J15" s="683">
        <v>0</v>
      </c>
    </row>
    <row r="16" spans="1:10" ht="15">
      <c r="A16" s="848">
        <v>16</v>
      </c>
      <c r="B16" s="804"/>
      <c r="C16" s="815"/>
      <c r="D16" s="817" t="s">
        <v>211</v>
      </c>
      <c r="E16" s="814">
        <f>SUM(E11:E15)</f>
        <v>0</v>
      </c>
      <c r="F16" s="814"/>
      <c r="G16" s="814">
        <f>SUM(G11:G15)</f>
        <v>0</v>
      </c>
      <c r="H16" s="814">
        <f>SUM(H11:H15)</f>
        <v>0</v>
      </c>
      <c r="I16" s="814">
        <f>SUM(I11:I15)</f>
        <v>0</v>
      </c>
      <c r="J16" s="814">
        <f>SUM(J11:J15)</f>
        <v>0</v>
      </c>
    </row>
    <row r="17" spans="1:10" ht="15">
      <c r="A17" s="848">
        <v>17</v>
      </c>
      <c r="B17" s="804"/>
      <c r="C17" s="804"/>
      <c r="D17" s="804"/>
      <c r="E17" s="804"/>
      <c r="F17" s="804"/>
      <c r="G17" s="804"/>
      <c r="H17" s="804"/>
      <c r="I17" s="804"/>
      <c r="J17" s="804"/>
    </row>
    <row r="18" spans="1:10" ht="15">
      <c r="A18" s="848">
        <v>18</v>
      </c>
      <c r="B18" s="818" t="s">
        <v>212</v>
      </c>
      <c r="C18" s="815"/>
      <c r="D18" s="815"/>
      <c r="E18" s="675">
        <v>0</v>
      </c>
      <c r="F18" s="814"/>
      <c r="G18" s="675">
        <v>0</v>
      </c>
      <c r="H18" s="675">
        <v>0</v>
      </c>
      <c r="I18" s="675">
        <v>0</v>
      </c>
      <c r="J18" s="675">
        <v>0</v>
      </c>
    </row>
    <row r="19" spans="1:10" ht="15">
      <c r="A19" s="848">
        <v>19</v>
      </c>
      <c r="B19" s="804"/>
      <c r="C19" s="804"/>
      <c r="D19" s="804"/>
      <c r="E19" s="804"/>
      <c r="F19" s="804"/>
      <c r="G19" s="804"/>
      <c r="H19" s="804"/>
      <c r="I19" s="804"/>
      <c r="J19" s="804"/>
    </row>
    <row r="20" spans="1:10" ht="16.8">
      <c r="A20" s="848">
        <v>20</v>
      </c>
      <c r="B20" s="818" t="s">
        <v>213</v>
      </c>
      <c r="C20" s="815"/>
      <c r="D20" s="815"/>
      <c r="E20" s="683">
        <v>0</v>
      </c>
      <c r="F20" s="814"/>
      <c r="G20" s="683">
        <v>0</v>
      </c>
      <c r="H20" s="683">
        <v>0</v>
      </c>
      <c r="I20" s="683">
        <v>0</v>
      </c>
      <c r="J20" s="683">
        <v>0</v>
      </c>
    </row>
    <row r="21" spans="1:10" ht="15">
      <c r="A21" s="848">
        <v>21</v>
      </c>
      <c r="B21" s="804"/>
      <c r="C21" s="804"/>
      <c r="D21" s="804"/>
      <c r="E21" s="804"/>
      <c r="F21" s="804"/>
      <c r="G21" s="804"/>
      <c r="H21" s="804"/>
      <c r="I21" s="804"/>
      <c r="J21" s="804"/>
    </row>
    <row r="22" spans="1:10" ht="15.6" thickBot="1">
      <c r="A22" s="848">
        <v>22</v>
      </c>
      <c r="B22" s="804"/>
      <c r="C22" s="815"/>
      <c r="D22" s="819" t="s">
        <v>214</v>
      </c>
      <c r="E22" s="820">
        <f>E16+E18+E20</f>
        <v>0</v>
      </c>
      <c r="F22" s="64"/>
      <c r="G22" s="820">
        <f>G16+G18+G20</f>
        <v>0</v>
      </c>
      <c r="H22" s="820">
        <f>H16+H18+H20</f>
        <v>0</v>
      </c>
      <c r="I22" s="820">
        <f>I16+I18+I20</f>
        <v>0</v>
      </c>
      <c r="J22" s="820">
        <f>J16+J18+J20</f>
        <v>0</v>
      </c>
    </row>
    <row r="23" spans="1:10" ht="15.6" thickTop="1">
      <c r="A23" s="848">
        <v>23</v>
      </c>
      <c r="B23" s="804"/>
      <c r="C23" s="804"/>
      <c r="D23" s="804"/>
      <c r="E23" s="804"/>
      <c r="F23" s="804"/>
      <c r="G23" s="804"/>
      <c r="H23" s="804"/>
      <c r="I23" s="804"/>
      <c r="J23" s="804"/>
    </row>
    <row r="24" spans="1:10" ht="15" customHeight="1">
      <c r="A24" s="848">
        <v>24</v>
      </c>
      <c r="B24" s="1079" t="s">
        <v>215</v>
      </c>
      <c r="C24" s="1079"/>
      <c r="D24" s="1079"/>
      <c r="E24" s="128"/>
      <c r="F24" s="128"/>
      <c r="G24" s="128"/>
      <c r="H24" s="128"/>
      <c r="I24" s="128"/>
      <c r="J24" s="128"/>
    </row>
    <row r="25" spans="1:10" ht="15">
      <c r="A25" s="848">
        <v>25</v>
      </c>
      <c r="B25" s="804"/>
      <c r="C25" s="804"/>
      <c r="D25" s="804"/>
      <c r="E25" s="804"/>
      <c r="F25" s="804"/>
      <c r="G25" s="804"/>
      <c r="H25" s="804"/>
      <c r="I25" s="804"/>
      <c r="J25" s="804"/>
    </row>
    <row r="26" spans="1:10" ht="15">
      <c r="A26" s="848">
        <v>26</v>
      </c>
      <c r="B26" s="810" t="s">
        <v>216</v>
      </c>
      <c r="C26" s="821"/>
      <c r="D26" s="821"/>
      <c r="E26" s="814"/>
      <c r="F26" s="814"/>
      <c r="G26" s="814"/>
      <c r="H26" s="814"/>
      <c r="I26" s="814"/>
      <c r="J26" s="814"/>
    </row>
    <row r="27" spans="1:10" ht="15">
      <c r="A27" s="848">
        <v>27</v>
      </c>
      <c r="B27" s="804"/>
      <c r="C27" s="804" t="s">
        <v>217</v>
      </c>
      <c r="D27" s="815"/>
      <c r="E27" s="675">
        <v>0</v>
      </c>
      <c r="F27" s="816"/>
      <c r="G27" s="675">
        <v>0</v>
      </c>
      <c r="H27" s="675">
        <v>0</v>
      </c>
      <c r="I27" s="675">
        <v>0</v>
      </c>
      <c r="J27" s="675">
        <v>0</v>
      </c>
    </row>
    <row r="28" spans="1:10" ht="15">
      <c r="A28" s="848">
        <v>28</v>
      </c>
      <c r="B28" s="804"/>
      <c r="C28" s="804" t="s">
        <v>218</v>
      </c>
      <c r="D28" s="815"/>
      <c r="E28" s="675">
        <v>0</v>
      </c>
      <c r="F28" s="814"/>
      <c r="G28" s="675">
        <v>0</v>
      </c>
      <c r="H28" s="675">
        <v>0</v>
      </c>
      <c r="I28" s="675">
        <v>0</v>
      </c>
      <c r="J28" s="675">
        <v>0</v>
      </c>
    </row>
    <row r="29" spans="1:10" ht="15">
      <c r="A29" s="848">
        <v>29</v>
      </c>
      <c r="B29" s="804"/>
      <c r="C29" s="804" t="s">
        <v>366</v>
      </c>
      <c r="D29" s="815"/>
      <c r="E29" s="675">
        <v>0</v>
      </c>
      <c r="F29" s="814"/>
      <c r="G29" s="675">
        <v>0</v>
      </c>
      <c r="H29" s="675">
        <v>0</v>
      </c>
      <c r="I29" s="675">
        <v>0</v>
      </c>
      <c r="J29" s="675">
        <v>0</v>
      </c>
    </row>
    <row r="30" spans="1:10" ht="15">
      <c r="A30" s="848">
        <v>30</v>
      </c>
      <c r="B30" s="804"/>
      <c r="C30" s="804" t="s">
        <v>219</v>
      </c>
      <c r="D30" s="815"/>
      <c r="E30" s="675">
        <v>0</v>
      </c>
      <c r="F30" s="814"/>
      <c r="G30" s="675">
        <v>0</v>
      </c>
      <c r="H30" s="675">
        <v>0</v>
      </c>
      <c r="I30" s="675">
        <v>0</v>
      </c>
      <c r="J30" s="675">
        <v>0</v>
      </c>
    </row>
    <row r="31" spans="1:10" ht="15">
      <c r="A31" s="848">
        <v>31</v>
      </c>
      <c r="B31" s="804"/>
      <c r="C31" s="804" t="s">
        <v>220</v>
      </c>
      <c r="D31" s="815"/>
      <c r="E31" s="675">
        <v>0</v>
      </c>
      <c r="F31" s="814"/>
      <c r="G31" s="675">
        <v>0</v>
      </c>
      <c r="H31" s="675">
        <v>0</v>
      </c>
      <c r="I31" s="675">
        <v>0</v>
      </c>
      <c r="J31" s="675">
        <v>0</v>
      </c>
    </row>
    <row r="32" spans="1:10" ht="16.8">
      <c r="A32" s="848">
        <v>32</v>
      </c>
      <c r="B32" s="804"/>
      <c r="C32" s="804" t="s">
        <v>37</v>
      </c>
      <c r="D32" s="804"/>
      <c r="E32" s="683">
        <v>0</v>
      </c>
      <c r="F32" s="814"/>
      <c r="G32" s="683">
        <v>0</v>
      </c>
      <c r="H32" s="683">
        <v>0</v>
      </c>
      <c r="I32" s="683">
        <v>0</v>
      </c>
      <c r="J32" s="683">
        <v>0</v>
      </c>
    </row>
    <row r="33" spans="1:10" ht="15">
      <c r="A33" s="848">
        <v>33</v>
      </c>
      <c r="B33" s="804"/>
      <c r="C33" s="804"/>
      <c r="D33" s="817" t="s">
        <v>221</v>
      </c>
      <c r="E33" s="814">
        <f>SUM(E27:E32)</f>
        <v>0</v>
      </c>
      <c r="F33" s="814"/>
      <c r="G33" s="814">
        <f>SUM(G27:G32)</f>
        <v>0</v>
      </c>
      <c r="H33" s="814">
        <f>SUM(H27:H32)</f>
        <v>0</v>
      </c>
      <c r="I33" s="814">
        <f>SUM(I27:I32)</f>
        <v>0</v>
      </c>
      <c r="J33" s="814">
        <f>SUM(J27:J32)</f>
        <v>0</v>
      </c>
    </row>
    <row r="34" spans="1:10" ht="15">
      <c r="A34" s="848">
        <v>34</v>
      </c>
      <c r="B34" s="804"/>
      <c r="C34" s="804"/>
      <c r="D34" s="804"/>
      <c r="E34" s="804"/>
      <c r="F34" s="804"/>
      <c r="G34" s="804"/>
      <c r="H34" s="804"/>
      <c r="I34" s="804"/>
      <c r="J34" s="804"/>
    </row>
    <row r="35" spans="1:10" ht="16.8">
      <c r="A35" s="848">
        <v>35</v>
      </c>
      <c r="B35" s="810" t="s">
        <v>222</v>
      </c>
      <c r="C35" s="804"/>
      <c r="D35" s="815"/>
      <c r="E35" s="683">
        <v>0</v>
      </c>
      <c r="F35" s="128"/>
      <c r="G35" s="683">
        <v>0</v>
      </c>
      <c r="H35" s="683">
        <v>0</v>
      </c>
      <c r="I35" s="683">
        <v>0</v>
      </c>
      <c r="J35" s="683">
        <v>0</v>
      </c>
    </row>
    <row r="36" spans="1:10" ht="15">
      <c r="A36" s="848">
        <v>36</v>
      </c>
      <c r="B36" s="804"/>
      <c r="C36" s="804"/>
      <c r="D36" s="804"/>
      <c r="E36" s="804"/>
      <c r="F36" s="804"/>
      <c r="G36" s="804"/>
      <c r="H36" s="804"/>
      <c r="I36" s="804"/>
      <c r="J36" s="804"/>
    </row>
    <row r="37" spans="1:10" ht="16.8">
      <c r="A37" s="848">
        <v>37</v>
      </c>
      <c r="B37" s="804"/>
      <c r="C37" s="804"/>
      <c r="D37" s="817" t="s">
        <v>223</v>
      </c>
      <c r="E37" s="822">
        <f>E33+E35</f>
        <v>0</v>
      </c>
      <c r="F37" s="128"/>
      <c r="G37" s="822">
        <f>G33+G35</f>
        <v>0</v>
      </c>
      <c r="H37" s="822">
        <f>H33+H35</f>
        <v>0</v>
      </c>
      <c r="I37" s="822">
        <f>I33+I35</f>
        <v>0</v>
      </c>
      <c r="J37" s="822">
        <f>J33+J35</f>
        <v>0</v>
      </c>
    </row>
    <row r="38" spans="1:10" ht="15">
      <c r="A38" s="848">
        <v>38</v>
      </c>
      <c r="B38" s="804"/>
      <c r="C38" s="804"/>
      <c r="D38" s="804"/>
      <c r="E38" s="804"/>
      <c r="F38" s="804"/>
      <c r="G38" s="804"/>
      <c r="H38" s="804"/>
      <c r="I38" s="804"/>
      <c r="J38" s="804"/>
    </row>
    <row r="39" spans="1:10" ht="15">
      <c r="A39" s="848">
        <v>39</v>
      </c>
      <c r="B39" s="810" t="s">
        <v>224</v>
      </c>
      <c r="C39" s="821"/>
      <c r="D39" s="821"/>
      <c r="E39" s="814"/>
      <c r="F39" s="814"/>
      <c r="G39" s="128"/>
      <c r="H39" s="128"/>
      <c r="I39" s="128"/>
      <c r="J39" s="128"/>
    </row>
    <row r="40" spans="1:10" ht="15">
      <c r="A40" s="848">
        <v>40</v>
      </c>
      <c r="B40" s="823"/>
      <c r="C40" s="804" t="s">
        <v>225</v>
      </c>
      <c r="D40" s="821"/>
      <c r="E40" s="675">
        <v>0</v>
      </c>
      <c r="F40" s="814"/>
      <c r="G40" s="675">
        <v>0</v>
      </c>
      <c r="H40" s="675">
        <v>0</v>
      </c>
      <c r="I40" s="675">
        <v>0</v>
      </c>
      <c r="J40" s="675">
        <v>0</v>
      </c>
    </row>
    <row r="41" spans="1:10" ht="16.8">
      <c r="A41" s="848">
        <v>41</v>
      </c>
      <c r="B41" s="804"/>
      <c r="C41" s="804" t="s">
        <v>226</v>
      </c>
      <c r="D41" s="821"/>
      <c r="E41" s="683">
        <v>0</v>
      </c>
      <c r="F41" s="814"/>
      <c r="G41" s="683">
        <v>0</v>
      </c>
      <c r="H41" s="683">
        <v>0</v>
      </c>
      <c r="I41" s="683">
        <v>0</v>
      </c>
      <c r="J41" s="683">
        <v>0</v>
      </c>
    </row>
    <row r="42" spans="1:10" ht="16.8">
      <c r="A42" s="848">
        <v>42</v>
      </c>
      <c r="B42" s="804"/>
      <c r="C42" s="815"/>
      <c r="D42" s="817" t="s">
        <v>227</v>
      </c>
      <c r="E42" s="824">
        <f>SUM(E40:E41)</f>
        <v>0</v>
      </c>
      <c r="F42" s="814"/>
      <c r="G42" s="824">
        <f>SUM(G40:G41)</f>
        <v>0</v>
      </c>
      <c r="H42" s="824">
        <f>SUM(H40:H41)</f>
        <v>0</v>
      </c>
      <c r="I42" s="824">
        <f>SUM(I40:I41)</f>
        <v>0</v>
      </c>
      <c r="J42" s="824">
        <f>SUM(J40:J41)</f>
        <v>0</v>
      </c>
    </row>
    <row r="43" spans="1:10" ht="15">
      <c r="A43" s="848">
        <v>43</v>
      </c>
      <c r="B43" s="804"/>
      <c r="C43" s="804"/>
      <c r="D43" s="804"/>
      <c r="E43" s="804"/>
      <c r="F43" s="804"/>
      <c r="G43" s="804"/>
      <c r="H43" s="804"/>
      <c r="I43" s="804"/>
      <c r="J43" s="804"/>
    </row>
    <row r="44" spans="1:10" ht="15.6" thickBot="1">
      <c r="A44" s="848">
        <v>44</v>
      </c>
      <c r="B44" s="804"/>
      <c r="C44" s="815"/>
      <c r="D44" s="817" t="s">
        <v>228</v>
      </c>
      <c r="E44" s="825">
        <f>E37+E42</f>
        <v>0</v>
      </c>
      <c r="F44" s="814"/>
      <c r="G44" s="825">
        <f>G37+G42</f>
        <v>0</v>
      </c>
      <c r="H44" s="825">
        <f>H37+H42</f>
        <v>0</v>
      </c>
      <c r="I44" s="825">
        <f>I37+I42</f>
        <v>0</v>
      </c>
      <c r="J44" s="825">
        <f>J37+J42</f>
        <v>0</v>
      </c>
    </row>
    <row r="45" spans="1:10" ht="15.6" thickTop="1">
      <c r="A45" s="848">
        <v>45</v>
      </c>
      <c r="B45" s="804"/>
      <c r="C45" s="815"/>
      <c r="D45" s="821"/>
      <c r="E45" s="814"/>
      <c r="F45" s="814"/>
      <c r="G45" s="128"/>
      <c r="H45" s="128"/>
      <c r="I45" s="128"/>
      <c r="J45" s="128"/>
    </row>
    <row r="46" spans="1:10">
      <c r="A46" s="754"/>
      <c r="B46" s="754"/>
      <c r="C46" s="754"/>
      <c r="D46" s="754"/>
      <c r="E46" s="851" t="str">
        <f>IF(COUNTIF(E11:E44,"&gt;0")=0,"",IF(E22=E44,"Balanced","Not Balanced"))</f>
        <v/>
      </c>
      <c r="F46" s="754"/>
      <c r="G46" s="851" t="str">
        <f>IF(COUNTIF(G11:G44,"&gt;0")=0,"",IF(G22=G44,"Balanced","Not Balanced"))</f>
        <v/>
      </c>
      <c r="H46" s="851" t="str">
        <f>IF(COUNTIF(H11:H44,"&gt;0")=0,"",IF(H22=H44,"Balanced","Not Balanced"))</f>
        <v/>
      </c>
      <c r="I46" s="851" t="str">
        <f>IF(COUNTIF(I11:I44,"&gt;0")=0,"",IF(I22=I44,"Balanced","Not Balanced"))</f>
        <v/>
      </c>
      <c r="J46" s="851" t="str">
        <f>IF(COUNTIF(J11:J44,"&gt;0")=0,"",IF(J22=J44,"Balanced","Not Balanced"))</f>
        <v/>
      </c>
    </row>
  </sheetData>
  <sheetProtection algorithmName="SHA-512" hashValue="5asBl5TTYr1rtXymqW1RI1Zjobz5uUyynO0fJWVEXVPsAXq6M0zDDiZm7fDdydAUlYc6+1mRBRYxnJ+O7qioVQ==" saltValue="8FA6LfY4No2KQj6A9BtL6g==" spinCount="100000" sheet="1" objects="1" scenarios="1"/>
  <mergeCells count="4">
    <mergeCell ref="B2:J2"/>
    <mergeCell ref="B4:J4"/>
    <mergeCell ref="B24:D24"/>
    <mergeCell ref="B8:D8"/>
  </mergeCells>
  <conditionalFormatting sqref="B2:J2">
    <cfRule type="expression" dxfId="55" priority="4">
      <formula>$B$2=Mssg1</formula>
    </cfRule>
  </conditionalFormatting>
  <conditionalFormatting sqref="B4:J4">
    <cfRule type="expression" dxfId="54" priority="3">
      <formula>$B$4=Mssg2</formula>
    </cfRule>
  </conditionalFormatting>
  <conditionalFormatting sqref="E11:J44">
    <cfRule type="expression" dxfId="53" priority="2">
      <formula>BSNoteCode=2</formula>
    </cfRule>
  </conditionalFormatting>
  <conditionalFormatting sqref="G46:J46 E46">
    <cfRule type="cellIs" dxfId="52" priority="1" operator="equal">
      <formula>"Not Balanced"</formula>
    </cfRule>
  </conditionalFormatting>
  <dataValidations count="3">
    <dataValidation type="custom" showInputMessage="1" showErrorMessage="1" sqref="E12:E44 F11:F44 G12:J44">
      <formula1>OR(BSNoteCode=0,BSNoteCode=1)</formula1>
    </dataValidation>
    <dataValidation type="custom" showInputMessage="1" showErrorMessage="1" errorTitle="Merged School" error="Balance Sheet should not be completed for schools that have merged into an EdCorp. The balance sheet information is included with the EdCorp Balance Sheet." sqref="G11:J11">
      <formula1>OR(BSNoteCode=0,BSNoteCode=1)</formula1>
    </dataValidation>
    <dataValidation type="custom" showInputMessage="1" showErrorMessage="1" errorTitle="Balance Sheet Data - EdCorp Only" error="Balance data should not be entered for &quot;Merged Schools&quot; as it is included on the EdCorp's template." sqref="E11">
      <formula1>OR(BSNoteCode=0,BSNoteCode=1)</formula1>
    </dataValidation>
  </dataValidations>
  <printOptions horizontalCentered="1"/>
  <pageMargins left="0.49" right="0.45" top="0.54" bottom="0.73" header="0.3" footer="0.32"/>
  <pageSetup scale="79" orientation="landscape" r:id="rId1"/>
  <headerFooter>
    <oddFooter>&amp;CPage &amp;P of &amp;N&amp;R&amp;F</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003366"/>
  </sheetPr>
  <dimension ref="A1:AM185"/>
  <sheetViews>
    <sheetView showGridLines="0" topLeftCell="B2" zoomScale="70" zoomScaleNormal="70" zoomScaleSheetLayoutView="90" workbookViewId="0">
      <pane xSplit="6" ySplit="12" topLeftCell="H14" activePane="bottomRight" state="frozen"/>
      <selection activeCell="B2" sqref="B2"/>
      <selection pane="topRight" activeCell="H2" sqref="H2"/>
      <selection pane="bottomLeft" activeCell="B14" sqref="B14"/>
      <selection pane="bottomRight" activeCell="I18" sqref="I18"/>
    </sheetView>
  </sheetViews>
  <sheetFormatPr defaultRowHeight="15"/>
  <cols>
    <col min="1" max="1" width="6.88671875" style="262" hidden="1" customWidth="1"/>
    <col min="2" max="4" width="2.33203125" style="61" customWidth="1"/>
    <col min="5" max="5" width="56" style="62" bestFit="1" customWidth="1"/>
    <col min="6" max="6" width="3.5546875" style="62" customWidth="1"/>
    <col min="7" max="7" width="16.6640625" style="63" bestFit="1" customWidth="1"/>
    <col min="8" max="8" width="2.6640625" style="64" customWidth="1"/>
    <col min="9" max="9" width="13" style="130" customWidth="1"/>
    <col min="10" max="10" width="13" style="64" customWidth="1"/>
    <col min="11" max="20" width="13" style="130" customWidth="1"/>
    <col min="21" max="21" width="13" style="64" customWidth="1"/>
    <col min="22" max="28" width="13" style="451" customWidth="1"/>
    <col min="29" max="29" width="13" style="61" customWidth="1"/>
    <col min="30" max="30" width="18.6640625" style="61" customWidth="1"/>
    <col min="31" max="31" width="13" style="61" customWidth="1"/>
    <col min="32" max="32" width="40.5546875" style="61" customWidth="1"/>
    <col min="33" max="38" width="9.109375" style="61"/>
    <col min="39" max="39" width="11.6640625" style="61" hidden="1" customWidth="1"/>
    <col min="40" max="256" width="9.109375" style="61"/>
    <col min="257" max="257" width="3.5546875" style="61" bestFit="1" customWidth="1"/>
    <col min="258" max="260" width="2.33203125" style="61" customWidth="1"/>
    <col min="261" max="261" width="56" style="61" bestFit="1" customWidth="1"/>
    <col min="262" max="262" width="2.6640625" style="61" customWidth="1"/>
    <col min="263" max="263" width="16.6640625" style="61" bestFit="1" customWidth="1"/>
    <col min="264" max="264" width="2.6640625" style="61" customWidth="1"/>
    <col min="265" max="265" width="12.6640625" style="61" customWidth="1"/>
    <col min="266" max="266" width="12.5546875" style="61" customWidth="1"/>
    <col min="267" max="267" width="12.33203125" style="61" customWidth="1"/>
    <col min="268" max="268" width="11.6640625" style="61" customWidth="1"/>
    <col min="269" max="269" width="12.109375" style="61" customWidth="1"/>
    <col min="270" max="270" width="12.33203125" style="61" customWidth="1"/>
    <col min="271" max="271" width="11.6640625" style="61" customWidth="1"/>
    <col min="272" max="272" width="12" style="61" customWidth="1"/>
    <col min="273" max="273" width="12.109375" style="61" customWidth="1"/>
    <col min="274" max="274" width="11.6640625" style="61" customWidth="1"/>
    <col min="275" max="275" width="12" style="61" customWidth="1"/>
    <col min="276" max="276" width="12.33203125" style="61" customWidth="1"/>
    <col min="277" max="277" width="12.88671875" style="61" customWidth="1"/>
    <col min="278" max="278" width="17.109375" style="61" customWidth="1"/>
    <col min="279" max="280" width="13.33203125" style="61" customWidth="1"/>
    <col min="281" max="281" width="13.88671875" style="61" customWidth="1"/>
    <col min="282" max="282" width="16.88671875" style="61" customWidth="1"/>
    <col min="283" max="283" width="13.33203125" style="61" customWidth="1"/>
    <col min="284" max="284" width="13.44140625" style="61" customWidth="1"/>
    <col min="285" max="285" width="14.5546875" style="61" customWidth="1"/>
    <col min="286" max="286" width="14.6640625" style="61" customWidth="1"/>
    <col min="287" max="287" width="13.6640625" style="61" customWidth="1"/>
    <col min="288" max="288" width="51.33203125" style="61" customWidth="1"/>
    <col min="289" max="294" width="9.109375" style="61"/>
    <col min="295" max="295" width="0" style="61" hidden="1" customWidth="1"/>
    <col min="296" max="512" width="9.109375" style="61"/>
    <col min="513" max="513" width="3.5546875" style="61" bestFit="1" customWidth="1"/>
    <col min="514" max="516" width="2.33203125" style="61" customWidth="1"/>
    <col min="517" max="517" width="56" style="61" bestFit="1" customWidth="1"/>
    <col min="518" max="518" width="2.6640625" style="61" customWidth="1"/>
    <col min="519" max="519" width="16.6640625" style="61" bestFit="1" customWidth="1"/>
    <col min="520" max="520" width="2.6640625" style="61" customWidth="1"/>
    <col min="521" max="521" width="12.6640625" style="61" customWidth="1"/>
    <col min="522" max="522" width="12.5546875" style="61" customWidth="1"/>
    <col min="523" max="523" width="12.33203125" style="61" customWidth="1"/>
    <col min="524" max="524" width="11.6640625" style="61" customWidth="1"/>
    <col min="525" max="525" width="12.109375" style="61" customWidth="1"/>
    <col min="526" max="526" width="12.33203125" style="61" customWidth="1"/>
    <col min="527" max="527" width="11.6640625" style="61" customWidth="1"/>
    <col min="528" max="528" width="12" style="61" customWidth="1"/>
    <col min="529" max="529" width="12.109375" style="61" customWidth="1"/>
    <col min="530" max="530" width="11.6640625" style="61" customWidth="1"/>
    <col min="531" max="531" width="12" style="61" customWidth="1"/>
    <col min="532" max="532" width="12.33203125" style="61" customWidth="1"/>
    <col min="533" max="533" width="12.88671875" style="61" customWidth="1"/>
    <col min="534" max="534" width="17.109375" style="61" customWidth="1"/>
    <col min="535" max="536" width="13.33203125" style="61" customWidth="1"/>
    <col min="537" max="537" width="13.88671875" style="61" customWidth="1"/>
    <col min="538" max="538" width="16.88671875" style="61" customWidth="1"/>
    <col min="539" max="539" width="13.33203125" style="61" customWidth="1"/>
    <col min="540" max="540" width="13.44140625" style="61" customWidth="1"/>
    <col min="541" max="541" width="14.5546875" style="61" customWidth="1"/>
    <col min="542" max="542" width="14.6640625" style="61" customWidth="1"/>
    <col min="543" max="543" width="13.6640625" style="61" customWidth="1"/>
    <col min="544" max="544" width="51.33203125" style="61" customWidth="1"/>
    <col min="545" max="550" width="9.109375" style="61"/>
    <col min="551" max="551" width="0" style="61" hidden="1" customWidth="1"/>
    <col min="552" max="768" width="9.109375" style="61"/>
    <col min="769" max="769" width="3.5546875" style="61" bestFit="1" customWidth="1"/>
    <col min="770" max="772" width="2.33203125" style="61" customWidth="1"/>
    <col min="773" max="773" width="56" style="61" bestFit="1" customWidth="1"/>
    <col min="774" max="774" width="2.6640625" style="61" customWidth="1"/>
    <col min="775" max="775" width="16.6640625" style="61" bestFit="1" customWidth="1"/>
    <col min="776" max="776" width="2.6640625" style="61" customWidth="1"/>
    <col min="777" max="777" width="12.6640625" style="61" customWidth="1"/>
    <col min="778" max="778" width="12.5546875" style="61" customWidth="1"/>
    <col min="779" max="779" width="12.33203125" style="61" customWidth="1"/>
    <col min="780" max="780" width="11.6640625" style="61" customWidth="1"/>
    <col min="781" max="781" width="12.109375" style="61" customWidth="1"/>
    <col min="782" max="782" width="12.33203125" style="61" customWidth="1"/>
    <col min="783" max="783" width="11.6640625" style="61" customWidth="1"/>
    <col min="784" max="784" width="12" style="61" customWidth="1"/>
    <col min="785" max="785" width="12.109375" style="61" customWidth="1"/>
    <col min="786" max="786" width="11.6640625" style="61" customWidth="1"/>
    <col min="787" max="787" width="12" style="61" customWidth="1"/>
    <col min="788" max="788" width="12.33203125" style="61" customWidth="1"/>
    <col min="789" max="789" width="12.88671875" style="61" customWidth="1"/>
    <col min="790" max="790" width="17.109375" style="61" customWidth="1"/>
    <col min="791" max="792" width="13.33203125" style="61" customWidth="1"/>
    <col min="793" max="793" width="13.88671875" style="61" customWidth="1"/>
    <col min="794" max="794" width="16.88671875" style="61" customWidth="1"/>
    <col min="795" max="795" width="13.33203125" style="61" customWidth="1"/>
    <col min="796" max="796" width="13.44140625" style="61" customWidth="1"/>
    <col min="797" max="797" width="14.5546875" style="61" customWidth="1"/>
    <col min="798" max="798" width="14.6640625" style="61" customWidth="1"/>
    <col min="799" max="799" width="13.6640625" style="61" customWidth="1"/>
    <col min="800" max="800" width="51.33203125" style="61" customWidth="1"/>
    <col min="801" max="806" width="9.109375" style="61"/>
    <col min="807" max="807" width="0" style="61" hidden="1" customWidth="1"/>
    <col min="808" max="1024" width="9.109375" style="61"/>
    <col min="1025" max="1025" width="3.5546875" style="61" bestFit="1" customWidth="1"/>
    <col min="1026" max="1028" width="2.33203125" style="61" customWidth="1"/>
    <col min="1029" max="1029" width="56" style="61" bestFit="1" customWidth="1"/>
    <col min="1030" max="1030" width="2.6640625" style="61" customWidth="1"/>
    <col min="1031" max="1031" width="16.6640625" style="61" bestFit="1" customWidth="1"/>
    <col min="1032" max="1032" width="2.6640625" style="61" customWidth="1"/>
    <col min="1033" max="1033" width="12.6640625" style="61" customWidth="1"/>
    <col min="1034" max="1034" width="12.5546875" style="61" customWidth="1"/>
    <col min="1035" max="1035" width="12.33203125" style="61" customWidth="1"/>
    <col min="1036" max="1036" width="11.6640625" style="61" customWidth="1"/>
    <col min="1037" max="1037" width="12.109375" style="61" customWidth="1"/>
    <col min="1038" max="1038" width="12.33203125" style="61" customWidth="1"/>
    <col min="1039" max="1039" width="11.6640625" style="61" customWidth="1"/>
    <col min="1040" max="1040" width="12" style="61" customWidth="1"/>
    <col min="1041" max="1041" width="12.109375" style="61" customWidth="1"/>
    <col min="1042" max="1042" width="11.6640625" style="61" customWidth="1"/>
    <col min="1043" max="1043" width="12" style="61" customWidth="1"/>
    <col min="1044" max="1044" width="12.33203125" style="61" customWidth="1"/>
    <col min="1045" max="1045" width="12.88671875" style="61" customWidth="1"/>
    <col min="1046" max="1046" width="17.109375" style="61" customWidth="1"/>
    <col min="1047" max="1048" width="13.33203125" style="61" customWidth="1"/>
    <col min="1049" max="1049" width="13.88671875" style="61" customWidth="1"/>
    <col min="1050" max="1050" width="16.88671875" style="61" customWidth="1"/>
    <col min="1051" max="1051" width="13.33203125" style="61" customWidth="1"/>
    <col min="1052" max="1052" width="13.44140625" style="61" customWidth="1"/>
    <col min="1053" max="1053" width="14.5546875" style="61" customWidth="1"/>
    <col min="1054" max="1054" width="14.6640625" style="61" customWidth="1"/>
    <col min="1055" max="1055" width="13.6640625" style="61" customWidth="1"/>
    <col min="1056" max="1056" width="51.33203125" style="61" customWidth="1"/>
    <col min="1057" max="1062" width="9.109375" style="61"/>
    <col min="1063" max="1063" width="0" style="61" hidden="1" customWidth="1"/>
    <col min="1064" max="1280" width="9.109375" style="61"/>
    <col min="1281" max="1281" width="3.5546875" style="61" bestFit="1" customWidth="1"/>
    <col min="1282" max="1284" width="2.33203125" style="61" customWidth="1"/>
    <col min="1285" max="1285" width="56" style="61" bestFit="1" customWidth="1"/>
    <col min="1286" max="1286" width="2.6640625" style="61" customWidth="1"/>
    <col min="1287" max="1287" width="16.6640625" style="61" bestFit="1" customWidth="1"/>
    <col min="1288" max="1288" width="2.6640625" style="61" customWidth="1"/>
    <col min="1289" max="1289" width="12.6640625" style="61" customWidth="1"/>
    <col min="1290" max="1290" width="12.5546875" style="61" customWidth="1"/>
    <col min="1291" max="1291" width="12.33203125" style="61" customWidth="1"/>
    <col min="1292" max="1292" width="11.6640625" style="61" customWidth="1"/>
    <col min="1293" max="1293" width="12.109375" style="61" customWidth="1"/>
    <col min="1294" max="1294" width="12.33203125" style="61" customWidth="1"/>
    <col min="1295" max="1295" width="11.6640625" style="61" customWidth="1"/>
    <col min="1296" max="1296" width="12" style="61" customWidth="1"/>
    <col min="1297" max="1297" width="12.109375" style="61" customWidth="1"/>
    <col min="1298" max="1298" width="11.6640625" style="61" customWidth="1"/>
    <col min="1299" max="1299" width="12" style="61" customWidth="1"/>
    <col min="1300" max="1300" width="12.33203125" style="61" customWidth="1"/>
    <col min="1301" max="1301" width="12.88671875" style="61" customWidth="1"/>
    <col min="1302" max="1302" width="17.109375" style="61" customWidth="1"/>
    <col min="1303" max="1304" width="13.33203125" style="61" customWidth="1"/>
    <col min="1305" max="1305" width="13.88671875" style="61" customWidth="1"/>
    <col min="1306" max="1306" width="16.88671875" style="61" customWidth="1"/>
    <col min="1307" max="1307" width="13.33203125" style="61" customWidth="1"/>
    <col min="1308" max="1308" width="13.44140625" style="61" customWidth="1"/>
    <col min="1309" max="1309" width="14.5546875" style="61" customWidth="1"/>
    <col min="1310" max="1310" width="14.6640625" style="61" customWidth="1"/>
    <col min="1311" max="1311" width="13.6640625" style="61" customWidth="1"/>
    <col min="1312" max="1312" width="51.33203125" style="61" customWidth="1"/>
    <col min="1313" max="1318" width="9.109375" style="61"/>
    <col min="1319" max="1319" width="0" style="61" hidden="1" customWidth="1"/>
    <col min="1320" max="1536" width="9.109375" style="61"/>
    <col min="1537" max="1537" width="3.5546875" style="61" bestFit="1" customWidth="1"/>
    <col min="1538" max="1540" width="2.33203125" style="61" customWidth="1"/>
    <col min="1541" max="1541" width="56" style="61" bestFit="1" customWidth="1"/>
    <col min="1542" max="1542" width="2.6640625" style="61" customWidth="1"/>
    <col min="1543" max="1543" width="16.6640625" style="61" bestFit="1" customWidth="1"/>
    <col min="1544" max="1544" width="2.6640625" style="61" customWidth="1"/>
    <col min="1545" max="1545" width="12.6640625" style="61" customWidth="1"/>
    <col min="1546" max="1546" width="12.5546875" style="61" customWidth="1"/>
    <col min="1547" max="1547" width="12.33203125" style="61" customWidth="1"/>
    <col min="1548" max="1548" width="11.6640625" style="61" customWidth="1"/>
    <col min="1549" max="1549" width="12.109375" style="61" customWidth="1"/>
    <col min="1550" max="1550" width="12.33203125" style="61" customWidth="1"/>
    <col min="1551" max="1551" width="11.6640625" style="61" customWidth="1"/>
    <col min="1552" max="1552" width="12" style="61" customWidth="1"/>
    <col min="1553" max="1553" width="12.109375" style="61" customWidth="1"/>
    <col min="1554" max="1554" width="11.6640625" style="61" customWidth="1"/>
    <col min="1555" max="1555" width="12" style="61" customWidth="1"/>
    <col min="1556" max="1556" width="12.33203125" style="61" customWidth="1"/>
    <col min="1557" max="1557" width="12.88671875" style="61" customWidth="1"/>
    <col min="1558" max="1558" width="17.109375" style="61" customWidth="1"/>
    <col min="1559" max="1560" width="13.33203125" style="61" customWidth="1"/>
    <col min="1561" max="1561" width="13.88671875" style="61" customWidth="1"/>
    <col min="1562" max="1562" width="16.88671875" style="61" customWidth="1"/>
    <col min="1563" max="1563" width="13.33203125" style="61" customWidth="1"/>
    <col min="1564" max="1564" width="13.44140625" style="61" customWidth="1"/>
    <col min="1565" max="1565" width="14.5546875" style="61" customWidth="1"/>
    <col min="1566" max="1566" width="14.6640625" style="61" customWidth="1"/>
    <col min="1567" max="1567" width="13.6640625" style="61" customWidth="1"/>
    <col min="1568" max="1568" width="51.33203125" style="61" customWidth="1"/>
    <col min="1569" max="1574" width="9.109375" style="61"/>
    <col min="1575" max="1575" width="0" style="61" hidden="1" customWidth="1"/>
    <col min="1576" max="1792" width="9.109375" style="61"/>
    <col min="1793" max="1793" width="3.5546875" style="61" bestFit="1" customWidth="1"/>
    <col min="1794" max="1796" width="2.33203125" style="61" customWidth="1"/>
    <col min="1797" max="1797" width="56" style="61" bestFit="1" customWidth="1"/>
    <col min="1798" max="1798" width="2.6640625" style="61" customWidth="1"/>
    <col min="1799" max="1799" width="16.6640625" style="61" bestFit="1" customWidth="1"/>
    <col min="1800" max="1800" width="2.6640625" style="61" customWidth="1"/>
    <col min="1801" max="1801" width="12.6640625" style="61" customWidth="1"/>
    <col min="1802" max="1802" width="12.5546875" style="61" customWidth="1"/>
    <col min="1803" max="1803" width="12.33203125" style="61" customWidth="1"/>
    <col min="1804" max="1804" width="11.6640625" style="61" customWidth="1"/>
    <col min="1805" max="1805" width="12.109375" style="61" customWidth="1"/>
    <col min="1806" max="1806" width="12.33203125" style="61" customWidth="1"/>
    <col min="1807" max="1807" width="11.6640625" style="61" customWidth="1"/>
    <col min="1808" max="1808" width="12" style="61" customWidth="1"/>
    <col min="1809" max="1809" width="12.109375" style="61" customWidth="1"/>
    <col min="1810" max="1810" width="11.6640625" style="61" customWidth="1"/>
    <col min="1811" max="1811" width="12" style="61" customWidth="1"/>
    <col min="1812" max="1812" width="12.33203125" style="61" customWidth="1"/>
    <col min="1813" max="1813" width="12.88671875" style="61" customWidth="1"/>
    <col min="1814" max="1814" width="17.109375" style="61" customWidth="1"/>
    <col min="1815" max="1816" width="13.33203125" style="61" customWidth="1"/>
    <col min="1817" max="1817" width="13.88671875" style="61" customWidth="1"/>
    <col min="1818" max="1818" width="16.88671875" style="61" customWidth="1"/>
    <col min="1819" max="1819" width="13.33203125" style="61" customWidth="1"/>
    <col min="1820" max="1820" width="13.44140625" style="61" customWidth="1"/>
    <col min="1821" max="1821" width="14.5546875" style="61" customWidth="1"/>
    <col min="1822" max="1822" width="14.6640625" style="61" customWidth="1"/>
    <col min="1823" max="1823" width="13.6640625" style="61" customWidth="1"/>
    <col min="1824" max="1824" width="51.33203125" style="61" customWidth="1"/>
    <col min="1825" max="1830" width="9.109375" style="61"/>
    <col min="1831" max="1831" width="0" style="61" hidden="1" customWidth="1"/>
    <col min="1832" max="2048" width="9.109375" style="61"/>
    <col min="2049" max="2049" width="3.5546875" style="61" bestFit="1" customWidth="1"/>
    <col min="2050" max="2052" width="2.33203125" style="61" customWidth="1"/>
    <col min="2053" max="2053" width="56" style="61" bestFit="1" customWidth="1"/>
    <col min="2054" max="2054" width="2.6640625" style="61" customWidth="1"/>
    <col min="2055" max="2055" width="16.6640625" style="61" bestFit="1" customWidth="1"/>
    <col min="2056" max="2056" width="2.6640625" style="61" customWidth="1"/>
    <col min="2057" max="2057" width="12.6640625" style="61" customWidth="1"/>
    <col min="2058" max="2058" width="12.5546875" style="61" customWidth="1"/>
    <col min="2059" max="2059" width="12.33203125" style="61" customWidth="1"/>
    <col min="2060" max="2060" width="11.6640625" style="61" customWidth="1"/>
    <col min="2061" max="2061" width="12.109375" style="61" customWidth="1"/>
    <col min="2062" max="2062" width="12.33203125" style="61" customWidth="1"/>
    <col min="2063" max="2063" width="11.6640625" style="61" customWidth="1"/>
    <col min="2064" max="2064" width="12" style="61" customWidth="1"/>
    <col min="2065" max="2065" width="12.109375" style="61" customWidth="1"/>
    <col min="2066" max="2066" width="11.6640625" style="61" customWidth="1"/>
    <col min="2067" max="2067" width="12" style="61" customWidth="1"/>
    <col min="2068" max="2068" width="12.33203125" style="61" customWidth="1"/>
    <col min="2069" max="2069" width="12.88671875" style="61" customWidth="1"/>
    <col min="2070" max="2070" width="17.109375" style="61" customWidth="1"/>
    <col min="2071" max="2072" width="13.33203125" style="61" customWidth="1"/>
    <col min="2073" max="2073" width="13.88671875" style="61" customWidth="1"/>
    <col min="2074" max="2074" width="16.88671875" style="61" customWidth="1"/>
    <col min="2075" max="2075" width="13.33203125" style="61" customWidth="1"/>
    <col min="2076" max="2076" width="13.44140625" style="61" customWidth="1"/>
    <col min="2077" max="2077" width="14.5546875" style="61" customWidth="1"/>
    <col min="2078" max="2078" width="14.6640625" style="61" customWidth="1"/>
    <col min="2079" max="2079" width="13.6640625" style="61" customWidth="1"/>
    <col min="2080" max="2080" width="51.33203125" style="61" customWidth="1"/>
    <col min="2081" max="2086" width="9.109375" style="61"/>
    <col min="2087" max="2087" width="0" style="61" hidden="1" customWidth="1"/>
    <col min="2088" max="2304" width="9.109375" style="61"/>
    <col min="2305" max="2305" width="3.5546875" style="61" bestFit="1" customWidth="1"/>
    <col min="2306" max="2308" width="2.33203125" style="61" customWidth="1"/>
    <col min="2309" max="2309" width="56" style="61" bestFit="1" customWidth="1"/>
    <col min="2310" max="2310" width="2.6640625" style="61" customWidth="1"/>
    <col min="2311" max="2311" width="16.6640625" style="61" bestFit="1" customWidth="1"/>
    <col min="2312" max="2312" width="2.6640625" style="61" customWidth="1"/>
    <col min="2313" max="2313" width="12.6640625" style="61" customWidth="1"/>
    <col min="2314" max="2314" width="12.5546875" style="61" customWidth="1"/>
    <col min="2315" max="2315" width="12.33203125" style="61" customWidth="1"/>
    <col min="2316" max="2316" width="11.6640625" style="61" customWidth="1"/>
    <col min="2317" max="2317" width="12.109375" style="61" customWidth="1"/>
    <col min="2318" max="2318" width="12.33203125" style="61" customWidth="1"/>
    <col min="2319" max="2319" width="11.6640625" style="61" customWidth="1"/>
    <col min="2320" max="2320" width="12" style="61" customWidth="1"/>
    <col min="2321" max="2321" width="12.109375" style="61" customWidth="1"/>
    <col min="2322" max="2322" width="11.6640625" style="61" customWidth="1"/>
    <col min="2323" max="2323" width="12" style="61" customWidth="1"/>
    <col min="2324" max="2324" width="12.33203125" style="61" customWidth="1"/>
    <col min="2325" max="2325" width="12.88671875" style="61" customWidth="1"/>
    <col min="2326" max="2326" width="17.109375" style="61" customWidth="1"/>
    <col min="2327" max="2328" width="13.33203125" style="61" customWidth="1"/>
    <col min="2329" max="2329" width="13.88671875" style="61" customWidth="1"/>
    <col min="2330" max="2330" width="16.88671875" style="61" customWidth="1"/>
    <col min="2331" max="2331" width="13.33203125" style="61" customWidth="1"/>
    <col min="2332" max="2332" width="13.44140625" style="61" customWidth="1"/>
    <col min="2333" max="2333" width="14.5546875" style="61" customWidth="1"/>
    <col min="2334" max="2334" width="14.6640625" style="61" customWidth="1"/>
    <col min="2335" max="2335" width="13.6640625" style="61" customWidth="1"/>
    <col min="2336" max="2336" width="51.33203125" style="61" customWidth="1"/>
    <col min="2337" max="2342" width="9.109375" style="61"/>
    <col min="2343" max="2343" width="0" style="61" hidden="1" customWidth="1"/>
    <col min="2344" max="2560" width="9.109375" style="61"/>
    <col min="2561" max="2561" width="3.5546875" style="61" bestFit="1" customWidth="1"/>
    <col min="2562" max="2564" width="2.33203125" style="61" customWidth="1"/>
    <col min="2565" max="2565" width="56" style="61" bestFit="1" customWidth="1"/>
    <col min="2566" max="2566" width="2.6640625" style="61" customWidth="1"/>
    <col min="2567" max="2567" width="16.6640625" style="61" bestFit="1" customWidth="1"/>
    <col min="2568" max="2568" width="2.6640625" style="61" customWidth="1"/>
    <col min="2569" max="2569" width="12.6640625" style="61" customWidth="1"/>
    <col min="2570" max="2570" width="12.5546875" style="61" customWidth="1"/>
    <col min="2571" max="2571" width="12.33203125" style="61" customWidth="1"/>
    <col min="2572" max="2572" width="11.6640625" style="61" customWidth="1"/>
    <col min="2573" max="2573" width="12.109375" style="61" customWidth="1"/>
    <col min="2574" max="2574" width="12.33203125" style="61" customWidth="1"/>
    <col min="2575" max="2575" width="11.6640625" style="61" customWidth="1"/>
    <col min="2576" max="2576" width="12" style="61" customWidth="1"/>
    <col min="2577" max="2577" width="12.109375" style="61" customWidth="1"/>
    <col min="2578" max="2578" width="11.6640625" style="61" customWidth="1"/>
    <col min="2579" max="2579" width="12" style="61" customWidth="1"/>
    <col min="2580" max="2580" width="12.33203125" style="61" customWidth="1"/>
    <col min="2581" max="2581" width="12.88671875" style="61" customWidth="1"/>
    <col min="2582" max="2582" width="17.109375" style="61" customWidth="1"/>
    <col min="2583" max="2584" width="13.33203125" style="61" customWidth="1"/>
    <col min="2585" max="2585" width="13.88671875" style="61" customWidth="1"/>
    <col min="2586" max="2586" width="16.88671875" style="61" customWidth="1"/>
    <col min="2587" max="2587" width="13.33203125" style="61" customWidth="1"/>
    <col min="2588" max="2588" width="13.44140625" style="61" customWidth="1"/>
    <col min="2589" max="2589" width="14.5546875" style="61" customWidth="1"/>
    <col min="2590" max="2590" width="14.6640625" style="61" customWidth="1"/>
    <col min="2591" max="2591" width="13.6640625" style="61" customWidth="1"/>
    <col min="2592" max="2592" width="51.33203125" style="61" customWidth="1"/>
    <col min="2593" max="2598" width="9.109375" style="61"/>
    <col min="2599" max="2599" width="0" style="61" hidden="1" customWidth="1"/>
    <col min="2600" max="2816" width="9.109375" style="61"/>
    <col min="2817" max="2817" width="3.5546875" style="61" bestFit="1" customWidth="1"/>
    <col min="2818" max="2820" width="2.33203125" style="61" customWidth="1"/>
    <col min="2821" max="2821" width="56" style="61" bestFit="1" customWidth="1"/>
    <col min="2822" max="2822" width="2.6640625" style="61" customWidth="1"/>
    <col min="2823" max="2823" width="16.6640625" style="61" bestFit="1" customWidth="1"/>
    <col min="2824" max="2824" width="2.6640625" style="61" customWidth="1"/>
    <col min="2825" max="2825" width="12.6640625" style="61" customWidth="1"/>
    <col min="2826" max="2826" width="12.5546875" style="61" customWidth="1"/>
    <col min="2827" max="2827" width="12.33203125" style="61" customWidth="1"/>
    <col min="2828" max="2828" width="11.6640625" style="61" customWidth="1"/>
    <col min="2829" max="2829" width="12.109375" style="61" customWidth="1"/>
    <col min="2830" max="2830" width="12.33203125" style="61" customWidth="1"/>
    <col min="2831" max="2831" width="11.6640625" style="61" customWidth="1"/>
    <col min="2832" max="2832" width="12" style="61" customWidth="1"/>
    <col min="2833" max="2833" width="12.109375" style="61" customWidth="1"/>
    <col min="2834" max="2834" width="11.6640625" style="61" customWidth="1"/>
    <col min="2835" max="2835" width="12" style="61" customWidth="1"/>
    <col min="2836" max="2836" width="12.33203125" style="61" customWidth="1"/>
    <col min="2837" max="2837" width="12.88671875" style="61" customWidth="1"/>
    <col min="2838" max="2838" width="17.109375" style="61" customWidth="1"/>
    <col min="2839" max="2840" width="13.33203125" style="61" customWidth="1"/>
    <col min="2841" max="2841" width="13.88671875" style="61" customWidth="1"/>
    <col min="2842" max="2842" width="16.88671875" style="61" customWidth="1"/>
    <col min="2843" max="2843" width="13.33203125" style="61" customWidth="1"/>
    <col min="2844" max="2844" width="13.44140625" style="61" customWidth="1"/>
    <col min="2845" max="2845" width="14.5546875" style="61" customWidth="1"/>
    <col min="2846" max="2846" width="14.6640625" style="61" customWidth="1"/>
    <col min="2847" max="2847" width="13.6640625" style="61" customWidth="1"/>
    <col min="2848" max="2848" width="51.33203125" style="61" customWidth="1"/>
    <col min="2849" max="2854" width="9.109375" style="61"/>
    <col min="2855" max="2855" width="0" style="61" hidden="1" customWidth="1"/>
    <col min="2856" max="3072" width="9.109375" style="61"/>
    <col min="3073" max="3073" width="3.5546875" style="61" bestFit="1" customWidth="1"/>
    <col min="3074" max="3076" width="2.33203125" style="61" customWidth="1"/>
    <col min="3077" max="3077" width="56" style="61" bestFit="1" customWidth="1"/>
    <col min="3078" max="3078" width="2.6640625" style="61" customWidth="1"/>
    <col min="3079" max="3079" width="16.6640625" style="61" bestFit="1" customWidth="1"/>
    <col min="3080" max="3080" width="2.6640625" style="61" customWidth="1"/>
    <col min="3081" max="3081" width="12.6640625" style="61" customWidth="1"/>
    <col min="3082" max="3082" width="12.5546875" style="61" customWidth="1"/>
    <col min="3083" max="3083" width="12.33203125" style="61" customWidth="1"/>
    <col min="3084" max="3084" width="11.6640625" style="61" customWidth="1"/>
    <col min="3085" max="3085" width="12.109375" style="61" customWidth="1"/>
    <col min="3086" max="3086" width="12.33203125" style="61" customWidth="1"/>
    <col min="3087" max="3087" width="11.6640625" style="61" customWidth="1"/>
    <col min="3088" max="3088" width="12" style="61" customWidth="1"/>
    <col min="3089" max="3089" width="12.109375" style="61" customWidth="1"/>
    <col min="3090" max="3090" width="11.6640625" style="61" customWidth="1"/>
    <col min="3091" max="3091" width="12" style="61" customWidth="1"/>
    <col min="3092" max="3092" width="12.33203125" style="61" customWidth="1"/>
    <col min="3093" max="3093" width="12.88671875" style="61" customWidth="1"/>
    <col min="3094" max="3094" width="17.109375" style="61" customWidth="1"/>
    <col min="3095" max="3096" width="13.33203125" style="61" customWidth="1"/>
    <col min="3097" max="3097" width="13.88671875" style="61" customWidth="1"/>
    <col min="3098" max="3098" width="16.88671875" style="61" customWidth="1"/>
    <col min="3099" max="3099" width="13.33203125" style="61" customWidth="1"/>
    <col min="3100" max="3100" width="13.44140625" style="61" customWidth="1"/>
    <col min="3101" max="3101" width="14.5546875" style="61" customWidth="1"/>
    <col min="3102" max="3102" width="14.6640625" style="61" customWidth="1"/>
    <col min="3103" max="3103" width="13.6640625" style="61" customWidth="1"/>
    <col min="3104" max="3104" width="51.33203125" style="61" customWidth="1"/>
    <col min="3105" max="3110" width="9.109375" style="61"/>
    <col min="3111" max="3111" width="0" style="61" hidden="1" customWidth="1"/>
    <col min="3112" max="3328" width="9.109375" style="61"/>
    <col min="3329" max="3329" width="3.5546875" style="61" bestFit="1" customWidth="1"/>
    <col min="3330" max="3332" width="2.33203125" style="61" customWidth="1"/>
    <col min="3333" max="3333" width="56" style="61" bestFit="1" customWidth="1"/>
    <col min="3334" max="3334" width="2.6640625" style="61" customWidth="1"/>
    <col min="3335" max="3335" width="16.6640625" style="61" bestFit="1" customWidth="1"/>
    <col min="3336" max="3336" width="2.6640625" style="61" customWidth="1"/>
    <col min="3337" max="3337" width="12.6640625" style="61" customWidth="1"/>
    <col min="3338" max="3338" width="12.5546875" style="61" customWidth="1"/>
    <col min="3339" max="3339" width="12.33203125" style="61" customWidth="1"/>
    <col min="3340" max="3340" width="11.6640625" style="61" customWidth="1"/>
    <col min="3341" max="3341" width="12.109375" style="61" customWidth="1"/>
    <col min="3342" max="3342" width="12.33203125" style="61" customWidth="1"/>
    <col min="3343" max="3343" width="11.6640625" style="61" customWidth="1"/>
    <col min="3344" max="3344" width="12" style="61" customWidth="1"/>
    <col min="3345" max="3345" width="12.109375" style="61" customWidth="1"/>
    <col min="3346" max="3346" width="11.6640625" style="61" customWidth="1"/>
    <col min="3347" max="3347" width="12" style="61" customWidth="1"/>
    <col min="3348" max="3348" width="12.33203125" style="61" customWidth="1"/>
    <col min="3349" max="3349" width="12.88671875" style="61" customWidth="1"/>
    <col min="3350" max="3350" width="17.109375" style="61" customWidth="1"/>
    <col min="3351" max="3352" width="13.33203125" style="61" customWidth="1"/>
    <col min="3353" max="3353" width="13.88671875" style="61" customWidth="1"/>
    <col min="3354" max="3354" width="16.88671875" style="61" customWidth="1"/>
    <col min="3355" max="3355" width="13.33203125" style="61" customWidth="1"/>
    <col min="3356" max="3356" width="13.44140625" style="61" customWidth="1"/>
    <col min="3357" max="3357" width="14.5546875" style="61" customWidth="1"/>
    <col min="3358" max="3358" width="14.6640625" style="61" customWidth="1"/>
    <col min="3359" max="3359" width="13.6640625" style="61" customWidth="1"/>
    <col min="3360" max="3360" width="51.33203125" style="61" customWidth="1"/>
    <col min="3361" max="3366" width="9.109375" style="61"/>
    <col min="3367" max="3367" width="0" style="61" hidden="1" customWidth="1"/>
    <col min="3368" max="3584" width="9.109375" style="61"/>
    <col min="3585" max="3585" width="3.5546875" style="61" bestFit="1" customWidth="1"/>
    <col min="3586" max="3588" width="2.33203125" style="61" customWidth="1"/>
    <col min="3589" max="3589" width="56" style="61" bestFit="1" customWidth="1"/>
    <col min="3590" max="3590" width="2.6640625" style="61" customWidth="1"/>
    <col min="3591" max="3591" width="16.6640625" style="61" bestFit="1" customWidth="1"/>
    <col min="3592" max="3592" width="2.6640625" style="61" customWidth="1"/>
    <col min="3593" max="3593" width="12.6640625" style="61" customWidth="1"/>
    <col min="3594" max="3594" width="12.5546875" style="61" customWidth="1"/>
    <col min="3595" max="3595" width="12.33203125" style="61" customWidth="1"/>
    <col min="3596" max="3596" width="11.6640625" style="61" customWidth="1"/>
    <col min="3597" max="3597" width="12.109375" style="61" customWidth="1"/>
    <col min="3598" max="3598" width="12.33203125" style="61" customWidth="1"/>
    <col min="3599" max="3599" width="11.6640625" style="61" customWidth="1"/>
    <col min="3600" max="3600" width="12" style="61" customWidth="1"/>
    <col min="3601" max="3601" width="12.109375" style="61" customWidth="1"/>
    <col min="3602" max="3602" width="11.6640625" style="61" customWidth="1"/>
    <col min="3603" max="3603" width="12" style="61" customWidth="1"/>
    <col min="3604" max="3604" width="12.33203125" style="61" customWidth="1"/>
    <col min="3605" max="3605" width="12.88671875" style="61" customWidth="1"/>
    <col min="3606" max="3606" width="17.109375" style="61" customWidth="1"/>
    <col min="3607" max="3608" width="13.33203125" style="61" customWidth="1"/>
    <col min="3609" max="3609" width="13.88671875" style="61" customWidth="1"/>
    <col min="3610" max="3610" width="16.88671875" style="61" customWidth="1"/>
    <col min="3611" max="3611" width="13.33203125" style="61" customWidth="1"/>
    <col min="3612" max="3612" width="13.44140625" style="61" customWidth="1"/>
    <col min="3613" max="3613" width="14.5546875" style="61" customWidth="1"/>
    <col min="3614" max="3614" width="14.6640625" style="61" customWidth="1"/>
    <col min="3615" max="3615" width="13.6640625" style="61" customWidth="1"/>
    <col min="3616" max="3616" width="51.33203125" style="61" customWidth="1"/>
    <col min="3617" max="3622" width="9.109375" style="61"/>
    <col min="3623" max="3623" width="0" style="61" hidden="1" customWidth="1"/>
    <col min="3624" max="3840" width="9.109375" style="61"/>
    <col min="3841" max="3841" width="3.5546875" style="61" bestFit="1" customWidth="1"/>
    <col min="3842" max="3844" width="2.33203125" style="61" customWidth="1"/>
    <col min="3845" max="3845" width="56" style="61" bestFit="1" customWidth="1"/>
    <col min="3846" max="3846" width="2.6640625" style="61" customWidth="1"/>
    <col min="3847" max="3847" width="16.6640625" style="61" bestFit="1" customWidth="1"/>
    <col min="3848" max="3848" width="2.6640625" style="61" customWidth="1"/>
    <col min="3849" max="3849" width="12.6640625" style="61" customWidth="1"/>
    <col min="3850" max="3850" width="12.5546875" style="61" customWidth="1"/>
    <col min="3851" max="3851" width="12.33203125" style="61" customWidth="1"/>
    <col min="3852" max="3852" width="11.6640625" style="61" customWidth="1"/>
    <col min="3853" max="3853" width="12.109375" style="61" customWidth="1"/>
    <col min="3854" max="3854" width="12.33203125" style="61" customWidth="1"/>
    <col min="3855" max="3855" width="11.6640625" style="61" customWidth="1"/>
    <col min="3856" max="3856" width="12" style="61" customWidth="1"/>
    <col min="3857" max="3857" width="12.109375" style="61" customWidth="1"/>
    <col min="3858" max="3858" width="11.6640625" style="61" customWidth="1"/>
    <col min="3859" max="3859" width="12" style="61" customWidth="1"/>
    <col min="3860" max="3860" width="12.33203125" style="61" customWidth="1"/>
    <col min="3861" max="3861" width="12.88671875" style="61" customWidth="1"/>
    <col min="3862" max="3862" width="17.109375" style="61" customWidth="1"/>
    <col min="3863" max="3864" width="13.33203125" style="61" customWidth="1"/>
    <col min="3865" max="3865" width="13.88671875" style="61" customWidth="1"/>
    <col min="3866" max="3866" width="16.88671875" style="61" customWidth="1"/>
    <col min="3867" max="3867" width="13.33203125" style="61" customWidth="1"/>
    <col min="3868" max="3868" width="13.44140625" style="61" customWidth="1"/>
    <col min="3869" max="3869" width="14.5546875" style="61" customWidth="1"/>
    <col min="3870" max="3870" width="14.6640625" style="61" customWidth="1"/>
    <col min="3871" max="3871" width="13.6640625" style="61" customWidth="1"/>
    <col min="3872" max="3872" width="51.33203125" style="61" customWidth="1"/>
    <col min="3873" max="3878" width="9.109375" style="61"/>
    <col min="3879" max="3879" width="0" style="61" hidden="1" customWidth="1"/>
    <col min="3880" max="4096" width="9.109375" style="61"/>
    <col min="4097" max="4097" width="3.5546875" style="61" bestFit="1" customWidth="1"/>
    <col min="4098" max="4100" width="2.33203125" style="61" customWidth="1"/>
    <col min="4101" max="4101" width="56" style="61" bestFit="1" customWidth="1"/>
    <col min="4102" max="4102" width="2.6640625" style="61" customWidth="1"/>
    <col min="4103" max="4103" width="16.6640625" style="61" bestFit="1" customWidth="1"/>
    <col min="4104" max="4104" width="2.6640625" style="61" customWidth="1"/>
    <col min="4105" max="4105" width="12.6640625" style="61" customWidth="1"/>
    <col min="4106" max="4106" width="12.5546875" style="61" customWidth="1"/>
    <col min="4107" max="4107" width="12.33203125" style="61" customWidth="1"/>
    <col min="4108" max="4108" width="11.6640625" style="61" customWidth="1"/>
    <col min="4109" max="4109" width="12.109375" style="61" customWidth="1"/>
    <col min="4110" max="4110" width="12.33203125" style="61" customWidth="1"/>
    <col min="4111" max="4111" width="11.6640625" style="61" customWidth="1"/>
    <col min="4112" max="4112" width="12" style="61" customWidth="1"/>
    <col min="4113" max="4113" width="12.109375" style="61" customWidth="1"/>
    <col min="4114" max="4114" width="11.6640625" style="61" customWidth="1"/>
    <col min="4115" max="4115" width="12" style="61" customWidth="1"/>
    <col min="4116" max="4116" width="12.33203125" style="61" customWidth="1"/>
    <col min="4117" max="4117" width="12.88671875" style="61" customWidth="1"/>
    <col min="4118" max="4118" width="17.109375" style="61" customWidth="1"/>
    <col min="4119" max="4120" width="13.33203125" style="61" customWidth="1"/>
    <col min="4121" max="4121" width="13.88671875" style="61" customWidth="1"/>
    <col min="4122" max="4122" width="16.88671875" style="61" customWidth="1"/>
    <col min="4123" max="4123" width="13.33203125" style="61" customWidth="1"/>
    <col min="4124" max="4124" width="13.44140625" style="61" customWidth="1"/>
    <col min="4125" max="4125" width="14.5546875" style="61" customWidth="1"/>
    <col min="4126" max="4126" width="14.6640625" style="61" customWidth="1"/>
    <col min="4127" max="4127" width="13.6640625" style="61" customWidth="1"/>
    <col min="4128" max="4128" width="51.33203125" style="61" customWidth="1"/>
    <col min="4129" max="4134" width="9.109375" style="61"/>
    <col min="4135" max="4135" width="0" style="61" hidden="1" customWidth="1"/>
    <col min="4136" max="4352" width="9.109375" style="61"/>
    <col min="4353" max="4353" width="3.5546875" style="61" bestFit="1" customWidth="1"/>
    <col min="4354" max="4356" width="2.33203125" style="61" customWidth="1"/>
    <col min="4357" max="4357" width="56" style="61" bestFit="1" customWidth="1"/>
    <col min="4358" max="4358" width="2.6640625" style="61" customWidth="1"/>
    <col min="4359" max="4359" width="16.6640625" style="61" bestFit="1" customWidth="1"/>
    <col min="4360" max="4360" width="2.6640625" style="61" customWidth="1"/>
    <col min="4361" max="4361" width="12.6640625" style="61" customWidth="1"/>
    <col min="4362" max="4362" width="12.5546875" style="61" customWidth="1"/>
    <col min="4363" max="4363" width="12.33203125" style="61" customWidth="1"/>
    <col min="4364" max="4364" width="11.6640625" style="61" customWidth="1"/>
    <col min="4365" max="4365" width="12.109375" style="61" customWidth="1"/>
    <col min="4366" max="4366" width="12.33203125" style="61" customWidth="1"/>
    <col min="4367" max="4367" width="11.6640625" style="61" customWidth="1"/>
    <col min="4368" max="4368" width="12" style="61" customWidth="1"/>
    <col min="4369" max="4369" width="12.109375" style="61" customWidth="1"/>
    <col min="4370" max="4370" width="11.6640625" style="61" customWidth="1"/>
    <col min="4371" max="4371" width="12" style="61" customWidth="1"/>
    <col min="4372" max="4372" width="12.33203125" style="61" customWidth="1"/>
    <col min="4373" max="4373" width="12.88671875" style="61" customWidth="1"/>
    <col min="4374" max="4374" width="17.109375" style="61" customWidth="1"/>
    <col min="4375" max="4376" width="13.33203125" style="61" customWidth="1"/>
    <col min="4377" max="4377" width="13.88671875" style="61" customWidth="1"/>
    <col min="4378" max="4378" width="16.88671875" style="61" customWidth="1"/>
    <col min="4379" max="4379" width="13.33203125" style="61" customWidth="1"/>
    <col min="4380" max="4380" width="13.44140625" style="61" customWidth="1"/>
    <col min="4381" max="4381" width="14.5546875" style="61" customWidth="1"/>
    <col min="4382" max="4382" width="14.6640625" style="61" customWidth="1"/>
    <col min="4383" max="4383" width="13.6640625" style="61" customWidth="1"/>
    <col min="4384" max="4384" width="51.33203125" style="61" customWidth="1"/>
    <col min="4385" max="4390" width="9.109375" style="61"/>
    <col min="4391" max="4391" width="0" style="61" hidden="1" customWidth="1"/>
    <col min="4392" max="4608" width="9.109375" style="61"/>
    <col min="4609" max="4609" width="3.5546875" style="61" bestFit="1" customWidth="1"/>
    <col min="4610" max="4612" width="2.33203125" style="61" customWidth="1"/>
    <col min="4613" max="4613" width="56" style="61" bestFit="1" customWidth="1"/>
    <col min="4614" max="4614" width="2.6640625" style="61" customWidth="1"/>
    <col min="4615" max="4615" width="16.6640625" style="61" bestFit="1" customWidth="1"/>
    <col min="4616" max="4616" width="2.6640625" style="61" customWidth="1"/>
    <col min="4617" max="4617" width="12.6640625" style="61" customWidth="1"/>
    <col min="4618" max="4618" width="12.5546875" style="61" customWidth="1"/>
    <col min="4619" max="4619" width="12.33203125" style="61" customWidth="1"/>
    <col min="4620" max="4620" width="11.6640625" style="61" customWidth="1"/>
    <col min="4621" max="4621" width="12.109375" style="61" customWidth="1"/>
    <col min="4622" max="4622" width="12.33203125" style="61" customWidth="1"/>
    <col min="4623" max="4623" width="11.6640625" style="61" customWidth="1"/>
    <col min="4624" max="4624" width="12" style="61" customWidth="1"/>
    <col min="4625" max="4625" width="12.109375" style="61" customWidth="1"/>
    <col min="4626" max="4626" width="11.6640625" style="61" customWidth="1"/>
    <col min="4627" max="4627" width="12" style="61" customWidth="1"/>
    <col min="4628" max="4628" width="12.33203125" style="61" customWidth="1"/>
    <col min="4629" max="4629" width="12.88671875" style="61" customWidth="1"/>
    <col min="4630" max="4630" width="17.109375" style="61" customWidth="1"/>
    <col min="4631" max="4632" width="13.33203125" style="61" customWidth="1"/>
    <col min="4633" max="4633" width="13.88671875" style="61" customWidth="1"/>
    <col min="4634" max="4634" width="16.88671875" style="61" customWidth="1"/>
    <col min="4635" max="4635" width="13.33203125" style="61" customWidth="1"/>
    <col min="4636" max="4636" width="13.44140625" style="61" customWidth="1"/>
    <col min="4637" max="4637" width="14.5546875" style="61" customWidth="1"/>
    <col min="4638" max="4638" width="14.6640625" style="61" customWidth="1"/>
    <col min="4639" max="4639" width="13.6640625" style="61" customWidth="1"/>
    <col min="4640" max="4640" width="51.33203125" style="61" customWidth="1"/>
    <col min="4641" max="4646" width="9.109375" style="61"/>
    <col min="4647" max="4647" width="0" style="61" hidden="1" customWidth="1"/>
    <col min="4648" max="4864" width="9.109375" style="61"/>
    <col min="4865" max="4865" width="3.5546875" style="61" bestFit="1" customWidth="1"/>
    <col min="4866" max="4868" width="2.33203125" style="61" customWidth="1"/>
    <col min="4869" max="4869" width="56" style="61" bestFit="1" customWidth="1"/>
    <col min="4870" max="4870" width="2.6640625" style="61" customWidth="1"/>
    <col min="4871" max="4871" width="16.6640625" style="61" bestFit="1" customWidth="1"/>
    <col min="4872" max="4872" width="2.6640625" style="61" customWidth="1"/>
    <col min="4873" max="4873" width="12.6640625" style="61" customWidth="1"/>
    <col min="4874" max="4874" width="12.5546875" style="61" customWidth="1"/>
    <col min="4875" max="4875" width="12.33203125" style="61" customWidth="1"/>
    <col min="4876" max="4876" width="11.6640625" style="61" customWidth="1"/>
    <col min="4877" max="4877" width="12.109375" style="61" customWidth="1"/>
    <col min="4878" max="4878" width="12.33203125" style="61" customWidth="1"/>
    <col min="4879" max="4879" width="11.6640625" style="61" customWidth="1"/>
    <col min="4880" max="4880" width="12" style="61" customWidth="1"/>
    <col min="4881" max="4881" width="12.109375" style="61" customWidth="1"/>
    <col min="4882" max="4882" width="11.6640625" style="61" customWidth="1"/>
    <col min="4883" max="4883" width="12" style="61" customWidth="1"/>
    <col min="4884" max="4884" width="12.33203125" style="61" customWidth="1"/>
    <col min="4885" max="4885" width="12.88671875" style="61" customWidth="1"/>
    <col min="4886" max="4886" width="17.109375" style="61" customWidth="1"/>
    <col min="4887" max="4888" width="13.33203125" style="61" customWidth="1"/>
    <col min="4889" max="4889" width="13.88671875" style="61" customWidth="1"/>
    <col min="4890" max="4890" width="16.88671875" style="61" customWidth="1"/>
    <col min="4891" max="4891" width="13.33203125" style="61" customWidth="1"/>
    <col min="4892" max="4892" width="13.44140625" style="61" customWidth="1"/>
    <col min="4893" max="4893" width="14.5546875" style="61" customWidth="1"/>
    <col min="4894" max="4894" width="14.6640625" style="61" customWidth="1"/>
    <col min="4895" max="4895" width="13.6640625" style="61" customWidth="1"/>
    <col min="4896" max="4896" width="51.33203125" style="61" customWidth="1"/>
    <col min="4897" max="4902" width="9.109375" style="61"/>
    <col min="4903" max="4903" width="0" style="61" hidden="1" customWidth="1"/>
    <col min="4904" max="5120" width="9.109375" style="61"/>
    <col min="5121" max="5121" width="3.5546875" style="61" bestFit="1" customWidth="1"/>
    <col min="5122" max="5124" width="2.33203125" style="61" customWidth="1"/>
    <col min="5125" max="5125" width="56" style="61" bestFit="1" customWidth="1"/>
    <col min="5126" max="5126" width="2.6640625" style="61" customWidth="1"/>
    <col min="5127" max="5127" width="16.6640625" style="61" bestFit="1" customWidth="1"/>
    <col min="5128" max="5128" width="2.6640625" style="61" customWidth="1"/>
    <col min="5129" max="5129" width="12.6640625" style="61" customWidth="1"/>
    <col min="5130" max="5130" width="12.5546875" style="61" customWidth="1"/>
    <col min="5131" max="5131" width="12.33203125" style="61" customWidth="1"/>
    <col min="5132" max="5132" width="11.6640625" style="61" customWidth="1"/>
    <col min="5133" max="5133" width="12.109375" style="61" customWidth="1"/>
    <col min="5134" max="5134" width="12.33203125" style="61" customWidth="1"/>
    <col min="5135" max="5135" width="11.6640625" style="61" customWidth="1"/>
    <col min="5136" max="5136" width="12" style="61" customWidth="1"/>
    <col min="5137" max="5137" width="12.109375" style="61" customWidth="1"/>
    <col min="5138" max="5138" width="11.6640625" style="61" customWidth="1"/>
    <col min="5139" max="5139" width="12" style="61" customWidth="1"/>
    <col min="5140" max="5140" width="12.33203125" style="61" customWidth="1"/>
    <col min="5141" max="5141" width="12.88671875" style="61" customWidth="1"/>
    <col min="5142" max="5142" width="17.109375" style="61" customWidth="1"/>
    <col min="5143" max="5144" width="13.33203125" style="61" customWidth="1"/>
    <col min="5145" max="5145" width="13.88671875" style="61" customWidth="1"/>
    <col min="5146" max="5146" width="16.88671875" style="61" customWidth="1"/>
    <col min="5147" max="5147" width="13.33203125" style="61" customWidth="1"/>
    <col min="5148" max="5148" width="13.44140625" style="61" customWidth="1"/>
    <col min="5149" max="5149" width="14.5546875" style="61" customWidth="1"/>
    <col min="5150" max="5150" width="14.6640625" style="61" customWidth="1"/>
    <col min="5151" max="5151" width="13.6640625" style="61" customWidth="1"/>
    <col min="5152" max="5152" width="51.33203125" style="61" customWidth="1"/>
    <col min="5153" max="5158" width="9.109375" style="61"/>
    <col min="5159" max="5159" width="0" style="61" hidden="1" customWidth="1"/>
    <col min="5160" max="5376" width="9.109375" style="61"/>
    <col min="5377" max="5377" width="3.5546875" style="61" bestFit="1" customWidth="1"/>
    <col min="5378" max="5380" width="2.33203125" style="61" customWidth="1"/>
    <col min="5381" max="5381" width="56" style="61" bestFit="1" customWidth="1"/>
    <col min="5382" max="5382" width="2.6640625" style="61" customWidth="1"/>
    <col min="5383" max="5383" width="16.6640625" style="61" bestFit="1" customWidth="1"/>
    <col min="5384" max="5384" width="2.6640625" style="61" customWidth="1"/>
    <col min="5385" max="5385" width="12.6640625" style="61" customWidth="1"/>
    <col min="5386" max="5386" width="12.5546875" style="61" customWidth="1"/>
    <col min="5387" max="5387" width="12.33203125" style="61" customWidth="1"/>
    <col min="5388" max="5388" width="11.6640625" style="61" customWidth="1"/>
    <col min="5389" max="5389" width="12.109375" style="61" customWidth="1"/>
    <col min="5390" max="5390" width="12.33203125" style="61" customWidth="1"/>
    <col min="5391" max="5391" width="11.6640625" style="61" customWidth="1"/>
    <col min="5392" max="5392" width="12" style="61" customWidth="1"/>
    <col min="5393" max="5393" width="12.109375" style="61" customWidth="1"/>
    <col min="5394" max="5394" width="11.6640625" style="61" customWidth="1"/>
    <col min="5395" max="5395" width="12" style="61" customWidth="1"/>
    <col min="5396" max="5396" width="12.33203125" style="61" customWidth="1"/>
    <col min="5397" max="5397" width="12.88671875" style="61" customWidth="1"/>
    <col min="5398" max="5398" width="17.109375" style="61" customWidth="1"/>
    <col min="5399" max="5400" width="13.33203125" style="61" customWidth="1"/>
    <col min="5401" max="5401" width="13.88671875" style="61" customWidth="1"/>
    <col min="5402" max="5402" width="16.88671875" style="61" customWidth="1"/>
    <col min="5403" max="5403" width="13.33203125" style="61" customWidth="1"/>
    <col min="5404" max="5404" width="13.44140625" style="61" customWidth="1"/>
    <col min="5405" max="5405" width="14.5546875" style="61" customWidth="1"/>
    <col min="5406" max="5406" width="14.6640625" style="61" customWidth="1"/>
    <col min="5407" max="5407" width="13.6640625" style="61" customWidth="1"/>
    <col min="5408" max="5408" width="51.33203125" style="61" customWidth="1"/>
    <col min="5409" max="5414" width="9.109375" style="61"/>
    <col min="5415" max="5415" width="0" style="61" hidden="1" customWidth="1"/>
    <col min="5416" max="5632" width="9.109375" style="61"/>
    <col min="5633" max="5633" width="3.5546875" style="61" bestFit="1" customWidth="1"/>
    <col min="5634" max="5636" width="2.33203125" style="61" customWidth="1"/>
    <col min="5637" max="5637" width="56" style="61" bestFit="1" customWidth="1"/>
    <col min="5638" max="5638" width="2.6640625" style="61" customWidth="1"/>
    <col min="5639" max="5639" width="16.6640625" style="61" bestFit="1" customWidth="1"/>
    <col min="5640" max="5640" width="2.6640625" style="61" customWidth="1"/>
    <col min="5641" max="5641" width="12.6640625" style="61" customWidth="1"/>
    <col min="5642" max="5642" width="12.5546875" style="61" customWidth="1"/>
    <col min="5643" max="5643" width="12.33203125" style="61" customWidth="1"/>
    <col min="5644" max="5644" width="11.6640625" style="61" customWidth="1"/>
    <col min="5645" max="5645" width="12.109375" style="61" customWidth="1"/>
    <col min="5646" max="5646" width="12.33203125" style="61" customWidth="1"/>
    <col min="5647" max="5647" width="11.6640625" style="61" customWidth="1"/>
    <col min="5648" max="5648" width="12" style="61" customWidth="1"/>
    <col min="5649" max="5649" width="12.109375" style="61" customWidth="1"/>
    <col min="5650" max="5650" width="11.6640625" style="61" customWidth="1"/>
    <col min="5651" max="5651" width="12" style="61" customWidth="1"/>
    <col min="5652" max="5652" width="12.33203125" style="61" customWidth="1"/>
    <col min="5653" max="5653" width="12.88671875" style="61" customWidth="1"/>
    <col min="5654" max="5654" width="17.109375" style="61" customWidth="1"/>
    <col min="5655" max="5656" width="13.33203125" style="61" customWidth="1"/>
    <col min="5657" max="5657" width="13.88671875" style="61" customWidth="1"/>
    <col min="5658" max="5658" width="16.88671875" style="61" customWidth="1"/>
    <col min="5659" max="5659" width="13.33203125" style="61" customWidth="1"/>
    <col min="5660" max="5660" width="13.44140625" style="61" customWidth="1"/>
    <col min="5661" max="5661" width="14.5546875" style="61" customWidth="1"/>
    <col min="5662" max="5662" width="14.6640625" style="61" customWidth="1"/>
    <col min="5663" max="5663" width="13.6640625" style="61" customWidth="1"/>
    <col min="5664" max="5664" width="51.33203125" style="61" customWidth="1"/>
    <col min="5665" max="5670" width="9.109375" style="61"/>
    <col min="5671" max="5671" width="0" style="61" hidden="1" customWidth="1"/>
    <col min="5672" max="5888" width="9.109375" style="61"/>
    <col min="5889" max="5889" width="3.5546875" style="61" bestFit="1" customWidth="1"/>
    <col min="5890" max="5892" width="2.33203125" style="61" customWidth="1"/>
    <col min="5893" max="5893" width="56" style="61" bestFit="1" customWidth="1"/>
    <col min="5894" max="5894" width="2.6640625" style="61" customWidth="1"/>
    <col min="5895" max="5895" width="16.6640625" style="61" bestFit="1" customWidth="1"/>
    <col min="5896" max="5896" width="2.6640625" style="61" customWidth="1"/>
    <col min="5897" max="5897" width="12.6640625" style="61" customWidth="1"/>
    <col min="5898" max="5898" width="12.5546875" style="61" customWidth="1"/>
    <col min="5899" max="5899" width="12.33203125" style="61" customWidth="1"/>
    <col min="5900" max="5900" width="11.6640625" style="61" customWidth="1"/>
    <col min="5901" max="5901" width="12.109375" style="61" customWidth="1"/>
    <col min="5902" max="5902" width="12.33203125" style="61" customWidth="1"/>
    <col min="5903" max="5903" width="11.6640625" style="61" customWidth="1"/>
    <col min="5904" max="5904" width="12" style="61" customWidth="1"/>
    <col min="5905" max="5905" width="12.109375" style="61" customWidth="1"/>
    <col min="5906" max="5906" width="11.6640625" style="61" customWidth="1"/>
    <col min="5907" max="5907" width="12" style="61" customWidth="1"/>
    <col min="5908" max="5908" width="12.33203125" style="61" customWidth="1"/>
    <col min="5909" max="5909" width="12.88671875" style="61" customWidth="1"/>
    <col min="5910" max="5910" width="17.109375" style="61" customWidth="1"/>
    <col min="5911" max="5912" width="13.33203125" style="61" customWidth="1"/>
    <col min="5913" max="5913" width="13.88671875" style="61" customWidth="1"/>
    <col min="5914" max="5914" width="16.88671875" style="61" customWidth="1"/>
    <col min="5915" max="5915" width="13.33203125" style="61" customWidth="1"/>
    <col min="5916" max="5916" width="13.44140625" style="61" customWidth="1"/>
    <col min="5917" max="5917" width="14.5546875" style="61" customWidth="1"/>
    <col min="5918" max="5918" width="14.6640625" style="61" customWidth="1"/>
    <col min="5919" max="5919" width="13.6640625" style="61" customWidth="1"/>
    <col min="5920" max="5920" width="51.33203125" style="61" customWidth="1"/>
    <col min="5921" max="5926" width="9.109375" style="61"/>
    <col min="5927" max="5927" width="0" style="61" hidden="1" customWidth="1"/>
    <col min="5928" max="6144" width="9.109375" style="61"/>
    <col min="6145" max="6145" width="3.5546875" style="61" bestFit="1" customWidth="1"/>
    <col min="6146" max="6148" width="2.33203125" style="61" customWidth="1"/>
    <col min="6149" max="6149" width="56" style="61" bestFit="1" customWidth="1"/>
    <col min="6150" max="6150" width="2.6640625" style="61" customWidth="1"/>
    <col min="6151" max="6151" width="16.6640625" style="61" bestFit="1" customWidth="1"/>
    <col min="6152" max="6152" width="2.6640625" style="61" customWidth="1"/>
    <col min="6153" max="6153" width="12.6640625" style="61" customWidth="1"/>
    <col min="6154" max="6154" width="12.5546875" style="61" customWidth="1"/>
    <col min="6155" max="6155" width="12.33203125" style="61" customWidth="1"/>
    <col min="6156" max="6156" width="11.6640625" style="61" customWidth="1"/>
    <col min="6157" max="6157" width="12.109375" style="61" customWidth="1"/>
    <col min="6158" max="6158" width="12.33203125" style="61" customWidth="1"/>
    <col min="6159" max="6159" width="11.6640625" style="61" customWidth="1"/>
    <col min="6160" max="6160" width="12" style="61" customWidth="1"/>
    <col min="6161" max="6161" width="12.109375" style="61" customWidth="1"/>
    <col min="6162" max="6162" width="11.6640625" style="61" customWidth="1"/>
    <col min="6163" max="6163" width="12" style="61" customWidth="1"/>
    <col min="6164" max="6164" width="12.33203125" style="61" customWidth="1"/>
    <col min="6165" max="6165" width="12.88671875" style="61" customWidth="1"/>
    <col min="6166" max="6166" width="17.109375" style="61" customWidth="1"/>
    <col min="6167" max="6168" width="13.33203125" style="61" customWidth="1"/>
    <col min="6169" max="6169" width="13.88671875" style="61" customWidth="1"/>
    <col min="6170" max="6170" width="16.88671875" style="61" customWidth="1"/>
    <col min="6171" max="6171" width="13.33203125" style="61" customWidth="1"/>
    <col min="6172" max="6172" width="13.44140625" style="61" customWidth="1"/>
    <col min="6173" max="6173" width="14.5546875" style="61" customWidth="1"/>
    <col min="6174" max="6174" width="14.6640625" style="61" customWidth="1"/>
    <col min="6175" max="6175" width="13.6640625" style="61" customWidth="1"/>
    <col min="6176" max="6176" width="51.33203125" style="61" customWidth="1"/>
    <col min="6177" max="6182" width="9.109375" style="61"/>
    <col min="6183" max="6183" width="0" style="61" hidden="1" customWidth="1"/>
    <col min="6184" max="6400" width="9.109375" style="61"/>
    <col min="6401" max="6401" width="3.5546875" style="61" bestFit="1" customWidth="1"/>
    <col min="6402" max="6404" width="2.33203125" style="61" customWidth="1"/>
    <col min="6405" max="6405" width="56" style="61" bestFit="1" customWidth="1"/>
    <col min="6406" max="6406" width="2.6640625" style="61" customWidth="1"/>
    <col min="6407" max="6407" width="16.6640625" style="61" bestFit="1" customWidth="1"/>
    <col min="6408" max="6408" width="2.6640625" style="61" customWidth="1"/>
    <col min="6409" max="6409" width="12.6640625" style="61" customWidth="1"/>
    <col min="6410" max="6410" width="12.5546875" style="61" customWidth="1"/>
    <col min="6411" max="6411" width="12.33203125" style="61" customWidth="1"/>
    <col min="6412" max="6412" width="11.6640625" style="61" customWidth="1"/>
    <col min="6413" max="6413" width="12.109375" style="61" customWidth="1"/>
    <col min="6414" max="6414" width="12.33203125" style="61" customWidth="1"/>
    <col min="6415" max="6415" width="11.6640625" style="61" customWidth="1"/>
    <col min="6416" max="6416" width="12" style="61" customWidth="1"/>
    <col min="6417" max="6417" width="12.109375" style="61" customWidth="1"/>
    <col min="6418" max="6418" width="11.6640625" style="61" customWidth="1"/>
    <col min="6419" max="6419" width="12" style="61" customWidth="1"/>
    <col min="6420" max="6420" width="12.33203125" style="61" customWidth="1"/>
    <col min="6421" max="6421" width="12.88671875" style="61" customWidth="1"/>
    <col min="6422" max="6422" width="17.109375" style="61" customWidth="1"/>
    <col min="6423" max="6424" width="13.33203125" style="61" customWidth="1"/>
    <col min="6425" max="6425" width="13.88671875" style="61" customWidth="1"/>
    <col min="6426" max="6426" width="16.88671875" style="61" customWidth="1"/>
    <col min="6427" max="6427" width="13.33203125" style="61" customWidth="1"/>
    <col min="6428" max="6428" width="13.44140625" style="61" customWidth="1"/>
    <col min="6429" max="6429" width="14.5546875" style="61" customWidth="1"/>
    <col min="6430" max="6430" width="14.6640625" style="61" customWidth="1"/>
    <col min="6431" max="6431" width="13.6640625" style="61" customWidth="1"/>
    <col min="6432" max="6432" width="51.33203125" style="61" customWidth="1"/>
    <col min="6433" max="6438" width="9.109375" style="61"/>
    <col min="6439" max="6439" width="0" style="61" hidden="1" customWidth="1"/>
    <col min="6440" max="6656" width="9.109375" style="61"/>
    <col min="6657" max="6657" width="3.5546875" style="61" bestFit="1" customWidth="1"/>
    <col min="6658" max="6660" width="2.33203125" style="61" customWidth="1"/>
    <col min="6661" max="6661" width="56" style="61" bestFit="1" customWidth="1"/>
    <col min="6662" max="6662" width="2.6640625" style="61" customWidth="1"/>
    <col min="6663" max="6663" width="16.6640625" style="61" bestFit="1" customWidth="1"/>
    <col min="6664" max="6664" width="2.6640625" style="61" customWidth="1"/>
    <col min="6665" max="6665" width="12.6640625" style="61" customWidth="1"/>
    <col min="6666" max="6666" width="12.5546875" style="61" customWidth="1"/>
    <col min="6667" max="6667" width="12.33203125" style="61" customWidth="1"/>
    <col min="6668" max="6668" width="11.6640625" style="61" customWidth="1"/>
    <col min="6669" max="6669" width="12.109375" style="61" customWidth="1"/>
    <col min="6670" max="6670" width="12.33203125" style="61" customWidth="1"/>
    <col min="6671" max="6671" width="11.6640625" style="61" customWidth="1"/>
    <col min="6672" max="6672" width="12" style="61" customWidth="1"/>
    <col min="6673" max="6673" width="12.109375" style="61" customWidth="1"/>
    <col min="6674" max="6674" width="11.6640625" style="61" customWidth="1"/>
    <col min="6675" max="6675" width="12" style="61" customWidth="1"/>
    <col min="6676" max="6676" width="12.33203125" style="61" customWidth="1"/>
    <col min="6677" max="6677" width="12.88671875" style="61" customWidth="1"/>
    <col min="6678" max="6678" width="17.109375" style="61" customWidth="1"/>
    <col min="6679" max="6680" width="13.33203125" style="61" customWidth="1"/>
    <col min="6681" max="6681" width="13.88671875" style="61" customWidth="1"/>
    <col min="6682" max="6682" width="16.88671875" style="61" customWidth="1"/>
    <col min="6683" max="6683" width="13.33203125" style="61" customWidth="1"/>
    <col min="6684" max="6684" width="13.44140625" style="61" customWidth="1"/>
    <col min="6685" max="6685" width="14.5546875" style="61" customWidth="1"/>
    <col min="6686" max="6686" width="14.6640625" style="61" customWidth="1"/>
    <col min="6687" max="6687" width="13.6640625" style="61" customWidth="1"/>
    <col min="6688" max="6688" width="51.33203125" style="61" customWidth="1"/>
    <col min="6689" max="6694" width="9.109375" style="61"/>
    <col min="6695" max="6695" width="0" style="61" hidden="1" customWidth="1"/>
    <col min="6696" max="6912" width="9.109375" style="61"/>
    <col min="6913" max="6913" width="3.5546875" style="61" bestFit="1" customWidth="1"/>
    <col min="6914" max="6916" width="2.33203125" style="61" customWidth="1"/>
    <col min="6917" max="6917" width="56" style="61" bestFit="1" customWidth="1"/>
    <col min="6918" max="6918" width="2.6640625" style="61" customWidth="1"/>
    <col min="6919" max="6919" width="16.6640625" style="61" bestFit="1" customWidth="1"/>
    <col min="6920" max="6920" width="2.6640625" style="61" customWidth="1"/>
    <col min="6921" max="6921" width="12.6640625" style="61" customWidth="1"/>
    <col min="6922" max="6922" width="12.5546875" style="61" customWidth="1"/>
    <col min="6923" max="6923" width="12.33203125" style="61" customWidth="1"/>
    <col min="6924" max="6924" width="11.6640625" style="61" customWidth="1"/>
    <col min="6925" max="6925" width="12.109375" style="61" customWidth="1"/>
    <col min="6926" max="6926" width="12.33203125" style="61" customWidth="1"/>
    <col min="6927" max="6927" width="11.6640625" style="61" customWidth="1"/>
    <col min="6928" max="6928" width="12" style="61" customWidth="1"/>
    <col min="6929" max="6929" width="12.109375" style="61" customWidth="1"/>
    <col min="6930" max="6930" width="11.6640625" style="61" customWidth="1"/>
    <col min="6931" max="6931" width="12" style="61" customWidth="1"/>
    <col min="6932" max="6932" width="12.33203125" style="61" customWidth="1"/>
    <col min="6933" max="6933" width="12.88671875" style="61" customWidth="1"/>
    <col min="6934" max="6934" width="17.109375" style="61" customWidth="1"/>
    <col min="6935" max="6936" width="13.33203125" style="61" customWidth="1"/>
    <col min="6937" max="6937" width="13.88671875" style="61" customWidth="1"/>
    <col min="6938" max="6938" width="16.88671875" style="61" customWidth="1"/>
    <col min="6939" max="6939" width="13.33203125" style="61" customWidth="1"/>
    <col min="6940" max="6940" width="13.44140625" style="61" customWidth="1"/>
    <col min="6941" max="6941" width="14.5546875" style="61" customWidth="1"/>
    <col min="6942" max="6942" width="14.6640625" style="61" customWidth="1"/>
    <col min="6943" max="6943" width="13.6640625" style="61" customWidth="1"/>
    <col min="6944" max="6944" width="51.33203125" style="61" customWidth="1"/>
    <col min="6945" max="6950" width="9.109375" style="61"/>
    <col min="6951" max="6951" width="0" style="61" hidden="1" customWidth="1"/>
    <col min="6952" max="7168" width="9.109375" style="61"/>
    <col min="7169" max="7169" width="3.5546875" style="61" bestFit="1" customWidth="1"/>
    <col min="7170" max="7172" width="2.33203125" style="61" customWidth="1"/>
    <col min="7173" max="7173" width="56" style="61" bestFit="1" customWidth="1"/>
    <col min="7174" max="7174" width="2.6640625" style="61" customWidth="1"/>
    <col min="7175" max="7175" width="16.6640625" style="61" bestFit="1" customWidth="1"/>
    <col min="7176" max="7176" width="2.6640625" style="61" customWidth="1"/>
    <col min="7177" max="7177" width="12.6640625" style="61" customWidth="1"/>
    <col min="7178" max="7178" width="12.5546875" style="61" customWidth="1"/>
    <col min="7179" max="7179" width="12.33203125" style="61" customWidth="1"/>
    <col min="7180" max="7180" width="11.6640625" style="61" customWidth="1"/>
    <col min="7181" max="7181" width="12.109375" style="61" customWidth="1"/>
    <col min="7182" max="7182" width="12.33203125" style="61" customWidth="1"/>
    <col min="7183" max="7183" width="11.6640625" style="61" customWidth="1"/>
    <col min="7184" max="7184" width="12" style="61" customWidth="1"/>
    <col min="7185" max="7185" width="12.109375" style="61" customWidth="1"/>
    <col min="7186" max="7186" width="11.6640625" style="61" customWidth="1"/>
    <col min="7187" max="7187" width="12" style="61" customWidth="1"/>
    <col min="7188" max="7188" width="12.33203125" style="61" customWidth="1"/>
    <col min="7189" max="7189" width="12.88671875" style="61" customWidth="1"/>
    <col min="7190" max="7190" width="17.109375" style="61" customWidth="1"/>
    <col min="7191" max="7192" width="13.33203125" style="61" customWidth="1"/>
    <col min="7193" max="7193" width="13.88671875" style="61" customWidth="1"/>
    <col min="7194" max="7194" width="16.88671875" style="61" customWidth="1"/>
    <col min="7195" max="7195" width="13.33203125" style="61" customWidth="1"/>
    <col min="7196" max="7196" width="13.44140625" style="61" customWidth="1"/>
    <col min="7197" max="7197" width="14.5546875" style="61" customWidth="1"/>
    <col min="7198" max="7198" width="14.6640625" style="61" customWidth="1"/>
    <col min="7199" max="7199" width="13.6640625" style="61" customWidth="1"/>
    <col min="7200" max="7200" width="51.33203125" style="61" customWidth="1"/>
    <col min="7201" max="7206" width="9.109375" style="61"/>
    <col min="7207" max="7207" width="0" style="61" hidden="1" customWidth="1"/>
    <col min="7208" max="7424" width="9.109375" style="61"/>
    <col min="7425" max="7425" width="3.5546875" style="61" bestFit="1" customWidth="1"/>
    <col min="7426" max="7428" width="2.33203125" style="61" customWidth="1"/>
    <col min="7429" max="7429" width="56" style="61" bestFit="1" customWidth="1"/>
    <col min="7430" max="7430" width="2.6640625" style="61" customWidth="1"/>
    <col min="7431" max="7431" width="16.6640625" style="61" bestFit="1" customWidth="1"/>
    <col min="7432" max="7432" width="2.6640625" style="61" customWidth="1"/>
    <col min="7433" max="7433" width="12.6640625" style="61" customWidth="1"/>
    <col min="7434" max="7434" width="12.5546875" style="61" customWidth="1"/>
    <col min="7435" max="7435" width="12.33203125" style="61" customWidth="1"/>
    <col min="7436" max="7436" width="11.6640625" style="61" customWidth="1"/>
    <col min="7437" max="7437" width="12.109375" style="61" customWidth="1"/>
    <col min="7438" max="7438" width="12.33203125" style="61" customWidth="1"/>
    <col min="7439" max="7439" width="11.6640625" style="61" customWidth="1"/>
    <col min="7440" max="7440" width="12" style="61" customWidth="1"/>
    <col min="7441" max="7441" width="12.109375" style="61" customWidth="1"/>
    <col min="7442" max="7442" width="11.6640625" style="61" customWidth="1"/>
    <col min="7443" max="7443" width="12" style="61" customWidth="1"/>
    <col min="7444" max="7444" width="12.33203125" style="61" customWidth="1"/>
    <col min="7445" max="7445" width="12.88671875" style="61" customWidth="1"/>
    <col min="7446" max="7446" width="17.109375" style="61" customWidth="1"/>
    <col min="7447" max="7448" width="13.33203125" style="61" customWidth="1"/>
    <col min="7449" max="7449" width="13.88671875" style="61" customWidth="1"/>
    <col min="7450" max="7450" width="16.88671875" style="61" customWidth="1"/>
    <col min="7451" max="7451" width="13.33203125" style="61" customWidth="1"/>
    <col min="7452" max="7452" width="13.44140625" style="61" customWidth="1"/>
    <col min="7453" max="7453" width="14.5546875" style="61" customWidth="1"/>
    <col min="7454" max="7454" width="14.6640625" style="61" customWidth="1"/>
    <col min="7455" max="7455" width="13.6640625" style="61" customWidth="1"/>
    <col min="7456" max="7456" width="51.33203125" style="61" customWidth="1"/>
    <col min="7457" max="7462" width="9.109375" style="61"/>
    <col min="7463" max="7463" width="0" style="61" hidden="1" customWidth="1"/>
    <col min="7464" max="7680" width="9.109375" style="61"/>
    <col min="7681" max="7681" width="3.5546875" style="61" bestFit="1" customWidth="1"/>
    <col min="7682" max="7684" width="2.33203125" style="61" customWidth="1"/>
    <col min="7685" max="7685" width="56" style="61" bestFit="1" customWidth="1"/>
    <col min="7686" max="7686" width="2.6640625" style="61" customWidth="1"/>
    <col min="7687" max="7687" width="16.6640625" style="61" bestFit="1" customWidth="1"/>
    <col min="7688" max="7688" width="2.6640625" style="61" customWidth="1"/>
    <col min="7689" max="7689" width="12.6640625" style="61" customWidth="1"/>
    <col min="7690" max="7690" width="12.5546875" style="61" customWidth="1"/>
    <col min="7691" max="7691" width="12.33203125" style="61" customWidth="1"/>
    <col min="7692" max="7692" width="11.6640625" style="61" customWidth="1"/>
    <col min="7693" max="7693" width="12.109375" style="61" customWidth="1"/>
    <col min="7694" max="7694" width="12.33203125" style="61" customWidth="1"/>
    <col min="7695" max="7695" width="11.6640625" style="61" customWidth="1"/>
    <col min="7696" max="7696" width="12" style="61" customWidth="1"/>
    <col min="7697" max="7697" width="12.109375" style="61" customWidth="1"/>
    <col min="7698" max="7698" width="11.6640625" style="61" customWidth="1"/>
    <col min="7699" max="7699" width="12" style="61" customWidth="1"/>
    <col min="7700" max="7700" width="12.33203125" style="61" customWidth="1"/>
    <col min="7701" max="7701" width="12.88671875" style="61" customWidth="1"/>
    <col min="7702" max="7702" width="17.109375" style="61" customWidth="1"/>
    <col min="7703" max="7704" width="13.33203125" style="61" customWidth="1"/>
    <col min="7705" max="7705" width="13.88671875" style="61" customWidth="1"/>
    <col min="7706" max="7706" width="16.88671875" style="61" customWidth="1"/>
    <col min="7707" max="7707" width="13.33203125" style="61" customWidth="1"/>
    <col min="7708" max="7708" width="13.44140625" style="61" customWidth="1"/>
    <col min="7709" max="7709" width="14.5546875" style="61" customWidth="1"/>
    <col min="7710" max="7710" width="14.6640625" style="61" customWidth="1"/>
    <col min="7711" max="7711" width="13.6640625" style="61" customWidth="1"/>
    <col min="7712" max="7712" width="51.33203125" style="61" customWidth="1"/>
    <col min="7713" max="7718" width="9.109375" style="61"/>
    <col min="7719" max="7719" width="0" style="61" hidden="1" customWidth="1"/>
    <col min="7720" max="7936" width="9.109375" style="61"/>
    <col min="7937" max="7937" width="3.5546875" style="61" bestFit="1" customWidth="1"/>
    <col min="7938" max="7940" width="2.33203125" style="61" customWidth="1"/>
    <col min="7941" max="7941" width="56" style="61" bestFit="1" customWidth="1"/>
    <col min="7942" max="7942" width="2.6640625" style="61" customWidth="1"/>
    <col min="7943" max="7943" width="16.6640625" style="61" bestFit="1" customWidth="1"/>
    <col min="7944" max="7944" width="2.6640625" style="61" customWidth="1"/>
    <col min="7945" max="7945" width="12.6640625" style="61" customWidth="1"/>
    <col min="7946" max="7946" width="12.5546875" style="61" customWidth="1"/>
    <col min="7947" max="7947" width="12.33203125" style="61" customWidth="1"/>
    <col min="7948" max="7948" width="11.6640625" style="61" customWidth="1"/>
    <col min="7949" max="7949" width="12.109375" style="61" customWidth="1"/>
    <col min="7950" max="7950" width="12.33203125" style="61" customWidth="1"/>
    <col min="7951" max="7951" width="11.6640625" style="61" customWidth="1"/>
    <col min="7952" max="7952" width="12" style="61" customWidth="1"/>
    <col min="7953" max="7953" width="12.109375" style="61" customWidth="1"/>
    <col min="7954" max="7954" width="11.6640625" style="61" customWidth="1"/>
    <col min="7955" max="7955" width="12" style="61" customWidth="1"/>
    <col min="7956" max="7956" width="12.33203125" style="61" customWidth="1"/>
    <col min="7957" max="7957" width="12.88671875" style="61" customWidth="1"/>
    <col min="7958" max="7958" width="17.109375" style="61" customWidth="1"/>
    <col min="7959" max="7960" width="13.33203125" style="61" customWidth="1"/>
    <col min="7961" max="7961" width="13.88671875" style="61" customWidth="1"/>
    <col min="7962" max="7962" width="16.88671875" style="61" customWidth="1"/>
    <col min="7963" max="7963" width="13.33203125" style="61" customWidth="1"/>
    <col min="7964" max="7964" width="13.44140625" style="61" customWidth="1"/>
    <col min="7965" max="7965" width="14.5546875" style="61" customWidth="1"/>
    <col min="7966" max="7966" width="14.6640625" style="61" customWidth="1"/>
    <col min="7967" max="7967" width="13.6640625" style="61" customWidth="1"/>
    <col min="7968" max="7968" width="51.33203125" style="61" customWidth="1"/>
    <col min="7969" max="7974" width="9.109375" style="61"/>
    <col min="7975" max="7975" width="0" style="61" hidden="1" customWidth="1"/>
    <col min="7976" max="8192" width="9.109375" style="61"/>
    <col min="8193" max="8193" width="3.5546875" style="61" bestFit="1" customWidth="1"/>
    <col min="8194" max="8196" width="2.33203125" style="61" customWidth="1"/>
    <col min="8197" max="8197" width="56" style="61" bestFit="1" customWidth="1"/>
    <col min="8198" max="8198" width="2.6640625" style="61" customWidth="1"/>
    <col min="8199" max="8199" width="16.6640625" style="61" bestFit="1" customWidth="1"/>
    <col min="8200" max="8200" width="2.6640625" style="61" customWidth="1"/>
    <col min="8201" max="8201" width="12.6640625" style="61" customWidth="1"/>
    <col min="8202" max="8202" width="12.5546875" style="61" customWidth="1"/>
    <col min="8203" max="8203" width="12.33203125" style="61" customWidth="1"/>
    <col min="8204" max="8204" width="11.6640625" style="61" customWidth="1"/>
    <col min="8205" max="8205" width="12.109375" style="61" customWidth="1"/>
    <col min="8206" max="8206" width="12.33203125" style="61" customWidth="1"/>
    <col min="8207" max="8207" width="11.6640625" style="61" customWidth="1"/>
    <col min="8208" max="8208" width="12" style="61" customWidth="1"/>
    <col min="8209" max="8209" width="12.109375" style="61" customWidth="1"/>
    <col min="8210" max="8210" width="11.6640625" style="61" customWidth="1"/>
    <col min="8211" max="8211" width="12" style="61" customWidth="1"/>
    <col min="8212" max="8212" width="12.33203125" style="61" customWidth="1"/>
    <col min="8213" max="8213" width="12.88671875" style="61" customWidth="1"/>
    <col min="8214" max="8214" width="17.109375" style="61" customWidth="1"/>
    <col min="8215" max="8216" width="13.33203125" style="61" customWidth="1"/>
    <col min="8217" max="8217" width="13.88671875" style="61" customWidth="1"/>
    <col min="8218" max="8218" width="16.88671875" style="61" customWidth="1"/>
    <col min="8219" max="8219" width="13.33203125" style="61" customWidth="1"/>
    <col min="8220" max="8220" width="13.44140625" style="61" customWidth="1"/>
    <col min="8221" max="8221" width="14.5546875" style="61" customWidth="1"/>
    <col min="8222" max="8222" width="14.6640625" style="61" customWidth="1"/>
    <col min="8223" max="8223" width="13.6640625" style="61" customWidth="1"/>
    <col min="8224" max="8224" width="51.33203125" style="61" customWidth="1"/>
    <col min="8225" max="8230" width="9.109375" style="61"/>
    <col min="8231" max="8231" width="0" style="61" hidden="1" customWidth="1"/>
    <col min="8232" max="8448" width="9.109375" style="61"/>
    <col min="8449" max="8449" width="3.5546875" style="61" bestFit="1" customWidth="1"/>
    <col min="8450" max="8452" width="2.33203125" style="61" customWidth="1"/>
    <col min="8453" max="8453" width="56" style="61" bestFit="1" customWidth="1"/>
    <col min="8454" max="8454" width="2.6640625" style="61" customWidth="1"/>
    <col min="8455" max="8455" width="16.6640625" style="61" bestFit="1" customWidth="1"/>
    <col min="8456" max="8456" width="2.6640625" style="61" customWidth="1"/>
    <col min="8457" max="8457" width="12.6640625" style="61" customWidth="1"/>
    <col min="8458" max="8458" width="12.5546875" style="61" customWidth="1"/>
    <col min="8459" max="8459" width="12.33203125" style="61" customWidth="1"/>
    <col min="8460" max="8460" width="11.6640625" style="61" customWidth="1"/>
    <col min="8461" max="8461" width="12.109375" style="61" customWidth="1"/>
    <col min="8462" max="8462" width="12.33203125" style="61" customWidth="1"/>
    <col min="8463" max="8463" width="11.6640625" style="61" customWidth="1"/>
    <col min="8464" max="8464" width="12" style="61" customWidth="1"/>
    <col min="8465" max="8465" width="12.109375" style="61" customWidth="1"/>
    <col min="8466" max="8466" width="11.6640625" style="61" customWidth="1"/>
    <col min="8467" max="8467" width="12" style="61" customWidth="1"/>
    <col min="8468" max="8468" width="12.33203125" style="61" customWidth="1"/>
    <col min="8469" max="8469" width="12.88671875" style="61" customWidth="1"/>
    <col min="8470" max="8470" width="17.109375" style="61" customWidth="1"/>
    <col min="8471" max="8472" width="13.33203125" style="61" customWidth="1"/>
    <col min="8473" max="8473" width="13.88671875" style="61" customWidth="1"/>
    <col min="8474" max="8474" width="16.88671875" style="61" customWidth="1"/>
    <col min="8475" max="8475" width="13.33203125" style="61" customWidth="1"/>
    <col min="8476" max="8476" width="13.44140625" style="61" customWidth="1"/>
    <col min="8477" max="8477" width="14.5546875" style="61" customWidth="1"/>
    <col min="8478" max="8478" width="14.6640625" style="61" customWidth="1"/>
    <col min="8479" max="8479" width="13.6640625" style="61" customWidth="1"/>
    <col min="8480" max="8480" width="51.33203125" style="61" customWidth="1"/>
    <col min="8481" max="8486" width="9.109375" style="61"/>
    <col min="8487" max="8487" width="0" style="61" hidden="1" customWidth="1"/>
    <col min="8488" max="8704" width="9.109375" style="61"/>
    <col min="8705" max="8705" width="3.5546875" style="61" bestFit="1" customWidth="1"/>
    <col min="8706" max="8708" width="2.33203125" style="61" customWidth="1"/>
    <col min="8709" max="8709" width="56" style="61" bestFit="1" customWidth="1"/>
    <col min="8710" max="8710" width="2.6640625" style="61" customWidth="1"/>
    <col min="8711" max="8711" width="16.6640625" style="61" bestFit="1" customWidth="1"/>
    <col min="8712" max="8712" width="2.6640625" style="61" customWidth="1"/>
    <col min="8713" max="8713" width="12.6640625" style="61" customWidth="1"/>
    <col min="8714" max="8714" width="12.5546875" style="61" customWidth="1"/>
    <col min="8715" max="8715" width="12.33203125" style="61" customWidth="1"/>
    <col min="8716" max="8716" width="11.6640625" style="61" customWidth="1"/>
    <col min="8717" max="8717" width="12.109375" style="61" customWidth="1"/>
    <col min="8718" max="8718" width="12.33203125" style="61" customWidth="1"/>
    <col min="8719" max="8719" width="11.6640625" style="61" customWidth="1"/>
    <col min="8720" max="8720" width="12" style="61" customWidth="1"/>
    <col min="8721" max="8721" width="12.109375" style="61" customWidth="1"/>
    <col min="8722" max="8722" width="11.6640625" style="61" customWidth="1"/>
    <col min="8723" max="8723" width="12" style="61" customWidth="1"/>
    <col min="8724" max="8724" width="12.33203125" style="61" customWidth="1"/>
    <col min="8725" max="8725" width="12.88671875" style="61" customWidth="1"/>
    <col min="8726" max="8726" width="17.109375" style="61" customWidth="1"/>
    <col min="8727" max="8728" width="13.33203125" style="61" customWidth="1"/>
    <col min="8729" max="8729" width="13.88671875" style="61" customWidth="1"/>
    <col min="8730" max="8730" width="16.88671875" style="61" customWidth="1"/>
    <col min="8731" max="8731" width="13.33203125" style="61" customWidth="1"/>
    <col min="8732" max="8732" width="13.44140625" style="61" customWidth="1"/>
    <col min="8733" max="8733" width="14.5546875" style="61" customWidth="1"/>
    <col min="8734" max="8734" width="14.6640625" style="61" customWidth="1"/>
    <col min="8735" max="8735" width="13.6640625" style="61" customWidth="1"/>
    <col min="8736" max="8736" width="51.33203125" style="61" customWidth="1"/>
    <col min="8737" max="8742" width="9.109375" style="61"/>
    <col min="8743" max="8743" width="0" style="61" hidden="1" customWidth="1"/>
    <col min="8744" max="8960" width="9.109375" style="61"/>
    <col min="8961" max="8961" width="3.5546875" style="61" bestFit="1" customWidth="1"/>
    <col min="8962" max="8964" width="2.33203125" style="61" customWidth="1"/>
    <col min="8965" max="8965" width="56" style="61" bestFit="1" customWidth="1"/>
    <col min="8966" max="8966" width="2.6640625" style="61" customWidth="1"/>
    <col min="8967" max="8967" width="16.6640625" style="61" bestFit="1" customWidth="1"/>
    <col min="8968" max="8968" width="2.6640625" style="61" customWidth="1"/>
    <col min="8969" max="8969" width="12.6640625" style="61" customWidth="1"/>
    <col min="8970" max="8970" width="12.5546875" style="61" customWidth="1"/>
    <col min="8971" max="8971" width="12.33203125" style="61" customWidth="1"/>
    <col min="8972" max="8972" width="11.6640625" style="61" customWidth="1"/>
    <col min="8973" max="8973" width="12.109375" style="61" customWidth="1"/>
    <col min="8974" max="8974" width="12.33203125" style="61" customWidth="1"/>
    <col min="8975" max="8975" width="11.6640625" style="61" customWidth="1"/>
    <col min="8976" max="8976" width="12" style="61" customWidth="1"/>
    <col min="8977" max="8977" width="12.109375" style="61" customWidth="1"/>
    <col min="8978" max="8978" width="11.6640625" style="61" customWidth="1"/>
    <col min="8979" max="8979" width="12" style="61" customWidth="1"/>
    <col min="8980" max="8980" width="12.33203125" style="61" customWidth="1"/>
    <col min="8981" max="8981" width="12.88671875" style="61" customWidth="1"/>
    <col min="8982" max="8982" width="17.109375" style="61" customWidth="1"/>
    <col min="8983" max="8984" width="13.33203125" style="61" customWidth="1"/>
    <col min="8985" max="8985" width="13.88671875" style="61" customWidth="1"/>
    <col min="8986" max="8986" width="16.88671875" style="61" customWidth="1"/>
    <col min="8987" max="8987" width="13.33203125" style="61" customWidth="1"/>
    <col min="8988" max="8988" width="13.44140625" style="61" customWidth="1"/>
    <col min="8989" max="8989" width="14.5546875" style="61" customWidth="1"/>
    <col min="8990" max="8990" width="14.6640625" style="61" customWidth="1"/>
    <col min="8991" max="8991" width="13.6640625" style="61" customWidth="1"/>
    <col min="8992" max="8992" width="51.33203125" style="61" customWidth="1"/>
    <col min="8993" max="8998" width="9.109375" style="61"/>
    <col min="8999" max="8999" width="0" style="61" hidden="1" customWidth="1"/>
    <col min="9000" max="9216" width="9.109375" style="61"/>
    <col min="9217" max="9217" width="3.5546875" style="61" bestFit="1" customWidth="1"/>
    <col min="9218" max="9220" width="2.33203125" style="61" customWidth="1"/>
    <col min="9221" max="9221" width="56" style="61" bestFit="1" customWidth="1"/>
    <col min="9222" max="9222" width="2.6640625" style="61" customWidth="1"/>
    <col min="9223" max="9223" width="16.6640625" style="61" bestFit="1" customWidth="1"/>
    <col min="9224" max="9224" width="2.6640625" style="61" customWidth="1"/>
    <col min="9225" max="9225" width="12.6640625" style="61" customWidth="1"/>
    <col min="9226" max="9226" width="12.5546875" style="61" customWidth="1"/>
    <col min="9227" max="9227" width="12.33203125" style="61" customWidth="1"/>
    <col min="9228" max="9228" width="11.6640625" style="61" customWidth="1"/>
    <col min="9229" max="9229" width="12.109375" style="61" customWidth="1"/>
    <col min="9230" max="9230" width="12.33203125" style="61" customWidth="1"/>
    <col min="9231" max="9231" width="11.6640625" style="61" customWidth="1"/>
    <col min="9232" max="9232" width="12" style="61" customWidth="1"/>
    <col min="9233" max="9233" width="12.109375" style="61" customWidth="1"/>
    <col min="9234" max="9234" width="11.6640625" style="61" customWidth="1"/>
    <col min="9235" max="9235" width="12" style="61" customWidth="1"/>
    <col min="9236" max="9236" width="12.33203125" style="61" customWidth="1"/>
    <col min="9237" max="9237" width="12.88671875" style="61" customWidth="1"/>
    <col min="9238" max="9238" width="17.109375" style="61" customWidth="1"/>
    <col min="9239" max="9240" width="13.33203125" style="61" customWidth="1"/>
    <col min="9241" max="9241" width="13.88671875" style="61" customWidth="1"/>
    <col min="9242" max="9242" width="16.88671875" style="61" customWidth="1"/>
    <col min="9243" max="9243" width="13.33203125" style="61" customWidth="1"/>
    <col min="9244" max="9244" width="13.44140625" style="61" customWidth="1"/>
    <col min="9245" max="9245" width="14.5546875" style="61" customWidth="1"/>
    <col min="9246" max="9246" width="14.6640625" style="61" customWidth="1"/>
    <col min="9247" max="9247" width="13.6640625" style="61" customWidth="1"/>
    <col min="9248" max="9248" width="51.33203125" style="61" customWidth="1"/>
    <col min="9249" max="9254" width="9.109375" style="61"/>
    <col min="9255" max="9255" width="0" style="61" hidden="1" customWidth="1"/>
    <col min="9256" max="9472" width="9.109375" style="61"/>
    <col min="9473" max="9473" width="3.5546875" style="61" bestFit="1" customWidth="1"/>
    <col min="9474" max="9476" width="2.33203125" style="61" customWidth="1"/>
    <col min="9477" max="9477" width="56" style="61" bestFit="1" customWidth="1"/>
    <col min="9478" max="9478" width="2.6640625" style="61" customWidth="1"/>
    <col min="9479" max="9479" width="16.6640625" style="61" bestFit="1" customWidth="1"/>
    <col min="9480" max="9480" width="2.6640625" style="61" customWidth="1"/>
    <col min="9481" max="9481" width="12.6640625" style="61" customWidth="1"/>
    <col min="9482" max="9482" width="12.5546875" style="61" customWidth="1"/>
    <col min="9483" max="9483" width="12.33203125" style="61" customWidth="1"/>
    <col min="9484" max="9484" width="11.6640625" style="61" customWidth="1"/>
    <col min="9485" max="9485" width="12.109375" style="61" customWidth="1"/>
    <col min="9486" max="9486" width="12.33203125" style="61" customWidth="1"/>
    <col min="9487" max="9487" width="11.6640625" style="61" customWidth="1"/>
    <col min="9488" max="9488" width="12" style="61" customWidth="1"/>
    <col min="9489" max="9489" width="12.109375" style="61" customWidth="1"/>
    <col min="9490" max="9490" width="11.6640625" style="61" customWidth="1"/>
    <col min="9491" max="9491" width="12" style="61" customWidth="1"/>
    <col min="9492" max="9492" width="12.33203125" style="61" customWidth="1"/>
    <col min="9493" max="9493" width="12.88671875" style="61" customWidth="1"/>
    <col min="9494" max="9494" width="17.109375" style="61" customWidth="1"/>
    <col min="9495" max="9496" width="13.33203125" style="61" customWidth="1"/>
    <col min="9497" max="9497" width="13.88671875" style="61" customWidth="1"/>
    <col min="9498" max="9498" width="16.88671875" style="61" customWidth="1"/>
    <col min="9499" max="9499" width="13.33203125" style="61" customWidth="1"/>
    <col min="9500" max="9500" width="13.44140625" style="61" customWidth="1"/>
    <col min="9501" max="9501" width="14.5546875" style="61" customWidth="1"/>
    <col min="9502" max="9502" width="14.6640625" style="61" customWidth="1"/>
    <col min="9503" max="9503" width="13.6640625" style="61" customWidth="1"/>
    <col min="9504" max="9504" width="51.33203125" style="61" customWidth="1"/>
    <col min="9505" max="9510" width="9.109375" style="61"/>
    <col min="9511" max="9511" width="0" style="61" hidden="1" customWidth="1"/>
    <col min="9512" max="9728" width="9.109375" style="61"/>
    <col min="9729" max="9729" width="3.5546875" style="61" bestFit="1" customWidth="1"/>
    <col min="9730" max="9732" width="2.33203125" style="61" customWidth="1"/>
    <col min="9733" max="9733" width="56" style="61" bestFit="1" customWidth="1"/>
    <col min="9734" max="9734" width="2.6640625" style="61" customWidth="1"/>
    <col min="9735" max="9735" width="16.6640625" style="61" bestFit="1" customWidth="1"/>
    <col min="9736" max="9736" width="2.6640625" style="61" customWidth="1"/>
    <col min="9737" max="9737" width="12.6640625" style="61" customWidth="1"/>
    <col min="9738" max="9738" width="12.5546875" style="61" customWidth="1"/>
    <col min="9739" max="9739" width="12.33203125" style="61" customWidth="1"/>
    <col min="9740" max="9740" width="11.6640625" style="61" customWidth="1"/>
    <col min="9741" max="9741" width="12.109375" style="61" customWidth="1"/>
    <col min="9742" max="9742" width="12.33203125" style="61" customWidth="1"/>
    <col min="9743" max="9743" width="11.6640625" style="61" customWidth="1"/>
    <col min="9744" max="9744" width="12" style="61" customWidth="1"/>
    <col min="9745" max="9745" width="12.109375" style="61" customWidth="1"/>
    <col min="9746" max="9746" width="11.6640625" style="61" customWidth="1"/>
    <col min="9747" max="9747" width="12" style="61" customWidth="1"/>
    <col min="9748" max="9748" width="12.33203125" style="61" customWidth="1"/>
    <col min="9749" max="9749" width="12.88671875" style="61" customWidth="1"/>
    <col min="9750" max="9750" width="17.109375" style="61" customWidth="1"/>
    <col min="9751" max="9752" width="13.33203125" style="61" customWidth="1"/>
    <col min="9753" max="9753" width="13.88671875" style="61" customWidth="1"/>
    <col min="9754" max="9754" width="16.88671875" style="61" customWidth="1"/>
    <col min="9755" max="9755" width="13.33203125" style="61" customWidth="1"/>
    <col min="9756" max="9756" width="13.44140625" style="61" customWidth="1"/>
    <col min="9757" max="9757" width="14.5546875" style="61" customWidth="1"/>
    <col min="9758" max="9758" width="14.6640625" style="61" customWidth="1"/>
    <col min="9759" max="9759" width="13.6640625" style="61" customWidth="1"/>
    <col min="9760" max="9760" width="51.33203125" style="61" customWidth="1"/>
    <col min="9761" max="9766" width="9.109375" style="61"/>
    <col min="9767" max="9767" width="0" style="61" hidden="1" customWidth="1"/>
    <col min="9768" max="9984" width="9.109375" style="61"/>
    <col min="9985" max="9985" width="3.5546875" style="61" bestFit="1" customWidth="1"/>
    <col min="9986" max="9988" width="2.33203125" style="61" customWidth="1"/>
    <col min="9989" max="9989" width="56" style="61" bestFit="1" customWidth="1"/>
    <col min="9990" max="9990" width="2.6640625" style="61" customWidth="1"/>
    <col min="9991" max="9991" width="16.6640625" style="61" bestFit="1" customWidth="1"/>
    <col min="9992" max="9992" width="2.6640625" style="61" customWidth="1"/>
    <col min="9993" max="9993" width="12.6640625" style="61" customWidth="1"/>
    <col min="9994" max="9994" width="12.5546875" style="61" customWidth="1"/>
    <col min="9995" max="9995" width="12.33203125" style="61" customWidth="1"/>
    <col min="9996" max="9996" width="11.6640625" style="61" customWidth="1"/>
    <col min="9997" max="9997" width="12.109375" style="61" customWidth="1"/>
    <col min="9998" max="9998" width="12.33203125" style="61" customWidth="1"/>
    <col min="9999" max="9999" width="11.6640625" style="61" customWidth="1"/>
    <col min="10000" max="10000" width="12" style="61" customWidth="1"/>
    <col min="10001" max="10001" width="12.109375" style="61" customWidth="1"/>
    <col min="10002" max="10002" width="11.6640625" style="61" customWidth="1"/>
    <col min="10003" max="10003" width="12" style="61" customWidth="1"/>
    <col min="10004" max="10004" width="12.33203125" style="61" customWidth="1"/>
    <col min="10005" max="10005" width="12.88671875" style="61" customWidth="1"/>
    <col min="10006" max="10006" width="17.109375" style="61" customWidth="1"/>
    <col min="10007" max="10008" width="13.33203125" style="61" customWidth="1"/>
    <col min="10009" max="10009" width="13.88671875" style="61" customWidth="1"/>
    <col min="10010" max="10010" width="16.88671875" style="61" customWidth="1"/>
    <col min="10011" max="10011" width="13.33203125" style="61" customWidth="1"/>
    <col min="10012" max="10012" width="13.44140625" style="61" customWidth="1"/>
    <col min="10013" max="10013" width="14.5546875" style="61" customWidth="1"/>
    <col min="10014" max="10014" width="14.6640625" style="61" customWidth="1"/>
    <col min="10015" max="10015" width="13.6640625" style="61" customWidth="1"/>
    <col min="10016" max="10016" width="51.33203125" style="61" customWidth="1"/>
    <col min="10017" max="10022" width="9.109375" style="61"/>
    <col min="10023" max="10023" width="0" style="61" hidden="1" customWidth="1"/>
    <col min="10024" max="10240" width="9.109375" style="61"/>
    <col min="10241" max="10241" width="3.5546875" style="61" bestFit="1" customWidth="1"/>
    <col min="10242" max="10244" width="2.33203125" style="61" customWidth="1"/>
    <col min="10245" max="10245" width="56" style="61" bestFit="1" customWidth="1"/>
    <col min="10246" max="10246" width="2.6640625" style="61" customWidth="1"/>
    <col min="10247" max="10247" width="16.6640625" style="61" bestFit="1" customWidth="1"/>
    <col min="10248" max="10248" width="2.6640625" style="61" customWidth="1"/>
    <col min="10249" max="10249" width="12.6640625" style="61" customWidth="1"/>
    <col min="10250" max="10250" width="12.5546875" style="61" customWidth="1"/>
    <col min="10251" max="10251" width="12.33203125" style="61" customWidth="1"/>
    <col min="10252" max="10252" width="11.6640625" style="61" customWidth="1"/>
    <col min="10253" max="10253" width="12.109375" style="61" customWidth="1"/>
    <col min="10254" max="10254" width="12.33203125" style="61" customWidth="1"/>
    <col min="10255" max="10255" width="11.6640625" style="61" customWidth="1"/>
    <col min="10256" max="10256" width="12" style="61" customWidth="1"/>
    <col min="10257" max="10257" width="12.109375" style="61" customWidth="1"/>
    <col min="10258" max="10258" width="11.6640625" style="61" customWidth="1"/>
    <col min="10259" max="10259" width="12" style="61" customWidth="1"/>
    <col min="10260" max="10260" width="12.33203125" style="61" customWidth="1"/>
    <col min="10261" max="10261" width="12.88671875" style="61" customWidth="1"/>
    <col min="10262" max="10262" width="17.109375" style="61" customWidth="1"/>
    <col min="10263" max="10264" width="13.33203125" style="61" customWidth="1"/>
    <col min="10265" max="10265" width="13.88671875" style="61" customWidth="1"/>
    <col min="10266" max="10266" width="16.88671875" style="61" customWidth="1"/>
    <col min="10267" max="10267" width="13.33203125" style="61" customWidth="1"/>
    <col min="10268" max="10268" width="13.44140625" style="61" customWidth="1"/>
    <col min="10269" max="10269" width="14.5546875" style="61" customWidth="1"/>
    <col min="10270" max="10270" width="14.6640625" style="61" customWidth="1"/>
    <col min="10271" max="10271" width="13.6640625" style="61" customWidth="1"/>
    <col min="10272" max="10272" width="51.33203125" style="61" customWidth="1"/>
    <col min="10273" max="10278" width="9.109375" style="61"/>
    <col min="10279" max="10279" width="0" style="61" hidden="1" customWidth="1"/>
    <col min="10280" max="10496" width="9.109375" style="61"/>
    <col min="10497" max="10497" width="3.5546875" style="61" bestFit="1" customWidth="1"/>
    <col min="10498" max="10500" width="2.33203125" style="61" customWidth="1"/>
    <col min="10501" max="10501" width="56" style="61" bestFit="1" customWidth="1"/>
    <col min="10502" max="10502" width="2.6640625" style="61" customWidth="1"/>
    <col min="10503" max="10503" width="16.6640625" style="61" bestFit="1" customWidth="1"/>
    <col min="10504" max="10504" width="2.6640625" style="61" customWidth="1"/>
    <col min="10505" max="10505" width="12.6640625" style="61" customWidth="1"/>
    <col min="10506" max="10506" width="12.5546875" style="61" customWidth="1"/>
    <col min="10507" max="10507" width="12.33203125" style="61" customWidth="1"/>
    <col min="10508" max="10508" width="11.6640625" style="61" customWidth="1"/>
    <col min="10509" max="10509" width="12.109375" style="61" customWidth="1"/>
    <col min="10510" max="10510" width="12.33203125" style="61" customWidth="1"/>
    <col min="10511" max="10511" width="11.6640625" style="61" customWidth="1"/>
    <col min="10512" max="10512" width="12" style="61" customWidth="1"/>
    <col min="10513" max="10513" width="12.109375" style="61" customWidth="1"/>
    <col min="10514" max="10514" width="11.6640625" style="61" customWidth="1"/>
    <col min="10515" max="10515" width="12" style="61" customWidth="1"/>
    <col min="10516" max="10516" width="12.33203125" style="61" customWidth="1"/>
    <col min="10517" max="10517" width="12.88671875" style="61" customWidth="1"/>
    <col min="10518" max="10518" width="17.109375" style="61" customWidth="1"/>
    <col min="10519" max="10520" width="13.33203125" style="61" customWidth="1"/>
    <col min="10521" max="10521" width="13.88671875" style="61" customWidth="1"/>
    <col min="10522" max="10522" width="16.88671875" style="61" customWidth="1"/>
    <col min="10523" max="10523" width="13.33203125" style="61" customWidth="1"/>
    <col min="10524" max="10524" width="13.44140625" style="61" customWidth="1"/>
    <col min="10525" max="10525" width="14.5546875" style="61" customWidth="1"/>
    <col min="10526" max="10526" width="14.6640625" style="61" customWidth="1"/>
    <col min="10527" max="10527" width="13.6640625" style="61" customWidth="1"/>
    <col min="10528" max="10528" width="51.33203125" style="61" customWidth="1"/>
    <col min="10529" max="10534" width="9.109375" style="61"/>
    <col min="10535" max="10535" width="0" style="61" hidden="1" customWidth="1"/>
    <col min="10536" max="10752" width="9.109375" style="61"/>
    <col min="10753" max="10753" width="3.5546875" style="61" bestFit="1" customWidth="1"/>
    <col min="10754" max="10756" width="2.33203125" style="61" customWidth="1"/>
    <col min="10757" max="10757" width="56" style="61" bestFit="1" customWidth="1"/>
    <col min="10758" max="10758" width="2.6640625" style="61" customWidth="1"/>
    <col min="10759" max="10759" width="16.6640625" style="61" bestFit="1" customWidth="1"/>
    <col min="10760" max="10760" width="2.6640625" style="61" customWidth="1"/>
    <col min="10761" max="10761" width="12.6640625" style="61" customWidth="1"/>
    <col min="10762" max="10762" width="12.5546875" style="61" customWidth="1"/>
    <col min="10763" max="10763" width="12.33203125" style="61" customWidth="1"/>
    <col min="10764" max="10764" width="11.6640625" style="61" customWidth="1"/>
    <col min="10765" max="10765" width="12.109375" style="61" customWidth="1"/>
    <col min="10766" max="10766" width="12.33203125" style="61" customWidth="1"/>
    <col min="10767" max="10767" width="11.6640625" style="61" customWidth="1"/>
    <col min="10768" max="10768" width="12" style="61" customWidth="1"/>
    <col min="10769" max="10769" width="12.109375" style="61" customWidth="1"/>
    <col min="10770" max="10770" width="11.6640625" style="61" customWidth="1"/>
    <col min="10771" max="10771" width="12" style="61" customWidth="1"/>
    <col min="10772" max="10772" width="12.33203125" style="61" customWidth="1"/>
    <col min="10773" max="10773" width="12.88671875" style="61" customWidth="1"/>
    <col min="10774" max="10774" width="17.109375" style="61" customWidth="1"/>
    <col min="10775" max="10776" width="13.33203125" style="61" customWidth="1"/>
    <col min="10777" max="10777" width="13.88671875" style="61" customWidth="1"/>
    <col min="10778" max="10778" width="16.88671875" style="61" customWidth="1"/>
    <col min="10779" max="10779" width="13.33203125" style="61" customWidth="1"/>
    <col min="10780" max="10780" width="13.44140625" style="61" customWidth="1"/>
    <col min="10781" max="10781" width="14.5546875" style="61" customWidth="1"/>
    <col min="10782" max="10782" width="14.6640625" style="61" customWidth="1"/>
    <col min="10783" max="10783" width="13.6640625" style="61" customWidth="1"/>
    <col min="10784" max="10784" width="51.33203125" style="61" customWidth="1"/>
    <col min="10785" max="10790" width="9.109375" style="61"/>
    <col min="10791" max="10791" width="0" style="61" hidden="1" customWidth="1"/>
    <col min="10792" max="11008" width="9.109375" style="61"/>
    <col min="11009" max="11009" width="3.5546875" style="61" bestFit="1" customWidth="1"/>
    <col min="11010" max="11012" width="2.33203125" style="61" customWidth="1"/>
    <col min="11013" max="11013" width="56" style="61" bestFit="1" customWidth="1"/>
    <col min="11014" max="11014" width="2.6640625" style="61" customWidth="1"/>
    <col min="11015" max="11015" width="16.6640625" style="61" bestFit="1" customWidth="1"/>
    <col min="11016" max="11016" width="2.6640625" style="61" customWidth="1"/>
    <col min="11017" max="11017" width="12.6640625" style="61" customWidth="1"/>
    <col min="11018" max="11018" width="12.5546875" style="61" customWidth="1"/>
    <col min="11019" max="11019" width="12.33203125" style="61" customWidth="1"/>
    <col min="11020" max="11020" width="11.6640625" style="61" customWidth="1"/>
    <col min="11021" max="11021" width="12.109375" style="61" customWidth="1"/>
    <col min="11022" max="11022" width="12.33203125" style="61" customWidth="1"/>
    <col min="11023" max="11023" width="11.6640625" style="61" customWidth="1"/>
    <col min="11024" max="11024" width="12" style="61" customWidth="1"/>
    <col min="11025" max="11025" width="12.109375" style="61" customWidth="1"/>
    <col min="11026" max="11026" width="11.6640625" style="61" customWidth="1"/>
    <col min="11027" max="11027" width="12" style="61" customWidth="1"/>
    <col min="11028" max="11028" width="12.33203125" style="61" customWidth="1"/>
    <col min="11029" max="11029" width="12.88671875" style="61" customWidth="1"/>
    <col min="11030" max="11030" width="17.109375" style="61" customWidth="1"/>
    <col min="11031" max="11032" width="13.33203125" style="61" customWidth="1"/>
    <col min="11033" max="11033" width="13.88671875" style="61" customWidth="1"/>
    <col min="11034" max="11034" width="16.88671875" style="61" customWidth="1"/>
    <col min="11035" max="11035" width="13.33203125" style="61" customWidth="1"/>
    <col min="11036" max="11036" width="13.44140625" style="61" customWidth="1"/>
    <col min="11037" max="11037" width="14.5546875" style="61" customWidth="1"/>
    <col min="11038" max="11038" width="14.6640625" style="61" customWidth="1"/>
    <col min="11039" max="11039" width="13.6640625" style="61" customWidth="1"/>
    <col min="11040" max="11040" width="51.33203125" style="61" customWidth="1"/>
    <col min="11041" max="11046" width="9.109375" style="61"/>
    <col min="11047" max="11047" width="0" style="61" hidden="1" customWidth="1"/>
    <col min="11048" max="11264" width="9.109375" style="61"/>
    <col min="11265" max="11265" width="3.5546875" style="61" bestFit="1" customWidth="1"/>
    <col min="11266" max="11268" width="2.33203125" style="61" customWidth="1"/>
    <col min="11269" max="11269" width="56" style="61" bestFit="1" customWidth="1"/>
    <col min="11270" max="11270" width="2.6640625" style="61" customWidth="1"/>
    <col min="11271" max="11271" width="16.6640625" style="61" bestFit="1" customWidth="1"/>
    <col min="11272" max="11272" width="2.6640625" style="61" customWidth="1"/>
    <col min="11273" max="11273" width="12.6640625" style="61" customWidth="1"/>
    <col min="11274" max="11274" width="12.5546875" style="61" customWidth="1"/>
    <col min="11275" max="11275" width="12.33203125" style="61" customWidth="1"/>
    <col min="11276" max="11276" width="11.6640625" style="61" customWidth="1"/>
    <col min="11277" max="11277" width="12.109375" style="61" customWidth="1"/>
    <col min="11278" max="11278" width="12.33203125" style="61" customWidth="1"/>
    <col min="11279" max="11279" width="11.6640625" style="61" customWidth="1"/>
    <col min="11280" max="11280" width="12" style="61" customWidth="1"/>
    <col min="11281" max="11281" width="12.109375" style="61" customWidth="1"/>
    <col min="11282" max="11282" width="11.6640625" style="61" customWidth="1"/>
    <col min="11283" max="11283" width="12" style="61" customWidth="1"/>
    <col min="11284" max="11284" width="12.33203125" style="61" customWidth="1"/>
    <col min="11285" max="11285" width="12.88671875" style="61" customWidth="1"/>
    <col min="11286" max="11286" width="17.109375" style="61" customWidth="1"/>
    <col min="11287" max="11288" width="13.33203125" style="61" customWidth="1"/>
    <col min="11289" max="11289" width="13.88671875" style="61" customWidth="1"/>
    <col min="11290" max="11290" width="16.88671875" style="61" customWidth="1"/>
    <col min="11291" max="11291" width="13.33203125" style="61" customWidth="1"/>
    <col min="11292" max="11292" width="13.44140625" style="61" customWidth="1"/>
    <col min="11293" max="11293" width="14.5546875" style="61" customWidth="1"/>
    <col min="11294" max="11294" width="14.6640625" style="61" customWidth="1"/>
    <col min="11295" max="11295" width="13.6640625" style="61" customWidth="1"/>
    <col min="11296" max="11296" width="51.33203125" style="61" customWidth="1"/>
    <col min="11297" max="11302" width="9.109375" style="61"/>
    <col min="11303" max="11303" width="0" style="61" hidden="1" customWidth="1"/>
    <col min="11304" max="11520" width="9.109375" style="61"/>
    <col min="11521" max="11521" width="3.5546875" style="61" bestFit="1" customWidth="1"/>
    <col min="11522" max="11524" width="2.33203125" style="61" customWidth="1"/>
    <col min="11525" max="11525" width="56" style="61" bestFit="1" customWidth="1"/>
    <col min="11526" max="11526" width="2.6640625" style="61" customWidth="1"/>
    <col min="11527" max="11527" width="16.6640625" style="61" bestFit="1" customWidth="1"/>
    <col min="11528" max="11528" width="2.6640625" style="61" customWidth="1"/>
    <col min="11529" max="11529" width="12.6640625" style="61" customWidth="1"/>
    <col min="11530" max="11530" width="12.5546875" style="61" customWidth="1"/>
    <col min="11531" max="11531" width="12.33203125" style="61" customWidth="1"/>
    <col min="11532" max="11532" width="11.6640625" style="61" customWidth="1"/>
    <col min="11533" max="11533" width="12.109375" style="61" customWidth="1"/>
    <col min="11534" max="11534" width="12.33203125" style="61" customWidth="1"/>
    <col min="11535" max="11535" width="11.6640625" style="61" customWidth="1"/>
    <col min="11536" max="11536" width="12" style="61" customWidth="1"/>
    <col min="11537" max="11537" width="12.109375" style="61" customWidth="1"/>
    <col min="11538" max="11538" width="11.6640625" style="61" customWidth="1"/>
    <col min="11539" max="11539" width="12" style="61" customWidth="1"/>
    <col min="11540" max="11540" width="12.33203125" style="61" customWidth="1"/>
    <col min="11541" max="11541" width="12.88671875" style="61" customWidth="1"/>
    <col min="11542" max="11542" width="17.109375" style="61" customWidth="1"/>
    <col min="11543" max="11544" width="13.33203125" style="61" customWidth="1"/>
    <col min="11545" max="11545" width="13.88671875" style="61" customWidth="1"/>
    <col min="11546" max="11546" width="16.88671875" style="61" customWidth="1"/>
    <col min="11547" max="11547" width="13.33203125" style="61" customWidth="1"/>
    <col min="11548" max="11548" width="13.44140625" style="61" customWidth="1"/>
    <col min="11549" max="11549" width="14.5546875" style="61" customWidth="1"/>
    <col min="11550" max="11550" width="14.6640625" style="61" customWidth="1"/>
    <col min="11551" max="11551" width="13.6640625" style="61" customWidth="1"/>
    <col min="11552" max="11552" width="51.33203125" style="61" customWidth="1"/>
    <col min="11553" max="11558" width="9.109375" style="61"/>
    <col min="11559" max="11559" width="0" style="61" hidden="1" customWidth="1"/>
    <col min="11560" max="11776" width="9.109375" style="61"/>
    <col min="11777" max="11777" width="3.5546875" style="61" bestFit="1" customWidth="1"/>
    <col min="11778" max="11780" width="2.33203125" style="61" customWidth="1"/>
    <col min="11781" max="11781" width="56" style="61" bestFit="1" customWidth="1"/>
    <col min="11782" max="11782" width="2.6640625" style="61" customWidth="1"/>
    <col min="11783" max="11783" width="16.6640625" style="61" bestFit="1" customWidth="1"/>
    <col min="11784" max="11784" width="2.6640625" style="61" customWidth="1"/>
    <col min="11785" max="11785" width="12.6640625" style="61" customWidth="1"/>
    <col min="11786" max="11786" width="12.5546875" style="61" customWidth="1"/>
    <col min="11787" max="11787" width="12.33203125" style="61" customWidth="1"/>
    <col min="11788" max="11788" width="11.6640625" style="61" customWidth="1"/>
    <col min="11789" max="11789" width="12.109375" style="61" customWidth="1"/>
    <col min="11790" max="11790" width="12.33203125" style="61" customWidth="1"/>
    <col min="11791" max="11791" width="11.6640625" style="61" customWidth="1"/>
    <col min="11792" max="11792" width="12" style="61" customWidth="1"/>
    <col min="11793" max="11793" width="12.109375" style="61" customWidth="1"/>
    <col min="11794" max="11794" width="11.6640625" style="61" customWidth="1"/>
    <col min="11795" max="11795" width="12" style="61" customWidth="1"/>
    <col min="11796" max="11796" width="12.33203125" style="61" customWidth="1"/>
    <col min="11797" max="11797" width="12.88671875" style="61" customWidth="1"/>
    <col min="11798" max="11798" width="17.109375" style="61" customWidth="1"/>
    <col min="11799" max="11800" width="13.33203125" style="61" customWidth="1"/>
    <col min="11801" max="11801" width="13.88671875" style="61" customWidth="1"/>
    <col min="11802" max="11802" width="16.88671875" style="61" customWidth="1"/>
    <col min="11803" max="11803" width="13.33203125" style="61" customWidth="1"/>
    <col min="11804" max="11804" width="13.44140625" style="61" customWidth="1"/>
    <col min="11805" max="11805" width="14.5546875" style="61" customWidth="1"/>
    <col min="11806" max="11806" width="14.6640625" style="61" customWidth="1"/>
    <col min="11807" max="11807" width="13.6640625" style="61" customWidth="1"/>
    <col min="11808" max="11808" width="51.33203125" style="61" customWidth="1"/>
    <col min="11809" max="11814" width="9.109375" style="61"/>
    <col min="11815" max="11815" width="0" style="61" hidden="1" customWidth="1"/>
    <col min="11816" max="12032" width="9.109375" style="61"/>
    <col min="12033" max="12033" width="3.5546875" style="61" bestFit="1" customWidth="1"/>
    <col min="12034" max="12036" width="2.33203125" style="61" customWidth="1"/>
    <col min="12037" max="12037" width="56" style="61" bestFit="1" customWidth="1"/>
    <col min="12038" max="12038" width="2.6640625" style="61" customWidth="1"/>
    <col min="12039" max="12039" width="16.6640625" style="61" bestFit="1" customWidth="1"/>
    <col min="12040" max="12040" width="2.6640625" style="61" customWidth="1"/>
    <col min="12041" max="12041" width="12.6640625" style="61" customWidth="1"/>
    <col min="12042" max="12042" width="12.5546875" style="61" customWidth="1"/>
    <col min="12043" max="12043" width="12.33203125" style="61" customWidth="1"/>
    <col min="12044" max="12044" width="11.6640625" style="61" customWidth="1"/>
    <col min="12045" max="12045" width="12.109375" style="61" customWidth="1"/>
    <col min="12046" max="12046" width="12.33203125" style="61" customWidth="1"/>
    <col min="12047" max="12047" width="11.6640625" style="61" customWidth="1"/>
    <col min="12048" max="12048" width="12" style="61" customWidth="1"/>
    <col min="12049" max="12049" width="12.109375" style="61" customWidth="1"/>
    <col min="12050" max="12050" width="11.6640625" style="61" customWidth="1"/>
    <col min="12051" max="12051" width="12" style="61" customWidth="1"/>
    <col min="12052" max="12052" width="12.33203125" style="61" customWidth="1"/>
    <col min="12053" max="12053" width="12.88671875" style="61" customWidth="1"/>
    <col min="12054" max="12054" width="17.109375" style="61" customWidth="1"/>
    <col min="12055" max="12056" width="13.33203125" style="61" customWidth="1"/>
    <col min="12057" max="12057" width="13.88671875" style="61" customWidth="1"/>
    <col min="12058" max="12058" width="16.88671875" style="61" customWidth="1"/>
    <col min="12059" max="12059" width="13.33203125" style="61" customWidth="1"/>
    <col min="12060" max="12060" width="13.44140625" style="61" customWidth="1"/>
    <col min="12061" max="12061" width="14.5546875" style="61" customWidth="1"/>
    <col min="12062" max="12062" width="14.6640625" style="61" customWidth="1"/>
    <col min="12063" max="12063" width="13.6640625" style="61" customWidth="1"/>
    <col min="12064" max="12064" width="51.33203125" style="61" customWidth="1"/>
    <col min="12065" max="12070" width="9.109375" style="61"/>
    <col min="12071" max="12071" width="0" style="61" hidden="1" customWidth="1"/>
    <col min="12072" max="12288" width="9.109375" style="61"/>
    <col min="12289" max="12289" width="3.5546875" style="61" bestFit="1" customWidth="1"/>
    <col min="12290" max="12292" width="2.33203125" style="61" customWidth="1"/>
    <col min="12293" max="12293" width="56" style="61" bestFit="1" customWidth="1"/>
    <col min="12294" max="12294" width="2.6640625" style="61" customWidth="1"/>
    <col min="12295" max="12295" width="16.6640625" style="61" bestFit="1" customWidth="1"/>
    <col min="12296" max="12296" width="2.6640625" style="61" customWidth="1"/>
    <col min="12297" max="12297" width="12.6640625" style="61" customWidth="1"/>
    <col min="12298" max="12298" width="12.5546875" style="61" customWidth="1"/>
    <col min="12299" max="12299" width="12.33203125" style="61" customWidth="1"/>
    <col min="12300" max="12300" width="11.6640625" style="61" customWidth="1"/>
    <col min="12301" max="12301" width="12.109375" style="61" customWidth="1"/>
    <col min="12302" max="12302" width="12.33203125" style="61" customWidth="1"/>
    <col min="12303" max="12303" width="11.6640625" style="61" customWidth="1"/>
    <col min="12304" max="12304" width="12" style="61" customWidth="1"/>
    <col min="12305" max="12305" width="12.109375" style="61" customWidth="1"/>
    <col min="12306" max="12306" width="11.6640625" style="61" customWidth="1"/>
    <col min="12307" max="12307" width="12" style="61" customWidth="1"/>
    <col min="12308" max="12308" width="12.33203125" style="61" customWidth="1"/>
    <col min="12309" max="12309" width="12.88671875" style="61" customWidth="1"/>
    <col min="12310" max="12310" width="17.109375" style="61" customWidth="1"/>
    <col min="12311" max="12312" width="13.33203125" style="61" customWidth="1"/>
    <col min="12313" max="12313" width="13.88671875" style="61" customWidth="1"/>
    <col min="12314" max="12314" width="16.88671875" style="61" customWidth="1"/>
    <col min="12315" max="12315" width="13.33203125" style="61" customWidth="1"/>
    <col min="12316" max="12316" width="13.44140625" style="61" customWidth="1"/>
    <col min="12317" max="12317" width="14.5546875" style="61" customWidth="1"/>
    <col min="12318" max="12318" width="14.6640625" style="61" customWidth="1"/>
    <col min="12319" max="12319" width="13.6640625" style="61" customWidth="1"/>
    <col min="12320" max="12320" width="51.33203125" style="61" customWidth="1"/>
    <col min="12321" max="12326" width="9.109375" style="61"/>
    <col min="12327" max="12327" width="0" style="61" hidden="1" customWidth="1"/>
    <col min="12328" max="12544" width="9.109375" style="61"/>
    <col min="12545" max="12545" width="3.5546875" style="61" bestFit="1" customWidth="1"/>
    <col min="12546" max="12548" width="2.33203125" style="61" customWidth="1"/>
    <col min="12549" max="12549" width="56" style="61" bestFit="1" customWidth="1"/>
    <col min="12550" max="12550" width="2.6640625" style="61" customWidth="1"/>
    <col min="12551" max="12551" width="16.6640625" style="61" bestFit="1" customWidth="1"/>
    <col min="12552" max="12552" width="2.6640625" style="61" customWidth="1"/>
    <col min="12553" max="12553" width="12.6640625" style="61" customWidth="1"/>
    <col min="12554" max="12554" width="12.5546875" style="61" customWidth="1"/>
    <col min="12555" max="12555" width="12.33203125" style="61" customWidth="1"/>
    <col min="12556" max="12556" width="11.6640625" style="61" customWidth="1"/>
    <col min="12557" max="12557" width="12.109375" style="61" customWidth="1"/>
    <col min="12558" max="12558" width="12.33203125" style="61" customWidth="1"/>
    <col min="12559" max="12559" width="11.6640625" style="61" customWidth="1"/>
    <col min="12560" max="12560" width="12" style="61" customWidth="1"/>
    <col min="12561" max="12561" width="12.109375" style="61" customWidth="1"/>
    <col min="12562" max="12562" width="11.6640625" style="61" customWidth="1"/>
    <col min="12563" max="12563" width="12" style="61" customWidth="1"/>
    <col min="12564" max="12564" width="12.33203125" style="61" customWidth="1"/>
    <col min="12565" max="12565" width="12.88671875" style="61" customWidth="1"/>
    <col min="12566" max="12566" width="17.109375" style="61" customWidth="1"/>
    <col min="12567" max="12568" width="13.33203125" style="61" customWidth="1"/>
    <col min="12569" max="12569" width="13.88671875" style="61" customWidth="1"/>
    <col min="12570" max="12570" width="16.88671875" style="61" customWidth="1"/>
    <col min="12571" max="12571" width="13.33203125" style="61" customWidth="1"/>
    <col min="12572" max="12572" width="13.44140625" style="61" customWidth="1"/>
    <col min="12573" max="12573" width="14.5546875" style="61" customWidth="1"/>
    <col min="12574" max="12574" width="14.6640625" style="61" customWidth="1"/>
    <col min="12575" max="12575" width="13.6640625" style="61" customWidth="1"/>
    <col min="12576" max="12576" width="51.33203125" style="61" customWidth="1"/>
    <col min="12577" max="12582" width="9.109375" style="61"/>
    <col min="12583" max="12583" width="0" style="61" hidden="1" customWidth="1"/>
    <col min="12584" max="12800" width="9.109375" style="61"/>
    <col min="12801" max="12801" width="3.5546875" style="61" bestFit="1" customWidth="1"/>
    <col min="12802" max="12804" width="2.33203125" style="61" customWidth="1"/>
    <col min="12805" max="12805" width="56" style="61" bestFit="1" customWidth="1"/>
    <col min="12806" max="12806" width="2.6640625" style="61" customWidth="1"/>
    <col min="12807" max="12807" width="16.6640625" style="61" bestFit="1" customWidth="1"/>
    <col min="12808" max="12808" width="2.6640625" style="61" customWidth="1"/>
    <col min="12809" max="12809" width="12.6640625" style="61" customWidth="1"/>
    <col min="12810" max="12810" width="12.5546875" style="61" customWidth="1"/>
    <col min="12811" max="12811" width="12.33203125" style="61" customWidth="1"/>
    <col min="12812" max="12812" width="11.6640625" style="61" customWidth="1"/>
    <col min="12813" max="12813" width="12.109375" style="61" customWidth="1"/>
    <col min="12814" max="12814" width="12.33203125" style="61" customWidth="1"/>
    <col min="12815" max="12815" width="11.6640625" style="61" customWidth="1"/>
    <col min="12816" max="12816" width="12" style="61" customWidth="1"/>
    <col min="12817" max="12817" width="12.109375" style="61" customWidth="1"/>
    <col min="12818" max="12818" width="11.6640625" style="61" customWidth="1"/>
    <col min="12819" max="12819" width="12" style="61" customWidth="1"/>
    <col min="12820" max="12820" width="12.33203125" style="61" customWidth="1"/>
    <col min="12821" max="12821" width="12.88671875" style="61" customWidth="1"/>
    <col min="12822" max="12822" width="17.109375" style="61" customWidth="1"/>
    <col min="12823" max="12824" width="13.33203125" style="61" customWidth="1"/>
    <col min="12825" max="12825" width="13.88671875" style="61" customWidth="1"/>
    <col min="12826" max="12826" width="16.88671875" style="61" customWidth="1"/>
    <col min="12827" max="12827" width="13.33203125" style="61" customWidth="1"/>
    <col min="12828" max="12828" width="13.44140625" style="61" customWidth="1"/>
    <col min="12829" max="12829" width="14.5546875" style="61" customWidth="1"/>
    <col min="12830" max="12830" width="14.6640625" style="61" customWidth="1"/>
    <col min="12831" max="12831" width="13.6640625" style="61" customWidth="1"/>
    <col min="12832" max="12832" width="51.33203125" style="61" customWidth="1"/>
    <col min="12833" max="12838" width="9.109375" style="61"/>
    <col min="12839" max="12839" width="0" style="61" hidden="1" customWidth="1"/>
    <col min="12840" max="13056" width="9.109375" style="61"/>
    <col min="13057" max="13057" width="3.5546875" style="61" bestFit="1" customWidth="1"/>
    <col min="13058" max="13060" width="2.33203125" style="61" customWidth="1"/>
    <col min="13061" max="13061" width="56" style="61" bestFit="1" customWidth="1"/>
    <col min="13062" max="13062" width="2.6640625" style="61" customWidth="1"/>
    <col min="13063" max="13063" width="16.6640625" style="61" bestFit="1" customWidth="1"/>
    <col min="13064" max="13064" width="2.6640625" style="61" customWidth="1"/>
    <col min="13065" max="13065" width="12.6640625" style="61" customWidth="1"/>
    <col min="13066" max="13066" width="12.5546875" style="61" customWidth="1"/>
    <col min="13067" max="13067" width="12.33203125" style="61" customWidth="1"/>
    <col min="13068" max="13068" width="11.6640625" style="61" customWidth="1"/>
    <col min="13069" max="13069" width="12.109375" style="61" customWidth="1"/>
    <col min="13070" max="13070" width="12.33203125" style="61" customWidth="1"/>
    <col min="13071" max="13071" width="11.6640625" style="61" customWidth="1"/>
    <col min="13072" max="13072" width="12" style="61" customWidth="1"/>
    <col min="13073" max="13073" width="12.109375" style="61" customWidth="1"/>
    <col min="13074" max="13074" width="11.6640625" style="61" customWidth="1"/>
    <col min="13075" max="13075" width="12" style="61" customWidth="1"/>
    <col min="13076" max="13076" width="12.33203125" style="61" customWidth="1"/>
    <col min="13077" max="13077" width="12.88671875" style="61" customWidth="1"/>
    <col min="13078" max="13078" width="17.109375" style="61" customWidth="1"/>
    <col min="13079" max="13080" width="13.33203125" style="61" customWidth="1"/>
    <col min="13081" max="13081" width="13.88671875" style="61" customWidth="1"/>
    <col min="13082" max="13082" width="16.88671875" style="61" customWidth="1"/>
    <col min="13083" max="13083" width="13.33203125" style="61" customWidth="1"/>
    <col min="13084" max="13084" width="13.44140625" style="61" customWidth="1"/>
    <col min="13085" max="13085" width="14.5546875" style="61" customWidth="1"/>
    <col min="13086" max="13086" width="14.6640625" style="61" customWidth="1"/>
    <col min="13087" max="13087" width="13.6640625" style="61" customWidth="1"/>
    <col min="13088" max="13088" width="51.33203125" style="61" customWidth="1"/>
    <col min="13089" max="13094" width="9.109375" style="61"/>
    <col min="13095" max="13095" width="0" style="61" hidden="1" customWidth="1"/>
    <col min="13096" max="13312" width="9.109375" style="61"/>
    <col min="13313" max="13313" width="3.5546875" style="61" bestFit="1" customWidth="1"/>
    <col min="13314" max="13316" width="2.33203125" style="61" customWidth="1"/>
    <col min="13317" max="13317" width="56" style="61" bestFit="1" customWidth="1"/>
    <col min="13318" max="13318" width="2.6640625" style="61" customWidth="1"/>
    <col min="13319" max="13319" width="16.6640625" style="61" bestFit="1" customWidth="1"/>
    <col min="13320" max="13320" width="2.6640625" style="61" customWidth="1"/>
    <col min="13321" max="13321" width="12.6640625" style="61" customWidth="1"/>
    <col min="13322" max="13322" width="12.5546875" style="61" customWidth="1"/>
    <col min="13323" max="13323" width="12.33203125" style="61" customWidth="1"/>
    <col min="13324" max="13324" width="11.6640625" style="61" customWidth="1"/>
    <col min="13325" max="13325" width="12.109375" style="61" customWidth="1"/>
    <col min="13326" max="13326" width="12.33203125" style="61" customWidth="1"/>
    <col min="13327" max="13327" width="11.6640625" style="61" customWidth="1"/>
    <col min="13328" max="13328" width="12" style="61" customWidth="1"/>
    <col min="13329" max="13329" width="12.109375" style="61" customWidth="1"/>
    <col min="13330" max="13330" width="11.6640625" style="61" customWidth="1"/>
    <col min="13331" max="13331" width="12" style="61" customWidth="1"/>
    <col min="13332" max="13332" width="12.33203125" style="61" customWidth="1"/>
    <col min="13333" max="13333" width="12.88671875" style="61" customWidth="1"/>
    <col min="13334" max="13334" width="17.109375" style="61" customWidth="1"/>
    <col min="13335" max="13336" width="13.33203125" style="61" customWidth="1"/>
    <col min="13337" max="13337" width="13.88671875" style="61" customWidth="1"/>
    <col min="13338" max="13338" width="16.88671875" style="61" customWidth="1"/>
    <col min="13339" max="13339" width="13.33203125" style="61" customWidth="1"/>
    <col min="13340" max="13340" width="13.44140625" style="61" customWidth="1"/>
    <col min="13341" max="13341" width="14.5546875" style="61" customWidth="1"/>
    <col min="13342" max="13342" width="14.6640625" style="61" customWidth="1"/>
    <col min="13343" max="13343" width="13.6640625" style="61" customWidth="1"/>
    <col min="13344" max="13344" width="51.33203125" style="61" customWidth="1"/>
    <col min="13345" max="13350" width="9.109375" style="61"/>
    <col min="13351" max="13351" width="0" style="61" hidden="1" customWidth="1"/>
    <col min="13352" max="13568" width="9.109375" style="61"/>
    <col min="13569" max="13569" width="3.5546875" style="61" bestFit="1" customWidth="1"/>
    <col min="13570" max="13572" width="2.33203125" style="61" customWidth="1"/>
    <col min="13573" max="13573" width="56" style="61" bestFit="1" customWidth="1"/>
    <col min="13574" max="13574" width="2.6640625" style="61" customWidth="1"/>
    <col min="13575" max="13575" width="16.6640625" style="61" bestFit="1" customWidth="1"/>
    <col min="13576" max="13576" width="2.6640625" style="61" customWidth="1"/>
    <col min="13577" max="13577" width="12.6640625" style="61" customWidth="1"/>
    <col min="13578" max="13578" width="12.5546875" style="61" customWidth="1"/>
    <col min="13579" max="13579" width="12.33203125" style="61" customWidth="1"/>
    <col min="13580" max="13580" width="11.6640625" style="61" customWidth="1"/>
    <col min="13581" max="13581" width="12.109375" style="61" customWidth="1"/>
    <col min="13582" max="13582" width="12.33203125" style="61" customWidth="1"/>
    <col min="13583" max="13583" width="11.6640625" style="61" customWidth="1"/>
    <col min="13584" max="13584" width="12" style="61" customWidth="1"/>
    <col min="13585" max="13585" width="12.109375" style="61" customWidth="1"/>
    <col min="13586" max="13586" width="11.6640625" style="61" customWidth="1"/>
    <col min="13587" max="13587" width="12" style="61" customWidth="1"/>
    <col min="13588" max="13588" width="12.33203125" style="61" customWidth="1"/>
    <col min="13589" max="13589" width="12.88671875" style="61" customWidth="1"/>
    <col min="13590" max="13590" width="17.109375" style="61" customWidth="1"/>
    <col min="13591" max="13592" width="13.33203125" style="61" customWidth="1"/>
    <col min="13593" max="13593" width="13.88671875" style="61" customWidth="1"/>
    <col min="13594" max="13594" width="16.88671875" style="61" customWidth="1"/>
    <col min="13595" max="13595" width="13.33203125" style="61" customWidth="1"/>
    <col min="13596" max="13596" width="13.44140625" style="61" customWidth="1"/>
    <col min="13597" max="13597" width="14.5546875" style="61" customWidth="1"/>
    <col min="13598" max="13598" width="14.6640625" style="61" customWidth="1"/>
    <col min="13599" max="13599" width="13.6640625" style="61" customWidth="1"/>
    <col min="13600" max="13600" width="51.33203125" style="61" customWidth="1"/>
    <col min="13601" max="13606" width="9.109375" style="61"/>
    <col min="13607" max="13607" width="0" style="61" hidden="1" customWidth="1"/>
    <col min="13608" max="13824" width="9.109375" style="61"/>
    <col min="13825" max="13825" width="3.5546875" style="61" bestFit="1" customWidth="1"/>
    <col min="13826" max="13828" width="2.33203125" style="61" customWidth="1"/>
    <col min="13829" max="13829" width="56" style="61" bestFit="1" customWidth="1"/>
    <col min="13830" max="13830" width="2.6640625" style="61" customWidth="1"/>
    <col min="13831" max="13831" width="16.6640625" style="61" bestFit="1" customWidth="1"/>
    <col min="13832" max="13832" width="2.6640625" style="61" customWidth="1"/>
    <col min="13833" max="13833" width="12.6640625" style="61" customWidth="1"/>
    <col min="13834" max="13834" width="12.5546875" style="61" customWidth="1"/>
    <col min="13835" max="13835" width="12.33203125" style="61" customWidth="1"/>
    <col min="13836" max="13836" width="11.6640625" style="61" customWidth="1"/>
    <col min="13837" max="13837" width="12.109375" style="61" customWidth="1"/>
    <col min="13838" max="13838" width="12.33203125" style="61" customWidth="1"/>
    <col min="13839" max="13839" width="11.6640625" style="61" customWidth="1"/>
    <col min="13840" max="13840" width="12" style="61" customWidth="1"/>
    <col min="13841" max="13841" width="12.109375" style="61" customWidth="1"/>
    <col min="13842" max="13842" width="11.6640625" style="61" customWidth="1"/>
    <col min="13843" max="13843" width="12" style="61" customWidth="1"/>
    <col min="13844" max="13844" width="12.33203125" style="61" customWidth="1"/>
    <col min="13845" max="13845" width="12.88671875" style="61" customWidth="1"/>
    <col min="13846" max="13846" width="17.109375" style="61" customWidth="1"/>
    <col min="13847" max="13848" width="13.33203125" style="61" customWidth="1"/>
    <col min="13849" max="13849" width="13.88671875" style="61" customWidth="1"/>
    <col min="13850" max="13850" width="16.88671875" style="61" customWidth="1"/>
    <col min="13851" max="13851" width="13.33203125" style="61" customWidth="1"/>
    <col min="13852" max="13852" width="13.44140625" style="61" customWidth="1"/>
    <col min="13853" max="13853" width="14.5546875" style="61" customWidth="1"/>
    <col min="13854" max="13854" width="14.6640625" style="61" customWidth="1"/>
    <col min="13855" max="13855" width="13.6640625" style="61" customWidth="1"/>
    <col min="13856" max="13856" width="51.33203125" style="61" customWidth="1"/>
    <col min="13857" max="13862" width="9.109375" style="61"/>
    <col min="13863" max="13863" width="0" style="61" hidden="1" customWidth="1"/>
    <col min="13864" max="14080" width="9.109375" style="61"/>
    <col min="14081" max="14081" width="3.5546875" style="61" bestFit="1" customWidth="1"/>
    <col min="14082" max="14084" width="2.33203125" style="61" customWidth="1"/>
    <col min="14085" max="14085" width="56" style="61" bestFit="1" customWidth="1"/>
    <col min="14086" max="14086" width="2.6640625" style="61" customWidth="1"/>
    <col min="14087" max="14087" width="16.6640625" style="61" bestFit="1" customWidth="1"/>
    <col min="14088" max="14088" width="2.6640625" style="61" customWidth="1"/>
    <col min="14089" max="14089" width="12.6640625" style="61" customWidth="1"/>
    <col min="14090" max="14090" width="12.5546875" style="61" customWidth="1"/>
    <col min="14091" max="14091" width="12.33203125" style="61" customWidth="1"/>
    <col min="14092" max="14092" width="11.6640625" style="61" customWidth="1"/>
    <col min="14093" max="14093" width="12.109375" style="61" customWidth="1"/>
    <col min="14094" max="14094" width="12.33203125" style="61" customWidth="1"/>
    <col min="14095" max="14095" width="11.6640625" style="61" customWidth="1"/>
    <col min="14096" max="14096" width="12" style="61" customWidth="1"/>
    <col min="14097" max="14097" width="12.109375" style="61" customWidth="1"/>
    <col min="14098" max="14098" width="11.6640625" style="61" customWidth="1"/>
    <col min="14099" max="14099" width="12" style="61" customWidth="1"/>
    <col min="14100" max="14100" width="12.33203125" style="61" customWidth="1"/>
    <col min="14101" max="14101" width="12.88671875" style="61" customWidth="1"/>
    <col min="14102" max="14102" width="17.109375" style="61" customWidth="1"/>
    <col min="14103" max="14104" width="13.33203125" style="61" customWidth="1"/>
    <col min="14105" max="14105" width="13.88671875" style="61" customWidth="1"/>
    <col min="14106" max="14106" width="16.88671875" style="61" customWidth="1"/>
    <col min="14107" max="14107" width="13.33203125" style="61" customWidth="1"/>
    <col min="14108" max="14108" width="13.44140625" style="61" customWidth="1"/>
    <col min="14109" max="14109" width="14.5546875" style="61" customWidth="1"/>
    <col min="14110" max="14110" width="14.6640625" style="61" customWidth="1"/>
    <col min="14111" max="14111" width="13.6640625" style="61" customWidth="1"/>
    <col min="14112" max="14112" width="51.33203125" style="61" customWidth="1"/>
    <col min="14113" max="14118" width="9.109375" style="61"/>
    <col min="14119" max="14119" width="0" style="61" hidden="1" customWidth="1"/>
    <col min="14120" max="14336" width="9.109375" style="61"/>
    <col min="14337" max="14337" width="3.5546875" style="61" bestFit="1" customWidth="1"/>
    <col min="14338" max="14340" width="2.33203125" style="61" customWidth="1"/>
    <col min="14341" max="14341" width="56" style="61" bestFit="1" customWidth="1"/>
    <col min="14342" max="14342" width="2.6640625" style="61" customWidth="1"/>
    <col min="14343" max="14343" width="16.6640625" style="61" bestFit="1" customWidth="1"/>
    <col min="14344" max="14344" width="2.6640625" style="61" customWidth="1"/>
    <col min="14345" max="14345" width="12.6640625" style="61" customWidth="1"/>
    <col min="14346" max="14346" width="12.5546875" style="61" customWidth="1"/>
    <col min="14347" max="14347" width="12.33203125" style="61" customWidth="1"/>
    <col min="14348" max="14348" width="11.6640625" style="61" customWidth="1"/>
    <col min="14349" max="14349" width="12.109375" style="61" customWidth="1"/>
    <col min="14350" max="14350" width="12.33203125" style="61" customWidth="1"/>
    <col min="14351" max="14351" width="11.6640625" style="61" customWidth="1"/>
    <col min="14352" max="14352" width="12" style="61" customWidth="1"/>
    <col min="14353" max="14353" width="12.109375" style="61" customWidth="1"/>
    <col min="14354" max="14354" width="11.6640625" style="61" customWidth="1"/>
    <col min="14355" max="14355" width="12" style="61" customWidth="1"/>
    <col min="14356" max="14356" width="12.33203125" style="61" customWidth="1"/>
    <col min="14357" max="14357" width="12.88671875" style="61" customWidth="1"/>
    <col min="14358" max="14358" width="17.109375" style="61" customWidth="1"/>
    <col min="14359" max="14360" width="13.33203125" style="61" customWidth="1"/>
    <col min="14361" max="14361" width="13.88671875" style="61" customWidth="1"/>
    <col min="14362" max="14362" width="16.88671875" style="61" customWidth="1"/>
    <col min="14363" max="14363" width="13.33203125" style="61" customWidth="1"/>
    <col min="14364" max="14364" width="13.44140625" style="61" customWidth="1"/>
    <col min="14365" max="14365" width="14.5546875" style="61" customWidth="1"/>
    <col min="14366" max="14366" width="14.6640625" style="61" customWidth="1"/>
    <col min="14367" max="14367" width="13.6640625" style="61" customWidth="1"/>
    <col min="14368" max="14368" width="51.33203125" style="61" customWidth="1"/>
    <col min="14369" max="14374" width="9.109375" style="61"/>
    <col min="14375" max="14375" width="0" style="61" hidden="1" customWidth="1"/>
    <col min="14376" max="14592" width="9.109375" style="61"/>
    <col min="14593" max="14593" width="3.5546875" style="61" bestFit="1" customWidth="1"/>
    <col min="14594" max="14596" width="2.33203125" style="61" customWidth="1"/>
    <col min="14597" max="14597" width="56" style="61" bestFit="1" customWidth="1"/>
    <col min="14598" max="14598" width="2.6640625" style="61" customWidth="1"/>
    <col min="14599" max="14599" width="16.6640625" style="61" bestFit="1" customWidth="1"/>
    <col min="14600" max="14600" width="2.6640625" style="61" customWidth="1"/>
    <col min="14601" max="14601" width="12.6640625" style="61" customWidth="1"/>
    <col min="14602" max="14602" width="12.5546875" style="61" customWidth="1"/>
    <col min="14603" max="14603" width="12.33203125" style="61" customWidth="1"/>
    <col min="14604" max="14604" width="11.6640625" style="61" customWidth="1"/>
    <col min="14605" max="14605" width="12.109375" style="61" customWidth="1"/>
    <col min="14606" max="14606" width="12.33203125" style="61" customWidth="1"/>
    <col min="14607" max="14607" width="11.6640625" style="61" customWidth="1"/>
    <col min="14608" max="14608" width="12" style="61" customWidth="1"/>
    <col min="14609" max="14609" width="12.109375" style="61" customWidth="1"/>
    <col min="14610" max="14610" width="11.6640625" style="61" customWidth="1"/>
    <col min="14611" max="14611" width="12" style="61" customWidth="1"/>
    <col min="14612" max="14612" width="12.33203125" style="61" customWidth="1"/>
    <col min="14613" max="14613" width="12.88671875" style="61" customWidth="1"/>
    <col min="14614" max="14614" width="17.109375" style="61" customWidth="1"/>
    <col min="14615" max="14616" width="13.33203125" style="61" customWidth="1"/>
    <col min="14617" max="14617" width="13.88671875" style="61" customWidth="1"/>
    <col min="14618" max="14618" width="16.88671875" style="61" customWidth="1"/>
    <col min="14619" max="14619" width="13.33203125" style="61" customWidth="1"/>
    <col min="14620" max="14620" width="13.44140625" style="61" customWidth="1"/>
    <col min="14621" max="14621" width="14.5546875" style="61" customWidth="1"/>
    <col min="14622" max="14622" width="14.6640625" style="61" customWidth="1"/>
    <col min="14623" max="14623" width="13.6640625" style="61" customWidth="1"/>
    <col min="14624" max="14624" width="51.33203125" style="61" customWidth="1"/>
    <col min="14625" max="14630" width="9.109375" style="61"/>
    <col min="14631" max="14631" width="0" style="61" hidden="1" customWidth="1"/>
    <col min="14632" max="14848" width="9.109375" style="61"/>
    <col min="14849" max="14849" width="3.5546875" style="61" bestFit="1" customWidth="1"/>
    <col min="14850" max="14852" width="2.33203125" style="61" customWidth="1"/>
    <col min="14853" max="14853" width="56" style="61" bestFit="1" customWidth="1"/>
    <col min="14854" max="14854" width="2.6640625" style="61" customWidth="1"/>
    <col min="14855" max="14855" width="16.6640625" style="61" bestFit="1" customWidth="1"/>
    <col min="14856" max="14856" width="2.6640625" style="61" customWidth="1"/>
    <col min="14857" max="14857" width="12.6640625" style="61" customWidth="1"/>
    <col min="14858" max="14858" width="12.5546875" style="61" customWidth="1"/>
    <col min="14859" max="14859" width="12.33203125" style="61" customWidth="1"/>
    <col min="14860" max="14860" width="11.6640625" style="61" customWidth="1"/>
    <col min="14861" max="14861" width="12.109375" style="61" customWidth="1"/>
    <col min="14862" max="14862" width="12.33203125" style="61" customWidth="1"/>
    <col min="14863" max="14863" width="11.6640625" style="61" customWidth="1"/>
    <col min="14864" max="14864" width="12" style="61" customWidth="1"/>
    <col min="14865" max="14865" width="12.109375" style="61" customWidth="1"/>
    <col min="14866" max="14866" width="11.6640625" style="61" customWidth="1"/>
    <col min="14867" max="14867" width="12" style="61" customWidth="1"/>
    <col min="14868" max="14868" width="12.33203125" style="61" customWidth="1"/>
    <col min="14869" max="14869" width="12.88671875" style="61" customWidth="1"/>
    <col min="14870" max="14870" width="17.109375" style="61" customWidth="1"/>
    <col min="14871" max="14872" width="13.33203125" style="61" customWidth="1"/>
    <col min="14873" max="14873" width="13.88671875" style="61" customWidth="1"/>
    <col min="14874" max="14874" width="16.88671875" style="61" customWidth="1"/>
    <col min="14875" max="14875" width="13.33203125" style="61" customWidth="1"/>
    <col min="14876" max="14876" width="13.44140625" style="61" customWidth="1"/>
    <col min="14877" max="14877" width="14.5546875" style="61" customWidth="1"/>
    <col min="14878" max="14878" width="14.6640625" style="61" customWidth="1"/>
    <col min="14879" max="14879" width="13.6640625" style="61" customWidth="1"/>
    <col min="14880" max="14880" width="51.33203125" style="61" customWidth="1"/>
    <col min="14881" max="14886" width="9.109375" style="61"/>
    <col min="14887" max="14887" width="0" style="61" hidden="1" customWidth="1"/>
    <col min="14888" max="15104" width="9.109375" style="61"/>
    <col min="15105" max="15105" width="3.5546875" style="61" bestFit="1" customWidth="1"/>
    <col min="15106" max="15108" width="2.33203125" style="61" customWidth="1"/>
    <col min="15109" max="15109" width="56" style="61" bestFit="1" customWidth="1"/>
    <col min="15110" max="15110" width="2.6640625" style="61" customWidth="1"/>
    <col min="15111" max="15111" width="16.6640625" style="61" bestFit="1" customWidth="1"/>
    <col min="15112" max="15112" width="2.6640625" style="61" customWidth="1"/>
    <col min="15113" max="15113" width="12.6640625" style="61" customWidth="1"/>
    <col min="15114" max="15114" width="12.5546875" style="61" customWidth="1"/>
    <col min="15115" max="15115" width="12.33203125" style="61" customWidth="1"/>
    <col min="15116" max="15116" width="11.6640625" style="61" customWidth="1"/>
    <col min="15117" max="15117" width="12.109375" style="61" customWidth="1"/>
    <col min="15118" max="15118" width="12.33203125" style="61" customWidth="1"/>
    <col min="15119" max="15119" width="11.6640625" style="61" customWidth="1"/>
    <col min="15120" max="15120" width="12" style="61" customWidth="1"/>
    <col min="15121" max="15121" width="12.109375" style="61" customWidth="1"/>
    <col min="15122" max="15122" width="11.6640625" style="61" customWidth="1"/>
    <col min="15123" max="15123" width="12" style="61" customWidth="1"/>
    <col min="15124" max="15124" width="12.33203125" style="61" customWidth="1"/>
    <col min="15125" max="15125" width="12.88671875" style="61" customWidth="1"/>
    <col min="15126" max="15126" width="17.109375" style="61" customWidth="1"/>
    <col min="15127" max="15128" width="13.33203125" style="61" customWidth="1"/>
    <col min="15129" max="15129" width="13.88671875" style="61" customWidth="1"/>
    <col min="15130" max="15130" width="16.88671875" style="61" customWidth="1"/>
    <col min="15131" max="15131" width="13.33203125" style="61" customWidth="1"/>
    <col min="15132" max="15132" width="13.44140625" style="61" customWidth="1"/>
    <col min="15133" max="15133" width="14.5546875" style="61" customWidth="1"/>
    <col min="15134" max="15134" width="14.6640625" style="61" customWidth="1"/>
    <col min="15135" max="15135" width="13.6640625" style="61" customWidth="1"/>
    <col min="15136" max="15136" width="51.33203125" style="61" customWidth="1"/>
    <col min="15137" max="15142" width="9.109375" style="61"/>
    <col min="15143" max="15143" width="0" style="61" hidden="1" customWidth="1"/>
    <col min="15144" max="15360" width="9.109375" style="61"/>
    <col min="15361" max="15361" width="3.5546875" style="61" bestFit="1" customWidth="1"/>
    <col min="15362" max="15364" width="2.33203125" style="61" customWidth="1"/>
    <col min="15365" max="15365" width="56" style="61" bestFit="1" customWidth="1"/>
    <col min="15366" max="15366" width="2.6640625" style="61" customWidth="1"/>
    <col min="15367" max="15367" width="16.6640625" style="61" bestFit="1" customWidth="1"/>
    <col min="15368" max="15368" width="2.6640625" style="61" customWidth="1"/>
    <col min="15369" max="15369" width="12.6640625" style="61" customWidth="1"/>
    <col min="15370" max="15370" width="12.5546875" style="61" customWidth="1"/>
    <col min="15371" max="15371" width="12.33203125" style="61" customWidth="1"/>
    <col min="15372" max="15372" width="11.6640625" style="61" customWidth="1"/>
    <col min="15373" max="15373" width="12.109375" style="61" customWidth="1"/>
    <col min="15374" max="15374" width="12.33203125" style="61" customWidth="1"/>
    <col min="15375" max="15375" width="11.6640625" style="61" customWidth="1"/>
    <col min="15376" max="15376" width="12" style="61" customWidth="1"/>
    <col min="15377" max="15377" width="12.109375" style="61" customWidth="1"/>
    <col min="15378" max="15378" width="11.6640625" style="61" customWidth="1"/>
    <col min="15379" max="15379" width="12" style="61" customWidth="1"/>
    <col min="15380" max="15380" width="12.33203125" style="61" customWidth="1"/>
    <col min="15381" max="15381" width="12.88671875" style="61" customWidth="1"/>
    <col min="15382" max="15382" width="17.109375" style="61" customWidth="1"/>
    <col min="15383" max="15384" width="13.33203125" style="61" customWidth="1"/>
    <col min="15385" max="15385" width="13.88671875" style="61" customWidth="1"/>
    <col min="15386" max="15386" width="16.88671875" style="61" customWidth="1"/>
    <col min="15387" max="15387" width="13.33203125" style="61" customWidth="1"/>
    <col min="15388" max="15388" width="13.44140625" style="61" customWidth="1"/>
    <col min="15389" max="15389" width="14.5546875" style="61" customWidth="1"/>
    <col min="15390" max="15390" width="14.6640625" style="61" customWidth="1"/>
    <col min="15391" max="15391" width="13.6640625" style="61" customWidth="1"/>
    <col min="15392" max="15392" width="51.33203125" style="61" customWidth="1"/>
    <col min="15393" max="15398" width="9.109375" style="61"/>
    <col min="15399" max="15399" width="0" style="61" hidden="1" customWidth="1"/>
    <col min="15400" max="15616" width="9.109375" style="61"/>
    <col min="15617" max="15617" width="3.5546875" style="61" bestFit="1" customWidth="1"/>
    <col min="15618" max="15620" width="2.33203125" style="61" customWidth="1"/>
    <col min="15621" max="15621" width="56" style="61" bestFit="1" customWidth="1"/>
    <col min="15622" max="15622" width="2.6640625" style="61" customWidth="1"/>
    <col min="15623" max="15623" width="16.6640625" style="61" bestFit="1" customWidth="1"/>
    <col min="15624" max="15624" width="2.6640625" style="61" customWidth="1"/>
    <col min="15625" max="15625" width="12.6640625" style="61" customWidth="1"/>
    <col min="15626" max="15626" width="12.5546875" style="61" customWidth="1"/>
    <col min="15627" max="15627" width="12.33203125" style="61" customWidth="1"/>
    <col min="15628" max="15628" width="11.6640625" style="61" customWidth="1"/>
    <col min="15629" max="15629" width="12.109375" style="61" customWidth="1"/>
    <col min="15630" max="15630" width="12.33203125" style="61" customWidth="1"/>
    <col min="15631" max="15631" width="11.6640625" style="61" customWidth="1"/>
    <col min="15632" max="15632" width="12" style="61" customWidth="1"/>
    <col min="15633" max="15633" width="12.109375" style="61" customWidth="1"/>
    <col min="15634" max="15634" width="11.6640625" style="61" customWidth="1"/>
    <col min="15635" max="15635" width="12" style="61" customWidth="1"/>
    <col min="15636" max="15636" width="12.33203125" style="61" customWidth="1"/>
    <col min="15637" max="15637" width="12.88671875" style="61" customWidth="1"/>
    <col min="15638" max="15638" width="17.109375" style="61" customWidth="1"/>
    <col min="15639" max="15640" width="13.33203125" style="61" customWidth="1"/>
    <col min="15641" max="15641" width="13.88671875" style="61" customWidth="1"/>
    <col min="15642" max="15642" width="16.88671875" style="61" customWidth="1"/>
    <col min="15643" max="15643" width="13.33203125" style="61" customWidth="1"/>
    <col min="15644" max="15644" width="13.44140625" style="61" customWidth="1"/>
    <col min="15645" max="15645" width="14.5546875" style="61" customWidth="1"/>
    <col min="15646" max="15646" width="14.6640625" style="61" customWidth="1"/>
    <col min="15647" max="15647" width="13.6640625" style="61" customWidth="1"/>
    <col min="15648" max="15648" width="51.33203125" style="61" customWidth="1"/>
    <col min="15649" max="15654" width="9.109375" style="61"/>
    <col min="15655" max="15655" width="0" style="61" hidden="1" customWidth="1"/>
    <col min="15656" max="15872" width="9.109375" style="61"/>
    <col min="15873" max="15873" width="3.5546875" style="61" bestFit="1" customWidth="1"/>
    <col min="15874" max="15876" width="2.33203125" style="61" customWidth="1"/>
    <col min="15877" max="15877" width="56" style="61" bestFit="1" customWidth="1"/>
    <col min="15878" max="15878" width="2.6640625" style="61" customWidth="1"/>
    <col min="15879" max="15879" width="16.6640625" style="61" bestFit="1" customWidth="1"/>
    <col min="15880" max="15880" width="2.6640625" style="61" customWidth="1"/>
    <col min="15881" max="15881" width="12.6640625" style="61" customWidth="1"/>
    <col min="15882" max="15882" width="12.5546875" style="61" customWidth="1"/>
    <col min="15883" max="15883" width="12.33203125" style="61" customWidth="1"/>
    <col min="15884" max="15884" width="11.6640625" style="61" customWidth="1"/>
    <col min="15885" max="15885" width="12.109375" style="61" customWidth="1"/>
    <col min="15886" max="15886" width="12.33203125" style="61" customWidth="1"/>
    <col min="15887" max="15887" width="11.6640625" style="61" customWidth="1"/>
    <col min="15888" max="15888" width="12" style="61" customWidth="1"/>
    <col min="15889" max="15889" width="12.109375" style="61" customWidth="1"/>
    <col min="15890" max="15890" width="11.6640625" style="61" customWidth="1"/>
    <col min="15891" max="15891" width="12" style="61" customWidth="1"/>
    <col min="15892" max="15892" width="12.33203125" style="61" customWidth="1"/>
    <col min="15893" max="15893" width="12.88671875" style="61" customWidth="1"/>
    <col min="15894" max="15894" width="17.109375" style="61" customWidth="1"/>
    <col min="15895" max="15896" width="13.33203125" style="61" customWidth="1"/>
    <col min="15897" max="15897" width="13.88671875" style="61" customWidth="1"/>
    <col min="15898" max="15898" width="16.88671875" style="61" customWidth="1"/>
    <col min="15899" max="15899" width="13.33203125" style="61" customWidth="1"/>
    <col min="15900" max="15900" width="13.44140625" style="61" customWidth="1"/>
    <col min="15901" max="15901" width="14.5546875" style="61" customWidth="1"/>
    <col min="15902" max="15902" width="14.6640625" style="61" customWidth="1"/>
    <col min="15903" max="15903" width="13.6640625" style="61" customWidth="1"/>
    <col min="15904" max="15904" width="51.33203125" style="61" customWidth="1"/>
    <col min="15905" max="15910" width="9.109375" style="61"/>
    <col min="15911" max="15911" width="0" style="61" hidden="1" customWidth="1"/>
    <col min="15912" max="16128" width="9.109375" style="61"/>
    <col min="16129" max="16129" width="3.5546875" style="61" bestFit="1" customWidth="1"/>
    <col min="16130" max="16132" width="2.33203125" style="61" customWidth="1"/>
    <col min="16133" max="16133" width="56" style="61" bestFit="1" customWidth="1"/>
    <col min="16134" max="16134" width="2.6640625" style="61" customWidth="1"/>
    <col min="16135" max="16135" width="16.6640625" style="61" bestFit="1" customWidth="1"/>
    <col min="16136" max="16136" width="2.6640625" style="61" customWidth="1"/>
    <col min="16137" max="16137" width="12.6640625" style="61" customWidth="1"/>
    <col min="16138" max="16138" width="12.5546875" style="61" customWidth="1"/>
    <col min="16139" max="16139" width="12.33203125" style="61" customWidth="1"/>
    <col min="16140" max="16140" width="11.6640625" style="61" customWidth="1"/>
    <col min="16141" max="16141" width="12.109375" style="61" customWidth="1"/>
    <col min="16142" max="16142" width="12.33203125" style="61" customWidth="1"/>
    <col min="16143" max="16143" width="11.6640625" style="61" customWidth="1"/>
    <col min="16144" max="16144" width="12" style="61" customWidth="1"/>
    <col min="16145" max="16145" width="12.109375" style="61" customWidth="1"/>
    <col min="16146" max="16146" width="11.6640625" style="61" customWidth="1"/>
    <col min="16147" max="16147" width="12" style="61" customWidth="1"/>
    <col min="16148" max="16148" width="12.33203125" style="61" customWidth="1"/>
    <col min="16149" max="16149" width="12.88671875" style="61" customWidth="1"/>
    <col min="16150" max="16150" width="17.109375" style="61" customWidth="1"/>
    <col min="16151" max="16152" width="13.33203125" style="61" customWidth="1"/>
    <col min="16153" max="16153" width="13.88671875" style="61" customWidth="1"/>
    <col min="16154" max="16154" width="16.88671875" style="61" customWidth="1"/>
    <col min="16155" max="16155" width="13.33203125" style="61" customWidth="1"/>
    <col min="16156" max="16156" width="13.44140625" style="61" customWidth="1"/>
    <col min="16157" max="16157" width="14.5546875" style="61" customWidth="1"/>
    <col min="16158" max="16158" width="14.6640625" style="61" customWidth="1"/>
    <col min="16159" max="16159" width="13.6640625" style="61" customWidth="1"/>
    <col min="16160" max="16160" width="51.33203125" style="61" customWidth="1"/>
    <col min="16161" max="16166" width="9.109375" style="61"/>
    <col min="16167" max="16167" width="0" style="61" hidden="1" customWidth="1"/>
    <col min="16168" max="16384" width="9.109375" style="61"/>
  </cols>
  <sheetData>
    <row r="1" spans="1:34" s="262" customFormat="1" ht="10.8" hidden="1" thickBot="1">
      <c r="A1" s="262">
        <v>1</v>
      </c>
      <c r="E1" s="261"/>
      <c r="F1" s="261"/>
      <c r="G1" s="260"/>
      <c r="H1" s="259"/>
      <c r="I1" s="348">
        <v>1</v>
      </c>
      <c r="J1" s="259"/>
      <c r="K1" s="348"/>
      <c r="L1" s="348">
        <v>2</v>
      </c>
      <c r="M1" s="348"/>
      <c r="N1" s="348"/>
      <c r="O1" s="348">
        <v>3</v>
      </c>
      <c r="P1" s="348"/>
      <c r="Q1" s="348"/>
      <c r="R1" s="348">
        <v>4</v>
      </c>
      <c r="S1" s="348"/>
      <c r="T1" s="348"/>
      <c r="U1" s="259">
        <v>5</v>
      </c>
      <c r="V1" s="349"/>
      <c r="W1" s="349"/>
      <c r="X1" s="349"/>
      <c r="Y1" s="349"/>
      <c r="Z1" s="349"/>
      <c r="AA1" s="349"/>
      <c r="AB1" s="349"/>
    </row>
    <row r="2" spans="1:34" s="1" customFormat="1" ht="19.5" customHeight="1" thickTop="1">
      <c r="A2" s="258">
        <f>A1+1</f>
        <v>2</v>
      </c>
      <c r="B2" s="797"/>
      <c r="C2" s="794"/>
      <c r="D2" s="794"/>
      <c r="E2" s="798" t="str">
        <f>QTR_MSG</f>
        <v/>
      </c>
      <c r="F2" s="794"/>
      <c r="G2" s="794"/>
      <c r="H2" s="794"/>
      <c r="I2" s="1087" t="str">
        <f>IF(School="",Mssg1,School)</f>
        <v>Please enter school name on tab - "1) Name of School"</v>
      </c>
      <c r="J2" s="1087"/>
      <c r="K2" s="1087"/>
      <c r="L2" s="1087"/>
      <c r="M2" s="1087"/>
      <c r="N2" s="1087"/>
      <c r="O2" s="1087"/>
      <c r="P2" s="1087"/>
      <c r="Q2" s="1087"/>
      <c r="R2" s="1087"/>
      <c r="S2" s="1087"/>
      <c r="T2" s="1090"/>
      <c r="U2" s="1086" t="str">
        <f>I2</f>
        <v>Please enter school name on tab - "1) Name of School"</v>
      </c>
      <c r="V2" s="1087"/>
      <c r="W2" s="1087"/>
      <c r="X2" s="1087"/>
      <c r="Y2" s="1087"/>
      <c r="Z2" s="1087"/>
      <c r="AA2" s="1087"/>
      <c r="AB2" s="1087"/>
      <c r="AC2" s="1087"/>
      <c r="AD2" s="1087"/>
      <c r="AE2" s="1087"/>
      <c r="AF2" s="256"/>
    </row>
    <row r="3" spans="1:34" s="1" customFormat="1" ht="19.5" customHeight="1" thickBot="1">
      <c r="A3" s="258">
        <f t="shared" ref="A3:A67" si="0">A2+1</f>
        <v>3</v>
      </c>
      <c r="B3" s="795"/>
      <c r="C3" s="796"/>
      <c r="D3" s="796"/>
      <c r="E3" s="796"/>
      <c r="F3" s="796"/>
      <c r="G3" s="796"/>
      <c r="H3" s="796"/>
      <c r="I3" s="1091" t="s">
        <v>229</v>
      </c>
      <c r="J3" s="1091"/>
      <c r="K3" s="1091"/>
      <c r="L3" s="1091"/>
      <c r="M3" s="1091"/>
      <c r="N3" s="1091"/>
      <c r="O3" s="1091"/>
      <c r="P3" s="1091"/>
      <c r="Q3" s="1091"/>
      <c r="R3" s="1091"/>
      <c r="S3" s="1091"/>
      <c r="T3" s="1092"/>
      <c r="U3" s="1049" t="s">
        <v>229</v>
      </c>
      <c r="V3" s="1049"/>
      <c r="W3" s="1049"/>
      <c r="X3" s="1049"/>
      <c r="Y3" s="1049"/>
      <c r="Z3" s="1049"/>
      <c r="AA3" s="1049"/>
      <c r="AB3" s="1049"/>
      <c r="AC3" s="1049"/>
      <c r="AD3" s="1049"/>
      <c r="AE3" s="1050"/>
      <c r="AF3" s="271" t="s">
        <v>97</v>
      </c>
    </row>
    <row r="4" spans="1:34" s="1" customFormat="1" ht="18.600000000000001" thickTop="1">
      <c r="A4" s="258">
        <f t="shared" si="0"/>
        <v>4</v>
      </c>
      <c r="C4" s="793"/>
      <c r="D4" s="793"/>
      <c r="E4" s="793"/>
      <c r="F4" s="793"/>
      <c r="G4" s="793"/>
      <c r="H4" s="793"/>
      <c r="I4" s="1093" t="str">
        <f>IF(CONTROL!J12=0,Mssg2,AcadYr1)</f>
        <v>2020-21</v>
      </c>
      <c r="J4" s="1093"/>
      <c r="K4" s="1093"/>
      <c r="L4" s="1093"/>
      <c r="M4" s="1093"/>
      <c r="N4" s="1093"/>
      <c r="O4" s="1093"/>
      <c r="P4" s="1093"/>
      <c r="Q4" s="1093"/>
      <c r="R4" s="1093"/>
      <c r="S4" s="1093"/>
      <c r="T4" s="1094"/>
      <c r="U4" s="1086" t="str">
        <f>I4</f>
        <v>2020-21</v>
      </c>
      <c r="V4" s="1087"/>
      <c r="W4" s="1087"/>
      <c r="X4" s="1087"/>
      <c r="Y4" s="1087"/>
      <c r="Z4" s="1087"/>
      <c r="AA4" s="1087"/>
      <c r="AB4" s="1087"/>
      <c r="AC4" s="1087"/>
      <c r="AD4" s="1087"/>
      <c r="AE4" s="1087"/>
      <c r="AF4" s="252"/>
    </row>
    <row r="5" spans="1:34" s="1" customFormat="1" ht="7.95" hidden="1" customHeight="1">
      <c r="A5" s="258">
        <f t="shared" si="0"/>
        <v>5</v>
      </c>
      <c r="B5" s="350"/>
      <c r="C5" s="351"/>
      <c r="D5" s="351"/>
      <c r="E5" s="352"/>
      <c r="F5" s="352"/>
      <c r="G5" s="353"/>
      <c r="H5" s="354"/>
      <c r="I5" s="355"/>
      <c r="J5" s="354"/>
      <c r="K5" s="354"/>
      <c r="L5" s="356"/>
      <c r="M5" s="356"/>
      <c r="N5" s="356"/>
      <c r="O5" s="356"/>
      <c r="P5" s="356"/>
      <c r="Q5" s="356"/>
      <c r="R5" s="356"/>
      <c r="S5" s="356"/>
      <c r="T5" s="357"/>
      <c r="U5" s="83"/>
      <c r="V5" s="316"/>
      <c r="W5" s="316"/>
      <c r="X5" s="316"/>
      <c r="Y5" s="316"/>
      <c r="Z5" s="316"/>
      <c r="AA5" s="316"/>
      <c r="AB5" s="316"/>
      <c r="AC5" s="69"/>
      <c r="AD5" s="69"/>
      <c r="AE5" s="358"/>
      <c r="AF5" s="246"/>
    </row>
    <row r="6" spans="1:34" s="1" customFormat="1">
      <c r="A6" s="258">
        <f t="shared" si="0"/>
        <v>6</v>
      </c>
      <c r="B6" s="590" t="s">
        <v>23</v>
      </c>
      <c r="C6" s="576"/>
      <c r="D6" s="576"/>
      <c r="E6" s="577"/>
      <c r="F6" s="577"/>
      <c r="H6" s="579"/>
      <c r="I6" s="580">
        <f>IF(I18+I35&gt;0,I66,0)</f>
        <v>0</v>
      </c>
      <c r="J6" s="579">
        <f>J66</f>
        <v>0</v>
      </c>
      <c r="K6" s="581">
        <f>K66</f>
        <v>0</v>
      </c>
      <c r="L6" s="580">
        <f>IF(L18+L35&gt;0,L66,0)</f>
        <v>0</v>
      </c>
      <c r="M6" s="579">
        <f>M66</f>
        <v>0</v>
      </c>
      <c r="N6" s="581">
        <f>N66</f>
        <v>0</v>
      </c>
      <c r="O6" s="580">
        <f>IF(O18+O35&gt;0,O66,0)</f>
        <v>0</v>
      </c>
      <c r="P6" s="579">
        <f>P66</f>
        <v>0</v>
      </c>
      <c r="Q6" s="581">
        <f>Q66</f>
        <v>0</v>
      </c>
      <c r="R6" s="580">
        <f>IF(R18+R35&gt;0,R66,0)</f>
        <v>0</v>
      </c>
      <c r="S6" s="579">
        <f t="shared" ref="S6:AE6" si="1">S66</f>
        <v>0</v>
      </c>
      <c r="T6" s="582">
        <f t="shared" si="1"/>
        <v>0</v>
      </c>
      <c r="U6" s="583">
        <f t="shared" si="1"/>
        <v>0</v>
      </c>
      <c r="V6" s="584">
        <f t="shared" si="1"/>
        <v>0</v>
      </c>
      <c r="W6" s="584">
        <f t="shared" si="1"/>
        <v>0</v>
      </c>
      <c r="X6" s="584">
        <f t="shared" si="1"/>
        <v>0</v>
      </c>
      <c r="Y6" s="585">
        <f t="shared" si="1"/>
        <v>0</v>
      </c>
      <c r="Z6" s="584">
        <f t="shared" si="1"/>
        <v>0</v>
      </c>
      <c r="AA6" s="584">
        <f t="shared" si="1"/>
        <v>0</v>
      </c>
      <c r="AB6" s="584">
        <f t="shared" si="1"/>
        <v>0</v>
      </c>
      <c r="AC6" s="585">
        <f t="shared" si="1"/>
        <v>0</v>
      </c>
      <c r="AD6" s="579">
        <f t="shared" si="1"/>
        <v>0</v>
      </c>
      <c r="AE6" s="586">
        <f t="shared" si="1"/>
        <v>0</v>
      </c>
      <c r="AF6" s="245"/>
    </row>
    <row r="7" spans="1:34" s="1" customFormat="1" ht="18">
      <c r="A7" s="258">
        <f t="shared" si="0"/>
        <v>7</v>
      </c>
      <c r="B7" s="65" t="s">
        <v>0</v>
      </c>
      <c r="C7" s="569"/>
      <c r="D7" s="66"/>
      <c r="E7" s="69"/>
      <c r="F7" s="69"/>
      <c r="G7" s="59"/>
      <c r="H7" s="71"/>
      <c r="I7" s="244">
        <f>IF(I18+I35&gt;0,I157,0)</f>
        <v>0</v>
      </c>
      <c r="J7" s="71">
        <f>J157</f>
        <v>0</v>
      </c>
      <c r="K7" s="359">
        <f>K157</f>
        <v>0</v>
      </c>
      <c r="L7" s="244">
        <f>IF(L18+L35&gt;0,L157,0)</f>
        <v>0</v>
      </c>
      <c r="M7" s="71">
        <f>M157</f>
        <v>0</v>
      </c>
      <c r="N7" s="359">
        <f>N157</f>
        <v>0</v>
      </c>
      <c r="O7" s="244">
        <f>IF(O18+O35&gt;0,O157,0)</f>
        <v>0</v>
      </c>
      <c r="P7" s="71">
        <f>P157</f>
        <v>0</v>
      </c>
      <c r="Q7" s="359">
        <f>Q157</f>
        <v>0</v>
      </c>
      <c r="R7" s="244">
        <f>IF(R18+R35&gt;0,R157,0)</f>
        <v>0</v>
      </c>
      <c r="S7" s="71">
        <f t="shared" ref="S7:AE7" si="2">S157</f>
        <v>0</v>
      </c>
      <c r="T7" s="242">
        <f t="shared" si="2"/>
        <v>0</v>
      </c>
      <c r="U7" s="360">
        <f t="shared" si="2"/>
        <v>0</v>
      </c>
      <c r="V7" s="70">
        <f t="shared" si="2"/>
        <v>0</v>
      </c>
      <c r="W7" s="70">
        <f t="shared" si="2"/>
        <v>0</v>
      </c>
      <c r="X7" s="70">
        <f t="shared" si="2"/>
        <v>0</v>
      </c>
      <c r="Y7" s="361">
        <f t="shared" si="2"/>
        <v>0</v>
      </c>
      <c r="Z7" s="70">
        <f t="shared" si="2"/>
        <v>0</v>
      </c>
      <c r="AA7" s="70">
        <f t="shared" si="2"/>
        <v>0</v>
      </c>
      <c r="AB7" s="70">
        <f t="shared" si="2"/>
        <v>0</v>
      </c>
      <c r="AC7" s="361">
        <f t="shared" si="2"/>
        <v>0</v>
      </c>
      <c r="AD7" s="71">
        <f t="shared" si="2"/>
        <v>0</v>
      </c>
      <c r="AE7" s="362">
        <f t="shared" si="2"/>
        <v>0</v>
      </c>
      <c r="AF7" s="245"/>
    </row>
    <row r="8" spans="1:34" s="1" customFormat="1">
      <c r="A8" s="258">
        <f t="shared" si="0"/>
        <v>8</v>
      </c>
      <c r="B8" s="65" t="s">
        <v>22</v>
      </c>
      <c r="C8" s="66"/>
      <c r="D8" s="66"/>
      <c r="E8" s="69"/>
      <c r="F8" s="69"/>
      <c r="G8" s="59"/>
      <c r="H8" s="71"/>
      <c r="I8" s="244">
        <f>IF(I$18+I35&lt;&gt;0,I159,0)</f>
        <v>0</v>
      </c>
      <c r="J8" s="71">
        <f>J159</f>
        <v>0</v>
      </c>
      <c r="K8" s="241">
        <f>K159</f>
        <v>0</v>
      </c>
      <c r="L8" s="244">
        <f>IF(L$18+L35&lt;&gt;0,L159,0)</f>
        <v>0</v>
      </c>
      <c r="M8" s="71">
        <f>M159</f>
        <v>0</v>
      </c>
      <c r="N8" s="241">
        <f>N159</f>
        <v>0</v>
      </c>
      <c r="O8" s="244">
        <f>IF(O$18+O35&lt;&gt;0,O159,0)</f>
        <v>0</v>
      </c>
      <c r="P8" s="71">
        <f>P159</f>
        <v>0</v>
      </c>
      <c r="Q8" s="241">
        <f>Q159</f>
        <v>0</v>
      </c>
      <c r="R8" s="244">
        <f>IF(R$18+R35&lt;&gt;0,R159,0)</f>
        <v>0</v>
      </c>
      <c r="S8" s="71">
        <f>S159</f>
        <v>0</v>
      </c>
      <c r="T8" s="72">
        <f>T159</f>
        <v>0</v>
      </c>
      <c r="U8" s="360">
        <f>U159</f>
        <v>0</v>
      </c>
      <c r="V8" s="70">
        <f>V159</f>
        <v>0</v>
      </c>
      <c r="W8" s="70">
        <f>W159</f>
        <v>0</v>
      </c>
      <c r="X8" s="70">
        <f t="shared" ref="X8:AE8" si="3">X159</f>
        <v>0</v>
      </c>
      <c r="Y8" s="361">
        <f t="shared" si="3"/>
        <v>0</v>
      </c>
      <c r="Z8" s="70">
        <f t="shared" si="3"/>
        <v>0</v>
      </c>
      <c r="AA8" s="70">
        <f t="shared" si="3"/>
        <v>0</v>
      </c>
      <c r="AB8" s="70">
        <f t="shared" si="3"/>
        <v>0</v>
      </c>
      <c r="AC8" s="361">
        <f t="shared" si="3"/>
        <v>0</v>
      </c>
      <c r="AD8" s="71">
        <f t="shared" si="3"/>
        <v>0</v>
      </c>
      <c r="AE8" s="362">
        <f t="shared" si="3"/>
        <v>0</v>
      </c>
      <c r="AF8" s="245"/>
    </row>
    <row r="9" spans="1:34" s="365" customFormat="1">
      <c r="A9" s="258">
        <f t="shared" si="0"/>
        <v>9</v>
      </c>
      <c r="B9" s="73" t="s">
        <v>230</v>
      </c>
      <c r="C9" s="74"/>
      <c r="D9" s="74"/>
      <c r="E9" s="250"/>
      <c r="F9" s="250"/>
      <c r="G9" s="67"/>
      <c r="H9" s="78"/>
      <c r="I9" s="587">
        <f>IF(I163&gt;0,I179,0)</f>
        <v>0</v>
      </c>
      <c r="J9" s="78">
        <f>J179</f>
        <v>0</v>
      </c>
      <c r="K9" s="236">
        <f>K179</f>
        <v>0</v>
      </c>
      <c r="L9" s="587">
        <f>IF(L163&gt;0,L179,0)</f>
        <v>0</v>
      </c>
      <c r="M9" s="78">
        <f>M179</f>
        <v>0</v>
      </c>
      <c r="N9" s="236">
        <f>N179</f>
        <v>0</v>
      </c>
      <c r="O9" s="587">
        <f>IF(O163&gt;0,O179,0)</f>
        <v>0</v>
      </c>
      <c r="P9" s="78">
        <f>P179</f>
        <v>0</v>
      </c>
      <c r="Q9" s="236">
        <f>Q179</f>
        <v>0</v>
      </c>
      <c r="R9" s="587">
        <f>IF(R163&gt;0,R179,0)</f>
        <v>0</v>
      </c>
      <c r="S9" s="78">
        <f>S179</f>
        <v>0</v>
      </c>
      <c r="T9" s="80">
        <f>T179</f>
        <v>0</v>
      </c>
      <c r="U9" s="588">
        <f>U179</f>
        <v>0</v>
      </c>
      <c r="V9" s="79">
        <f>V179</f>
        <v>0</v>
      </c>
      <c r="W9" s="79">
        <f>W179</f>
        <v>0</v>
      </c>
      <c r="X9" s="79"/>
      <c r="Y9" s="134"/>
      <c r="Z9" s="589">
        <f>Z179</f>
        <v>0</v>
      </c>
      <c r="AA9" s="77">
        <f>U9-Z9</f>
        <v>0</v>
      </c>
      <c r="AB9" s="78"/>
      <c r="AC9" s="369"/>
      <c r="AD9" s="78">
        <f>AD179</f>
        <v>0</v>
      </c>
      <c r="AE9" s="370"/>
      <c r="AF9" s="364"/>
    </row>
    <row r="10" spans="1:34" s="365" customFormat="1" hidden="1">
      <c r="A10" s="258">
        <f t="shared" si="0"/>
        <v>10</v>
      </c>
      <c r="B10" s="73" t="s">
        <v>231</v>
      </c>
      <c r="C10" s="74"/>
      <c r="D10" s="74"/>
      <c r="E10" s="250"/>
      <c r="F10" s="250"/>
      <c r="G10" s="67"/>
      <c r="H10" s="78"/>
      <c r="I10" s="238">
        <v>0</v>
      </c>
      <c r="J10" s="98">
        <f>IF('4.) Yearly Budget'!$K$18&gt;0,'4.) Yearly Budget'!K10,'4.) Yearly Budget'!J10)</f>
        <v>0</v>
      </c>
      <c r="K10" s="236">
        <f>IF(I163&gt;0,I10-J10,0)</f>
        <v>0</v>
      </c>
      <c r="L10" s="238">
        <v>0</v>
      </c>
      <c r="M10" s="98">
        <f>IF('4.) Yearly Budget'!$N$18&gt;0,'4.) Yearly Budget'!N10,'4.) Yearly Budget'!M10)</f>
        <v>0</v>
      </c>
      <c r="N10" s="236">
        <f>IF(L163&gt;0,L10-M10,0)</f>
        <v>0</v>
      </c>
      <c r="O10" s="238">
        <v>0</v>
      </c>
      <c r="P10" s="98">
        <f>IF('4.) Yearly Budget'!$Q$18&gt;0,'4.) Yearly Budget'!Q10,'4.) Yearly Budget'!P10)</f>
        <v>0</v>
      </c>
      <c r="Q10" s="236">
        <f>IF(O163&gt;0,O10-P10,0)</f>
        <v>0</v>
      </c>
      <c r="R10" s="238">
        <v>0</v>
      </c>
      <c r="S10" s="98">
        <f>IF('4.) Yearly Budget'!$T$18&gt;0,'4.) Yearly Budget'!T10,'4.) Yearly Budget'!S10)</f>
        <v>0</v>
      </c>
      <c r="T10" s="80">
        <f>IF(R163&gt;0,R10-S10,0)</f>
        <v>0</v>
      </c>
      <c r="U10" s="366">
        <f>IF(R10&gt;0,R10,IF(O10&gt;0,O10,IF(L10&gt;0,L10,IF(I10&gt;0,I10,0))))</f>
        <v>0</v>
      </c>
      <c r="V10" s="367">
        <f>IF(R10&gt;0,S10,IF(O10&gt;0,P10,IF(L10&gt;0,M10,IF(I10&gt;0,J10,0))))</f>
        <v>0</v>
      </c>
      <c r="W10" s="79">
        <f>U10-V10</f>
        <v>0</v>
      </c>
      <c r="X10" s="79"/>
      <c r="Y10" s="363"/>
      <c r="Z10" s="368">
        <f>IF(R$163&gt;0,'4.) Yearly Budget'!S10,IF(O$163&gt;0,'4.) Yearly Budget'!P10,IF(L10&gt;0,'4.) Yearly Budget'!M10,IF(I$163&gt;0,'4.) Yearly Budget'!J10,0))))</f>
        <v>0</v>
      </c>
      <c r="AA10" s="77">
        <f>U10-Z10</f>
        <v>0</v>
      </c>
      <c r="AB10" s="78"/>
      <c r="AC10" s="361"/>
      <c r="AD10" s="78">
        <f>IF(AD9&lt;&gt;0,'4.) Yearly Budget'!I10,0)</f>
        <v>0</v>
      </c>
      <c r="AE10" s="370"/>
      <c r="AF10" s="364"/>
    </row>
    <row r="11" spans="1:34" s="1" customFormat="1" ht="24.75" customHeight="1">
      <c r="A11" s="258">
        <f t="shared" si="0"/>
        <v>11</v>
      </c>
      <c r="B11" s="81"/>
      <c r="C11" s="82"/>
      <c r="D11" s="82"/>
      <c r="E11" s="69"/>
      <c r="F11" s="69"/>
      <c r="G11" s="59"/>
      <c r="H11" s="83"/>
      <c r="S11" s="249"/>
      <c r="T11" s="247"/>
      <c r="U11" s="83"/>
      <c r="V11" s="316"/>
      <c r="W11" s="316"/>
      <c r="X11" s="316"/>
      <c r="Y11" s="317"/>
      <c r="Z11" s="316"/>
      <c r="AA11" s="316"/>
      <c r="AB11" s="316"/>
      <c r="AC11" s="575"/>
      <c r="AD11" s="317"/>
      <c r="AE11" s="371"/>
      <c r="AF11" s="246"/>
    </row>
    <row r="12" spans="1:34" s="1" customFormat="1" ht="12" customHeight="1">
      <c r="A12" s="258">
        <f t="shared" si="0"/>
        <v>12</v>
      </c>
      <c r="B12" s="372"/>
      <c r="C12" s="273"/>
      <c r="D12" s="273"/>
      <c r="E12" s="273"/>
      <c r="F12" s="69"/>
      <c r="G12" s="59"/>
      <c r="H12" s="83"/>
      <c r="I12" s="1088" t="s">
        <v>233</v>
      </c>
      <c r="J12" s="1081"/>
      <c r="K12" s="1089"/>
      <c r="L12" s="1088" t="s">
        <v>234</v>
      </c>
      <c r="M12" s="1081"/>
      <c r="N12" s="1089"/>
      <c r="O12" s="1088" t="s">
        <v>235</v>
      </c>
      <c r="P12" s="1081"/>
      <c r="Q12" s="1089"/>
      <c r="R12" s="1088" t="s">
        <v>236</v>
      </c>
      <c r="S12" s="1081"/>
      <c r="T12" s="1082"/>
      <c r="U12" s="1080" t="s">
        <v>308</v>
      </c>
      <c r="V12" s="1081"/>
      <c r="W12" s="1081"/>
      <c r="X12" s="1081"/>
      <c r="Y12" s="1081"/>
      <c r="Z12" s="1081"/>
      <c r="AA12" s="1081"/>
      <c r="AB12" s="1081"/>
      <c r="AC12" s="1081"/>
      <c r="AD12" s="1081"/>
      <c r="AE12" s="1082"/>
      <c r="AF12" s="246"/>
    </row>
    <row r="13" spans="1:34" s="85" customFormat="1" ht="60">
      <c r="A13" s="258">
        <f t="shared" si="0"/>
        <v>13</v>
      </c>
      <c r="B13" s="1083" t="s">
        <v>368</v>
      </c>
      <c r="C13" s="1084"/>
      <c r="D13" s="1084"/>
      <c r="E13" s="1084"/>
      <c r="F13" s="1084"/>
      <c r="G13" s="1085"/>
      <c r="H13" s="317"/>
      <c r="I13" s="267" t="s">
        <v>309</v>
      </c>
      <c r="J13" s="268" t="s">
        <v>310</v>
      </c>
      <c r="K13" s="269" t="s">
        <v>239</v>
      </c>
      <c r="L13" s="267" t="s">
        <v>309</v>
      </c>
      <c r="M13" s="268" t="s">
        <v>310</v>
      </c>
      <c r="N13" s="269" t="s">
        <v>239</v>
      </c>
      <c r="O13" s="267" t="s">
        <v>309</v>
      </c>
      <c r="P13" s="268" t="s">
        <v>310</v>
      </c>
      <c r="Q13" s="269" t="s">
        <v>239</v>
      </c>
      <c r="R13" s="267" t="s">
        <v>309</v>
      </c>
      <c r="S13" s="268" t="s">
        <v>310</v>
      </c>
      <c r="T13" s="270" t="s">
        <v>239</v>
      </c>
      <c r="U13" s="373" t="s">
        <v>309</v>
      </c>
      <c r="V13" s="268" t="s">
        <v>311</v>
      </c>
      <c r="W13" s="268" t="s">
        <v>312</v>
      </c>
      <c r="X13" s="268" t="s">
        <v>313</v>
      </c>
      <c r="Y13" s="268" t="s">
        <v>314</v>
      </c>
      <c r="Z13" s="268" t="s">
        <v>315</v>
      </c>
      <c r="AA13" s="268" t="s">
        <v>316</v>
      </c>
      <c r="AB13" s="268" t="s">
        <v>317</v>
      </c>
      <c r="AC13" s="268" t="s">
        <v>318</v>
      </c>
      <c r="AD13" s="268" t="s">
        <v>1328</v>
      </c>
      <c r="AE13" s="270" t="s">
        <v>319</v>
      </c>
      <c r="AF13" s="246"/>
      <c r="AH13" s="1"/>
    </row>
    <row r="14" spans="1:34" s="85" customFormat="1" ht="7.5" customHeight="1">
      <c r="A14" s="258">
        <f t="shared" si="0"/>
        <v>14</v>
      </c>
      <c r="B14" s="86"/>
      <c r="C14" s="87"/>
      <c r="D14" s="87"/>
      <c r="E14" s="88"/>
      <c r="F14" s="88"/>
      <c r="G14" s="89"/>
      <c r="H14" s="90"/>
      <c r="I14" s="90"/>
      <c r="J14" s="90"/>
      <c r="K14" s="90"/>
      <c r="L14" s="90"/>
      <c r="M14" s="90"/>
      <c r="N14" s="90"/>
      <c r="O14" s="90"/>
      <c r="P14" s="90"/>
      <c r="Q14" s="90"/>
      <c r="R14" s="90"/>
      <c r="S14" s="90"/>
      <c r="T14" s="657"/>
      <c r="U14" s="638"/>
      <c r="V14" s="90"/>
      <c r="W14" s="90"/>
      <c r="X14" s="90"/>
      <c r="Y14" s="90"/>
      <c r="Z14" s="90"/>
      <c r="AA14" s="90"/>
      <c r="AB14" s="90"/>
      <c r="AC14" s="90"/>
      <c r="AD14" s="90"/>
      <c r="AE14" s="91"/>
      <c r="AF14" s="275"/>
      <c r="AH14" s="1"/>
    </row>
    <row r="15" spans="1:34" s="68" customFormat="1" ht="12.75" customHeight="1">
      <c r="A15" s="258">
        <f t="shared" si="0"/>
        <v>15</v>
      </c>
      <c r="B15" s="92" t="s">
        <v>24</v>
      </c>
      <c r="C15" s="93"/>
      <c r="D15" s="93"/>
      <c r="E15" s="94"/>
      <c r="F15" s="94"/>
      <c r="G15" s="57"/>
      <c r="H15" s="95"/>
      <c r="I15"/>
      <c r="J15"/>
      <c r="K15"/>
      <c r="L15"/>
      <c r="M15"/>
      <c r="N15"/>
      <c r="O15"/>
      <c r="P15"/>
      <c r="Q15"/>
      <c r="R15"/>
      <c r="S15"/>
      <c r="T15" s="748"/>
      <c r="U15" s="372"/>
      <c r="V15" s="273"/>
      <c r="W15" s="273"/>
      <c r="X15" s="273"/>
      <c r="Y15" s="273"/>
      <c r="Z15" s="273"/>
      <c r="AA15" s="292"/>
      <c r="AB15" s="292"/>
      <c r="AC15" s="292"/>
      <c r="AD15" s="292"/>
      <c r="AE15" s="374"/>
      <c r="AF15" s="275"/>
    </row>
    <row r="16" spans="1:34" s="68" customFormat="1" ht="12" customHeight="1">
      <c r="A16" s="258">
        <f t="shared" si="0"/>
        <v>16</v>
      </c>
      <c r="B16" s="92"/>
      <c r="C16" s="93" t="s">
        <v>25</v>
      </c>
      <c r="D16" s="93"/>
      <c r="E16" s="94"/>
      <c r="F16" s="94"/>
      <c r="G16" s="544" t="str">
        <f>PPR_Tbl_Date</f>
        <v>2020-21</v>
      </c>
      <c r="H16" s="95"/>
      <c r="I16"/>
      <c r="J16"/>
      <c r="K16"/>
      <c r="L16"/>
      <c r="M16"/>
      <c r="N16"/>
      <c r="O16"/>
      <c r="P16"/>
      <c r="Q16"/>
      <c r="R16"/>
      <c r="S16"/>
      <c r="T16" s="748"/>
      <c r="U16" s="372"/>
      <c r="V16" s="273"/>
      <c r="W16" s="273"/>
      <c r="X16" s="273"/>
      <c r="Y16" s="273"/>
      <c r="Z16" s="273"/>
      <c r="AA16" s="95"/>
      <c r="AB16" s="95"/>
      <c r="AC16" s="95"/>
      <c r="AD16" s="95"/>
      <c r="AE16" s="118"/>
      <c r="AF16" s="275"/>
    </row>
    <row r="17" spans="1:39" s="68" customFormat="1" ht="15.6" thickBot="1">
      <c r="A17" s="258">
        <f t="shared" si="0"/>
        <v>17</v>
      </c>
      <c r="B17" s="96"/>
      <c r="C17" s="50"/>
      <c r="D17" s="97" t="str">
        <f>'4.) Yearly Budget'!D17</f>
        <v>Per Pupil Revenue</v>
      </c>
      <c r="E17" s="94"/>
      <c r="F17" s="94"/>
      <c r="G17" s="953" t="s">
        <v>118</v>
      </c>
      <c r="H17" s="95"/>
      <c r="I17"/>
      <c r="J17" s="98"/>
      <c r="K17" s="98"/>
      <c r="L17"/>
      <c r="M17" s="98"/>
      <c r="N17" s="98"/>
      <c r="O17"/>
      <c r="P17" s="98"/>
      <c r="Q17" s="98"/>
      <c r="R17"/>
      <c r="S17" s="98"/>
      <c r="T17" s="99"/>
      <c r="U17" s="639"/>
      <c r="V17" s="98"/>
      <c r="W17" s="98"/>
      <c r="X17" s="98"/>
      <c r="Y17" s="375"/>
      <c r="Z17" s="98"/>
      <c r="AA17" s="98"/>
      <c r="AB17" s="98"/>
      <c r="AC17" s="98"/>
      <c r="AD17" s="98"/>
      <c r="AE17" s="99"/>
      <c r="AF17" s="376"/>
    </row>
    <row r="18" spans="1:39" s="68" customFormat="1" ht="16.2" thickTop="1" thickBot="1">
      <c r="A18" s="258">
        <f t="shared" si="0"/>
        <v>18</v>
      </c>
      <c r="B18" s="96"/>
      <c r="C18" s="50"/>
      <c r="D18" s="50"/>
      <c r="E18" s="53" t="str">
        <f>CONTROL!B52</f>
        <v>-</v>
      </c>
      <c r="F18" s="53"/>
      <c r="G18" s="320">
        <f>CONTROL!C52</f>
        <v>0</v>
      </c>
      <c r="H18" s="95"/>
      <c r="I18" s="276"/>
      <c r="J18" s="102">
        <f>IF('4.) Yearly Budget'!$K$18&gt;0,'4.) Yearly Budget'!K18,'4.) Yearly Budget'!J18)</f>
        <v>0</v>
      </c>
      <c r="K18" s="377">
        <f t="shared" ref="K18:K33" si="4">IF(I$18&lt;&gt;0,I18-J18,0)</f>
        <v>0</v>
      </c>
      <c r="L18" s="276"/>
      <c r="M18" s="102">
        <f>IF('4.) Yearly Budget'!$N$18&gt;0,'4.) Yearly Budget'!N18,'4.) Yearly Budget'!M18)</f>
        <v>0</v>
      </c>
      <c r="N18" s="377">
        <f t="shared" ref="N18:N33" si="5">IF(L$18&lt;&gt;0,L18-M18,0)</f>
        <v>0</v>
      </c>
      <c r="O18" s="276"/>
      <c r="P18" s="102">
        <f>IF('4.) Yearly Budget'!$Q$18&gt;0,'4.) Yearly Budget'!Q18,'4.) Yearly Budget'!P18)</f>
        <v>0</v>
      </c>
      <c r="Q18" s="377">
        <f t="shared" ref="Q18:Q33" si="6">IF(O$18&lt;&gt;0,O18-P18,0)</f>
        <v>0</v>
      </c>
      <c r="R18" s="276"/>
      <c r="S18" s="102">
        <f>IF('4.) Yearly Budget'!$T$18&gt;0,'4.) Yearly Budget'!T18,'4.) Yearly Budget'!S18)</f>
        <v>0</v>
      </c>
      <c r="T18" s="105">
        <f t="shared" ref="T18:T33" si="7">IF(R$18&lt;&gt;0,R18-S18,0)</f>
        <v>0</v>
      </c>
      <c r="U18" s="378">
        <f t="shared" ref="U18:U33" si="8">IF(I$18&lt;&gt;0,I18,0)+IF(L$18&lt;&gt;0,L18,0)+IF(O$18&lt;&gt;0,O18,0)+IF(R$18&lt;&gt;0,R18,0)</f>
        <v>0</v>
      </c>
      <c r="V18" s="379">
        <f t="shared" ref="V18:V33" si="9">SUM(IF(I$18&lt;&gt;0,J18,0)+IF(L$18&lt;&gt;0,M18,0)+IF(O$18&lt;&gt;0,P18,0)+IF(R$18&lt;&gt;0,S18,0))</f>
        <v>0</v>
      </c>
      <c r="W18" s="379">
        <f t="shared" ref="W18:W33" si="10">U18-V18</f>
        <v>0</v>
      </c>
      <c r="X18" s="379">
        <f>'4.) Yearly Budget'!W18</f>
        <v>0</v>
      </c>
      <c r="Y18" s="380">
        <f t="shared" ref="Y18:Y33" si="11">IF(U18&lt;&gt;0,U18-X18,IF(U18=0,-X18,0))</f>
        <v>0</v>
      </c>
      <c r="Z18" s="381">
        <f>SUM(IF(I$18&lt;&gt;0,'4.) Yearly Budget'!J18,0)+IF(L$18&lt;&gt;0,'4.) Yearly Budget'!M18,0)+IF(O$18&lt;&gt;0,'4.) Yearly Budget'!P18,0)+IF(R$18&lt;&gt;0,'4.) Yearly Budget'!S18,0))</f>
        <v>0</v>
      </c>
      <c r="AA18" s="381">
        <f t="shared" ref="AA18:AA33" si="12">U18-Z18</f>
        <v>0</v>
      </c>
      <c r="AB18" s="381">
        <f>'4.) Yearly Budget'!V18</f>
        <v>0</v>
      </c>
      <c r="AC18" s="382">
        <f t="shared" ref="AC18:AC33" si="13">IF(U18&lt;&gt;0,U18-AB18,IF(U18=0,-AB18,0))</f>
        <v>0</v>
      </c>
      <c r="AD18" s="381">
        <f>IF(U$18&lt;&gt;0,'4.) Yearly Budget'!I18/$AM$18,0)</f>
        <v>0</v>
      </c>
      <c r="AE18" s="105">
        <f>U18-AD18</f>
        <v>0</v>
      </c>
      <c r="AF18" s="278"/>
      <c r="AM18" s="1005">
        <f>IF(R6&gt;0,1,IF(O6&gt;0,4/3,IF(L6&gt;0,2,4)))</f>
        <v>4</v>
      </c>
    </row>
    <row r="19" spans="1:39" s="68" customFormat="1" ht="15.6" thickTop="1">
      <c r="A19" s="258">
        <f t="shared" si="0"/>
        <v>19</v>
      </c>
      <c r="B19" s="96"/>
      <c r="C19" s="50"/>
      <c r="D19" s="50"/>
      <c r="E19" s="53" t="str">
        <f>CONTROL!B53</f>
        <v>-</v>
      </c>
      <c r="F19" s="53"/>
      <c r="G19" s="320">
        <f>CONTROL!C53</f>
        <v>0</v>
      </c>
      <c r="H19" s="95"/>
      <c r="I19" s="276"/>
      <c r="J19" s="102">
        <f>IF('4.) Yearly Budget'!$K$18&gt;0,'4.) Yearly Budget'!K19,'4.) Yearly Budget'!J19)</f>
        <v>0</v>
      </c>
      <c r="K19" s="377">
        <f t="shared" si="4"/>
        <v>0</v>
      </c>
      <c r="L19" s="276"/>
      <c r="M19" s="102">
        <f>IF('4.) Yearly Budget'!$N$18&gt;0,'4.) Yearly Budget'!N19,'4.) Yearly Budget'!M19)</f>
        <v>0</v>
      </c>
      <c r="N19" s="377">
        <f t="shared" si="5"/>
        <v>0</v>
      </c>
      <c r="O19" s="276"/>
      <c r="P19" s="102">
        <f>IF('4.) Yearly Budget'!$Q$18&gt;0,'4.) Yearly Budget'!Q19,'4.) Yearly Budget'!P19)</f>
        <v>0</v>
      </c>
      <c r="Q19" s="377">
        <f t="shared" si="6"/>
        <v>0</v>
      </c>
      <c r="R19" s="276"/>
      <c r="S19" s="102">
        <f>IF('4.) Yearly Budget'!$T$18&gt;0,'4.) Yearly Budget'!T19,'4.) Yearly Budget'!S19)</f>
        <v>0</v>
      </c>
      <c r="T19" s="105">
        <f t="shared" si="7"/>
        <v>0</v>
      </c>
      <c r="U19" s="277">
        <f t="shared" si="8"/>
        <v>0</v>
      </c>
      <c r="V19" s="379">
        <f t="shared" si="9"/>
        <v>0</v>
      </c>
      <c r="W19" s="379">
        <f t="shared" si="10"/>
        <v>0</v>
      </c>
      <c r="X19" s="379">
        <f>'4.) Yearly Budget'!W19</f>
        <v>0</v>
      </c>
      <c r="Y19" s="380">
        <f t="shared" si="11"/>
        <v>0</v>
      </c>
      <c r="Z19" s="381">
        <f>SUM(IF(I$18&lt;&gt;0,'4.) Yearly Budget'!J19,0)+IF(L$18&lt;&gt;0,'4.) Yearly Budget'!M19,0)+IF(O$18&lt;&gt;0,'4.) Yearly Budget'!P19,0)+IF(R$18&lt;&gt;0,'4.) Yearly Budget'!S19,0))</f>
        <v>0</v>
      </c>
      <c r="AA19" s="381">
        <f t="shared" si="12"/>
        <v>0</v>
      </c>
      <c r="AB19" s="381">
        <f>'4.) Yearly Budget'!V19</f>
        <v>0</v>
      </c>
      <c r="AC19" s="382">
        <f t="shared" si="13"/>
        <v>0</v>
      </c>
      <c r="AD19" s="381">
        <f>IF(U$18&lt;&gt;0,'4.) Yearly Budget'!I19/$AM$18,0)</f>
        <v>0</v>
      </c>
      <c r="AE19" s="105">
        <f t="shared" ref="AE19:AE33" si="14">U19-AD19</f>
        <v>0</v>
      </c>
      <c r="AF19" s="278"/>
    </row>
    <row r="20" spans="1:39" s="68" customFormat="1">
      <c r="A20" s="258">
        <f t="shared" si="0"/>
        <v>20</v>
      </c>
      <c r="B20" s="96"/>
      <c r="C20" s="50"/>
      <c r="D20" s="50"/>
      <c r="E20" s="53" t="str">
        <f>CONTROL!B54</f>
        <v>-</v>
      </c>
      <c r="F20" s="53"/>
      <c r="G20" s="320">
        <f>CONTROL!C54</f>
        <v>0</v>
      </c>
      <c r="H20" s="95"/>
      <c r="I20" s="276"/>
      <c r="J20" s="102">
        <f>IF('4.) Yearly Budget'!$K$18&gt;0,'4.) Yearly Budget'!K20,'4.) Yearly Budget'!J20)</f>
        <v>0</v>
      </c>
      <c r="K20" s="377">
        <f t="shared" si="4"/>
        <v>0</v>
      </c>
      <c r="L20" s="276"/>
      <c r="M20" s="102">
        <f>IF('4.) Yearly Budget'!$N$18&gt;0,'4.) Yearly Budget'!N20,'4.) Yearly Budget'!M20)</f>
        <v>0</v>
      </c>
      <c r="N20" s="377">
        <f t="shared" si="5"/>
        <v>0</v>
      </c>
      <c r="O20" s="276"/>
      <c r="P20" s="102">
        <f>IF('4.) Yearly Budget'!$Q$18&gt;0,'4.) Yearly Budget'!Q20,'4.) Yearly Budget'!P20)</f>
        <v>0</v>
      </c>
      <c r="Q20" s="377">
        <f t="shared" si="6"/>
        <v>0</v>
      </c>
      <c r="R20" s="276"/>
      <c r="S20" s="102">
        <f>IF('4.) Yearly Budget'!$T$18&gt;0,'4.) Yearly Budget'!T20,'4.) Yearly Budget'!S20)</f>
        <v>0</v>
      </c>
      <c r="T20" s="105">
        <f t="shared" si="7"/>
        <v>0</v>
      </c>
      <c r="U20" s="277">
        <f t="shared" si="8"/>
        <v>0</v>
      </c>
      <c r="V20" s="379">
        <f t="shared" si="9"/>
        <v>0</v>
      </c>
      <c r="W20" s="379">
        <f t="shared" si="10"/>
        <v>0</v>
      </c>
      <c r="X20" s="379">
        <f>'4.) Yearly Budget'!W20</f>
        <v>0</v>
      </c>
      <c r="Y20" s="380">
        <f t="shared" si="11"/>
        <v>0</v>
      </c>
      <c r="Z20" s="381">
        <f>SUM(IF(I$18&lt;&gt;0,'4.) Yearly Budget'!J20,0)+IF(L$18&lt;&gt;0,'4.) Yearly Budget'!M20,0)+IF(O$18&lt;&gt;0,'4.) Yearly Budget'!P20,0)+IF(R$18&lt;&gt;0,'4.) Yearly Budget'!S20,0))</f>
        <v>0</v>
      </c>
      <c r="AA20" s="381">
        <f t="shared" si="12"/>
        <v>0</v>
      </c>
      <c r="AB20" s="381">
        <f>'4.) Yearly Budget'!V20</f>
        <v>0</v>
      </c>
      <c r="AC20" s="382">
        <f t="shared" si="13"/>
        <v>0</v>
      </c>
      <c r="AD20" s="381">
        <f>IF(U$18&lt;&gt;0,'4.) Yearly Budget'!I20/$AM$18,0)</f>
        <v>0</v>
      </c>
      <c r="AE20" s="105">
        <f t="shared" si="14"/>
        <v>0</v>
      </c>
      <c r="AF20" s="278"/>
    </row>
    <row r="21" spans="1:39" s="68" customFormat="1">
      <c r="A21" s="258">
        <f t="shared" si="0"/>
        <v>21</v>
      </c>
      <c r="B21" s="96"/>
      <c r="C21" s="50"/>
      <c r="D21" s="50"/>
      <c r="E21" s="53" t="str">
        <f>CONTROL!B55</f>
        <v>-</v>
      </c>
      <c r="F21" s="53"/>
      <c r="G21" s="320">
        <f>CONTROL!C55</f>
        <v>0</v>
      </c>
      <c r="H21" s="95"/>
      <c r="I21" s="276"/>
      <c r="J21" s="102">
        <f>IF('4.) Yearly Budget'!$K$18&gt;0,'4.) Yearly Budget'!K21,'4.) Yearly Budget'!J21)</f>
        <v>0</v>
      </c>
      <c r="K21" s="377">
        <f t="shared" si="4"/>
        <v>0</v>
      </c>
      <c r="L21" s="276"/>
      <c r="M21" s="102">
        <f>IF('4.) Yearly Budget'!$N$18&gt;0,'4.) Yearly Budget'!N21,'4.) Yearly Budget'!M21)</f>
        <v>0</v>
      </c>
      <c r="N21" s="377">
        <f t="shared" si="5"/>
        <v>0</v>
      </c>
      <c r="O21" s="276"/>
      <c r="P21" s="102">
        <f>IF('4.) Yearly Budget'!$Q$18&gt;0,'4.) Yearly Budget'!Q21,'4.) Yearly Budget'!P21)</f>
        <v>0</v>
      </c>
      <c r="Q21" s="377">
        <f t="shared" si="6"/>
        <v>0</v>
      </c>
      <c r="R21" s="276"/>
      <c r="S21" s="102">
        <f>IF('4.) Yearly Budget'!$T$18&gt;0,'4.) Yearly Budget'!T21,'4.) Yearly Budget'!S21)</f>
        <v>0</v>
      </c>
      <c r="T21" s="105">
        <f t="shared" si="7"/>
        <v>0</v>
      </c>
      <c r="U21" s="277">
        <f t="shared" si="8"/>
        <v>0</v>
      </c>
      <c r="V21" s="379">
        <f t="shared" si="9"/>
        <v>0</v>
      </c>
      <c r="W21" s="379">
        <f t="shared" si="10"/>
        <v>0</v>
      </c>
      <c r="X21" s="379">
        <f>'4.) Yearly Budget'!W21</f>
        <v>0</v>
      </c>
      <c r="Y21" s="380">
        <f t="shared" si="11"/>
        <v>0</v>
      </c>
      <c r="Z21" s="381">
        <f>SUM(IF(I$18&lt;&gt;0,'4.) Yearly Budget'!J21,0)+IF(L$18&lt;&gt;0,'4.) Yearly Budget'!M21,0)+IF(O$18&lt;&gt;0,'4.) Yearly Budget'!P21,0)+IF(R$18&lt;&gt;0,'4.) Yearly Budget'!S21,0))</f>
        <v>0</v>
      </c>
      <c r="AA21" s="381">
        <f t="shared" si="12"/>
        <v>0</v>
      </c>
      <c r="AB21" s="381">
        <f>'4.) Yearly Budget'!V21</f>
        <v>0</v>
      </c>
      <c r="AC21" s="382">
        <f t="shared" si="13"/>
        <v>0</v>
      </c>
      <c r="AD21" s="381">
        <f>IF(U$18&lt;&gt;0,'4.) Yearly Budget'!I21/$AM$18,0)</f>
        <v>0</v>
      </c>
      <c r="AE21" s="105">
        <f t="shared" si="14"/>
        <v>0</v>
      </c>
      <c r="AF21" s="278"/>
    </row>
    <row r="22" spans="1:39" s="68" customFormat="1">
      <c r="A22" s="258">
        <f t="shared" si="0"/>
        <v>22</v>
      </c>
      <c r="B22" s="96"/>
      <c r="C22" s="50"/>
      <c r="D22" s="50"/>
      <c r="E22" s="53" t="str">
        <f>CONTROL!B56</f>
        <v>-</v>
      </c>
      <c r="F22" s="53"/>
      <c r="G22" s="320">
        <f>CONTROL!C56</f>
        <v>0</v>
      </c>
      <c r="H22" s="95"/>
      <c r="I22" s="276"/>
      <c r="J22" s="102">
        <f>IF('4.) Yearly Budget'!$K$18&gt;0,'4.) Yearly Budget'!K22,'4.) Yearly Budget'!J22)</f>
        <v>0</v>
      </c>
      <c r="K22" s="377">
        <f t="shared" si="4"/>
        <v>0</v>
      </c>
      <c r="L22" s="276"/>
      <c r="M22" s="102">
        <f>IF('4.) Yearly Budget'!$N$18&gt;0,'4.) Yearly Budget'!N22,'4.) Yearly Budget'!M22)</f>
        <v>0</v>
      </c>
      <c r="N22" s="377">
        <f t="shared" si="5"/>
        <v>0</v>
      </c>
      <c r="O22" s="276"/>
      <c r="P22" s="102">
        <f>IF('4.) Yearly Budget'!$Q$18&gt;0,'4.) Yearly Budget'!Q22,'4.) Yearly Budget'!P22)</f>
        <v>0</v>
      </c>
      <c r="Q22" s="377">
        <f t="shared" si="6"/>
        <v>0</v>
      </c>
      <c r="R22" s="276"/>
      <c r="S22" s="102">
        <f>IF('4.) Yearly Budget'!$T$18&gt;0,'4.) Yearly Budget'!T22,'4.) Yearly Budget'!S22)</f>
        <v>0</v>
      </c>
      <c r="T22" s="105">
        <f t="shared" si="7"/>
        <v>0</v>
      </c>
      <c r="U22" s="277">
        <f t="shared" si="8"/>
        <v>0</v>
      </c>
      <c r="V22" s="379">
        <f t="shared" si="9"/>
        <v>0</v>
      </c>
      <c r="W22" s="379">
        <f t="shared" si="10"/>
        <v>0</v>
      </c>
      <c r="X22" s="379">
        <f>'4.) Yearly Budget'!W22</f>
        <v>0</v>
      </c>
      <c r="Y22" s="380">
        <f t="shared" si="11"/>
        <v>0</v>
      </c>
      <c r="Z22" s="381">
        <f>SUM(IF(I$18&lt;&gt;0,'4.) Yearly Budget'!J22,0)+IF(L$18&lt;&gt;0,'4.) Yearly Budget'!M22,0)+IF(O$18&lt;&gt;0,'4.) Yearly Budget'!P22,0)+IF(R$18&lt;&gt;0,'4.) Yearly Budget'!S22,0))</f>
        <v>0</v>
      </c>
      <c r="AA22" s="381">
        <f t="shared" si="12"/>
        <v>0</v>
      </c>
      <c r="AB22" s="381">
        <f>'4.) Yearly Budget'!V22</f>
        <v>0</v>
      </c>
      <c r="AC22" s="382">
        <f t="shared" si="13"/>
        <v>0</v>
      </c>
      <c r="AD22" s="381">
        <f>IF(U$18&lt;&gt;0,'4.) Yearly Budget'!I22/$AM$18,0)</f>
        <v>0</v>
      </c>
      <c r="AE22" s="105">
        <f t="shared" si="14"/>
        <v>0</v>
      </c>
      <c r="AF22" s="278"/>
    </row>
    <row r="23" spans="1:39" s="68" customFormat="1">
      <c r="A23" s="258">
        <f t="shared" si="0"/>
        <v>23</v>
      </c>
      <c r="B23" s="96"/>
      <c r="C23" s="50"/>
      <c r="D23" s="50"/>
      <c r="E23" s="53" t="str">
        <f>CONTROL!B57</f>
        <v>-</v>
      </c>
      <c r="F23" s="53"/>
      <c r="G23" s="320">
        <f>CONTROL!C57</f>
        <v>0</v>
      </c>
      <c r="H23" s="95"/>
      <c r="I23" s="276"/>
      <c r="J23" s="102">
        <f>IF('4.) Yearly Budget'!$K$18&gt;0,'4.) Yearly Budget'!K23,'4.) Yearly Budget'!J23)</f>
        <v>0</v>
      </c>
      <c r="K23" s="377">
        <f t="shared" si="4"/>
        <v>0</v>
      </c>
      <c r="L23" s="276"/>
      <c r="M23" s="102">
        <f>IF('4.) Yearly Budget'!$N$18&gt;0,'4.) Yearly Budget'!N23,'4.) Yearly Budget'!M23)</f>
        <v>0</v>
      </c>
      <c r="N23" s="377">
        <f t="shared" si="5"/>
        <v>0</v>
      </c>
      <c r="O23" s="276"/>
      <c r="P23" s="102">
        <f>IF('4.) Yearly Budget'!$Q$18&gt;0,'4.) Yearly Budget'!Q23,'4.) Yearly Budget'!P23)</f>
        <v>0</v>
      </c>
      <c r="Q23" s="377">
        <f t="shared" si="6"/>
        <v>0</v>
      </c>
      <c r="R23" s="276"/>
      <c r="S23" s="102">
        <f>IF('4.) Yearly Budget'!$T$18&gt;0,'4.) Yearly Budget'!T23,'4.) Yearly Budget'!S23)</f>
        <v>0</v>
      </c>
      <c r="T23" s="105">
        <f t="shared" si="7"/>
        <v>0</v>
      </c>
      <c r="U23" s="277">
        <f t="shared" si="8"/>
        <v>0</v>
      </c>
      <c r="V23" s="379">
        <f t="shared" si="9"/>
        <v>0</v>
      </c>
      <c r="W23" s="379">
        <f t="shared" si="10"/>
        <v>0</v>
      </c>
      <c r="X23" s="379">
        <f>'4.) Yearly Budget'!W23</f>
        <v>0</v>
      </c>
      <c r="Y23" s="380">
        <f t="shared" si="11"/>
        <v>0</v>
      </c>
      <c r="Z23" s="381">
        <f>SUM(IF(I$18&lt;&gt;0,'4.) Yearly Budget'!J23,0)+IF(L$18&lt;&gt;0,'4.) Yearly Budget'!M23,0)+IF(O$18&lt;&gt;0,'4.) Yearly Budget'!P23,0)+IF(R$18&lt;&gt;0,'4.) Yearly Budget'!S23,0))</f>
        <v>0</v>
      </c>
      <c r="AA23" s="381">
        <f t="shared" si="12"/>
        <v>0</v>
      </c>
      <c r="AB23" s="381">
        <f>'4.) Yearly Budget'!V23</f>
        <v>0</v>
      </c>
      <c r="AC23" s="382">
        <f t="shared" si="13"/>
        <v>0</v>
      </c>
      <c r="AD23" s="381">
        <f>IF(U$18&lt;&gt;0,'4.) Yearly Budget'!I23/$AM$18,0)</f>
        <v>0</v>
      </c>
      <c r="AE23" s="105">
        <f t="shared" si="14"/>
        <v>0</v>
      </c>
      <c r="AF23" s="278"/>
    </row>
    <row r="24" spans="1:39" s="68" customFormat="1">
      <c r="A24" s="258">
        <f t="shared" si="0"/>
        <v>24</v>
      </c>
      <c r="B24" s="96"/>
      <c r="C24" s="50"/>
      <c r="D24" s="50"/>
      <c r="E24" s="53" t="str">
        <f>CONTROL!B58</f>
        <v>-</v>
      </c>
      <c r="F24" s="53"/>
      <c r="G24" s="320">
        <f>CONTROL!C58</f>
        <v>0</v>
      </c>
      <c r="H24" s="95"/>
      <c r="I24" s="276"/>
      <c r="J24" s="102">
        <f>IF('4.) Yearly Budget'!$K$18&gt;0,'4.) Yearly Budget'!K24,'4.) Yearly Budget'!J24)</f>
        <v>0</v>
      </c>
      <c r="K24" s="377">
        <f t="shared" si="4"/>
        <v>0</v>
      </c>
      <c r="L24" s="276"/>
      <c r="M24" s="102">
        <f>IF('4.) Yearly Budget'!$N$18&gt;0,'4.) Yearly Budget'!N24,'4.) Yearly Budget'!M24)</f>
        <v>0</v>
      </c>
      <c r="N24" s="377">
        <f t="shared" si="5"/>
        <v>0</v>
      </c>
      <c r="O24" s="276"/>
      <c r="P24" s="102">
        <f>IF('4.) Yearly Budget'!$Q$18&gt;0,'4.) Yearly Budget'!Q24,'4.) Yearly Budget'!P24)</f>
        <v>0</v>
      </c>
      <c r="Q24" s="377">
        <f t="shared" si="6"/>
        <v>0</v>
      </c>
      <c r="R24" s="276"/>
      <c r="S24" s="102">
        <f>IF('4.) Yearly Budget'!$T$18&gt;0,'4.) Yearly Budget'!T24,'4.) Yearly Budget'!S24)</f>
        <v>0</v>
      </c>
      <c r="T24" s="105">
        <f t="shared" si="7"/>
        <v>0</v>
      </c>
      <c r="U24" s="277">
        <f t="shared" si="8"/>
        <v>0</v>
      </c>
      <c r="V24" s="379">
        <f t="shared" si="9"/>
        <v>0</v>
      </c>
      <c r="W24" s="379">
        <f t="shared" si="10"/>
        <v>0</v>
      </c>
      <c r="X24" s="379">
        <f>'4.) Yearly Budget'!W24</f>
        <v>0</v>
      </c>
      <c r="Y24" s="380">
        <f t="shared" si="11"/>
        <v>0</v>
      </c>
      <c r="Z24" s="381">
        <f>SUM(IF(I$18&lt;&gt;0,'4.) Yearly Budget'!J24,0)+IF(L$18&lt;&gt;0,'4.) Yearly Budget'!M24,0)+IF(O$18&lt;&gt;0,'4.) Yearly Budget'!P24,0)+IF(R$18&lt;&gt;0,'4.) Yearly Budget'!S24,0))</f>
        <v>0</v>
      </c>
      <c r="AA24" s="381">
        <f t="shared" si="12"/>
        <v>0</v>
      </c>
      <c r="AB24" s="381">
        <f>'4.) Yearly Budget'!V24</f>
        <v>0</v>
      </c>
      <c r="AC24" s="382">
        <f t="shared" si="13"/>
        <v>0</v>
      </c>
      <c r="AD24" s="381">
        <f>IF(U$18&lt;&gt;0,'4.) Yearly Budget'!I24/$AM$18,0)</f>
        <v>0</v>
      </c>
      <c r="AE24" s="105">
        <f t="shared" si="14"/>
        <v>0</v>
      </c>
      <c r="AF24" s="278"/>
    </row>
    <row r="25" spans="1:39" s="68" customFormat="1">
      <c r="A25" s="258">
        <f t="shared" si="0"/>
        <v>25</v>
      </c>
      <c r="B25" s="96"/>
      <c r="C25" s="50"/>
      <c r="D25" s="50"/>
      <c r="E25" s="53" t="str">
        <f>CONTROL!B59</f>
        <v>-</v>
      </c>
      <c r="F25" s="53"/>
      <c r="G25" s="320">
        <f>CONTROL!C59</f>
        <v>0</v>
      </c>
      <c r="H25" s="95"/>
      <c r="I25" s="276"/>
      <c r="J25" s="102">
        <f>IF('4.) Yearly Budget'!$K$18&gt;0,'4.) Yearly Budget'!K25,'4.) Yearly Budget'!J25)</f>
        <v>0</v>
      </c>
      <c r="K25" s="377">
        <f t="shared" si="4"/>
        <v>0</v>
      </c>
      <c r="L25" s="276"/>
      <c r="M25" s="102">
        <f>IF('4.) Yearly Budget'!$N$18&gt;0,'4.) Yearly Budget'!N25,'4.) Yearly Budget'!M25)</f>
        <v>0</v>
      </c>
      <c r="N25" s="377">
        <f t="shared" si="5"/>
        <v>0</v>
      </c>
      <c r="O25" s="276"/>
      <c r="P25" s="102">
        <f>IF('4.) Yearly Budget'!$Q$18&gt;0,'4.) Yearly Budget'!Q25,'4.) Yearly Budget'!P25)</f>
        <v>0</v>
      </c>
      <c r="Q25" s="377">
        <f t="shared" si="6"/>
        <v>0</v>
      </c>
      <c r="R25" s="276"/>
      <c r="S25" s="102">
        <f>IF('4.) Yearly Budget'!$T$18&gt;0,'4.) Yearly Budget'!T25,'4.) Yearly Budget'!S25)</f>
        <v>0</v>
      </c>
      <c r="T25" s="105">
        <f t="shared" si="7"/>
        <v>0</v>
      </c>
      <c r="U25" s="277">
        <f t="shared" si="8"/>
        <v>0</v>
      </c>
      <c r="V25" s="379">
        <f t="shared" si="9"/>
        <v>0</v>
      </c>
      <c r="W25" s="379">
        <f t="shared" si="10"/>
        <v>0</v>
      </c>
      <c r="X25" s="379">
        <f>'4.) Yearly Budget'!W25</f>
        <v>0</v>
      </c>
      <c r="Y25" s="380">
        <f t="shared" si="11"/>
        <v>0</v>
      </c>
      <c r="Z25" s="381">
        <f>SUM(IF(I$18&lt;&gt;0,'4.) Yearly Budget'!J25,0)+IF(L$18&lt;&gt;0,'4.) Yearly Budget'!M25,0)+IF(O$18&lt;&gt;0,'4.) Yearly Budget'!P25,0)+IF(R$18&lt;&gt;0,'4.) Yearly Budget'!S25,0))</f>
        <v>0</v>
      </c>
      <c r="AA25" s="381">
        <f t="shared" si="12"/>
        <v>0</v>
      </c>
      <c r="AB25" s="381">
        <f>'4.) Yearly Budget'!V25</f>
        <v>0</v>
      </c>
      <c r="AC25" s="382">
        <f t="shared" si="13"/>
        <v>0</v>
      </c>
      <c r="AD25" s="381">
        <f>IF(U$18&lt;&gt;0,'4.) Yearly Budget'!I25/$AM$18,0)</f>
        <v>0</v>
      </c>
      <c r="AE25" s="105">
        <f t="shared" si="14"/>
        <v>0</v>
      </c>
      <c r="AF25" s="278"/>
    </row>
    <row r="26" spans="1:39" s="68" customFormat="1">
      <c r="A26" s="258">
        <f t="shared" si="0"/>
        <v>26</v>
      </c>
      <c r="B26" s="96"/>
      <c r="C26" s="50"/>
      <c r="D26" s="50"/>
      <c r="E26" s="53" t="str">
        <f>CONTROL!B60</f>
        <v>-</v>
      </c>
      <c r="F26" s="53"/>
      <c r="G26" s="320">
        <f>CONTROL!C60</f>
        <v>0</v>
      </c>
      <c r="H26" s="95"/>
      <c r="I26" s="276"/>
      <c r="J26" s="102">
        <f>IF('4.) Yearly Budget'!$K$18&gt;0,'4.) Yearly Budget'!K26,'4.) Yearly Budget'!J26)</f>
        <v>0</v>
      </c>
      <c r="K26" s="377">
        <f t="shared" si="4"/>
        <v>0</v>
      </c>
      <c r="L26" s="276"/>
      <c r="M26" s="102">
        <f>IF('4.) Yearly Budget'!$N$18&gt;0,'4.) Yearly Budget'!N26,'4.) Yearly Budget'!M26)</f>
        <v>0</v>
      </c>
      <c r="N26" s="377">
        <f t="shared" si="5"/>
        <v>0</v>
      </c>
      <c r="O26" s="276"/>
      <c r="P26" s="102">
        <f>IF('4.) Yearly Budget'!$Q$18&gt;0,'4.) Yearly Budget'!Q26,'4.) Yearly Budget'!P26)</f>
        <v>0</v>
      </c>
      <c r="Q26" s="377">
        <f t="shared" si="6"/>
        <v>0</v>
      </c>
      <c r="R26" s="276"/>
      <c r="S26" s="102">
        <f>IF('4.) Yearly Budget'!$T$18&gt;0,'4.) Yearly Budget'!T26,'4.) Yearly Budget'!S26)</f>
        <v>0</v>
      </c>
      <c r="T26" s="105">
        <f t="shared" si="7"/>
        <v>0</v>
      </c>
      <c r="U26" s="277">
        <f t="shared" si="8"/>
        <v>0</v>
      </c>
      <c r="V26" s="379">
        <f t="shared" si="9"/>
        <v>0</v>
      </c>
      <c r="W26" s="379">
        <f t="shared" si="10"/>
        <v>0</v>
      </c>
      <c r="X26" s="379">
        <f>'4.) Yearly Budget'!W26</f>
        <v>0</v>
      </c>
      <c r="Y26" s="380">
        <f t="shared" si="11"/>
        <v>0</v>
      </c>
      <c r="Z26" s="381">
        <f>SUM(IF(I$18&lt;&gt;0,'4.) Yearly Budget'!J26,0)+IF(L$18&lt;&gt;0,'4.) Yearly Budget'!M26,0)+IF(O$18&lt;&gt;0,'4.) Yearly Budget'!P26,0)+IF(R$18&lt;&gt;0,'4.) Yearly Budget'!S26,0))</f>
        <v>0</v>
      </c>
      <c r="AA26" s="381">
        <f t="shared" si="12"/>
        <v>0</v>
      </c>
      <c r="AB26" s="381">
        <f>'4.) Yearly Budget'!V26</f>
        <v>0</v>
      </c>
      <c r="AC26" s="382">
        <f t="shared" si="13"/>
        <v>0</v>
      </c>
      <c r="AD26" s="381">
        <f>IF(U$18&lt;&gt;0,'4.) Yearly Budget'!I26/$AM$18,0)</f>
        <v>0</v>
      </c>
      <c r="AE26" s="105">
        <f t="shared" si="14"/>
        <v>0</v>
      </c>
      <c r="AF26" s="278"/>
    </row>
    <row r="27" spans="1:39" s="68" customFormat="1">
      <c r="A27" s="258">
        <f t="shared" si="0"/>
        <v>27</v>
      </c>
      <c r="B27" s="96"/>
      <c r="C27" s="50"/>
      <c r="D27" s="50"/>
      <c r="E27" s="53" t="str">
        <f>CONTROL!B61</f>
        <v>-</v>
      </c>
      <c r="F27" s="53"/>
      <c r="G27" s="320">
        <f>CONTROL!C61</f>
        <v>0</v>
      </c>
      <c r="H27" s="95"/>
      <c r="I27" s="276"/>
      <c r="J27" s="102">
        <f>IF('4.) Yearly Budget'!$K$18&gt;0,'4.) Yearly Budget'!K27,'4.) Yearly Budget'!J27)</f>
        <v>0</v>
      </c>
      <c r="K27" s="377">
        <f t="shared" si="4"/>
        <v>0</v>
      </c>
      <c r="L27" s="276"/>
      <c r="M27" s="102">
        <f>IF('4.) Yearly Budget'!$N$18&gt;0,'4.) Yearly Budget'!N27,'4.) Yearly Budget'!M27)</f>
        <v>0</v>
      </c>
      <c r="N27" s="377">
        <f t="shared" si="5"/>
        <v>0</v>
      </c>
      <c r="O27" s="276"/>
      <c r="P27" s="102">
        <f>IF('4.) Yearly Budget'!$Q$18&gt;0,'4.) Yearly Budget'!Q27,'4.) Yearly Budget'!P27)</f>
        <v>0</v>
      </c>
      <c r="Q27" s="377">
        <f t="shared" si="6"/>
        <v>0</v>
      </c>
      <c r="R27" s="276"/>
      <c r="S27" s="102">
        <f>IF('4.) Yearly Budget'!$T$18&gt;0,'4.) Yearly Budget'!T27,'4.) Yearly Budget'!S27)</f>
        <v>0</v>
      </c>
      <c r="T27" s="105">
        <f t="shared" si="7"/>
        <v>0</v>
      </c>
      <c r="U27" s="277">
        <f t="shared" si="8"/>
        <v>0</v>
      </c>
      <c r="V27" s="379">
        <f t="shared" si="9"/>
        <v>0</v>
      </c>
      <c r="W27" s="379">
        <f t="shared" si="10"/>
        <v>0</v>
      </c>
      <c r="X27" s="379">
        <f>'4.) Yearly Budget'!W27</f>
        <v>0</v>
      </c>
      <c r="Y27" s="380">
        <f t="shared" si="11"/>
        <v>0</v>
      </c>
      <c r="Z27" s="381">
        <f>SUM(IF(I$18&lt;&gt;0,'4.) Yearly Budget'!J27,0)+IF(L$18&lt;&gt;0,'4.) Yearly Budget'!M27,0)+IF(O$18&lt;&gt;0,'4.) Yearly Budget'!P27,0)+IF(R$18&lt;&gt;0,'4.) Yearly Budget'!S27,0))</f>
        <v>0</v>
      </c>
      <c r="AA27" s="381">
        <f t="shared" si="12"/>
        <v>0</v>
      </c>
      <c r="AB27" s="381">
        <f>'4.) Yearly Budget'!V27</f>
        <v>0</v>
      </c>
      <c r="AC27" s="382">
        <f t="shared" si="13"/>
        <v>0</v>
      </c>
      <c r="AD27" s="381">
        <f>IF(U$18&lt;&gt;0,'4.) Yearly Budget'!I27/$AM$18,0)</f>
        <v>0</v>
      </c>
      <c r="AE27" s="105">
        <f t="shared" si="14"/>
        <v>0</v>
      </c>
      <c r="AF27" s="278"/>
    </row>
    <row r="28" spans="1:39" s="68" customFormat="1">
      <c r="A28" s="258">
        <f t="shared" si="0"/>
        <v>28</v>
      </c>
      <c r="B28" s="96"/>
      <c r="C28" s="50"/>
      <c r="D28" s="50"/>
      <c r="E28" s="53" t="str">
        <f>CONTROL!B62</f>
        <v>-</v>
      </c>
      <c r="F28" s="53"/>
      <c r="G28" s="320">
        <f>CONTROL!C62</f>
        <v>0</v>
      </c>
      <c r="H28" s="95"/>
      <c r="I28" s="276"/>
      <c r="J28" s="102">
        <f>IF('4.) Yearly Budget'!$K$18&gt;0,'4.) Yearly Budget'!K28,'4.) Yearly Budget'!J28)</f>
        <v>0</v>
      </c>
      <c r="K28" s="377">
        <f t="shared" si="4"/>
        <v>0</v>
      </c>
      <c r="L28" s="276"/>
      <c r="M28" s="102">
        <f>IF('4.) Yearly Budget'!$N$18&gt;0,'4.) Yearly Budget'!N28,'4.) Yearly Budget'!M28)</f>
        <v>0</v>
      </c>
      <c r="N28" s="377">
        <f t="shared" si="5"/>
        <v>0</v>
      </c>
      <c r="O28" s="276"/>
      <c r="P28" s="102">
        <f>IF('4.) Yearly Budget'!$Q$18&gt;0,'4.) Yearly Budget'!Q28,'4.) Yearly Budget'!P28)</f>
        <v>0</v>
      </c>
      <c r="Q28" s="377">
        <f t="shared" si="6"/>
        <v>0</v>
      </c>
      <c r="R28" s="276"/>
      <c r="S28" s="102">
        <f>IF('4.) Yearly Budget'!$T$18&gt;0,'4.) Yearly Budget'!T28,'4.) Yearly Budget'!S28)</f>
        <v>0</v>
      </c>
      <c r="T28" s="105">
        <f t="shared" si="7"/>
        <v>0</v>
      </c>
      <c r="U28" s="277">
        <f t="shared" si="8"/>
        <v>0</v>
      </c>
      <c r="V28" s="379">
        <f t="shared" si="9"/>
        <v>0</v>
      </c>
      <c r="W28" s="379">
        <f t="shared" si="10"/>
        <v>0</v>
      </c>
      <c r="X28" s="379">
        <f>'4.) Yearly Budget'!W28</f>
        <v>0</v>
      </c>
      <c r="Y28" s="380">
        <f t="shared" si="11"/>
        <v>0</v>
      </c>
      <c r="Z28" s="381">
        <f>SUM(IF(I$18&lt;&gt;0,'4.) Yearly Budget'!J28,0)+IF(L$18&lt;&gt;0,'4.) Yearly Budget'!M28,0)+IF(O$18&lt;&gt;0,'4.) Yearly Budget'!P28,0)+IF(R$18&lt;&gt;0,'4.) Yearly Budget'!S28,0))</f>
        <v>0</v>
      </c>
      <c r="AA28" s="381">
        <f t="shared" si="12"/>
        <v>0</v>
      </c>
      <c r="AB28" s="381">
        <f>'4.) Yearly Budget'!V28</f>
        <v>0</v>
      </c>
      <c r="AC28" s="382">
        <f t="shared" si="13"/>
        <v>0</v>
      </c>
      <c r="AD28" s="381">
        <f>IF(U$18&lt;&gt;0,'4.) Yearly Budget'!I28/$AM$18,0)</f>
        <v>0</v>
      </c>
      <c r="AE28" s="105">
        <f t="shared" si="14"/>
        <v>0</v>
      </c>
      <c r="AF28" s="278"/>
    </row>
    <row r="29" spans="1:39" s="68" customFormat="1">
      <c r="A29" s="258">
        <f t="shared" si="0"/>
        <v>29</v>
      </c>
      <c r="B29" s="96"/>
      <c r="C29" s="50"/>
      <c r="D29" s="50"/>
      <c r="E29" s="53" t="str">
        <f>CONTROL!B63</f>
        <v>-</v>
      </c>
      <c r="F29" s="53"/>
      <c r="G29" s="320">
        <f>CONTROL!C63</f>
        <v>0</v>
      </c>
      <c r="H29" s="95"/>
      <c r="I29" s="276"/>
      <c r="J29" s="102">
        <f>IF('4.) Yearly Budget'!$K$18&gt;0,'4.) Yearly Budget'!K29,'4.) Yearly Budget'!J29)</f>
        <v>0</v>
      </c>
      <c r="K29" s="377">
        <f t="shared" si="4"/>
        <v>0</v>
      </c>
      <c r="L29" s="276"/>
      <c r="M29" s="102">
        <f>IF('4.) Yearly Budget'!$N$18&gt;0,'4.) Yearly Budget'!N29,'4.) Yearly Budget'!M29)</f>
        <v>0</v>
      </c>
      <c r="N29" s="377">
        <f t="shared" si="5"/>
        <v>0</v>
      </c>
      <c r="O29" s="276"/>
      <c r="P29" s="102">
        <f>IF('4.) Yearly Budget'!$Q$18&gt;0,'4.) Yearly Budget'!Q29,'4.) Yearly Budget'!P29)</f>
        <v>0</v>
      </c>
      <c r="Q29" s="377">
        <f t="shared" si="6"/>
        <v>0</v>
      </c>
      <c r="R29" s="276"/>
      <c r="S29" s="102">
        <f>IF('4.) Yearly Budget'!$T$18&gt;0,'4.) Yearly Budget'!T29,'4.) Yearly Budget'!S29)</f>
        <v>0</v>
      </c>
      <c r="T29" s="105">
        <f t="shared" si="7"/>
        <v>0</v>
      </c>
      <c r="U29" s="277">
        <f t="shared" si="8"/>
        <v>0</v>
      </c>
      <c r="V29" s="379">
        <f t="shared" si="9"/>
        <v>0</v>
      </c>
      <c r="W29" s="379">
        <f t="shared" si="10"/>
        <v>0</v>
      </c>
      <c r="X29" s="379">
        <f>'4.) Yearly Budget'!W29</f>
        <v>0</v>
      </c>
      <c r="Y29" s="380">
        <f t="shared" si="11"/>
        <v>0</v>
      </c>
      <c r="Z29" s="381">
        <f>SUM(IF(I$18&lt;&gt;0,'4.) Yearly Budget'!J29,0)+IF(L$18&lt;&gt;0,'4.) Yearly Budget'!M29,0)+IF(O$18&lt;&gt;0,'4.) Yearly Budget'!P29,0)+IF(R$18&lt;&gt;0,'4.) Yearly Budget'!S29,0))</f>
        <v>0</v>
      </c>
      <c r="AA29" s="381">
        <f t="shared" si="12"/>
        <v>0</v>
      </c>
      <c r="AB29" s="381">
        <f>'4.) Yearly Budget'!V29</f>
        <v>0</v>
      </c>
      <c r="AC29" s="382">
        <f t="shared" si="13"/>
        <v>0</v>
      </c>
      <c r="AD29" s="381">
        <f>IF(U$18&lt;&gt;0,'4.) Yearly Budget'!I29/$AM$18,0)</f>
        <v>0</v>
      </c>
      <c r="AE29" s="105">
        <f t="shared" si="14"/>
        <v>0</v>
      </c>
      <c r="AF29" s="278"/>
    </row>
    <row r="30" spans="1:39" s="68" customFormat="1">
      <c r="A30" s="258">
        <f t="shared" si="0"/>
        <v>30</v>
      </c>
      <c r="B30" s="96"/>
      <c r="C30" s="50"/>
      <c r="D30" s="50"/>
      <c r="E30" s="53" t="str">
        <f>CONTROL!B64</f>
        <v>-</v>
      </c>
      <c r="F30" s="53"/>
      <c r="G30" s="320">
        <f>CONTROL!C64</f>
        <v>0</v>
      </c>
      <c r="H30" s="95"/>
      <c r="I30" s="276"/>
      <c r="J30" s="102">
        <f>IF('4.) Yearly Budget'!$K$18&gt;0,'4.) Yearly Budget'!K30,'4.) Yearly Budget'!J30)</f>
        <v>0</v>
      </c>
      <c r="K30" s="377">
        <f t="shared" si="4"/>
        <v>0</v>
      </c>
      <c r="L30" s="276"/>
      <c r="M30" s="102">
        <f>IF('4.) Yearly Budget'!$N$18&gt;0,'4.) Yearly Budget'!N30,'4.) Yearly Budget'!M30)</f>
        <v>0</v>
      </c>
      <c r="N30" s="377">
        <f t="shared" si="5"/>
        <v>0</v>
      </c>
      <c r="O30" s="276"/>
      <c r="P30" s="102">
        <f>IF('4.) Yearly Budget'!$Q$18&gt;0,'4.) Yearly Budget'!Q30,'4.) Yearly Budget'!P30)</f>
        <v>0</v>
      </c>
      <c r="Q30" s="377">
        <f t="shared" si="6"/>
        <v>0</v>
      </c>
      <c r="R30" s="276"/>
      <c r="S30" s="102">
        <f>IF('4.) Yearly Budget'!$T$18&gt;0,'4.) Yearly Budget'!T30,'4.) Yearly Budget'!S30)</f>
        <v>0</v>
      </c>
      <c r="T30" s="105">
        <f t="shared" si="7"/>
        <v>0</v>
      </c>
      <c r="U30" s="277">
        <f t="shared" si="8"/>
        <v>0</v>
      </c>
      <c r="V30" s="379">
        <f t="shared" si="9"/>
        <v>0</v>
      </c>
      <c r="W30" s="379">
        <f t="shared" si="10"/>
        <v>0</v>
      </c>
      <c r="X30" s="379">
        <f>'4.) Yearly Budget'!W30</f>
        <v>0</v>
      </c>
      <c r="Y30" s="380">
        <f t="shared" si="11"/>
        <v>0</v>
      </c>
      <c r="Z30" s="381">
        <f>SUM(IF(I$18&lt;&gt;0,'4.) Yearly Budget'!J30,0)+IF(L$18&lt;&gt;0,'4.) Yearly Budget'!M30,0)+IF(O$18&lt;&gt;0,'4.) Yearly Budget'!P30,0)+IF(R$18&lt;&gt;0,'4.) Yearly Budget'!S30,0))</f>
        <v>0</v>
      </c>
      <c r="AA30" s="381">
        <f t="shared" si="12"/>
        <v>0</v>
      </c>
      <c r="AB30" s="381">
        <f>'4.) Yearly Budget'!V30</f>
        <v>0</v>
      </c>
      <c r="AC30" s="382">
        <f t="shared" si="13"/>
        <v>0</v>
      </c>
      <c r="AD30" s="381">
        <f>IF(U$18&lt;&gt;0,'4.) Yearly Budget'!I30/$AM$18,0)</f>
        <v>0</v>
      </c>
      <c r="AE30" s="105">
        <f t="shared" si="14"/>
        <v>0</v>
      </c>
      <c r="AF30" s="278"/>
    </row>
    <row r="31" spans="1:39" s="68" customFormat="1">
      <c r="A31" s="258">
        <f t="shared" si="0"/>
        <v>31</v>
      </c>
      <c r="B31" s="96"/>
      <c r="C31" s="50"/>
      <c r="D31" s="50"/>
      <c r="E31" s="53" t="str">
        <f>CONTROL!B65</f>
        <v>-</v>
      </c>
      <c r="F31" s="53"/>
      <c r="G31" s="320">
        <f>CONTROL!C65</f>
        <v>0</v>
      </c>
      <c r="H31" s="95"/>
      <c r="I31" s="276"/>
      <c r="J31" s="102">
        <f>IF('4.) Yearly Budget'!$K$18&gt;0,'4.) Yearly Budget'!K31,'4.) Yearly Budget'!J31)</f>
        <v>0</v>
      </c>
      <c r="K31" s="377">
        <f t="shared" si="4"/>
        <v>0</v>
      </c>
      <c r="L31" s="276"/>
      <c r="M31" s="102">
        <f>IF('4.) Yearly Budget'!$N$18&gt;0,'4.) Yearly Budget'!N31,'4.) Yearly Budget'!M31)</f>
        <v>0</v>
      </c>
      <c r="N31" s="377">
        <f t="shared" si="5"/>
        <v>0</v>
      </c>
      <c r="O31" s="276"/>
      <c r="P31" s="102">
        <f>IF('4.) Yearly Budget'!$Q$18&gt;0,'4.) Yearly Budget'!Q31,'4.) Yearly Budget'!P31)</f>
        <v>0</v>
      </c>
      <c r="Q31" s="377">
        <f t="shared" si="6"/>
        <v>0</v>
      </c>
      <c r="R31" s="276"/>
      <c r="S31" s="102">
        <f>IF('4.) Yearly Budget'!$T$18&gt;0,'4.) Yearly Budget'!T31,'4.) Yearly Budget'!S31)</f>
        <v>0</v>
      </c>
      <c r="T31" s="105">
        <f t="shared" si="7"/>
        <v>0</v>
      </c>
      <c r="U31" s="277">
        <f t="shared" si="8"/>
        <v>0</v>
      </c>
      <c r="V31" s="379">
        <f t="shared" si="9"/>
        <v>0</v>
      </c>
      <c r="W31" s="379">
        <f t="shared" si="10"/>
        <v>0</v>
      </c>
      <c r="X31" s="379">
        <f>'4.) Yearly Budget'!W31</f>
        <v>0</v>
      </c>
      <c r="Y31" s="380">
        <f t="shared" si="11"/>
        <v>0</v>
      </c>
      <c r="Z31" s="381">
        <f>SUM(IF(I$18&lt;&gt;0,'4.) Yearly Budget'!J31,0)+IF(L$18&lt;&gt;0,'4.) Yearly Budget'!M31,0)+IF(O$18&lt;&gt;0,'4.) Yearly Budget'!P31,0)+IF(R$18&lt;&gt;0,'4.) Yearly Budget'!S31,0))</f>
        <v>0</v>
      </c>
      <c r="AA31" s="381">
        <f t="shared" si="12"/>
        <v>0</v>
      </c>
      <c r="AB31" s="381">
        <f>'4.) Yearly Budget'!V31</f>
        <v>0</v>
      </c>
      <c r="AC31" s="382">
        <f t="shared" si="13"/>
        <v>0</v>
      </c>
      <c r="AD31" s="381">
        <f>IF(U$18&lt;&gt;0,'4.) Yearly Budget'!I31/$AM$18,0)</f>
        <v>0</v>
      </c>
      <c r="AE31" s="105">
        <f t="shared" si="14"/>
        <v>0</v>
      </c>
      <c r="AF31" s="278"/>
    </row>
    <row r="32" spans="1:39" s="68" customFormat="1">
      <c r="A32" s="258">
        <f t="shared" si="0"/>
        <v>32</v>
      </c>
      <c r="B32" s="96"/>
      <c r="C32" s="50"/>
      <c r="D32" s="50"/>
      <c r="E32" s="53" t="str">
        <f>CONTROL!B66</f>
        <v>-</v>
      </c>
      <c r="F32" s="53"/>
      <c r="G32" s="320">
        <f>CONTROL!C66</f>
        <v>0</v>
      </c>
      <c r="H32" s="95"/>
      <c r="I32" s="276"/>
      <c r="J32" s="102">
        <f>IF('4.) Yearly Budget'!$K$18&gt;0,'4.) Yearly Budget'!K32,'4.) Yearly Budget'!J32)</f>
        <v>0</v>
      </c>
      <c r="K32" s="377">
        <f t="shared" si="4"/>
        <v>0</v>
      </c>
      <c r="L32" s="276"/>
      <c r="M32" s="102">
        <f>IF('4.) Yearly Budget'!$N$18&gt;0,'4.) Yearly Budget'!N32,'4.) Yearly Budget'!M32)</f>
        <v>0</v>
      </c>
      <c r="N32" s="377">
        <f t="shared" si="5"/>
        <v>0</v>
      </c>
      <c r="O32" s="276"/>
      <c r="P32" s="102">
        <f>IF('4.) Yearly Budget'!$Q$18&gt;0,'4.) Yearly Budget'!Q32,'4.) Yearly Budget'!P32)</f>
        <v>0</v>
      </c>
      <c r="Q32" s="377">
        <f t="shared" si="6"/>
        <v>0</v>
      </c>
      <c r="R32" s="276"/>
      <c r="S32" s="102">
        <f>IF('4.) Yearly Budget'!$T$18&gt;0,'4.) Yearly Budget'!T32,'4.) Yearly Budget'!S32)</f>
        <v>0</v>
      </c>
      <c r="T32" s="105">
        <f t="shared" si="7"/>
        <v>0</v>
      </c>
      <c r="U32" s="277">
        <f t="shared" si="8"/>
        <v>0</v>
      </c>
      <c r="V32" s="379">
        <f t="shared" si="9"/>
        <v>0</v>
      </c>
      <c r="W32" s="379">
        <f t="shared" si="10"/>
        <v>0</v>
      </c>
      <c r="X32" s="379">
        <f>'4.) Yearly Budget'!W32</f>
        <v>0</v>
      </c>
      <c r="Y32" s="380">
        <f t="shared" si="11"/>
        <v>0</v>
      </c>
      <c r="Z32" s="381">
        <f>SUM(IF(I$18&lt;&gt;0,'4.) Yearly Budget'!J32,0)+IF(L$18&lt;&gt;0,'4.) Yearly Budget'!M32,0)+IF(O$18&lt;&gt;0,'4.) Yearly Budget'!P32,0)+IF(R$18&lt;&gt;0,'4.) Yearly Budget'!S32,0))</f>
        <v>0</v>
      </c>
      <c r="AA32" s="381">
        <f t="shared" si="12"/>
        <v>0</v>
      </c>
      <c r="AB32" s="381">
        <f>'4.) Yearly Budget'!V32</f>
        <v>0</v>
      </c>
      <c r="AC32" s="382">
        <f t="shared" si="13"/>
        <v>0</v>
      </c>
      <c r="AD32" s="381">
        <f>IF(U$18&lt;&gt;0,'4.) Yearly Budget'!I32/$AM$18,0)</f>
        <v>0</v>
      </c>
      <c r="AE32" s="105">
        <f t="shared" si="14"/>
        <v>0</v>
      </c>
      <c r="AF32" s="278"/>
    </row>
    <row r="33" spans="1:32" s="68" customFormat="1">
      <c r="A33" s="258">
        <f t="shared" si="0"/>
        <v>33</v>
      </c>
      <c r="B33" s="96"/>
      <c r="C33" s="50"/>
      <c r="D33" s="50"/>
      <c r="E33" s="53" t="str">
        <f>"ALL OTHER School Districts: ( Count = "&amp;CONTROL!C104&amp;" )"</f>
        <v>ALL OTHER School Districts: ( Count = 0 )</v>
      </c>
      <c r="F33" s="53"/>
      <c r="G33" s="595">
        <f>CONTROL!F105</f>
        <v>0</v>
      </c>
      <c r="H33" s="95"/>
      <c r="I33" s="753"/>
      <c r="J33" s="102">
        <f>IF('4.) Yearly Budget'!$K$18&gt;0,'4.) Yearly Budget'!K33,'4.) Yearly Budget'!J33)</f>
        <v>0</v>
      </c>
      <c r="K33" s="377">
        <f t="shared" si="4"/>
        <v>0</v>
      </c>
      <c r="L33" s="276"/>
      <c r="M33" s="102">
        <f>IF('4.) Yearly Budget'!$N$18&gt;0,'4.) Yearly Budget'!N33,'4.) Yearly Budget'!M33)</f>
        <v>0</v>
      </c>
      <c r="N33" s="377">
        <f t="shared" si="5"/>
        <v>0</v>
      </c>
      <c r="O33" s="276"/>
      <c r="P33" s="102">
        <f>IF('4.) Yearly Budget'!$Q$18&gt;0,'4.) Yearly Budget'!Q33,'4.) Yearly Budget'!P33)</f>
        <v>0</v>
      </c>
      <c r="Q33" s="377">
        <f t="shared" si="6"/>
        <v>0</v>
      </c>
      <c r="R33" s="276"/>
      <c r="S33" s="102">
        <f>IF('4.) Yearly Budget'!$T$18&gt;0,'4.) Yearly Budget'!T33,'4.) Yearly Budget'!S33)</f>
        <v>0</v>
      </c>
      <c r="T33" s="105">
        <f t="shared" si="7"/>
        <v>0</v>
      </c>
      <c r="U33" s="277">
        <f t="shared" si="8"/>
        <v>0</v>
      </c>
      <c r="V33" s="379">
        <f t="shared" si="9"/>
        <v>0</v>
      </c>
      <c r="W33" s="379">
        <f t="shared" si="10"/>
        <v>0</v>
      </c>
      <c r="X33" s="379">
        <f>'4.) Yearly Budget'!W33</f>
        <v>0</v>
      </c>
      <c r="Y33" s="380">
        <f t="shared" si="11"/>
        <v>0</v>
      </c>
      <c r="Z33" s="381">
        <f>SUM(IF(I$18&lt;&gt;0,'4.) Yearly Budget'!J33,0)+IF(L$18&lt;&gt;0,'4.) Yearly Budget'!M33,0)+IF(O$18&lt;&gt;0,'4.) Yearly Budget'!P33,0)+IF(R$18&lt;&gt;0,'4.) Yearly Budget'!S33,0))</f>
        <v>0</v>
      </c>
      <c r="AA33" s="381">
        <f t="shared" si="12"/>
        <v>0</v>
      </c>
      <c r="AB33" s="381">
        <f>'4.) Yearly Budget'!V33</f>
        <v>0</v>
      </c>
      <c r="AC33" s="382">
        <f t="shared" si="13"/>
        <v>0</v>
      </c>
      <c r="AD33" s="381">
        <f>IF(U$18&lt;&gt;0,'4.) Yearly Budget'!I33/$AM$18,0)</f>
        <v>0</v>
      </c>
      <c r="AE33" s="105">
        <f t="shared" si="14"/>
        <v>0</v>
      </c>
      <c r="AF33" s="278"/>
    </row>
    <row r="34" spans="1:32" s="385" customFormat="1">
      <c r="A34" s="279">
        <f t="shared" si="0"/>
        <v>34</v>
      </c>
      <c r="B34" s="280"/>
      <c r="C34" s="140"/>
      <c r="D34" s="140" t="str">
        <f>'4.) Yearly Budget'!D34</f>
        <v>TOTAL Per Pupil Revenue (Weighted Average Per Pupil Funding)</v>
      </c>
      <c r="E34" s="53"/>
      <c r="F34"/>
      <c r="G34" s="596">
        <f>'4.) Yearly Budget'!G34</f>
        <v>0</v>
      </c>
      <c r="H34" s="95"/>
      <c r="I34" s="706">
        <f t="shared" ref="I34:AE34" si="15">SUM(I18:I33)</f>
        <v>0</v>
      </c>
      <c r="J34" s="158">
        <f t="shared" si="15"/>
        <v>0</v>
      </c>
      <c r="K34" s="383">
        <f t="shared" si="15"/>
        <v>0</v>
      </c>
      <c r="L34" s="102">
        <f t="shared" si="15"/>
        <v>0</v>
      </c>
      <c r="M34" s="158">
        <f t="shared" si="15"/>
        <v>0</v>
      </c>
      <c r="N34" s="383">
        <f t="shared" si="15"/>
        <v>0</v>
      </c>
      <c r="O34" s="102">
        <f t="shared" si="15"/>
        <v>0</v>
      </c>
      <c r="P34" s="158">
        <f t="shared" si="15"/>
        <v>0</v>
      </c>
      <c r="Q34" s="383">
        <f t="shared" si="15"/>
        <v>0</v>
      </c>
      <c r="R34" s="102">
        <f t="shared" si="15"/>
        <v>0</v>
      </c>
      <c r="S34" s="158">
        <f t="shared" si="15"/>
        <v>0</v>
      </c>
      <c r="T34" s="103">
        <f t="shared" si="15"/>
        <v>0</v>
      </c>
      <c r="U34" s="283">
        <f t="shared" si="15"/>
        <v>0</v>
      </c>
      <c r="V34" s="156">
        <f t="shared" si="15"/>
        <v>0</v>
      </c>
      <c r="W34" s="156">
        <f t="shared" si="15"/>
        <v>0</v>
      </c>
      <c r="X34" s="156">
        <f t="shared" si="15"/>
        <v>0</v>
      </c>
      <c r="Y34" s="380">
        <f t="shared" si="15"/>
        <v>0</v>
      </c>
      <c r="Z34" s="377">
        <f t="shared" si="15"/>
        <v>0</v>
      </c>
      <c r="AA34" s="383">
        <f t="shared" si="15"/>
        <v>0</v>
      </c>
      <c r="AB34" s="383">
        <f t="shared" si="15"/>
        <v>0</v>
      </c>
      <c r="AC34" s="383">
        <f t="shared" si="15"/>
        <v>0</v>
      </c>
      <c r="AD34" s="377">
        <f t="shared" si="15"/>
        <v>0</v>
      </c>
      <c r="AE34" s="384">
        <f t="shared" si="15"/>
        <v>0</v>
      </c>
      <c r="AF34" s="282"/>
    </row>
    <row r="35" spans="1:32" s="68" customFormat="1">
      <c r="A35" s="258">
        <f t="shared" si="0"/>
        <v>35</v>
      </c>
      <c r="B35" s="96"/>
      <c r="C35" s="50"/>
      <c r="D35" s="50" t="str">
        <f>'4.) Yearly Budget'!D35</f>
        <v>Special Education Revenue</v>
      </c>
      <c r="E35" s="94"/>
      <c r="F35" s="94"/>
      <c r="G35" s="57"/>
      <c r="H35" s="95"/>
      <c r="I35" s="753"/>
      <c r="J35" s="102">
        <f>IF('4.) Yearly Budget'!$K$18&gt;0,'4.) Yearly Budget'!K35,'4.) Yearly Budget'!J35)</f>
        <v>0</v>
      </c>
      <c r="K35" s="377">
        <f>IF(I$18&lt;&gt;0,I35-J35,0)</f>
        <v>0</v>
      </c>
      <c r="L35" s="100"/>
      <c r="M35" s="102">
        <f>IF('4.) Yearly Budget'!$N$18&gt;0,'4.) Yearly Budget'!N35,'4.) Yearly Budget'!M35)</f>
        <v>0</v>
      </c>
      <c r="N35" s="377">
        <f>IF(L$18&lt;&gt;0,L35-M35,0)</f>
        <v>0</v>
      </c>
      <c r="O35" s="100"/>
      <c r="P35" s="102">
        <f>IF('4.) Yearly Budget'!$Q$18&gt;0,'4.) Yearly Budget'!Q35,'4.) Yearly Budget'!P35)</f>
        <v>0</v>
      </c>
      <c r="Q35" s="377">
        <f>IF(O$18&lt;&gt;0,O35-P35,0)</f>
        <v>0</v>
      </c>
      <c r="R35" s="100"/>
      <c r="S35" s="102">
        <f>IF('4.) Yearly Budget'!$T$18&gt;0,'4.) Yearly Budget'!T35,'4.) Yearly Budget'!S35)</f>
        <v>0</v>
      </c>
      <c r="T35" s="105">
        <f>IF(R$18&lt;&gt;0,R35-S35,0)</f>
        <v>0</v>
      </c>
      <c r="U35" s="277">
        <f>IF(I$6&lt;&gt;0,I35,0)+IF(L$6&lt;&gt;0,L35,0)+IF(O$6&lt;&gt;0,O35,0)+IF(R$6&lt;&gt;0,R35,0)</f>
        <v>0</v>
      </c>
      <c r="V35" s="379">
        <f>SUM(IF(I$6&lt;&gt;0,J35,0)+IF(L$6&lt;&gt;0,M35,0)+IF(O$6&lt;&gt;0,P35,0)+IF(R$6&lt;&gt;0,S35,0))</f>
        <v>0</v>
      </c>
      <c r="W35" s="379">
        <f>U35-V35</f>
        <v>0</v>
      </c>
      <c r="X35" s="379">
        <f>'4.) Yearly Budget'!W35</f>
        <v>0</v>
      </c>
      <c r="Y35" s="380">
        <f>IF(U35&lt;&gt;0,U35-X35,IF(U35=0,-X35,0))</f>
        <v>0</v>
      </c>
      <c r="Z35" s="381">
        <f>SUM(IF(I$18&lt;&gt;0,'4.) Yearly Budget'!J35,0)+IF(L$18&lt;&gt;0,'4.) Yearly Budget'!M35,0)+IF(O$18&lt;&gt;0,'4.) Yearly Budget'!P35,0)+IF(R$18&lt;&gt;0,'4.) Yearly Budget'!S35,0))</f>
        <v>0</v>
      </c>
      <c r="AA35" s="381">
        <f>U35-Z35</f>
        <v>0</v>
      </c>
      <c r="AB35" s="381">
        <f>'4.) Yearly Budget'!V35</f>
        <v>0</v>
      </c>
      <c r="AC35" s="382">
        <f>IF(U35&lt;&gt;0,U35-AB35,IF(U35=0,-AB35,0))</f>
        <v>0</v>
      </c>
      <c r="AD35" s="381">
        <f>IF(U$6&lt;&gt;0,'4.) Yearly Budget'!I35/$AM$18,0)</f>
        <v>0</v>
      </c>
      <c r="AE35" s="105">
        <f>U35-AD35</f>
        <v>0</v>
      </c>
      <c r="AF35" s="278"/>
    </row>
    <row r="36" spans="1:32" s="68" customFormat="1">
      <c r="A36" s="258">
        <f t="shared" si="0"/>
        <v>36</v>
      </c>
      <c r="B36" s="96"/>
      <c r="C36" s="50"/>
      <c r="D36" s="50" t="str">
        <f>'4.) Yearly Budget'!D36</f>
        <v>Grants</v>
      </c>
      <c r="E36" s="94"/>
      <c r="F36" s="94"/>
      <c r="G36" s="57"/>
      <c r="H36" s="95"/>
      <c r="I36" s="104"/>
      <c r="J36" s="104"/>
      <c r="K36" s="104"/>
      <c r="L36" s="104"/>
      <c r="M36" s="104"/>
      <c r="N36" s="104"/>
      <c r="O36" s="104"/>
      <c r="P36" s="104"/>
      <c r="Q36" s="104"/>
      <c r="R36" s="104"/>
      <c r="S36" s="104"/>
      <c r="T36" s="105"/>
      <c r="U36" s="283"/>
      <c r="V36" s="386"/>
      <c r="W36" s="386"/>
      <c r="X36" s="386"/>
      <c r="Y36" s="386"/>
      <c r="Z36" s="386"/>
      <c r="AA36" s="386"/>
      <c r="AB36" s="386"/>
      <c r="AC36" s="104"/>
      <c r="AD36" s="386"/>
      <c r="AE36" s="105"/>
      <c r="AF36" s="278"/>
    </row>
    <row r="37" spans="1:32" s="68" customFormat="1">
      <c r="A37" s="258">
        <f t="shared" si="0"/>
        <v>37</v>
      </c>
      <c r="B37" s="96"/>
      <c r="C37" s="50"/>
      <c r="D37" s="50"/>
      <c r="E37" s="120" t="str">
        <f>'4.) Yearly Budget'!E37</f>
        <v>Stimulus</v>
      </c>
      <c r="F37" s="120"/>
      <c r="G37" s="56"/>
      <c r="H37" s="95"/>
      <c r="I37" s="276"/>
      <c r="J37" s="102">
        <f>IF('4.) Yearly Budget'!$K$18&gt;0,'4.) Yearly Budget'!K37,'4.) Yearly Budget'!J37)</f>
        <v>0</v>
      </c>
      <c r="K37" s="377">
        <f>IF(I$18&lt;&gt;0,I37-J37,0)</f>
        <v>0</v>
      </c>
      <c r="L37" s="100"/>
      <c r="M37" s="102">
        <f>IF('4.) Yearly Budget'!$N$18&gt;0,'4.) Yearly Budget'!N37,'4.) Yearly Budget'!M37)</f>
        <v>0</v>
      </c>
      <c r="N37" s="377">
        <f>IF(L$18&lt;&gt;0,L37-M37,0)</f>
        <v>0</v>
      </c>
      <c r="O37" s="100"/>
      <c r="P37" s="102">
        <f>IF('4.) Yearly Budget'!$Q$18&gt;0,'4.) Yearly Budget'!Q37,'4.) Yearly Budget'!P37)</f>
        <v>0</v>
      </c>
      <c r="Q37" s="377">
        <f>IF(O$18&lt;&gt;0,O37-P37,0)</f>
        <v>0</v>
      </c>
      <c r="R37" s="100"/>
      <c r="S37" s="102">
        <f>IF('4.) Yearly Budget'!$T$18&gt;0,'4.) Yearly Budget'!T37,'4.) Yearly Budget'!S37)</f>
        <v>0</v>
      </c>
      <c r="T37" s="105">
        <f>IF(R$18&lt;&gt;0,R37-S37,0)</f>
        <v>0</v>
      </c>
      <c r="U37" s="277">
        <f>IF(I$6&lt;&gt;0,I37,0)+IF(L$6&lt;&gt;0,L37,0)+IF(O$6&lt;&gt;0,O37,0)+IF(R$6&lt;&gt;0,R37,0)</f>
        <v>0</v>
      </c>
      <c r="V37" s="379">
        <f>SUM(IF(I$6&lt;&gt;0,J37,0)+IF(L$6&lt;&gt;0,M37,0)+IF(O$6&lt;&gt;0,P37,0)+IF(R$6&lt;&gt;0,S37,0))</f>
        <v>0</v>
      </c>
      <c r="W37" s="379">
        <f>U37-V37</f>
        <v>0</v>
      </c>
      <c r="X37" s="379">
        <f>'4.) Yearly Budget'!W37</f>
        <v>0</v>
      </c>
      <c r="Y37" s="380">
        <f>IF(U37&lt;&gt;0,U37-X37,IF(U37=0,-X37,0))</f>
        <v>0</v>
      </c>
      <c r="Z37" s="381">
        <f>SUM(IF(I$18&lt;&gt;0,'4.) Yearly Budget'!J37,0)+IF(L$18&lt;&gt;0,'4.) Yearly Budget'!M37,0)+IF(O$18&lt;&gt;0,'4.) Yearly Budget'!P37,0)+IF(R$18&lt;&gt;0,'4.) Yearly Budget'!S37,0))</f>
        <v>0</v>
      </c>
      <c r="AA37" s="381">
        <f>U37-Z37</f>
        <v>0</v>
      </c>
      <c r="AB37" s="381">
        <f>'4.) Yearly Budget'!V37</f>
        <v>0</v>
      </c>
      <c r="AC37" s="382">
        <f>IF(U37&lt;&gt;0,U37-AB37,IF(U37=0,-AB37,0))</f>
        <v>0</v>
      </c>
      <c r="AD37" s="381">
        <f>IF(U$6&lt;&gt;0,'4.) Yearly Budget'!I37/$AM$18,0)</f>
        <v>0</v>
      </c>
      <c r="AE37" s="105">
        <f>U37-AD37</f>
        <v>0</v>
      </c>
      <c r="AF37" s="278"/>
    </row>
    <row r="38" spans="1:32" s="68" customFormat="1">
      <c r="A38" s="258">
        <f t="shared" si="0"/>
        <v>38</v>
      </c>
      <c r="B38" s="96"/>
      <c r="C38" s="50"/>
      <c r="D38" s="50"/>
      <c r="E38" s="120" t="str">
        <f>'4.) Yearly Budget'!E38</f>
        <v>DYCD (Department of Youth and Community Development)</v>
      </c>
      <c r="F38" s="120"/>
      <c r="G38" s="56"/>
      <c r="H38" s="95"/>
      <c r="I38" s="276"/>
      <c r="J38" s="102">
        <f>IF('4.) Yearly Budget'!$K$18&gt;0,'4.) Yearly Budget'!K38,'4.) Yearly Budget'!J38)</f>
        <v>0</v>
      </c>
      <c r="K38" s="377">
        <f>IF(I$18&lt;&gt;0,I38-J38,0)</f>
        <v>0</v>
      </c>
      <c r="L38" s="100"/>
      <c r="M38" s="102">
        <f>IF('4.) Yearly Budget'!$N$18&gt;0,'4.) Yearly Budget'!N38,'4.) Yearly Budget'!M38)</f>
        <v>0</v>
      </c>
      <c r="N38" s="377">
        <f>IF(L$18&lt;&gt;0,L38-M38,0)</f>
        <v>0</v>
      </c>
      <c r="O38" s="100"/>
      <c r="P38" s="102">
        <f>IF('4.) Yearly Budget'!$Q$18&gt;0,'4.) Yearly Budget'!Q38,'4.) Yearly Budget'!P38)</f>
        <v>0</v>
      </c>
      <c r="Q38" s="377">
        <f>IF(O$18&lt;&gt;0,O38-P38,0)</f>
        <v>0</v>
      </c>
      <c r="R38" s="100"/>
      <c r="S38" s="102">
        <f>IF('4.) Yearly Budget'!$T$18&gt;0,'4.) Yearly Budget'!T38,'4.) Yearly Budget'!S38)</f>
        <v>0</v>
      </c>
      <c r="T38" s="105">
        <f>IF(R$18&lt;&gt;0,R38-S38,0)</f>
        <v>0</v>
      </c>
      <c r="U38" s="277">
        <f>IF(I$6&lt;&gt;0,I38,0)+IF(L$6&lt;&gt;0,L38,0)+IF(O$6&lt;&gt;0,O38,0)+IF(R$6&lt;&gt;0,R38,0)</f>
        <v>0</v>
      </c>
      <c r="V38" s="379">
        <f>SUM(IF(I$6&lt;&gt;0,J38,0)+IF(L$6&lt;&gt;0,M38,0)+IF(O$6&lt;&gt;0,P38,0)+IF(R$6&lt;&gt;0,S38,0))</f>
        <v>0</v>
      </c>
      <c r="W38" s="379">
        <f>U38-V38</f>
        <v>0</v>
      </c>
      <c r="X38" s="379">
        <f>'4.) Yearly Budget'!W38</f>
        <v>0</v>
      </c>
      <c r="Y38" s="380">
        <f>IF(U38&lt;&gt;0,U38-X38,IF(U38=0,-X38,0))</f>
        <v>0</v>
      </c>
      <c r="Z38" s="381">
        <f>SUM(IF(I$18&lt;&gt;0,'4.) Yearly Budget'!J38,0)+IF(L$18&lt;&gt;0,'4.) Yearly Budget'!M38,0)+IF(O$18&lt;&gt;0,'4.) Yearly Budget'!P38,0)+IF(R$18&lt;&gt;0,'4.) Yearly Budget'!S38,0))</f>
        <v>0</v>
      </c>
      <c r="AA38" s="381">
        <f>U38-Z38</f>
        <v>0</v>
      </c>
      <c r="AB38" s="381">
        <f>'4.) Yearly Budget'!V38</f>
        <v>0</v>
      </c>
      <c r="AC38" s="382">
        <f>IF(U38&lt;&gt;0,U38-AB38,IF(U38=0,-AB38,0))</f>
        <v>0</v>
      </c>
      <c r="AD38" s="381">
        <f>IF(U$6&lt;&gt;0,'4.) Yearly Budget'!I38/$AM$18,0)</f>
        <v>0</v>
      </c>
      <c r="AE38" s="105">
        <f>U38-AD38</f>
        <v>0</v>
      </c>
      <c r="AF38" s="278"/>
    </row>
    <row r="39" spans="1:32" s="68" customFormat="1">
      <c r="A39" s="258">
        <f t="shared" si="0"/>
        <v>39</v>
      </c>
      <c r="B39" s="96"/>
      <c r="C39" s="50"/>
      <c r="D39" s="50"/>
      <c r="E39" s="120" t="str">
        <f>'4.) Yearly Budget'!E39</f>
        <v>Other</v>
      </c>
      <c r="F39" s="120"/>
      <c r="G39" s="56"/>
      <c r="H39" s="95"/>
      <c r="I39" s="276"/>
      <c r="J39" s="102">
        <f>IF('4.) Yearly Budget'!$K$18&gt;0,'4.) Yearly Budget'!K39,'4.) Yearly Budget'!J39)</f>
        <v>0</v>
      </c>
      <c r="K39" s="377">
        <f>IF(I$18&lt;&gt;0,I39-J39,0)</f>
        <v>0</v>
      </c>
      <c r="L39" s="100"/>
      <c r="M39" s="102">
        <f>IF('4.) Yearly Budget'!$N$18&gt;0,'4.) Yearly Budget'!N39,'4.) Yearly Budget'!M39)</f>
        <v>0</v>
      </c>
      <c r="N39" s="377">
        <f>IF(L$18&lt;&gt;0,L39-M39,0)</f>
        <v>0</v>
      </c>
      <c r="O39" s="100"/>
      <c r="P39" s="102">
        <f>IF('4.) Yearly Budget'!$Q$18&gt;0,'4.) Yearly Budget'!Q39,'4.) Yearly Budget'!P39)</f>
        <v>0</v>
      </c>
      <c r="Q39" s="377">
        <f>IF(O$18&lt;&gt;0,O39-P39,0)</f>
        <v>0</v>
      </c>
      <c r="R39" s="100"/>
      <c r="S39" s="102">
        <f>IF('4.) Yearly Budget'!$T$18&gt;0,'4.) Yearly Budget'!T39,'4.) Yearly Budget'!S39)</f>
        <v>0</v>
      </c>
      <c r="T39" s="105">
        <f>IF(R$18&lt;&gt;0,R39-S39,0)</f>
        <v>0</v>
      </c>
      <c r="U39" s="277">
        <f>IF(I$6&lt;&gt;0,I39,0)+IF(L$6&lt;&gt;0,L39,0)+IF(O$6&lt;&gt;0,O39,0)+IF(R$6&lt;&gt;0,R39,0)</f>
        <v>0</v>
      </c>
      <c r="V39" s="379">
        <f>SUM(IF(I$6&lt;&gt;0,J39,0)+IF(L$6&lt;&gt;0,M39,0)+IF(O$6&lt;&gt;0,P39,0)+IF(R$6&lt;&gt;0,S39,0))</f>
        <v>0</v>
      </c>
      <c r="W39" s="379">
        <f>U39-V39</f>
        <v>0</v>
      </c>
      <c r="X39" s="379">
        <f>'4.) Yearly Budget'!W39</f>
        <v>0</v>
      </c>
      <c r="Y39" s="380">
        <f>IF(U39&lt;&gt;0,U39-X39,IF(U39=0,-X39,0))</f>
        <v>0</v>
      </c>
      <c r="Z39" s="381">
        <f>SUM(IF(I$18&lt;&gt;0,'4.) Yearly Budget'!J39,0)+IF(L$18&lt;&gt;0,'4.) Yearly Budget'!M39,0)+IF(O$18&lt;&gt;0,'4.) Yearly Budget'!P39,0)+IF(R$18&lt;&gt;0,'4.) Yearly Budget'!S39,0))</f>
        <v>0</v>
      </c>
      <c r="AA39" s="381">
        <f>U39-Z39</f>
        <v>0</v>
      </c>
      <c r="AB39" s="381">
        <f>'4.) Yearly Budget'!V39</f>
        <v>0</v>
      </c>
      <c r="AC39" s="382">
        <f>IF(U39&lt;&gt;0,U39-AB39,IF(U39=0,-AB39,0))</f>
        <v>0</v>
      </c>
      <c r="AD39" s="381">
        <f>IF(U$6&lt;&gt;0,'4.) Yearly Budget'!I39/$AM$18,0)</f>
        <v>0</v>
      </c>
      <c r="AE39" s="105">
        <f>U39-AD39</f>
        <v>0</v>
      </c>
      <c r="AF39" s="278"/>
    </row>
    <row r="40" spans="1:32" s="68" customFormat="1">
      <c r="A40" s="258">
        <f t="shared" si="0"/>
        <v>40</v>
      </c>
      <c r="B40" s="96"/>
      <c r="C40" s="50"/>
      <c r="D40" s="97" t="str">
        <f>'4.) Yearly Budget'!D40</f>
        <v>NYC DoE Rental Assistance</v>
      </c>
      <c r="E40" s="120"/>
      <c r="F40" s="120"/>
      <c r="G40" s="56"/>
      <c r="H40" s="95"/>
      <c r="I40" s="672"/>
      <c r="J40" s="102">
        <f>IF('4.) Yearly Budget'!$K$18&gt;0,'4.) Yearly Budget'!K40,'4.) Yearly Budget'!J40)</f>
        <v>0</v>
      </c>
      <c r="K40" s="377">
        <f>IF(I$18&lt;&gt;0,I40-J40,0)</f>
        <v>0</v>
      </c>
      <c r="L40" s="855"/>
      <c r="M40" s="102">
        <f>IF('4.) Yearly Budget'!$N$18&gt;0,'4.) Yearly Budget'!N40,'4.) Yearly Budget'!M40)</f>
        <v>0</v>
      </c>
      <c r="N40" s="377">
        <f>IF(L$18&lt;&gt;0,L40-M40,0)</f>
        <v>0</v>
      </c>
      <c r="O40" s="855"/>
      <c r="P40" s="102">
        <f>IF('4.) Yearly Budget'!$Q$18&gt;0,'4.) Yearly Budget'!Q40,'4.) Yearly Budget'!P40)</f>
        <v>0</v>
      </c>
      <c r="Q40" s="377">
        <f>IF(O$18&lt;&gt;0,O40-P40,0)</f>
        <v>0</v>
      </c>
      <c r="R40" s="855"/>
      <c r="S40" s="102">
        <f>IF('4.) Yearly Budget'!$T$18&gt;0,'4.) Yearly Budget'!T40,'4.) Yearly Budget'!S40)</f>
        <v>0</v>
      </c>
      <c r="T40" s="105">
        <f>IF(R$18&lt;&gt;0,R40-S40,0)</f>
        <v>0</v>
      </c>
      <c r="U40" s="277">
        <f>IF(I$6&lt;&gt;0,I40,0)+IF(L$6&lt;&gt;0,L40,0)+IF(O$6&lt;&gt;0,O40,0)+IF(R$6&lt;&gt;0,R40,0)</f>
        <v>0</v>
      </c>
      <c r="V40" s="379">
        <f>SUM(IF(I$6&lt;&gt;0,J40,0)+IF(L$6&lt;&gt;0,M40,0)+IF(O$6&lt;&gt;0,P40,0)+IF(R$6&lt;&gt;0,S40,0))</f>
        <v>0</v>
      </c>
      <c r="W40" s="379">
        <f>U40-V40</f>
        <v>0</v>
      </c>
      <c r="X40" s="379">
        <f>'4.) Yearly Budget'!W40</f>
        <v>0</v>
      </c>
      <c r="Y40" s="380">
        <f>IF(U40&lt;&gt;0,U40-X40,IF(U40=0,-X40,0))</f>
        <v>0</v>
      </c>
      <c r="Z40" s="381">
        <f>SUM(IF(I$18&lt;&gt;0,'4.) Yearly Budget'!J40,0)+IF(L$18&lt;&gt;0,'4.) Yearly Budget'!M40,0)+IF(O$18&lt;&gt;0,'4.) Yearly Budget'!P40,0)+IF(R$18&lt;&gt;0,'4.) Yearly Budget'!S40,0))</f>
        <v>0</v>
      </c>
      <c r="AA40" s="381">
        <f>U40-Z40</f>
        <v>0</v>
      </c>
      <c r="AB40" s="381">
        <f>'4.) Yearly Budget'!V40</f>
        <v>0</v>
      </c>
      <c r="AC40" s="382">
        <f>IF(U40&lt;&gt;0,U40-AB40,IF(U40=0,-AB40,0))</f>
        <v>0</v>
      </c>
      <c r="AD40" s="381">
        <f>IF(U$6&lt;&gt;0,'4.) Yearly Budget'!I40/$AM$18,0)</f>
        <v>0</v>
      </c>
      <c r="AE40" s="105">
        <f>U40-AD40</f>
        <v>0</v>
      </c>
      <c r="AF40" s="278"/>
    </row>
    <row r="41" spans="1:32" s="68" customFormat="1" ht="16.8">
      <c r="A41" s="258">
        <f t="shared" si="0"/>
        <v>41</v>
      </c>
      <c r="B41" s="96"/>
      <c r="C41" s="50"/>
      <c r="D41" s="97" t="str">
        <f>'4.) Yearly Budget'!D41</f>
        <v>Other</v>
      </c>
      <c r="E41" s="94"/>
      <c r="F41" s="94"/>
      <c r="G41" s="57"/>
      <c r="H41" s="95"/>
      <c r="I41" s="284"/>
      <c r="J41" s="549">
        <f>IF('4.) Yearly Budget'!$K$18&gt;0,'4.) Yearly Budget'!K41,'4.) Yearly Budget'!J41)</f>
        <v>0</v>
      </c>
      <c r="K41" s="387">
        <f>IF(I$18&lt;&gt;0,I41-J41,0)</f>
        <v>0</v>
      </c>
      <c r="L41" s="106"/>
      <c r="M41" s="549">
        <f>IF('4.) Yearly Budget'!$N$18&gt;0,'4.) Yearly Budget'!N41,'4.) Yearly Budget'!M41)</f>
        <v>0</v>
      </c>
      <c r="N41" s="387">
        <f>IF(L$18&lt;&gt;0,L41-M41,0)</f>
        <v>0</v>
      </c>
      <c r="O41" s="106"/>
      <c r="P41" s="549">
        <f>IF('4.) Yearly Budget'!$Q$18&gt;0,'4.) Yearly Budget'!Q41,'4.) Yearly Budget'!P41)</f>
        <v>0</v>
      </c>
      <c r="Q41" s="387">
        <f>IF(O$18&lt;&gt;0,O41-P41,0)</f>
        <v>0</v>
      </c>
      <c r="R41" s="106"/>
      <c r="S41" s="549">
        <f>IF('4.) Yearly Budget'!$T$18&gt;0,'4.) Yearly Budget'!T41,'4.) Yearly Budget'!S41)</f>
        <v>0</v>
      </c>
      <c r="T41" s="388">
        <f>IF(R$18&lt;&gt;0,R41-S41,0)</f>
        <v>0</v>
      </c>
      <c r="U41" s="285">
        <f>IF(I$6&lt;&gt;0,I41,0)+IF(L$6&lt;&gt;0,L41,0)+IF(O$6&lt;&gt;0,O41,0)+IF(R$6&lt;&gt;0,R41,0)</f>
        <v>0</v>
      </c>
      <c r="V41" s="389">
        <f>SUM(IF(I$6&lt;&gt;0,J41,0)+IF(L$6&lt;&gt;0,M41,0)+IF(O$6&lt;&gt;0,P41,0)+IF(R$6&lt;&gt;0,S41,0))</f>
        <v>0</v>
      </c>
      <c r="W41" s="389">
        <f>U41-V41</f>
        <v>0</v>
      </c>
      <c r="X41" s="389">
        <f>'4.) Yearly Budget'!W41</f>
        <v>0</v>
      </c>
      <c r="Y41" s="390">
        <f>IF(U41&lt;&gt;0,U41-X41,IF(U41=0,-X41,0))</f>
        <v>0</v>
      </c>
      <c r="Z41" s="391">
        <f>SUM(IF(I$18&lt;&gt;0,'4.) Yearly Budget'!J41,0)+IF(L$18&lt;&gt;0,'4.) Yearly Budget'!M41,0)+IF(O$18&lt;&gt;0,'4.) Yearly Budget'!P41,0)+IF(R$18&lt;&gt;0,'4.) Yearly Budget'!S41,0))</f>
        <v>0</v>
      </c>
      <c r="AA41" s="391">
        <f>U41-Z41</f>
        <v>0</v>
      </c>
      <c r="AB41" s="391">
        <f>'4.) Yearly Budget'!V41</f>
        <v>0</v>
      </c>
      <c r="AC41" s="392">
        <f>IF(U41&lt;&gt;0,U41-AB41,IF(U41=0,-AB41,0))</f>
        <v>0</v>
      </c>
      <c r="AD41" s="391">
        <f>IF(U$6&lt;&gt;0,'4.) Yearly Budget'!I41/$AM$18,0)</f>
        <v>0</v>
      </c>
      <c r="AE41" s="388">
        <f>U41-AD41</f>
        <v>0</v>
      </c>
      <c r="AF41" s="278"/>
    </row>
    <row r="42" spans="1:32" s="68" customFormat="1">
      <c r="A42" s="258">
        <f t="shared" si="0"/>
        <v>42</v>
      </c>
      <c r="B42" s="96"/>
      <c r="C42" s="50" t="str">
        <f>'4.) Yearly Budget'!C42</f>
        <v>TOTAL REVENUE FROM STATE SOURCES</v>
      </c>
      <c r="D42" s="97"/>
      <c r="E42" s="94"/>
      <c r="F42" s="94"/>
      <c r="G42" s="57"/>
      <c r="H42" s="95"/>
      <c r="I42" s="281">
        <f t="shared" ref="I42:AE42" si="16">SUM(I34:I41)</f>
        <v>0</v>
      </c>
      <c r="J42" s="158">
        <f t="shared" si="16"/>
        <v>0</v>
      </c>
      <c r="K42" s="383">
        <f t="shared" si="16"/>
        <v>0</v>
      </c>
      <c r="L42" s="102">
        <f t="shared" si="16"/>
        <v>0</v>
      </c>
      <c r="M42" s="158">
        <f t="shared" si="16"/>
        <v>0</v>
      </c>
      <c r="N42" s="383">
        <f t="shared" si="16"/>
        <v>0</v>
      </c>
      <c r="O42" s="102">
        <f t="shared" si="16"/>
        <v>0</v>
      </c>
      <c r="P42" s="158">
        <f t="shared" si="16"/>
        <v>0</v>
      </c>
      <c r="Q42" s="383">
        <f t="shared" si="16"/>
        <v>0</v>
      </c>
      <c r="R42" s="102">
        <f t="shared" si="16"/>
        <v>0</v>
      </c>
      <c r="S42" s="158">
        <f t="shared" si="16"/>
        <v>0</v>
      </c>
      <c r="T42" s="103">
        <f t="shared" si="16"/>
        <v>0</v>
      </c>
      <c r="U42" s="277">
        <f t="shared" si="16"/>
        <v>0</v>
      </c>
      <c r="V42" s="156">
        <f t="shared" si="16"/>
        <v>0</v>
      </c>
      <c r="W42" s="156">
        <f t="shared" si="16"/>
        <v>0</v>
      </c>
      <c r="X42" s="156">
        <f t="shared" si="16"/>
        <v>0</v>
      </c>
      <c r="Y42" s="383">
        <f t="shared" si="16"/>
        <v>0</v>
      </c>
      <c r="Z42" s="104">
        <f t="shared" si="16"/>
        <v>0</v>
      </c>
      <c r="AA42" s="104">
        <f t="shared" si="16"/>
        <v>0</v>
      </c>
      <c r="AB42" s="104">
        <f t="shared" si="16"/>
        <v>0</v>
      </c>
      <c r="AC42" s="382">
        <f t="shared" si="16"/>
        <v>0</v>
      </c>
      <c r="AD42" s="104">
        <f t="shared" si="16"/>
        <v>0</v>
      </c>
      <c r="AE42" s="105">
        <f t="shared" si="16"/>
        <v>0</v>
      </c>
      <c r="AF42" s="278"/>
    </row>
    <row r="43" spans="1:32" s="94" customFormat="1" ht="7.5" customHeight="1">
      <c r="A43" s="258">
        <f t="shared" si="0"/>
        <v>43</v>
      </c>
      <c r="B43" s="96"/>
      <c r="C43" s="50"/>
      <c r="D43" s="50"/>
      <c r="E43" s="53"/>
      <c r="F43" s="53"/>
      <c r="G43" s="51"/>
      <c r="H43" s="95"/>
      <c r="I43" s="107"/>
      <c r="J43" s="107"/>
      <c r="K43" s="107"/>
      <c r="L43" s="107"/>
      <c r="M43" s="107"/>
      <c r="N43" s="107"/>
      <c r="O43" s="107"/>
      <c r="P43" s="107"/>
      <c r="Q43" s="107"/>
      <c r="R43" s="107"/>
      <c r="S43" s="107"/>
      <c r="T43" s="108"/>
      <c r="U43" s="107"/>
      <c r="V43" s="107"/>
      <c r="W43" s="107"/>
      <c r="X43" s="107"/>
      <c r="Y43" s="107"/>
      <c r="Z43" s="107"/>
      <c r="AA43" s="107"/>
      <c r="AB43" s="107"/>
      <c r="AC43" s="107"/>
      <c r="AD43" s="107"/>
      <c r="AE43" s="108"/>
      <c r="AF43" s="278"/>
    </row>
    <row r="44" spans="1:32" s="68" customFormat="1">
      <c r="A44" s="258">
        <f t="shared" si="0"/>
        <v>44</v>
      </c>
      <c r="B44" s="92"/>
      <c r="C44" s="93" t="s">
        <v>31</v>
      </c>
      <c r="D44" s="93"/>
      <c r="E44" s="53"/>
      <c r="F44" s="53"/>
      <c r="G44" s="51"/>
      <c r="H44" s="95"/>
      <c r="I44" s="98"/>
      <c r="J44" s="98"/>
      <c r="K44" s="98"/>
      <c r="L44" s="98"/>
      <c r="M44" s="98"/>
      <c r="N44" s="98"/>
      <c r="O44" s="98"/>
      <c r="P44" s="98"/>
      <c r="Q44" s="98"/>
      <c r="R44" s="98"/>
      <c r="S44" s="98"/>
      <c r="T44" s="99"/>
      <c r="U44" s="98"/>
      <c r="V44" s="98"/>
      <c r="W44" s="98"/>
      <c r="X44" s="98"/>
      <c r="Y44" s="98"/>
      <c r="Z44" s="98"/>
      <c r="AA44" s="98"/>
      <c r="AB44" s="98"/>
      <c r="AC44" s="98"/>
      <c r="AD44" s="98"/>
      <c r="AE44" s="99"/>
      <c r="AF44" s="278"/>
    </row>
    <row r="45" spans="1:32" s="68" customFormat="1">
      <c r="A45" s="258">
        <f t="shared" si="0"/>
        <v>45</v>
      </c>
      <c r="B45" s="96"/>
      <c r="C45" s="50"/>
      <c r="D45" s="97" t="s">
        <v>32</v>
      </c>
      <c r="E45" s="94"/>
      <c r="F45" s="94"/>
      <c r="G45" s="57"/>
      <c r="H45" s="95"/>
      <c r="I45" s="276"/>
      <c r="J45" s="102">
        <f>IF('4.) Yearly Budget'!$K$18&gt;0,'4.) Yearly Budget'!K45,'4.) Yearly Budget'!J45)</f>
        <v>0</v>
      </c>
      <c r="K45" s="382">
        <f>IF(I$18&lt;&gt;0,I45-J45,0)</f>
        <v>0</v>
      </c>
      <c r="L45" s="100"/>
      <c r="M45" s="102">
        <f>IF('4.) Yearly Budget'!$N$18&gt;0,'4.) Yearly Budget'!N45,'4.) Yearly Budget'!M45)</f>
        <v>0</v>
      </c>
      <c r="N45" s="382">
        <f>IF(L$18&lt;&gt;0,L45-M45,0)</f>
        <v>0</v>
      </c>
      <c r="O45" s="100"/>
      <c r="P45" s="102">
        <f>IF('4.) Yearly Budget'!$Q$18&gt;0,'4.) Yearly Budget'!Q45,'4.) Yearly Budget'!P45)</f>
        <v>0</v>
      </c>
      <c r="Q45" s="382">
        <f>IF(O$18&lt;&gt;0,O45-P45,0)</f>
        <v>0</v>
      </c>
      <c r="R45" s="100"/>
      <c r="S45" s="102">
        <f>IF('4.) Yearly Budget'!$T$18&gt;0,'4.) Yearly Budget'!T45,'4.) Yearly Budget'!S45)</f>
        <v>0</v>
      </c>
      <c r="T45" s="105">
        <f>IF(R$18&lt;&gt;0,R45-S45,0)</f>
        <v>0</v>
      </c>
      <c r="U45" s="277">
        <f>IF(I$6&lt;&gt;0,I45,0)+IF(L$6&lt;&gt;0,L45,0)+IF(O$6&lt;&gt;0,O45,0)+IF(R$6&lt;&gt;0,R45,0)</f>
        <v>0</v>
      </c>
      <c r="V45" s="379">
        <f>SUM(IF(I$6&lt;&gt;0,J45,0)+IF(L$6&lt;&gt;0,M45,0)+IF(O$6&lt;&gt;0,P45,0)+IF(R$6&lt;&gt;0,S45,0))</f>
        <v>0</v>
      </c>
      <c r="W45" s="379">
        <f>U45-V45</f>
        <v>0</v>
      </c>
      <c r="X45" s="379">
        <f>'4.) Yearly Budget'!W45</f>
        <v>0</v>
      </c>
      <c r="Y45" s="380">
        <f>IF(U45&lt;&gt;0,U45-X45,IF(U45=0,-X45,0))</f>
        <v>0</v>
      </c>
      <c r="Z45" s="381">
        <f>SUM(IF(I$18&lt;&gt;0,'4.) Yearly Budget'!J45,0)+IF(L$18&lt;&gt;0,'4.) Yearly Budget'!M45,0)+IF(O$18&lt;&gt;0,'4.) Yearly Budget'!P45,0)+IF(R$18&lt;&gt;0,'4.) Yearly Budget'!S45,0))</f>
        <v>0</v>
      </c>
      <c r="AA45" s="381">
        <f>U45-Z45</f>
        <v>0</v>
      </c>
      <c r="AB45" s="381">
        <f>'4.) Yearly Budget'!V45</f>
        <v>0</v>
      </c>
      <c r="AC45" s="382">
        <f>IF(U45&lt;&gt;0,U45-AB45,IF(U45=0,-AB45,0))</f>
        <v>0</v>
      </c>
      <c r="AD45" s="381">
        <f>IF(U$6&lt;&gt;0,'4.) Yearly Budget'!I45/$AM$18,0)</f>
        <v>0</v>
      </c>
      <c r="AE45" s="105">
        <f>U45-AD45</f>
        <v>0</v>
      </c>
      <c r="AF45" s="278"/>
    </row>
    <row r="46" spans="1:32" s="68" customFormat="1">
      <c r="A46" s="258">
        <f t="shared" si="0"/>
        <v>46</v>
      </c>
      <c r="B46" s="96"/>
      <c r="C46" s="50"/>
      <c r="D46" s="97" t="s">
        <v>33</v>
      </c>
      <c r="E46" s="94"/>
      <c r="F46" s="94"/>
      <c r="G46" s="57"/>
      <c r="H46" s="95"/>
      <c r="I46" s="276"/>
      <c r="J46" s="102">
        <f>IF('4.) Yearly Budget'!$K$18&gt;0,'4.) Yearly Budget'!K46,'4.) Yearly Budget'!J46)</f>
        <v>0</v>
      </c>
      <c r="K46" s="382">
        <f>IF(I$18&lt;&gt;0,I46-J46,0)</f>
        <v>0</v>
      </c>
      <c r="L46" s="100"/>
      <c r="M46" s="102">
        <f>IF('4.) Yearly Budget'!$N$18&gt;0,'4.) Yearly Budget'!N46,'4.) Yearly Budget'!M46)</f>
        <v>0</v>
      </c>
      <c r="N46" s="382">
        <f>IF(L$18&lt;&gt;0,L46-M46,0)</f>
        <v>0</v>
      </c>
      <c r="O46" s="100"/>
      <c r="P46" s="102">
        <f>IF('4.) Yearly Budget'!$Q$18&gt;0,'4.) Yearly Budget'!Q46,'4.) Yearly Budget'!P46)</f>
        <v>0</v>
      </c>
      <c r="Q46" s="382">
        <f>IF(O$18&lt;&gt;0,O46-P46,0)</f>
        <v>0</v>
      </c>
      <c r="R46" s="100"/>
      <c r="S46" s="102">
        <f>IF('4.) Yearly Budget'!$T$18&gt;0,'4.) Yearly Budget'!T46,'4.) Yearly Budget'!S46)</f>
        <v>0</v>
      </c>
      <c r="T46" s="105">
        <f>IF(R$18&lt;&gt;0,R46-S46,0)</f>
        <v>0</v>
      </c>
      <c r="U46" s="277">
        <f>IF(I$6&lt;&gt;0,I46,0)+IF(L$6&lt;&gt;0,L46,0)+IF(O$6&lt;&gt;0,O46,0)+IF(R$6&lt;&gt;0,R46,0)</f>
        <v>0</v>
      </c>
      <c r="V46" s="379">
        <f>SUM(IF(I$6&lt;&gt;0,J46,0)+IF(L$6&lt;&gt;0,M46,0)+IF(O$6&lt;&gt;0,P46,0)+IF(R$6&lt;&gt;0,S46,0))</f>
        <v>0</v>
      </c>
      <c r="W46" s="379">
        <f>U46-V46</f>
        <v>0</v>
      </c>
      <c r="X46" s="379">
        <f>'4.) Yearly Budget'!W46</f>
        <v>0</v>
      </c>
      <c r="Y46" s="380">
        <f>IF(U46&lt;&gt;0,U46-X46,IF(U46=0,-X46,0))</f>
        <v>0</v>
      </c>
      <c r="Z46" s="381">
        <f>SUM(IF(I$18&lt;&gt;0,'4.) Yearly Budget'!J46,0)+IF(L$18&lt;&gt;0,'4.) Yearly Budget'!M46,0)+IF(O$18&lt;&gt;0,'4.) Yearly Budget'!P46,0)+IF(R$18&lt;&gt;0,'4.) Yearly Budget'!S46,0))</f>
        <v>0</v>
      </c>
      <c r="AA46" s="381">
        <f>U46-Z46</f>
        <v>0</v>
      </c>
      <c r="AB46" s="381">
        <f>'4.) Yearly Budget'!V46</f>
        <v>0</v>
      </c>
      <c r="AC46" s="382">
        <f>IF(U46&lt;&gt;0,U46-AB46,IF(U46=0,-AB46,0))</f>
        <v>0</v>
      </c>
      <c r="AD46" s="381">
        <f>IF(U$6&lt;&gt;0,'4.) Yearly Budget'!I46/$AM$18,0)</f>
        <v>0</v>
      </c>
      <c r="AE46" s="105">
        <f>U46-AD46</f>
        <v>0</v>
      </c>
      <c r="AF46" s="278"/>
    </row>
    <row r="47" spans="1:32" s="68" customFormat="1">
      <c r="A47" s="258">
        <f t="shared" si="0"/>
        <v>47</v>
      </c>
      <c r="B47" s="96"/>
      <c r="C47" s="50"/>
      <c r="D47" s="97" t="s">
        <v>34</v>
      </c>
      <c r="E47" s="94"/>
      <c r="F47" s="94"/>
      <c r="G47" s="57"/>
      <c r="H47" s="95"/>
      <c r="I47" s="276"/>
      <c r="J47" s="102">
        <f>IF('4.) Yearly Budget'!$K$18&gt;0,'4.) Yearly Budget'!K47,'4.) Yearly Budget'!J47)</f>
        <v>0</v>
      </c>
      <c r="K47" s="382">
        <f>IF(I$18&lt;&gt;0,I47-J47,0)</f>
        <v>0</v>
      </c>
      <c r="L47" s="100"/>
      <c r="M47" s="102">
        <f>IF('4.) Yearly Budget'!$N$18&gt;0,'4.) Yearly Budget'!N47,'4.) Yearly Budget'!M47)</f>
        <v>0</v>
      </c>
      <c r="N47" s="382">
        <f>IF(L$18&lt;&gt;0,L47-M47,0)</f>
        <v>0</v>
      </c>
      <c r="O47" s="100"/>
      <c r="P47" s="102">
        <f>IF('4.) Yearly Budget'!$Q$18&gt;0,'4.) Yearly Budget'!Q47,'4.) Yearly Budget'!P47)</f>
        <v>0</v>
      </c>
      <c r="Q47" s="382">
        <f>IF(O$18&lt;&gt;0,O47-P47,0)</f>
        <v>0</v>
      </c>
      <c r="R47" s="100"/>
      <c r="S47" s="102">
        <f>IF('4.) Yearly Budget'!$T$18&gt;0,'4.) Yearly Budget'!T47,'4.) Yearly Budget'!S47)</f>
        <v>0</v>
      </c>
      <c r="T47" s="105">
        <f>IF(R$18&lt;&gt;0,R47-S47,0)</f>
        <v>0</v>
      </c>
      <c r="U47" s="277">
        <f>IF(I$6&lt;&gt;0,I47,0)+IF(L$6&lt;&gt;0,L47,0)+IF(O$6&lt;&gt;0,O47,0)+IF(R$6&lt;&gt;0,R47,0)</f>
        <v>0</v>
      </c>
      <c r="V47" s="379">
        <f>SUM(IF(I$6&lt;&gt;0,J47,0)+IF(L$6&lt;&gt;0,M47,0)+IF(O$6&lt;&gt;0,P47,0)+IF(R$6&lt;&gt;0,S47,0))</f>
        <v>0</v>
      </c>
      <c r="W47" s="379">
        <f>U47-V47</f>
        <v>0</v>
      </c>
      <c r="X47" s="379">
        <f>'4.) Yearly Budget'!W47</f>
        <v>0</v>
      </c>
      <c r="Y47" s="380">
        <f>IF(U47&lt;&gt;0,U47-X47,IF(U47=0,-X47,0))</f>
        <v>0</v>
      </c>
      <c r="Z47" s="381">
        <f>SUM(IF(I$18&lt;&gt;0,'4.) Yearly Budget'!J47,0)+IF(L$18&lt;&gt;0,'4.) Yearly Budget'!M47,0)+IF(O$18&lt;&gt;0,'4.) Yearly Budget'!P47,0)+IF(R$18&lt;&gt;0,'4.) Yearly Budget'!S47,0))</f>
        <v>0</v>
      </c>
      <c r="AA47" s="381">
        <f>U47-Z47</f>
        <v>0</v>
      </c>
      <c r="AB47" s="381">
        <f>'4.) Yearly Budget'!V47</f>
        <v>0</v>
      </c>
      <c r="AC47" s="382">
        <f>IF(U47&lt;&gt;0,U47-AB47,IF(U47=0,-AB47,0))</f>
        <v>0</v>
      </c>
      <c r="AD47" s="381">
        <f>IF(U$6&lt;&gt;0,'4.) Yearly Budget'!I47/$AM$18,0)</f>
        <v>0</v>
      </c>
      <c r="AE47" s="105">
        <f>U47-AD47</f>
        <v>0</v>
      </c>
      <c r="AF47" s="278"/>
    </row>
    <row r="48" spans="1:32" s="68" customFormat="1">
      <c r="A48" s="258">
        <f t="shared" si="0"/>
        <v>48</v>
      </c>
      <c r="B48" s="96"/>
      <c r="C48" s="50"/>
      <c r="D48" s="97" t="s">
        <v>35</v>
      </c>
      <c r="E48" s="94"/>
      <c r="F48" s="94"/>
      <c r="G48" s="57"/>
      <c r="H48" s="95"/>
      <c r="I48" s="276"/>
      <c r="J48" s="102">
        <f>IF('4.) Yearly Budget'!$K$18&gt;0,'4.) Yearly Budget'!K48,'4.) Yearly Budget'!J48)</f>
        <v>0</v>
      </c>
      <c r="K48" s="382">
        <f>IF(I$18&lt;&gt;0,I48-J48,0)</f>
        <v>0</v>
      </c>
      <c r="L48" s="100"/>
      <c r="M48" s="102">
        <f>IF('4.) Yearly Budget'!$N$18&gt;0,'4.) Yearly Budget'!N48,'4.) Yearly Budget'!M48)</f>
        <v>0</v>
      </c>
      <c r="N48" s="382">
        <f>IF(L$18&lt;&gt;0,L48-M48,0)</f>
        <v>0</v>
      </c>
      <c r="O48" s="100"/>
      <c r="P48" s="102">
        <f>IF('4.) Yearly Budget'!$Q$18&gt;0,'4.) Yearly Budget'!Q48,'4.) Yearly Budget'!P48)</f>
        <v>0</v>
      </c>
      <c r="Q48" s="382">
        <f>IF(O$18&lt;&gt;0,O48-P48,0)</f>
        <v>0</v>
      </c>
      <c r="R48" s="100"/>
      <c r="S48" s="102">
        <f>IF('4.) Yearly Budget'!$T$18&gt;0,'4.) Yearly Budget'!T48,'4.) Yearly Budget'!S48)</f>
        <v>0</v>
      </c>
      <c r="T48" s="105">
        <f>IF(R$18&lt;&gt;0,R48-S48,0)</f>
        <v>0</v>
      </c>
      <c r="U48" s="277">
        <f>IF(I$6&lt;&gt;0,I48,0)+IF(L$6&lt;&gt;0,L48,0)+IF(O$6&lt;&gt;0,O48,0)+IF(R$6&lt;&gt;0,R48,0)</f>
        <v>0</v>
      </c>
      <c r="V48" s="379">
        <f>SUM(IF(I$6&lt;&gt;0,J48,0)+IF(L$6&lt;&gt;0,M48,0)+IF(O$6&lt;&gt;0,P48,0)+IF(R$6&lt;&gt;0,S48,0))</f>
        <v>0</v>
      </c>
      <c r="W48" s="379">
        <f>U48-V48</f>
        <v>0</v>
      </c>
      <c r="X48" s="379">
        <f>'4.) Yearly Budget'!W48</f>
        <v>0</v>
      </c>
      <c r="Y48" s="380">
        <f>IF(U48&lt;&gt;0,U48-X48,IF(U48=0,-X48,0))</f>
        <v>0</v>
      </c>
      <c r="Z48" s="381">
        <f>SUM(IF(I$18&lt;&gt;0,'4.) Yearly Budget'!J48,0)+IF(L$18&lt;&gt;0,'4.) Yearly Budget'!M48,0)+IF(O$18&lt;&gt;0,'4.) Yearly Budget'!P48,0)+IF(R$18&lt;&gt;0,'4.) Yearly Budget'!S48,0))</f>
        <v>0</v>
      </c>
      <c r="AA48" s="381">
        <f>U48-Z48</f>
        <v>0</v>
      </c>
      <c r="AB48" s="381">
        <f>'4.) Yearly Budget'!V48</f>
        <v>0</v>
      </c>
      <c r="AC48" s="382">
        <f>IF(U48&lt;&gt;0,U48-AB48,IF(U48=0,-AB48,0))</f>
        <v>0</v>
      </c>
      <c r="AD48" s="381">
        <f>IF(U$6&lt;&gt;0,'4.) Yearly Budget'!I48/$AM$18,0)</f>
        <v>0</v>
      </c>
      <c r="AE48" s="105">
        <f>U48-AD48</f>
        <v>0</v>
      </c>
      <c r="AF48" s="278"/>
    </row>
    <row r="49" spans="1:32" s="68" customFormat="1">
      <c r="A49" s="258">
        <f t="shared" si="0"/>
        <v>49</v>
      </c>
      <c r="B49" s="96"/>
      <c r="C49" s="50"/>
      <c r="D49" s="97" t="s">
        <v>27</v>
      </c>
      <c r="E49" s="94"/>
      <c r="F49" s="94"/>
      <c r="G49" s="57"/>
      <c r="H49" s="95"/>
      <c r="I49" s="104"/>
      <c r="J49" s="104"/>
      <c r="K49" s="104"/>
      <c r="L49" s="104"/>
      <c r="M49" s="104"/>
      <c r="N49" s="104"/>
      <c r="O49" s="104"/>
      <c r="P49" s="104"/>
      <c r="Q49" s="104"/>
      <c r="R49" s="104"/>
      <c r="S49" s="104"/>
      <c r="T49" s="105"/>
      <c r="U49" s="283"/>
      <c r="V49" s="386"/>
      <c r="W49" s="386"/>
      <c r="X49" s="386"/>
      <c r="Y49" s="386"/>
      <c r="Z49" s="386"/>
      <c r="AA49" s="386"/>
      <c r="AB49" s="386"/>
      <c r="AC49" s="104"/>
      <c r="AD49" s="386"/>
      <c r="AE49" s="105"/>
      <c r="AF49" s="278"/>
    </row>
    <row r="50" spans="1:32" s="68" customFormat="1">
      <c r="A50" s="258">
        <f t="shared" si="0"/>
        <v>50</v>
      </c>
      <c r="B50" s="96"/>
      <c r="C50" s="50"/>
      <c r="D50" s="50"/>
      <c r="E50" s="120" t="s">
        <v>36</v>
      </c>
      <c r="F50" s="120"/>
      <c r="G50" s="56"/>
      <c r="H50" s="95"/>
      <c r="I50" s="276"/>
      <c r="J50" s="102">
        <f>IF('4.) Yearly Budget'!$K$18&gt;0,'4.) Yearly Budget'!K50,'4.) Yearly Budget'!J50)</f>
        <v>0</v>
      </c>
      <c r="K50" s="382">
        <f>IF(I$18&lt;&gt;0,I50-J50,0)</f>
        <v>0</v>
      </c>
      <c r="L50" s="100"/>
      <c r="M50" s="102">
        <f>IF('4.) Yearly Budget'!$N$18&gt;0,'4.) Yearly Budget'!N50,'4.) Yearly Budget'!M50)</f>
        <v>0</v>
      </c>
      <c r="N50" s="382">
        <f>IF(L$18&lt;&gt;0,L50-M50,0)</f>
        <v>0</v>
      </c>
      <c r="O50" s="100"/>
      <c r="P50" s="102">
        <f>IF('4.) Yearly Budget'!$Q$18&gt;0,'4.) Yearly Budget'!Q50,'4.) Yearly Budget'!P50)</f>
        <v>0</v>
      </c>
      <c r="Q50" s="382">
        <f>IF(O$18&lt;&gt;0,O50-P50,0)</f>
        <v>0</v>
      </c>
      <c r="R50" s="100"/>
      <c r="S50" s="102">
        <f>IF('4.) Yearly Budget'!$T$18&gt;0,'4.) Yearly Budget'!T50,'4.) Yearly Budget'!S50)</f>
        <v>0</v>
      </c>
      <c r="T50" s="105">
        <f>IF(R$18&lt;&gt;0,R50-S50,0)</f>
        <v>0</v>
      </c>
      <c r="U50" s="277">
        <f>IF(I$6&lt;&gt;0,I50,0)+IF(L$6&lt;&gt;0,L50,0)+IF(O$6&lt;&gt;0,O50,0)+IF(R$6&lt;&gt;0,R50,0)</f>
        <v>0</v>
      </c>
      <c r="V50" s="379">
        <f>SUM(IF(I$6&lt;&gt;0,J50,0)+IF(L$6&lt;&gt;0,M50,0)+IF(O$6&lt;&gt;0,P50,0)+IF(R$6&lt;&gt;0,S50,0))</f>
        <v>0</v>
      </c>
      <c r="W50" s="379">
        <f>U50-V50</f>
        <v>0</v>
      </c>
      <c r="X50" s="379">
        <f>'4.) Yearly Budget'!W50</f>
        <v>0</v>
      </c>
      <c r="Y50" s="380">
        <f>IF(U50&lt;&gt;0,U50-X50,IF(U50=0,-X50,0))</f>
        <v>0</v>
      </c>
      <c r="Z50" s="381">
        <f>SUM(IF(I$18&lt;&gt;0,'4.) Yearly Budget'!J50,0)+IF(L$18&lt;&gt;0,'4.) Yearly Budget'!M50,0)+IF(O$18&lt;&gt;0,'4.) Yearly Budget'!P50,0)+IF(R$18&lt;&gt;0,'4.) Yearly Budget'!S50,0))</f>
        <v>0</v>
      </c>
      <c r="AA50" s="381">
        <f>U50-Z50</f>
        <v>0</v>
      </c>
      <c r="AB50" s="381">
        <f>'4.) Yearly Budget'!V50</f>
        <v>0</v>
      </c>
      <c r="AC50" s="382">
        <f>IF(U50&lt;&gt;0,U50-AB50,IF(U50=0,-AB50,0))</f>
        <v>0</v>
      </c>
      <c r="AD50" s="381">
        <f>IF(U$6&lt;&gt;0,'4.) Yearly Budget'!I50/$AM$18,0)</f>
        <v>0</v>
      </c>
      <c r="AE50" s="105">
        <f>U50-AD50</f>
        <v>0</v>
      </c>
      <c r="AF50" s="278"/>
    </row>
    <row r="51" spans="1:32" s="68" customFormat="1">
      <c r="A51" s="258">
        <f t="shared" si="0"/>
        <v>51</v>
      </c>
      <c r="B51" s="96"/>
      <c r="C51" s="50"/>
      <c r="D51" s="50"/>
      <c r="E51" s="120" t="s">
        <v>29</v>
      </c>
      <c r="F51" s="120"/>
      <c r="G51" s="56"/>
      <c r="H51" s="95"/>
      <c r="I51" s="276"/>
      <c r="J51" s="102">
        <f>IF('4.) Yearly Budget'!$K$18&gt;0,'4.) Yearly Budget'!K51,'4.) Yearly Budget'!J51)</f>
        <v>0</v>
      </c>
      <c r="K51" s="382">
        <f>IF(I$18&lt;&gt;0,I51-J51,0)</f>
        <v>0</v>
      </c>
      <c r="L51" s="100"/>
      <c r="M51" s="102">
        <f>IF('4.) Yearly Budget'!$N$18&gt;0,'4.) Yearly Budget'!N51,'4.) Yearly Budget'!M51)</f>
        <v>0</v>
      </c>
      <c r="N51" s="382">
        <f>IF(L$18&lt;&gt;0,L51-M51,0)</f>
        <v>0</v>
      </c>
      <c r="O51" s="100"/>
      <c r="P51" s="102">
        <f>IF('4.) Yearly Budget'!$Q$18&gt;0,'4.) Yearly Budget'!Q51,'4.) Yearly Budget'!P51)</f>
        <v>0</v>
      </c>
      <c r="Q51" s="382">
        <f>IF(O$18&lt;&gt;0,O51-P51,0)</f>
        <v>0</v>
      </c>
      <c r="R51" s="100"/>
      <c r="S51" s="102">
        <f>IF('4.) Yearly Budget'!$T$18&gt;0,'4.) Yearly Budget'!T51,'4.) Yearly Budget'!S51)</f>
        <v>0</v>
      </c>
      <c r="T51" s="105">
        <f>IF(R$18&lt;&gt;0,R51-S51,0)</f>
        <v>0</v>
      </c>
      <c r="U51" s="277">
        <f>IF(I$6&lt;&gt;0,I51,0)+IF(L$6&lt;&gt;0,L51,0)+IF(O$6&lt;&gt;0,O51,0)+IF(R$6&lt;&gt;0,R51,0)</f>
        <v>0</v>
      </c>
      <c r="V51" s="379">
        <f>SUM(IF(I$6&lt;&gt;0,J51,0)+IF(L$6&lt;&gt;0,M51,0)+IF(O$6&lt;&gt;0,P51,0)+IF(R$6&lt;&gt;0,S51,0))</f>
        <v>0</v>
      </c>
      <c r="W51" s="379">
        <f>U51-V51</f>
        <v>0</v>
      </c>
      <c r="X51" s="379">
        <f>'4.) Yearly Budget'!W51</f>
        <v>0</v>
      </c>
      <c r="Y51" s="380">
        <f>IF(U51&lt;&gt;0,U51-X51,IF(U51=0,-X51,0))</f>
        <v>0</v>
      </c>
      <c r="Z51" s="381">
        <f>SUM(IF(I$18&lt;&gt;0,'4.) Yearly Budget'!J51,0)+IF(L$18&lt;&gt;0,'4.) Yearly Budget'!M51,0)+IF(O$18&lt;&gt;0,'4.) Yearly Budget'!P51,0)+IF(R$18&lt;&gt;0,'4.) Yearly Budget'!S51,0))</f>
        <v>0</v>
      </c>
      <c r="AA51" s="381">
        <f>U51-Z51</f>
        <v>0</v>
      </c>
      <c r="AB51" s="381">
        <f>'4.) Yearly Budget'!V51</f>
        <v>0</v>
      </c>
      <c r="AC51" s="382">
        <f>IF(U51&lt;&gt;0,U51-AB51,IF(U51=0,-AB51,0))</f>
        <v>0</v>
      </c>
      <c r="AD51" s="381">
        <f>IF(U$6&lt;&gt;0,'4.) Yearly Budget'!I51/$AM$18,0)</f>
        <v>0</v>
      </c>
      <c r="AE51" s="105">
        <f>U51-AD51</f>
        <v>0</v>
      </c>
      <c r="AF51" s="278"/>
    </row>
    <row r="52" spans="1:32" s="68" customFormat="1" ht="16.8">
      <c r="A52" s="258">
        <f t="shared" si="0"/>
        <v>52</v>
      </c>
      <c r="B52" s="96"/>
      <c r="C52" s="50"/>
      <c r="D52" s="97" t="s">
        <v>37</v>
      </c>
      <c r="E52" s="94"/>
      <c r="F52" s="94"/>
      <c r="G52" s="57"/>
      <c r="H52" s="95"/>
      <c r="I52" s="284"/>
      <c r="J52" s="549">
        <f>IF('4.) Yearly Budget'!$K$18&gt;0,'4.) Yearly Budget'!K52,'4.) Yearly Budget'!J52)</f>
        <v>0</v>
      </c>
      <c r="K52" s="392">
        <f>IF(I$18&lt;&gt;0,I52-J52,0)</f>
        <v>0</v>
      </c>
      <c r="L52" s="106"/>
      <c r="M52" s="549">
        <f>IF('4.) Yearly Budget'!$N$18&gt;0,'4.) Yearly Budget'!N52,'4.) Yearly Budget'!M52)</f>
        <v>0</v>
      </c>
      <c r="N52" s="392">
        <f>IF(L$18&lt;&gt;0,L52-M52,0)</f>
        <v>0</v>
      </c>
      <c r="O52" s="106"/>
      <c r="P52" s="549">
        <f>IF('4.) Yearly Budget'!$Q$18&gt;0,'4.) Yearly Budget'!Q52,'4.) Yearly Budget'!P52)</f>
        <v>0</v>
      </c>
      <c r="Q52" s="392">
        <f>IF(O$18&lt;&gt;0,O52-P52,0)</f>
        <v>0</v>
      </c>
      <c r="R52" s="106"/>
      <c r="S52" s="549">
        <f>IF('4.) Yearly Budget'!$T$18&gt;0,'4.) Yearly Budget'!T52,'4.) Yearly Budget'!S52)</f>
        <v>0</v>
      </c>
      <c r="T52" s="388">
        <f>IF(R$18&lt;&gt;0,R52-S52,0)</f>
        <v>0</v>
      </c>
      <c r="U52" s="285">
        <f>IF(I$6&lt;&gt;0,I52,0)+IF(L$6&lt;&gt;0,L52,0)+IF(O$6&lt;&gt;0,O52,0)+IF(R$6&lt;&gt;0,R52,0)</f>
        <v>0</v>
      </c>
      <c r="V52" s="389">
        <f>SUM(IF(I$6&lt;&gt;0,J52,0)+IF(L$6&lt;&gt;0,M52,0)+IF(O$6&lt;&gt;0,P52,0)+IF(R$6&lt;&gt;0,S52,0))</f>
        <v>0</v>
      </c>
      <c r="W52" s="389">
        <f>U52-V52</f>
        <v>0</v>
      </c>
      <c r="X52" s="389">
        <f>'4.) Yearly Budget'!W52</f>
        <v>0</v>
      </c>
      <c r="Y52" s="390">
        <f>IF(U52&lt;&gt;0,U52-X52,IF(U52=0,-X52,0))</f>
        <v>0</v>
      </c>
      <c r="Z52" s="391">
        <f>SUM(IF(I$18&lt;&gt;0,'4.) Yearly Budget'!J52,0)+IF(L$18&lt;&gt;0,'4.) Yearly Budget'!M52,0)+IF(O$18&lt;&gt;0,'4.) Yearly Budget'!P52,0)+IF(R$18&lt;&gt;0,'4.) Yearly Budget'!S52,0))</f>
        <v>0</v>
      </c>
      <c r="AA52" s="391">
        <f>U52-Z52</f>
        <v>0</v>
      </c>
      <c r="AB52" s="391">
        <f>'4.) Yearly Budget'!V52</f>
        <v>0</v>
      </c>
      <c r="AC52" s="392">
        <f>IF(U52&lt;&gt;0,U52-AB52,IF(U52=0,-AB52,0))</f>
        <v>0</v>
      </c>
      <c r="AD52" s="391">
        <f>IF(U$6&lt;&gt;0,'4.) Yearly Budget'!I52/$AM$18,0)</f>
        <v>0</v>
      </c>
      <c r="AE52" s="388">
        <f>U52-AD52</f>
        <v>0</v>
      </c>
      <c r="AF52" s="278"/>
    </row>
    <row r="53" spans="1:32" s="68" customFormat="1">
      <c r="A53" s="258">
        <f t="shared" si="0"/>
        <v>53</v>
      </c>
      <c r="B53" s="96"/>
      <c r="C53" s="50" t="s">
        <v>38</v>
      </c>
      <c r="D53" s="97"/>
      <c r="E53" s="94"/>
      <c r="F53" s="94"/>
      <c r="G53" s="57"/>
      <c r="H53" s="95"/>
      <c r="I53" s="281">
        <f t="shared" ref="I53:AE53" si="17">SUM(I45:I52)</f>
        <v>0</v>
      </c>
      <c r="J53" s="281">
        <f t="shared" si="17"/>
        <v>0</v>
      </c>
      <c r="K53" s="393">
        <f t="shared" si="17"/>
        <v>0</v>
      </c>
      <c r="L53" s="102">
        <f t="shared" si="17"/>
        <v>0</v>
      </c>
      <c r="M53" s="158">
        <f t="shared" si="17"/>
        <v>0</v>
      </c>
      <c r="N53" s="393">
        <f t="shared" si="17"/>
        <v>0</v>
      </c>
      <c r="O53" s="102">
        <f t="shared" si="17"/>
        <v>0</v>
      </c>
      <c r="P53" s="158">
        <f t="shared" si="17"/>
        <v>0</v>
      </c>
      <c r="Q53" s="393">
        <f t="shared" si="17"/>
        <v>0</v>
      </c>
      <c r="R53" s="102">
        <f t="shared" si="17"/>
        <v>0</v>
      </c>
      <c r="S53" s="158">
        <f t="shared" si="17"/>
        <v>0</v>
      </c>
      <c r="T53" s="103">
        <f t="shared" si="17"/>
        <v>0</v>
      </c>
      <c r="U53" s="283">
        <f t="shared" si="17"/>
        <v>0</v>
      </c>
      <c r="V53" s="394">
        <f t="shared" si="17"/>
        <v>0</v>
      </c>
      <c r="W53" s="394">
        <f t="shared" si="17"/>
        <v>0</v>
      </c>
      <c r="X53" s="394">
        <f t="shared" si="17"/>
        <v>0</v>
      </c>
      <c r="Y53" s="104">
        <f t="shared" si="17"/>
        <v>0</v>
      </c>
      <c r="Z53" s="395">
        <f t="shared" si="17"/>
        <v>0</v>
      </c>
      <c r="AA53" s="135">
        <f t="shared" si="17"/>
        <v>0</v>
      </c>
      <c r="AB53" s="135">
        <f t="shared" si="17"/>
        <v>0</v>
      </c>
      <c r="AC53" s="393">
        <f t="shared" si="17"/>
        <v>0</v>
      </c>
      <c r="AD53" s="395">
        <f t="shared" si="17"/>
        <v>0</v>
      </c>
      <c r="AE53" s="105">
        <f t="shared" si="17"/>
        <v>0</v>
      </c>
      <c r="AF53" s="278"/>
    </row>
    <row r="54" spans="1:32" s="94" customFormat="1" ht="7.5" customHeight="1">
      <c r="A54" s="258">
        <f t="shared" si="0"/>
        <v>54</v>
      </c>
      <c r="B54" s="96"/>
      <c r="C54" s="50"/>
      <c r="D54" s="50"/>
      <c r="E54" s="53"/>
      <c r="F54" s="53"/>
      <c r="G54" s="51"/>
      <c r="H54" s="95"/>
      <c r="I54" s="107"/>
      <c r="J54" s="107"/>
      <c r="K54" s="107"/>
      <c r="L54" s="107"/>
      <c r="M54" s="107"/>
      <c r="N54" s="107"/>
      <c r="O54" s="107"/>
      <c r="P54" s="107"/>
      <c r="Q54" s="107"/>
      <c r="R54" s="107"/>
      <c r="S54" s="107"/>
      <c r="T54" s="108"/>
      <c r="U54" s="107"/>
      <c r="V54" s="107"/>
      <c r="W54" s="107"/>
      <c r="X54" s="107"/>
      <c r="Y54" s="107"/>
      <c r="Z54" s="107"/>
      <c r="AA54" s="107"/>
      <c r="AB54" s="107"/>
      <c r="AC54" s="107"/>
      <c r="AD54" s="107"/>
      <c r="AE54" s="108"/>
      <c r="AF54" s="278"/>
    </row>
    <row r="55" spans="1:32" s="68" customFormat="1">
      <c r="A55" s="258">
        <f t="shared" si="0"/>
        <v>55</v>
      </c>
      <c r="B55" s="92"/>
      <c r="C55" s="93" t="s">
        <v>39</v>
      </c>
      <c r="D55" s="93"/>
      <c r="E55" s="53"/>
      <c r="F55" s="53"/>
      <c r="G55" s="51"/>
      <c r="H55" s="95"/>
      <c r="I55" s="98"/>
      <c r="J55" s="98"/>
      <c r="K55" s="98"/>
      <c r="L55" s="98"/>
      <c r="M55" s="98"/>
      <c r="N55" s="98"/>
      <c r="O55" s="98"/>
      <c r="P55" s="98"/>
      <c r="Q55" s="98"/>
      <c r="R55" s="98"/>
      <c r="S55" s="98"/>
      <c r="T55" s="99"/>
      <c r="U55" s="98"/>
      <c r="V55" s="98"/>
      <c r="W55" s="98"/>
      <c r="X55" s="98"/>
      <c r="Y55" s="98"/>
      <c r="Z55" s="98"/>
      <c r="AA55" s="98"/>
      <c r="AB55" s="98"/>
      <c r="AC55" s="98"/>
      <c r="AD55" s="98"/>
      <c r="AE55" s="99"/>
      <c r="AF55" s="278"/>
    </row>
    <row r="56" spans="1:32" s="68" customFormat="1">
      <c r="A56" s="258">
        <f t="shared" si="0"/>
        <v>56</v>
      </c>
      <c r="B56" s="96"/>
      <c r="C56" s="50"/>
      <c r="D56" s="97" t="s">
        <v>40</v>
      </c>
      <c r="E56" s="94"/>
      <c r="F56" s="94"/>
      <c r="G56" s="57"/>
      <c r="H56" s="95"/>
      <c r="I56" s="276"/>
      <c r="J56" s="102">
        <f>IF('4.) Yearly Budget'!$K$18&gt;0,'4.) Yearly Budget'!K56,'4.) Yearly Budget'!J56)</f>
        <v>0</v>
      </c>
      <c r="K56" s="382">
        <f t="shared" ref="K56:K63" si="18">IF(I$18&lt;&gt;0,I56-J56,0)</f>
        <v>0</v>
      </c>
      <c r="L56" s="100"/>
      <c r="M56" s="102">
        <f>IF('4.) Yearly Budget'!$N$18&gt;0,'4.) Yearly Budget'!N56,'4.) Yearly Budget'!M56)</f>
        <v>0</v>
      </c>
      <c r="N56" s="382">
        <f t="shared" ref="N56:N63" si="19">IF(L$18&lt;&gt;0,L56-M56,0)</f>
        <v>0</v>
      </c>
      <c r="O56" s="100"/>
      <c r="P56" s="102">
        <f>IF('4.) Yearly Budget'!$Q$18&gt;0,'4.) Yearly Budget'!Q56,'4.) Yearly Budget'!P56)</f>
        <v>0</v>
      </c>
      <c r="Q56" s="382">
        <f t="shared" ref="Q56:Q63" si="20">IF(O$18&lt;&gt;0,O56-P56,0)</f>
        <v>0</v>
      </c>
      <c r="R56" s="100"/>
      <c r="S56" s="102">
        <f>IF('4.) Yearly Budget'!$T$18&gt;0,'4.) Yearly Budget'!T56,'4.) Yearly Budget'!S56)</f>
        <v>0</v>
      </c>
      <c r="T56" s="105">
        <f t="shared" ref="T56:T63" si="21">IF(R$18&lt;&gt;0,R56-S56,0)</f>
        <v>0</v>
      </c>
      <c r="U56" s="277">
        <f t="shared" ref="U56:U63" si="22">IF(I$6&lt;&gt;0,I56,0)+IF(L$6&lt;&gt;0,L56,0)+IF(O$6&lt;&gt;0,O56,0)+IF(R$6&lt;&gt;0,R56,0)</f>
        <v>0</v>
      </c>
      <c r="V56" s="379">
        <f t="shared" ref="V56:V63" si="23">SUM(IF(I$6&lt;&gt;0,J56,0)+IF(L$6&lt;&gt;0,M56,0)+IF(O$6&lt;&gt;0,P56,0)+IF(R$6&lt;&gt;0,S56,0))</f>
        <v>0</v>
      </c>
      <c r="W56" s="379">
        <f t="shared" ref="W56:W63" si="24">U56-V56</f>
        <v>0</v>
      </c>
      <c r="X56" s="379">
        <f>'4.) Yearly Budget'!W56</f>
        <v>0</v>
      </c>
      <c r="Y56" s="380">
        <f t="shared" ref="Y56:Y63" si="25">IF(U56&lt;&gt;0,U56-X56,IF(U56=0,-X56,0))</f>
        <v>0</v>
      </c>
      <c r="Z56" s="381">
        <f>SUM(IF(I$18&lt;&gt;0,'4.) Yearly Budget'!J56,0)+IF(L$18&lt;&gt;0,'4.) Yearly Budget'!M56,0)+IF(O$18&lt;&gt;0,'4.) Yearly Budget'!P56,0)+IF(R$18&lt;&gt;0,'4.) Yearly Budget'!S56,0))</f>
        <v>0</v>
      </c>
      <c r="AA56" s="381">
        <f t="shared" ref="AA56:AA63" si="26">U56-Z56</f>
        <v>0</v>
      </c>
      <c r="AB56" s="381">
        <f>'4.) Yearly Budget'!V56</f>
        <v>0</v>
      </c>
      <c r="AC56" s="382">
        <f t="shared" ref="AC56:AC63" si="27">IF(U56&lt;&gt;0,U56-AB56,IF(U56=0,-AB56,0))</f>
        <v>0</v>
      </c>
      <c r="AD56" s="381">
        <f>IF(U$6&lt;&gt;0,'4.) Yearly Budget'!I56/$AM$18,0)</f>
        <v>0</v>
      </c>
      <c r="AE56" s="105">
        <f t="shared" ref="AE56:AE63" si="28">U56-AD56</f>
        <v>0</v>
      </c>
      <c r="AF56" s="278"/>
    </row>
    <row r="57" spans="1:32" s="68" customFormat="1">
      <c r="A57" s="258">
        <f t="shared" si="0"/>
        <v>57</v>
      </c>
      <c r="B57" s="96"/>
      <c r="C57" s="50"/>
      <c r="D57" s="97" t="s">
        <v>41</v>
      </c>
      <c r="E57" s="94"/>
      <c r="F57" s="94"/>
      <c r="G57" s="57"/>
      <c r="H57" s="95"/>
      <c r="I57" s="276"/>
      <c r="J57" s="102">
        <f>IF('4.) Yearly Budget'!$K$18&gt;0,'4.) Yearly Budget'!K57,'4.) Yearly Budget'!J57)</f>
        <v>0</v>
      </c>
      <c r="K57" s="382">
        <f t="shared" si="18"/>
        <v>0</v>
      </c>
      <c r="L57" s="100"/>
      <c r="M57" s="102">
        <f>IF('4.) Yearly Budget'!$N$18&gt;0,'4.) Yearly Budget'!N57,'4.) Yearly Budget'!M57)</f>
        <v>0</v>
      </c>
      <c r="N57" s="382">
        <f t="shared" si="19"/>
        <v>0</v>
      </c>
      <c r="O57" s="100"/>
      <c r="P57" s="102">
        <f>IF('4.) Yearly Budget'!$Q$18&gt;0,'4.) Yearly Budget'!Q57,'4.) Yearly Budget'!P57)</f>
        <v>0</v>
      </c>
      <c r="Q57" s="382">
        <f t="shared" si="20"/>
        <v>0</v>
      </c>
      <c r="R57" s="100"/>
      <c r="S57" s="102">
        <f>IF('4.) Yearly Budget'!$T$18&gt;0,'4.) Yearly Budget'!T57,'4.) Yearly Budget'!S57)</f>
        <v>0</v>
      </c>
      <c r="T57" s="105">
        <f t="shared" si="21"/>
        <v>0</v>
      </c>
      <c r="U57" s="277">
        <f t="shared" si="22"/>
        <v>0</v>
      </c>
      <c r="V57" s="379">
        <f t="shared" si="23"/>
        <v>0</v>
      </c>
      <c r="W57" s="379">
        <f t="shared" si="24"/>
        <v>0</v>
      </c>
      <c r="X57" s="379">
        <f>'4.) Yearly Budget'!W57</f>
        <v>0</v>
      </c>
      <c r="Y57" s="380">
        <f t="shared" si="25"/>
        <v>0</v>
      </c>
      <c r="Z57" s="381">
        <f>SUM(IF(I$18&lt;&gt;0,'4.) Yearly Budget'!J57,0)+IF(L$18&lt;&gt;0,'4.) Yearly Budget'!M57,0)+IF(O$18&lt;&gt;0,'4.) Yearly Budget'!P57,0)+IF(R$18&lt;&gt;0,'4.) Yearly Budget'!S57,0))</f>
        <v>0</v>
      </c>
      <c r="AA57" s="381">
        <f t="shared" si="26"/>
        <v>0</v>
      </c>
      <c r="AB57" s="381">
        <f>'4.) Yearly Budget'!V57</f>
        <v>0</v>
      </c>
      <c r="AC57" s="382">
        <f t="shared" si="27"/>
        <v>0</v>
      </c>
      <c r="AD57" s="381">
        <f>IF(U$6&lt;&gt;0,'4.) Yearly Budget'!I57/$AM$18,0)</f>
        <v>0</v>
      </c>
      <c r="AE57" s="105">
        <f t="shared" si="28"/>
        <v>0</v>
      </c>
      <c r="AF57" s="278"/>
    </row>
    <row r="58" spans="1:32" s="68" customFormat="1">
      <c r="A58" s="258">
        <f t="shared" si="0"/>
        <v>58</v>
      </c>
      <c r="B58" s="96"/>
      <c r="C58" s="50"/>
      <c r="D58" s="97" t="s">
        <v>42</v>
      </c>
      <c r="E58" s="94"/>
      <c r="F58" s="94"/>
      <c r="G58" s="57"/>
      <c r="H58" s="95"/>
      <c r="I58" s="276"/>
      <c r="J58" s="102">
        <f>IF('4.) Yearly Budget'!$K$18&gt;0,'4.) Yearly Budget'!K58,'4.) Yearly Budget'!J58)</f>
        <v>0</v>
      </c>
      <c r="K58" s="382">
        <f t="shared" si="18"/>
        <v>0</v>
      </c>
      <c r="L58" s="100"/>
      <c r="M58" s="102">
        <f>IF('4.) Yearly Budget'!$N$18&gt;0,'4.) Yearly Budget'!N58,'4.) Yearly Budget'!M58)</f>
        <v>0</v>
      </c>
      <c r="N58" s="382">
        <f t="shared" si="19"/>
        <v>0</v>
      </c>
      <c r="O58" s="100"/>
      <c r="P58" s="102">
        <f>IF('4.) Yearly Budget'!$Q$18&gt;0,'4.) Yearly Budget'!Q58,'4.) Yearly Budget'!P58)</f>
        <v>0</v>
      </c>
      <c r="Q58" s="382">
        <f t="shared" si="20"/>
        <v>0</v>
      </c>
      <c r="R58" s="100"/>
      <c r="S58" s="102">
        <f>IF('4.) Yearly Budget'!$T$18&gt;0,'4.) Yearly Budget'!T58,'4.) Yearly Budget'!S58)</f>
        <v>0</v>
      </c>
      <c r="T58" s="105">
        <f t="shared" si="21"/>
        <v>0</v>
      </c>
      <c r="U58" s="277">
        <f t="shared" si="22"/>
        <v>0</v>
      </c>
      <c r="V58" s="379">
        <f t="shared" si="23"/>
        <v>0</v>
      </c>
      <c r="W58" s="379">
        <f t="shared" si="24"/>
        <v>0</v>
      </c>
      <c r="X58" s="379">
        <f>'4.) Yearly Budget'!W58</f>
        <v>0</v>
      </c>
      <c r="Y58" s="380">
        <f t="shared" si="25"/>
        <v>0</v>
      </c>
      <c r="Z58" s="381">
        <f>SUM(IF(I$18&lt;&gt;0,'4.) Yearly Budget'!J58,0)+IF(L$18&lt;&gt;0,'4.) Yearly Budget'!M58,0)+IF(O$18&lt;&gt;0,'4.) Yearly Budget'!P58,0)+IF(R$18&lt;&gt;0,'4.) Yearly Budget'!S58,0))</f>
        <v>0</v>
      </c>
      <c r="AA58" s="381">
        <f t="shared" si="26"/>
        <v>0</v>
      </c>
      <c r="AB58" s="381">
        <f>'4.) Yearly Budget'!V58</f>
        <v>0</v>
      </c>
      <c r="AC58" s="382">
        <f t="shared" si="27"/>
        <v>0</v>
      </c>
      <c r="AD58" s="381">
        <f>IF(U$6&lt;&gt;0,'4.) Yearly Budget'!I58/$AM$18,0)</f>
        <v>0</v>
      </c>
      <c r="AE58" s="105">
        <f t="shared" si="28"/>
        <v>0</v>
      </c>
      <c r="AF58" s="278"/>
    </row>
    <row r="59" spans="1:32" s="68" customFormat="1">
      <c r="A59" s="258">
        <f t="shared" si="0"/>
        <v>59</v>
      </c>
      <c r="B59" s="96"/>
      <c r="C59" s="50"/>
      <c r="D59" s="97" t="s">
        <v>43</v>
      </c>
      <c r="E59" s="94"/>
      <c r="F59" s="94"/>
      <c r="G59" s="57"/>
      <c r="H59" s="95"/>
      <c r="I59" s="276"/>
      <c r="J59" s="102">
        <f>IF('4.) Yearly Budget'!$K$18&gt;0,'4.) Yearly Budget'!K59,'4.) Yearly Budget'!J59)</f>
        <v>0</v>
      </c>
      <c r="K59" s="382">
        <f t="shared" si="18"/>
        <v>0</v>
      </c>
      <c r="L59" s="100"/>
      <c r="M59" s="102">
        <f>IF('4.) Yearly Budget'!$N$18&gt;0,'4.) Yearly Budget'!N59,'4.) Yearly Budget'!M59)</f>
        <v>0</v>
      </c>
      <c r="N59" s="382">
        <f t="shared" si="19"/>
        <v>0</v>
      </c>
      <c r="O59" s="100"/>
      <c r="P59" s="102">
        <f>IF('4.) Yearly Budget'!$Q$18&gt;0,'4.) Yearly Budget'!Q59,'4.) Yearly Budget'!P59)</f>
        <v>0</v>
      </c>
      <c r="Q59" s="382">
        <f t="shared" si="20"/>
        <v>0</v>
      </c>
      <c r="R59" s="100"/>
      <c r="S59" s="102">
        <f>IF('4.) Yearly Budget'!$T$18&gt;0,'4.) Yearly Budget'!T59,'4.) Yearly Budget'!S59)</f>
        <v>0</v>
      </c>
      <c r="T59" s="105">
        <f t="shared" si="21"/>
        <v>0</v>
      </c>
      <c r="U59" s="277">
        <f t="shared" si="22"/>
        <v>0</v>
      </c>
      <c r="V59" s="379">
        <f t="shared" si="23"/>
        <v>0</v>
      </c>
      <c r="W59" s="379">
        <f t="shared" si="24"/>
        <v>0</v>
      </c>
      <c r="X59" s="379">
        <f>'4.) Yearly Budget'!W59</f>
        <v>0</v>
      </c>
      <c r="Y59" s="380">
        <f t="shared" si="25"/>
        <v>0</v>
      </c>
      <c r="Z59" s="381">
        <f>SUM(IF(I$18&lt;&gt;0,'4.) Yearly Budget'!J59,0)+IF(L$18&lt;&gt;0,'4.) Yearly Budget'!M59,0)+IF(O$18&lt;&gt;0,'4.) Yearly Budget'!P59,0)+IF(R$18&lt;&gt;0,'4.) Yearly Budget'!S59,0))</f>
        <v>0</v>
      </c>
      <c r="AA59" s="381">
        <f t="shared" si="26"/>
        <v>0</v>
      </c>
      <c r="AB59" s="381">
        <f>'4.) Yearly Budget'!V59</f>
        <v>0</v>
      </c>
      <c r="AC59" s="382">
        <f t="shared" si="27"/>
        <v>0</v>
      </c>
      <c r="AD59" s="381">
        <f>IF(U$6&lt;&gt;0,'4.) Yearly Budget'!I59/$AM$18,0)</f>
        <v>0</v>
      </c>
      <c r="AE59" s="105">
        <f t="shared" si="28"/>
        <v>0</v>
      </c>
      <c r="AF59" s="278"/>
    </row>
    <row r="60" spans="1:32" s="68" customFormat="1">
      <c r="A60" s="258">
        <f t="shared" si="0"/>
        <v>60</v>
      </c>
      <c r="B60" s="96"/>
      <c r="C60" s="50"/>
      <c r="D60" s="97" t="s">
        <v>44</v>
      </c>
      <c r="E60" s="94"/>
      <c r="F60" s="94"/>
      <c r="G60" s="57"/>
      <c r="H60" s="95"/>
      <c r="I60" s="276"/>
      <c r="J60" s="102">
        <f>IF('4.) Yearly Budget'!$K$18&gt;0,'4.) Yearly Budget'!K60,'4.) Yearly Budget'!J60)</f>
        <v>0</v>
      </c>
      <c r="K60" s="382">
        <f t="shared" si="18"/>
        <v>0</v>
      </c>
      <c r="L60" s="100"/>
      <c r="M60" s="102">
        <f>IF('4.) Yearly Budget'!$N$18&gt;0,'4.) Yearly Budget'!N60,'4.) Yearly Budget'!M60)</f>
        <v>0</v>
      </c>
      <c r="N60" s="382">
        <f t="shared" si="19"/>
        <v>0</v>
      </c>
      <c r="O60" s="100"/>
      <c r="P60" s="102">
        <f>IF('4.) Yearly Budget'!$Q$18&gt;0,'4.) Yearly Budget'!Q60,'4.) Yearly Budget'!P60)</f>
        <v>0</v>
      </c>
      <c r="Q60" s="382">
        <f t="shared" si="20"/>
        <v>0</v>
      </c>
      <c r="R60" s="100"/>
      <c r="S60" s="102">
        <f>IF('4.) Yearly Budget'!$T$18&gt;0,'4.) Yearly Budget'!T60,'4.) Yearly Budget'!S60)</f>
        <v>0</v>
      </c>
      <c r="T60" s="105">
        <f t="shared" si="21"/>
        <v>0</v>
      </c>
      <c r="U60" s="277">
        <f t="shared" si="22"/>
        <v>0</v>
      </c>
      <c r="V60" s="379">
        <f t="shared" si="23"/>
        <v>0</v>
      </c>
      <c r="W60" s="379">
        <f t="shared" si="24"/>
        <v>0</v>
      </c>
      <c r="X60" s="379">
        <f>'4.) Yearly Budget'!W60</f>
        <v>0</v>
      </c>
      <c r="Y60" s="380">
        <f t="shared" si="25"/>
        <v>0</v>
      </c>
      <c r="Z60" s="381">
        <f>SUM(IF(I$18&lt;&gt;0,'4.) Yearly Budget'!J60,0)+IF(L$18&lt;&gt;0,'4.) Yearly Budget'!M60,0)+IF(O$18&lt;&gt;0,'4.) Yearly Budget'!P60,0)+IF(R$18&lt;&gt;0,'4.) Yearly Budget'!S60,0))</f>
        <v>0</v>
      </c>
      <c r="AA60" s="381">
        <f t="shared" si="26"/>
        <v>0</v>
      </c>
      <c r="AB60" s="381">
        <f>'4.) Yearly Budget'!V60</f>
        <v>0</v>
      </c>
      <c r="AC60" s="382">
        <f t="shared" si="27"/>
        <v>0</v>
      </c>
      <c r="AD60" s="381">
        <f>IF(U$6&lt;&gt;0,'4.) Yearly Budget'!I60/$AM$18,0)</f>
        <v>0</v>
      </c>
      <c r="AE60" s="105">
        <f t="shared" si="28"/>
        <v>0</v>
      </c>
      <c r="AF60" s="278"/>
    </row>
    <row r="61" spans="1:32" s="68" customFormat="1">
      <c r="A61" s="258">
        <f t="shared" si="0"/>
        <v>61</v>
      </c>
      <c r="B61" s="96"/>
      <c r="C61" s="50"/>
      <c r="D61" s="97" t="s">
        <v>45</v>
      </c>
      <c r="E61" s="94"/>
      <c r="F61" s="94"/>
      <c r="G61" s="57"/>
      <c r="H61" s="95"/>
      <c r="I61" s="276"/>
      <c r="J61" s="102">
        <f>IF('4.) Yearly Budget'!$K$18&gt;0,'4.) Yearly Budget'!K61,'4.) Yearly Budget'!J61)</f>
        <v>0</v>
      </c>
      <c r="K61" s="382">
        <f t="shared" si="18"/>
        <v>0</v>
      </c>
      <c r="L61" s="100"/>
      <c r="M61" s="102">
        <f>IF('4.) Yearly Budget'!$N$18&gt;0,'4.) Yearly Budget'!N61,'4.) Yearly Budget'!M61)</f>
        <v>0</v>
      </c>
      <c r="N61" s="382">
        <f t="shared" si="19"/>
        <v>0</v>
      </c>
      <c r="O61" s="100"/>
      <c r="P61" s="102">
        <f>IF('4.) Yearly Budget'!$Q$18&gt;0,'4.) Yearly Budget'!Q61,'4.) Yearly Budget'!P61)</f>
        <v>0</v>
      </c>
      <c r="Q61" s="382">
        <f t="shared" si="20"/>
        <v>0</v>
      </c>
      <c r="R61" s="100"/>
      <c r="S61" s="102">
        <f>IF('4.) Yearly Budget'!$T$18&gt;0,'4.) Yearly Budget'!T61,'4.) Yearly Budget'!S61)</f>
        <v>0</v>
      </c>
      <c r="T61" s="105">
        <f t="shared" si="21"/>
        <v>0</v>
      </c>
      <c r="U61" s="277">
        <f t="shared" si="22"/>
        <v>0</v>
      </c>
      <c r="V61" s="379">
        <f t="shared" si="23"/>
        <v>0</v>
      </c>
      <c r="W61" s="379">
        <f t="shared" si="24"/>
        <v>0</v>
      </c>
      <c r="X61" s="379">
        <f>'4.) Yearly Budget'!W61</f>
        <v>0</v>
      </c>
      <c r="Y61" s="380">
        <f t="shared" si="25"/>
        <v>0</v>
      </c>
      <c r="Z61" s="381">
        <f>SUM(IF(I$18&lt;&gt;0,'4.) Yearly Budget'!J61,0)+IF(L$18&lt;&gt;0,'4.) Yearly Budget'!M61,0)+IF(O$18&lt;&gt;0,'4.) Yearly Budget'!P61,0)+IF(R$18&lt;&gt;0,'4.) Yearly Budget'!S61,0))</f>
        <v>0</v>
      </c>
      <c r="AA61" s="381">
        <f t="shared" si="26"/>
        <v>0</v>
      </c>
      <c r="AB61" s="381">
        <f>'4.) Yearly Budget'!V61</f>
        <v>0</v>
      </c>
      <c r="AC61" s="382">
        <f t="shared" si="27"/>
        <v>0</v>
      </c>
      <c r="AD61" s="381">
        <f>IF(U$6&lt;&gt;0,'4.) Yearly Budget'!I61/$AM$18,0)</f>
        <v>0</v>
      </c>
      <c r="AE61" s="105">
        <f t="shared" si="28"/>
        <v>0</v>
      </c>
      <c r="AF61" s="278"/>
    </row>
    <row r="62" spans="1:32" s="68" customFormat="1">
      <c r="A62" s="258">
        <f t="shared" si="0"/>
        <v>62</v>
      </c>
      <c r="B62" s="96"/>
      <c r="C62" s="50"/>
      <c r="D62" s="97" t="s">
        <v>46</v>
      </c>
      <c r="E62" s="94"/>
      <c r="F62" s="94"/>
      <c r="G62" s="57"/>
      <c r="H62" s="95"/>
      <c r="I62" s="276"/>
      <c r="J62" s="102">
        <f>IF('4.) Yearly Budget'!$K$18&gt;0,'4.) Yearly Budget'!K62,'4.) Yearly Budget'!J62)</f>
        <v>0</v>
      </c>
      <c r="K62" s="382">
        <f t="shared" si="18"/>
        <v>0</v>
      </c>
      <c r="L62" s="100"/>
      <c r="M62" s="102">
        <f>IF('4.) Yearly Budget'!$N$18&gt;0,'4.) Yearly Budget'!N62,'4.) Yearly Budget'!M62)</f>
        <v>0</v>
      </c>
      <c r="N62" s="382">
        <f t="shared" si="19"/>
        <v>0</v>
      </c>
      <c r="O62" s="100"/>
      <c r="P62" s="102">
        <f>IF('4.) Yearly Budget'!$Q$18&gt;0,'4.) Yearly Budget'!Q62,'4.) Yearly Budget'!P62)</f>
        <v>0</v>
      </c>
      <c r="Q62" s="382">
        <f t="shared" si="20"/>
        <v>0</v>
      </c>
      <c r="R62" s="100"/>
      <c r="S62" s="102">
        <f>IF('4.) Yearly Budget'!$T$18&gt;0,'4.) Yearly Budget'!T62,'4.) Yearly Budget'!S62)</f>
        <v>0</v>
      </c>
      <c r="T62" s="105">
        <f t="shared" si="21"/>
        <v>0</v>
      </c>
      <c r="U62" s="277">
        <f t="shared" si="22"/>
        <v>0</v>
      </c>
      <c r="V62" s="379">
        <f t="shared" si="23"/>
        <v>0</v>
      </c>
      <c r="W62" s="379">
        <f t="shared" si="24"/>
        <v>0</v>
      </c>
      <c r="X62" s="379">
        <f>'4.) Yearly Budget'!W62</f>
        <v>0</v>
      </c>
      <c r="Y62" s="380">
        <f t="shared" si="25"/>
        <v>0</v>
      </c>
      <c r="Z62" s="381">
        <f>SUM(IF(I$18&lt;&gt;0,'4.) Yearly Budget'!J62,0)+IF(L$18&lt;&gt;0,'4.) Yearly Budget'!M62,0)+IF(O$18&lt;&gt;0,'4.) Yearly Budget'!P62,0)+IF(R$18&lt;&gt;0,'4.) Yearly Budget'!S62,0))</f>
        <v>0</v>
      </c>
      <c r="AA62" s="381">
        <f t="shared" si="26"/>
        <v>0</v>
      </c>
      <c r="AB62" s="381">
        <f>'4.) Yearly Budget'!V62</f>
        <v>0</v>
      </c>
      <c r="AC62" s="382">
        <f t="shared" si="27"/>
        <v>0</v>
      </c>
      <c r="AD62" s="381">
        <f>IF(U$6&lt;&gt;0,'4.) Yearly Budget'!I62/$AM$18,0)</f>
        <v>0</v>
      </c>
      <c r="AE62" s="105">
        <f t="shared" si="28"/>
        <v>0</v>
      </c>
      <c r="AF62" s="278"/>
    </row>
    <row r="63" spans="1:32" s="68" customFormat="1" ht="16.8">
      <c r="A63" s="258">
        <f t="shared" si="0"/>
        <v>63</v>
      </c>
      <c r="B63" s="96"/>
      <c r="C63" s="50"/>
      <c r="D63" s="97" t="s">
        <v>47</v>
      </c>
      <c r="E63" s="94"/>
      <c r="F63" s="94"/>
      <c r="G63" s="57"/>
      <c r="H63" s="95"/>
      <c r="I63" s="284"/>
      <c r="J63" s="549">
        <f>IF('4.) Yearly Budget'!$K$18&gt;0,'4.) Yearly Budget'!K63,'4.) Yearly Budget'!J63)</f>
        <v>0</v>
      </c>
      <c r="K63" s="392">
        <f t="shared" si="18"/>
        <v>0</v>
      </c>
      <c r="L63" s="106"/>
      <c r="M63" s="549">
        <f>IF('4.) Yearly Budget'!$N$18&gt;0,'4.) Yearly Budget'!N63,'4.) Yearly Budget'!M63)</f>
        <v>0</v>
      </c>
      <c r="N63" s="392">
        <f t="shared" si="19"/>
        <v>0</v>
      </c>
      <c r="O63" s="106"/>
      <c r="P63" s="549">
        <f>IF('4.) Yearly Budget'!$Q$18&gt;0,'4.) Yearly Budget'!Q63,'4.) Yearly Budget'!P63)</f>
        <v>0</v>
      </c>
      <c r="Q63" s="392">
        <f t="shared" si="20"/>
        <v>0</v>
      </c>
      <c r="R63" s="106"/>
      <c r="S63" s="549">
        <f>IF('4.) Yearly Budget'!$T$18&gt;0,'4.) Yearly Budget'!T63,'4.) Yearly Budget'!S63)</f>
        <v>0</v>
      </c>
      <c r="T63" s="388">
        <f t="shared" si="21"/>
        <v>0</v>
      </c>
      <c r="U63" s="285">
        <f t="shared" si="22"/>
        <v>0</v>
      </c>
      <c r="V63" s="389">
        <f t="shared" si="23"/>
        <v>0</v>
      </c>
      <c r="W63" s="389">
        <f t="shared" si="24"/>
        <v>0</v>
      </c>
      <c r="X63" s="389">
        <f>'4.) Yearly Budget'!W63</f>
        <v>0</v>
      </c>
      <c r="Y63" s="390">
        <f t="shared" si="25"/>
        <v>0</v>
      </c>
      <c r="Z63" s="391">
        <f>SUM(IF(I$18&lt;&gt;0,'4.) Yearly Budget'!J63,0)+IF(L$18&lt;&gt;0,'4.) Yearly Budget'!M63,0)+IF(O$18&lt;&gt;0,'4.) Yearly Budget'!P63,0)+IF(R$18&lt;&gt;0,'4.) Yearly Budget'!S63,0))</f>
        <v>0</v>
      </c>
      <c r="AA63" s="391">
        <f t="shared" si="26"/>
        <v>0</v>
      </c>
      <c r="AB63" s="391">
        <f>'4.) Yearly Budget'!V63</f>
        <v>0</v>
      </c>
      <c r="AC63" s="392">
        <f t="shared" si="27"/>
        <v>0</v>
      </c>
      <c r="AD63" s="391">
        <f>IF(U$6&lt;&gt;0,'4.) Yearly Budget'!I63/$AM$18,0)</f>
        <v>0</v>
      </c>
      <c r="AE63" s="388">
        <f t="shared" si="28"/>
        <v>0</v>
      </c>
      <c r="AF63" s="278"/>
    </row>
    <row r="64" spans="1:32" s="68" customFormat="1">
      <c r="A64" s="258">
        <f t="shared" si="0"/>
        <v>64</v>
      </c>
      <c r="B64" s="96"/>
      <c r="C64" s="50" t="s">
        <v>48</v>
      </c>
      <c r="D64" s="97"/>
      <c r="E64" s="94"/>
      <c r="F64" s="94"/>
      <c r="G64" s="57"/>
      <c r="H64" s="95"/>
      <c r="I64" s="281">
        <f t="shared" ref="I64:AE64" si="29">SUM(I56:I63)</f>
        <v>0</v>
      </c>
      <c r="J64" s="158">
        <f t="shared" si="29"/>
        <v>0</v>
      </c>
      <c r="K64" s="393">
        <f t="shared" si="29"/>
        <v>0</v>
      </c>
      <c r="L64" s="102">
        <f t="shared" si="29"/>
        <v>0</v>
      </c>
      <c r="M64" s="158">
        <f t="shared" si="29"/>
        <v>0</v>
      </c>
      <c r="N64" s="393">
        <f t="shared" si="29"/>
        <v>0</v>
      </c>
      <c r="O64" s="102">
        <f t="shared" si="29"/>
        <v>0</v>
      </c>
      <c r="P64" s="158">
        <f t="shared" si="29"/>
        <v>0</v>
      </c>
      <c r="Q64" s="393">
        <f t="shared" si="29"/>
        <v>0</v>
      </c>
      <c r="R64" s="102">
        <f t="shared" si="29"/>
        <v>0</v>
      </c>
      <c r="S64" s="158">
        <f t="shared" si="29"/>
        <v>0</v>
      </c>
      <c r="T64" s="103">
        <f t="shared" si="29"/>
        <v>0</v>
      </c>
      <c r="U64" s="283">
        <f t="shared" si="29"/>
        <v>0</v>
      </c>
      <c r="V64" s="394">
        <f t="shared" si="29"/>
        <v>0</v>
      </c>
      <c r="W64" s="394">
        <f t="shared" si="29"/>
        <v>0</v>
      </c>
      <c r="X64" s="394">
        <f t="shared" si="29"/>
        <v>0</v>
      </c>
      <c r="Y64" s="396">
        <f t="shared" si="29"/>
        <v>0</v>
      </c>
      <c r="Z64" s="104">
        <f t="shared" si="29"/>
        <v>0</v>
      </c>
      <c r="AA64" s="394">
        <f t="shared" si="29"/>
        <v>0</v>
      </c>
      <c r="AB64" s="397">
        <f t="shared" si="29"/>
        <v>0</v>
      </c>
      <c r="AC64" s="382">
        <f t="shared" si="29"/>
        <v>0</v>
      </c>
      <c r="AD64" s="104">
        <f t="shared" si="29"/>
        <v>0</v>
      </c>
      <c r="AE64" s="105">
        <f t="shared" si="29"/>
        <v>0</v>
      </c>
      <c r="AF64" s="278"/>
    </row>
    <row r="65" spans="1:32" s="94" customFormat="1">
      <c r="A65" s="258">
        <f t="shared" si="0"/>
        <v>65</v>
      </c>
      <c r="B65" s="96"/>
      <c r="C65" s="50"/>
      <c r="D65" s="97"/>
      <c r="G65" s="57"/>
      <c r="H65" s="95"/>
      <c r="I65" s="104"/>
      <c r="J65" s="104"/>
      <c r="K65" s="104"/>
      <c r="L65" s="104"/>
      <c r="M65" s="104"/>
      <c r="N65" s="104"/>
      <c r="O65" s="104"/>
      <c r="P65" s="104"/>
      <c r="Q65" s="104"/>
      <c r="R65" s="104"/>
      <c r="S65" s="104"/>
      <c r="T65" s="105"/>
      <c r="U65" s="104"/>
      <c r="V65" s="104"/>
      <c r="W65" s="104"/>
      <c r="X65" s="104"/>
      <c r="Y65" s="104"/>
      <c r="Z65" s="104"/>
      <c r="AA65" s="104"/>
      <c r="AB65" s="104"/>
      <c r="AC65" s="104"/>
      <c r="AD65" s="104"/>
      <c r="AE65" s="105"/>
      <c r="AF65" s="278"/>
    </row>
    <row r="66" spans="1:32" s="68" customFormat="1" ht="17.399999999999999" thickBot="1">
      <c r="A66" s="258">
        <f t="shared" si="0"/>
        <v>66</v>
      </c>
      <c r="B66" s="109" t="s">
        <v>49</v>
      </c>
      <c r="C66" s="110"/>
      <c r="D66" s="110"/>
      <c r="E66" s="111"/>
      <c r="F66" s="127"/>
      <c r="G66" s="112"/>
      <c r="H66" s="136"/>
      <c r="I66" s="286">
        <f t="shared" ref="I66:AE66" si="30">I64+I53+I42</f>
        <v>0</v>
      </c>
      <c r="J66" s="114">
        <f t="shared" si="30"/>
        <v>0</v>
      </c>
      <c r="K66" s="398">
        <f t="shared" si="30"/>
        <v>0</v>
      </c>
      <c r="L66" s="113">
        <f t="shared" si="30"/>
        <v>0</v>
      </c>
      <c r="M66" s="114">
        <f t="shared" si="30"/>
        <v>0</v>
      </c>
      <c r="N66" s="398">
        <f t="shared" si="30"/>
        <v>0</v>
      </c>
      <c r="O66" s="113">
        <f t="shared" si="30"/>
        <v>0</v>
      </c>
      <c r="P66" s="114">
        <f t="shared" si="30"/>
        <v>0</v>
      </c>
      <c r="Q66" s="398">
        <f t="shared" si="30"/>
        <v>0</v>
      </c>
      <c r="R66" s="113">
        <f t="shared" si="30"/>
        <v>0</v>
      </c>
      <c r="S66" s="114">
        <f t="shared" si="30"/>
        <v>0</v>
      </c>
      <c r="T66" s="115">
        <f t="shared" si="30"/>
        <v>0</v>
      </c>
      <c r="U66" s="399">
        <f t="shared" si="30"/>
        <v>0</v>
      </c>
      <c r="V66" s="400">
        <f t="shared" si="30"/>
        <v>0</v>
      </c>
      <c r="W66" s="400">
        <f t="shared" si="30"/>
        <v>0</v>
      </c>
      <c r="X66" s="400">
        <f t="shared" si="30"/>
        <v>0</v>
      </c>
      <c r="Y66" s="401">
        <f t="shared" si="30"/>
        <v>0</v>
      </c>
      <c r="Z66" s="402">
        <f t="shared" si="30"/>
        <v>0</v>
      </c>
      <c r="AA66" s="400">
        <f t="shared" si="30"/>
        <v>0</v>
      </c>
      <c r="AB66" s="400">
        <f t="shared" si="30"/>
        <v>0</v>
      </c>
      <c r="AC66" s="403">
        <f t="shared" si="30"/>
        <v>0</v>
      </c>
      <c r="AD66" s="402">
        <f t="shared" si="30"/>
        <v>0</v>
      </c>
      <c r="AE66" s="404">
        <f t="shared" si="30"/>
        <v>0</v>
      </c>
      <c r="AF66" s="288"/>
    </row>
    <row r="67" spans="1:32" s="94" customFormat="1" ht="7.5" customHeight="1" thickTop="1">
      <c r="A67" s="258">
        <f t="shared" si="0"/>
        <v>67</v>
      </c>
      <c r="B67" s="93"/>
      <c r="C67" s="93"/>
      <c r="D67" s="93"/>
      <c r="G67" s="57"/>
      <c r="H67" s="95"/>
      <c r="I67" s="95"/>
      <c r="J67" s="95"/>
      <c r="K67" s="95"/>
      <c r="L67" s="95"/>
      <c r="M67" s="95"/>
      <c r="N67" s="95"/>
      <c r="O67" s="95"/>
      <c r="P67" s="95"/>
      <c r="Q67" s="95"/>
      <c r="R67" s="95"/>
      <c r="S67" s="95"/>
      <c r="T67" s="95"/>
      <c r="U67" s="749"/>
      <c r="V67" s="290"/>
      <c r="W67" s="290"/>
      <c r="X67" s="290"/>
      <c r="Y67" s="290"/>
      <c r="Z67" s="290"/>
      <c r="AA67" s="290"/>
      <c r="AB67" s="290"/>
      <c r="AC67" s="290"/>
      <c r="AD67" s="290"/>
      <c r="AE67" s="290"/>
      <c r="AF67" s="405"/>
    </row>
    <row r="68" spans="1:32" s="94" customFormat="1" ht="7.5" hidden="1" customHeight="1">
      <c r="A68" s="258">
        <f t="shared" ref="A68:A131" si="31">A67+1</f>
        <v>68</v>
      </c>
      <c r="B68" s="92"/>
      <c r="C68" s="93"/>
      <c r="D68" s="93"/>
      <c r="G68" s="57"/>
      <c r="H68" s="95"/>
      <c r="I68" s="95"/>
      <c r="J68" s="95"/>
      <c r="K68" s="95"/>
      <c r="L68" s="95"/>
      <c r="M68" s="95"/>
      <c r="N68" s="95"/>
      <c r="O68" s="95"/>
      <c r="P68" s="95"/>
      <c r="Q68" s="95"/>
      <c r="R68" s="95"/>
      <c r="S68" s="95"/>
      <c r="T68" s="95"/>
      <c r="U68" s="750"/>
      <c r="V68" s="95"/>
      <c r="W68" s="95"/>
      <c r="X68" s="95"/>
      <c r="Y68" s="95"/>
      <c r="Z68" s="95"/>
      <c r="AA68" s="95"/>
      <c r="AB68" s="95"/>
      <c r="AC68" s="95"/>
      <c r="AD68" s="95"/>
      <c r="AE68" s="118"/>
      <c r="AF68" s="291"/>
    </row>
    <row r="69" spans="1:32" s="68" customFormat="1">
      <c r="A69" s="258">
        <f t="shared" si="31"/>
        <v>69</v>
      </c>
      <c r="B69" s="92" t="s">
        <v>50</v>
      </c>
      <c r="C69" s="93"/>
      <c r="D69" s="93"/>
      <c r="E69" s="94"/>
      <c r="F69" s="94"/>
      <c r="G69" s="57" t="str">
        <f>"Quarter "&amp;COUNTIF('3.) Staffing Plan'!$O$44:$R$44,"&gt;0")</f>
        <v>Quarter 0</v>
      </c>
      <c r="H69" s="95"/>
      <c r="I69" s="95"/>
      <c r="J69" s="95"/>
      <c r="K69" s="95"/>
      <c r="L69" s="95"/>
      <c r="M69" s="95"/>
      <c r="N69" s="95"/>
      <c r="O69" s="95"/>
      <c r="P69" s="95"/>
      <c r="Q69" s="95"/>
      <c r="R69" s="95"/>
      <c r="S69" s="95"/>
      <c r="T69" s="95"/>
      <c r="U69" s="750"/>
      <c r="V69" s="95"/>
      <c r="W69" s="95"/>
      <c r="X69" s="95"/>
      <c r="Y69" s="95"/>
      <c r="Z69" s="95"/>
      <c r="AA69" s="95"/>
      <c r="AB69" s="95"/>
      <c r="AC69" s="95"/>
      <c r="AD69" s="95"/>
      <c r="AE69" s="118"/>
      <c r="AF69" s="291"/>
    </row>
    <row r="70" spans="1:32" s="68" customFormat="1">
      <c r="A70" s="258">
        <f t="shared" si="31"/>
        <v>70</v>
      </c>
      <c r="B70" s="96"/>
      <c r="C70" s="119" t="s">
        <v>76</v>
      </c>
      <c r="D70" s="50"/>
      <c r="E70" s="94"/>
      <c r="F70" s="94"/>
      <c r="G70" s="57" t="s">
        <v>20</v>
      </c>
      <c r="H70" s="95"/>
      <c r="I70"/>
      <c r="J70"/>
      <c r="K70"/>
      <c r="L70"/>
      <c r="M70"/>
      <c r="N70"/>
      <c r="O70"/>
      <c r="P70"/>
      <c r="Q70"/>
      <c r="R70"/>
      <c r="S70" s="98"/>
      <c r="T70" s="98"/>
      <c r="U70" s="751"/>
      <c r="V70" s="95"/>
      <c r="W70" s="95"/>
      <c r="X70" s="95"/>
      <c r="Y70" s="95"/>
      <c r="Z70" s="95"/>
      <c r="AA70" s="95"/>
      <c r="AB70" s="95"/>
      <c r="AC70" s="95"/>
      <c r="AD70" s="95"/>
      <c r="AE70" s="118"/>
      <c r="AF70" s="291"/>
    </row>
    <row r="71" spans="1:32" s="68" customFormat="1">
      <c r="A71" s="258">
        <f t="shared" si="31"/>
        <v>71</v>
      </c>
      <c r="B71" s="96"/>
      <c r="C71" s="94"/>
      <c r="D71" s="54" t="s">
        <v>110</v>
      </c>
      <c r="E71" s="120"/>
      <c r="F71" s="120"/>
      <c r="G71" s="594">
        <f>IFERROR(INDEX('3.) Staffing Plan'!O13:R13,COUNTIF('3.) Staffing Plan'!$O$44:$R$44,"&gt;0")),0)</f>
        <v>0</v>
      </c>
      <c r="H71" s="95"/>
      <c r="I71" s="276"/>
      <c r="J71" s="102">
        <f>IF('4.) Yearly Budget'!$K$18&gt;0,'4.) Yearly Budget'!K71,'4.) Yearly Budget'!J71)</f>
        <v>0</v>
      </c>
      <c r="K71" s="382">
        <f t="shared" ref="K71:K76" si="32">IF(I$18&lt;&gt;0,J71-I71,0)</f>
        <v>0</v>
      </c>
      <c r="L71" s="276"/>
      <c r="M71" s="102">
        <f>IF('4.) Yearly Budget'!$N$18&gt;0,'4.) Yearly Budget'!N71,'4.) Yearly Budget'!M71)</f>
        <v>0</v>
      </c>
      <c r="N71" s="382">
        <f t="shared" ref="N71:N76" si="33">IF(L$18&lt;&gt;0,M71-L71,0)</f>
        <v>0</v>
      </c>
      <c r="O71" s="276"/>
      <c r="P71" s="102">
        <f>IF('4.) Yearly Budget'!$Q$18&gt;0,'4.) Yearly Budget'!Q71,'4.) Yearly Budget'!P71)</f>
        <v>0</v>
      </c>
      <c r="Q71" s="382">
        <f t="shared" ref="Q71:Q76" si="34">IF(O$18&lt;&gt;0,P71-O71,0)</f>
        <v>0</v>
      </c>
      <c r="R71" s="276"/>
      <c r="S71" s="102">
        <f>IF('4.) Yearly Budget'!$T$18&gt;0,'4.) Yearly Budget'!T71,'4.) Yearly Budget'!S71)</f>
        <v>0</v>
      </c>
      <c r="T71" s="105">
        <f t="shared" ref="T71:T76" si="35">IF(R$18&lt;&gt;0,S71-R71,0)</f>
        <v>0</v>
      </c>
      <c r="U71" s="277">
        <f t="shared" ref="U71:U76" si="36">IF(I$6&lt;&gt;0,I71,0)+IF(L$6&lt;&gt;0,L71,0)+IF(O$6&lt;&gt;0,O71,0)+IF(R$6&lt;&gt;0,R71,0)</f>
        <v>0</v>
      </c>
      <c r="V71" s="379">
        <f t="shared" ref="V71:V76" si="37">SUM(IF(I$6&lt;&gt;0,J71,0)+IF(L$6&lt;&gt;0,M71,0)+IF(O$6&lt;&gt;0,P71,0)+IF(R$6&lt;&gt;0,S71,0))</f>
        <v>0</v>
      </c>
      <c r="W71" s="379">
        <f t="shared" ref="W71:W76" si="38">V71-U71</f>
        <v>0</v>
      </c>
      <c r="X71" s="379">
        <f>'4.) Yearly Budget'!W71</f>
        <v>0</v>
      </c>
      <c r="Y71" s="380">
        <f t="shared" ref="Y71:Y76" si="39">IF(U71&lt;&gt;0,X71-U71,IF(U71=0,X71,0))</f>
        <v>0</v>
      </c>
      <c r="Z71" s="381">
        <f>SUM(IF(I$18&lt;&gt;0,'4.) Yearly Budget'!J71,0)+IF(L$18&lt;&gt;0,'4.) Yearly Budget'!M71,0)+IF(O$18&lt;&gt;0,'4.) Yearly Budget'!P71,0)+IF(R$18&lt;&gt;0,'4.) Yearly Budget'!S71,0))</f>
        <v>0</v>
      </c>
      <c r="AA71" s="381">
        <f t="shared" ref="AA71:AA76" si="40">Z71-U71</f>
        <v>0</v>
      </c>
      <c r="AB71" s="381">
        <f>'4.) Yearly Budget'!V71</f>
        <v>0</v>
      </c>
      <c r="AC71" s="382">
        <f t="shared" ref="AC71:AC76" si="41">IF(U71&lt;&gt;0,AB71-U71,IF(U71=0,AB71,0))</f>
        <v>0</v>
      </c>
      <c r="AD71" s="381">
        <f>IF(U$6&lt;&gt;0,'4.) Yearly Budget'!I71/$AM$18,0)</f>
        <v>0</v>
      </c>
      <c r="AE71" s="105">
        <f t="shared" ref="AE71:AE76" si="42">AD71-U71</f>
        <v>0</v>
      </c>
      <c r="AF71" s="291"/>
    </row>
    <row r="72" spans="1:32" s="68" customFormat="1">
      <c r="A72" s="258">
        <f t="shared" si="31"/>
        <v>72</v>
      </c>
      <c r="B72" s="96"/>
      <c r="C72" s="94"/>
      <c r="D72" s="54" t="s">
        <v>111</v>
      </c>
      <c r="E72" s="120"/>
      <c r="F72" s="120"/>
      <c r="G72" s="594">
        <f>IFERROR(INDEX('3.) Staffing Plan'!O14:R14,COUNTIF('3.) Staffing Plan'!$O$44:$R$44,"&gt;0")),0)</f>
        <v>0</v>
      </c>
      <c r="H72" s="95"/>
      <c r="I72" s="276"/>
      <c r="J72" s="102">
        <f>IF('4.) Yearly Budget'!$K$18&gt;0,'4.) Yearly Budget'!K72,'4.) Yearly Budget'!J72)</f>
        <v>0</v>
      </c>
      <c r="K72" s="382">
        <f t="shared" si="32"/>
        <v>0</v>
      </c>
      <c r="L72" s="276"/>
      <c r="M72" s="102">
        <f>IF('4.) Yearly Budget'!$N$18&gt;0,'4.) Yearly Budget'!N72,'4.) Yearly Budget'!M72)</f>
        <v>0</v>
      </c>
      <c r="N72" s="382">
        <f t="shared" si="33"/>
        <v>0</v>
      </c>
      <c r="O72" s="276"/>
      <c r="P72" s="102">
        <f>IF('4.) Yearly Budget'!$Q$18&gt;0,'4.) Yearly Budget'!Q72,'4.) Yearly Budget'!P72)</f>
        <v>0</v>
      </c>
      <c r="Q72" s="382">
        <f t="shared" si="34"/>
        <v>0</v>
      </c>
      <c r="R72" s="276"/>
      <c r="S72" s="102">
        <f>IF('4.) Yearly Budget'!$T$18&gt;0,'4.) Yearly Budget'!T72,'4.) Yearly Budget'!S72)</f>
        <v>0</v>
      </c>
      <c r="T72" s="105">
        <f t="shared" si="35"/>
        <v>0</v>
      </c>
      <c r="U72" s="277">
        <f t="shared" si="36"/>
        <v>0</v>
      </c>
      <c r="V72" s="379">
        <f t="shared" si="37"/>
        <v>0</v>
      </c>
      <c r="W72" s="379">
        <f t="shared" si="38"/>
        <v>0</v>
      </c>
      <c r="X72" s="379">
        <f>'4.) Yearly Budget'!W72</f>
        <v>0</v>
      </c>
      <c r="Y72" s="380">
        <f t="shared" si="39"/>
        <v>0</v>
      </c>
      <c r="Z72" s="381">
        <f>SUM(IF(I$18&lt;&gt;0,'4.) Yearly Budget'!J72,0)+IF(L$18&lt;&gt;0,'4.) Yearly Budget'!M72,0)+IF(O$18&lt;&gt;0,'4.) Yearly Budget'!P72,0)+IF(R$18&lt;&gt;0,'4.) Yearly Budget'!S72,0))</f>
        <v>0</v>
      </c>
      <c r="AA72" s="381">
        <f t="shared" si="40"/>
        <v>0</v>
      </c>
      <c r="AB72" s="381">
        <f>'4.) Yearly Budget'!V72</f>
        <v>0</v>
      </c>
      <c r="AC72" s="382">
        <f t="shared" si="41"/>
        <v>0</v>
      </c>
      <c r="AD72" s="381">
        <f>IF(U$6&lt;&gt;0,'4.) Yearly Budget'!I72/$AM$18,0)</f>
        <v>0</v>
      </c>
      <c r="AE72" s="105">
        <f t="shared" si="42"/>
        <v>0</v>
      </c>
      <c r="AF72" s="291"/>
    </row>
    <row r="73" spans="1:32" s="68" customFormat="1">
      <c r="A73" s="258">
        <f t="shared" si="31"/>
        <v>73</v>
      </c>
      <c r="B73" s="96"/>
      <c r="C73" s="94"/>
      <c r="D73" s="54" t="s">
        <v>112</v>
      </c>
      <c r="E73" s="120"/>
      <c r="F73" s="120"/>
      <c r="G73" s="594">
        <f>IFERROR(INDEX('3.) Staffing Plan'!O15:R15,COUNTIF('3.) Staffing Plan'!$O$44:$R$44,"&gt;0")),0)</f>
        <v>0</v>
      </c>
      <c r="H73" s="95"/>
      <c r="I73" s="276"/>
      <c r="J73" s="102">
        <f>IF('4.) Yearly Budget'!$K$18&gt;0,'4.) Yearly Budget'!K73,'4.) Yearly Budget'!J73)</f>
        <v>0</v>
      </c>
      <c r="K73" s="382">
        <f t="shared" si="32"/>
        <v>0</v>
      </c>
      <c r="L73" s="276"/>
      <c r="M73" s="102">
        <f>IF('4.) Yearly Budget'!$N$18&gt;0,'4.) Yearly Budget'!N73,'4.) Yearly Budget'!M73)</f>
        <v>0</v>
      </c>
      <c r="N73" s="382">
        <f t="shared" si="33"/>
        <v>0</v>
      </c>
      <c r="O73" s="276"/>
      <c r="P73" s="102">
        <f>IF('4.) Yearly Budget'!$Q$18&gt;0,'4.) Yearly Budget'!Q73,'4.) Yearly Budget'!P73)</f>
        <v>0</v>
      </c>
      <c r="Q73" s="382">
        <f t="shared" si="34"/>
        <v>0</v>
      </c>
      <c r="R73" s="276"/>
      <c r="S73" s="102">
        <f>IF('4.) Yearly Budget'!$T$18&gt;0,'4.) Yearly Budget'!T73,'4.) Yearly Budget'!S73)</f>
        <v>0</v>
      </c>
      <c r="T73" s="105">
        <f t="shared" si="35"/>
        <v>0</v>
      </c>
      <c r="U73" s="277">
        <f t="shared" si="36"/>
        <v>0</v>
      </c>
      <c r="V73" s="379">
        <f t="shared" si="37"/>
        <v>0</v>
      </c>
      <c r="W73" s="379">
        <f t="shared" si="38"/>
        <v>0</v>
      </c>
      <c r="X73" s="379">
        <f>'4.) Yearly Budget'!W73</f>
        <v>0</v>
      </c>
      <c r="Y73" s="380">
        <f t="shared" si="39"/>
        <v>0</v>
      </c>
      <c r="Z73" s="381">
        <f>SUM(IF(I$18&lt;&gt;0,'4.) Yearly Budget'!J73,0)+IF(L$18&lt;&gt;0,'4.) Yearly Budget'!M73,0)+IF(O$18&lt;&gt;0,'4.) Yearly Budget'!P73,0)+IF(R$18&lt;&gt;0,'4.) Yearly Budget'!S73,0))</f>
        <v>0</v>
      </c>
      <c r="AA73" s="381">
        <f t="shared" si="40"/>
        <v>0</v>
      </c>
      <c r="AB73" s="381">
        <f>'4.) Yearly Budget'!V73</f>
        <v>0</v>
      </c>
      <c r="AC73" s="382">
        <f t="shared" si="41"/>
        <v>0</v>
      </c>
      <c r="AD73" s="381">
        <f>IF(U$6&lt;&gt;0,'4.) Yearly Budget'!I73/$AM$18,0)</f>
        <v>0</v>
      </c>
      <c r="AE73" s="105">
        <f t="shared" si="42"/>
        <v>0</v>
      </c>
      <c r="AF73" s="291"/>
    </row>
    <row r="74" spans="1:32" s="68" customFormat="1">
      <c r="A74" s="258">
        <f t="shared" si="31"/>
        <v>74</v>
      </c>
      <c r="B74" s="96"/>
      <c r="C74" s="94"/>
      <c r="D74" s="54" t="s">
        <v>98</v>
      </c>
      <c r="E74" s="120"/>
      <c r="F74" s="120"/>
      <c r="G74" s="594">
        <f>IFERROR(INDEX('3.) Staffing Plan'!O16:R16,COUNTIF('3.) Staffing Plan'!$O$44:$R$44,"&gt;0")),0)</f>
        <v>0</v>
      </c>
      <c r="H74" s="95"/>
      <c r="I74" s="276"/>
      <c r="J74" s="102">
        <f>IF('4.) Yearly Budget'!$K$18&gt;0,'4.) Yearly Budget'!K74,'4.) Yearly Budget'!J74)</f>
        <v>0</v>
      </c>
      <c r="K74" s="382">
        <f t="shared" si="32"/>
        <v>0</v>
      </c>
      <c r="L74" s="276"/>
      <c r="M74" s="102">
        <f>IF('4.) Yearly Budget'!$N$18&gt;0,'4.) Yearly Budget'!N74,'4.) Yearly Budget'!M74)</f>
        <v>0</v>
      </c>
      <c r="N74" s="382">
        <f t="shared" si="33"/>
        <v>0</v>
      </c>
      <c r="O74" s="276"/>
      <c r="P74" s="102">
        <f>IF('4.) Yearly Budget'!$Q$18&gt;0,'4.) Yearly Budget'!Q74,'4.) Yearly Budget'!P74)</f>
        <v>0</v>
      </c>
      <c r="Q74" s="382">
        <f t="shared" si="34"/>
        <v>0</v>
      </c>
      <c r="R74" s="276"/>
      <c r="S74" s="102">
        <f>IF('4.) Yearly Budget'!$T$18&gt;0,'4.) Yearly Budget'!T74,'4.) Yearly Budget'!S74)</f>
        <v>0</v>
      </c>
      <c r="T74" s="105">
        <f t="shared" si="35"/>
        <v>0</v>
      </c>
      <c r="U74" s="277">
        <f t="shared" si="36"/>
        <v>0</v>
      </c>
      <c r="V74" s="379">
        <f t="shared" si="37"/>
        <v>0</v>
      </c>
      <c r="W74" s="379">
        <f t="shared" si="38"/>
        <v>0</v>
      </c>
      <c r="X74" s="379">
        <f>'4.) Yearly Budget'!W74</f>
        <v>0</v>
      </c>
      <c r="Y74" s="380">
        <f t="shared" si="39"/>
        <v>0</v>
      </c>
      <c r="Z74" s="381">
        <f>SUM(IF(I$18&lt;&gt;0,'4.) Yearly Budget'!J74,0)+IF(L$18&lt;&gt;0,'4.) Yearly Budget'!M74,0)+IF(O$18&lt;&gt;0,'4.) Yearly Budget'!P74,0)+IF(R$18&lt;&gt;0,'4.) Yearly Budget'!S74,0))</f>
        <v>0</v>
      </c>
      <c r="AA74" s="381">
        <f t="shared" si="40"/>
        <v>0</v>
      </c>
      <c r="AB74" s="381">
        <f>'4.) Yearly Budget'!V74</f>
        <v>0</v>
      </c>
      <c r="AC74" s="382">
        <f t="shared" si="41"/>
        <v>0</v>
      </c>
      <c r="AD74" s="381">
        <f>IF(U$6&lt;&gt;0,'4.) Yearly Budget'!I74/$AM$18,0)</f>
        <v>0</v>
      </c>
      <c r="AE74" s="105">
        <f t="shared" si="42"/>
        <v>0</v>
      </c>
      <c r="AF74" s="291"/>
    </row>
    <row r="75" spans="1:32" s="68" customFormat="1">
      <c r="A75" s="258">
        <f t="shared" si="31"/>
        <v>75</v>
      </c>
      <c r="B75" s="96"/>
      <c r="C75" s="94"/>
      <c r="D75" s="54" t="s">
        <v>99</v>
      </c>
      <c r="E75" s="120"/>
      <c r="F75" s="120"/>
      <c r="G75" s="594">
        <f>IFERROR(INDEX('3.) Staffing Plan'!O17:R17,COUNTIF('3.) Staffing Plan'!$O$44:$R$44,"&gt;0")),0)</f>
        <v>0</v>
      </c>
      <c r="H75" s="95"/>
      <c r="I75" s="276"/>
      <c r="J75" s="102">
        <f>IF('4.) Yearly Budget'!$K$18&gt;0,'4.) Yearly Budget'!K75,'4.) Yearly Budget'!J75)</f>
        <v>0</v>
      </c>
      <c r="K75" s="382">
        <f t="shared" si="32"/>
        <v>0</v>
      </c>
      <c r="L75" s="276"/>
      <c r="M75" s="102">
        <f>IF('4.) Yearly Budget'!$N$18&gt;0,'4.) Yearly Budget'!N75,'4.) Yearly Budget'!M75)</f>
        <v>0</v>
      </c>
      <c r="N75" s="382">
        <f t="shared" si="33"/>
        <v>0</v>
      </c>
      <c r="O75" s="276"/>
      <c r="P75" s="102">
        <f>IF('4.) Yearly Budget'!$Q$18&gt;0,'4.) Yearly Budget'!Q75,'4.) Yearly Budget'!P75)</f>
        <v>0</v>
      </c>
      <c r="Q75" s="382">
        <f t="shared" si="34"/>
        <v>0</v>
      </c>
      <c r="R75" s="276"/>
      <c r="S75" s="102">
        <f>IF('4.) Yearly Budget'!$T$18&gt;0,'4.) Yearly Budget'!T75,'4.) Yearly Budget'!S75)</f>
        <v>0</v>
      </c>
      <c r="T75" s="105">
        <f t="shared" si="35"/>
        <v>0</v>
      </c>
      <c r="U75" s="277">
        <f t="shared" si="36"/>
        <v>0</v>
      </c>
      <c r="V75" s="379">
        <f t="shared" si="37"/>
        <v>0</v>
      </c>
      <c r="W75" s="379">
        <f t="shared" si="38"/>
        <v>0</v>
      </c>
      <c r="X75" s="379">
        <f>'4.) Yearly Budget'!W75</f>
        <v>0</v>
      </c>
      <c r="Y75" s="380">
        <f t="shared" si="39"/>
        <v>0</v>
      </c>
      <c r="Z75" s="381">
        <f>SUM(IF(I$18&lt;&gt;0,'4.) Yearly Budget'!J75,0)+IF(L$18&lt;&gt;0,'4.) Yearly Budget'!M75,0)+IF(O$18&lt;&gt;0,'4.) Yearly Budget'!P75,0)+IF(R$18&lt;&gt;0,'4.) Yearly Budget'!S75,0))</f>
        <v>0</v>
      </c>
      <c r="AA75" s="381">
        <f t="shared" si="40"/>
        <v>0</v>
      </c>
      <c r="AB75" s="381">
        <f>'4.) Yearly Budget'!V75</f>
        <v>0</v>
      </c>
      <c r="AC75" s="382">
        <f t="shared" si="41"/>
        <v>0</v>
      </c>
      <c r="AD75" s="381">
        <f>IF(U$6&lt;&gt;0,'4.) Yearly Budget'!I75/$AM$18,0)</f>
        <v>0</v>
      </c>
      <c r="AE75" s="105">
        <f t="shared" si="42"/>
        <v>0</v>
      </c>
      <c r="AF75" s="291"/>
    </row>
    <row r="76" spans="1:32" s="68" customFormat="1" ht="16.8">
      <c r="A76" s="258">
        <f t="shared" si="31"/>
        <v>76</v>
      </c>
      <c r="B76" s="96"/>
      <c r="C76" s="94"/>
      <c r="D76" s="54" t="s">
        <v>113</v>
      </c>
      <c r="E76" s="120"/>
      <c r="F76" s="120"/>
      <c r="G76" s="597">
        <f>IFERROR(INDEX('3.) Staffing Plan'!O18:R18,COUNTIF('3.) Staffing Plan'!$O$44:$R$44,"&gt;0")),0)</f>
        <v>0</v>
      </c>
      <c r="H76" s="95"/>
      <c r="I76" s="284"/>
      <c r="J76" s="549">
        <f>IF('4.) Yearly Budget'!$K$18&gt;0,'4.) Yearly Budget'!K76,'4.) Yearly Budget'!J76)</f>
        <v>0</v>
      </c>
      <c r="K76" s="392">
        <f t="shared" si="32"/>
        <v>0</v>
      </c>
      <c r="L76" s="284"/>
      <c r="M76" s="549">
        <f>IF('4.) Yearly Budget'!$N$18&gt;0,'4.) Yearly Budget'!N76,'4.) Yearly Budget'!M76)</f>
        <v>0</v>
      </c>
      <c r="N76" s="392">
        <f t="shared" si="33"/>
        <v>0</v>
      </c>
      <c r="O76" s="284"/>
      <c r="P76" s="549">
        <f>IF('4.) Yearly Budget'!$Q$18&gt;0,'4.) Yearly Budget'!Q76,'4.) Yearly Budget'!P76)</f>
        <v>0</v>
      </c>
      <c r="Q76" s="392">
        <f t="shared" si="34"/>
        <v>0</v>
      </c>
      <c r="R76" s="284"/>
      <c r="S76" s="549">
        <f>IF('4.) Yearly Budget'!$T$18&gt;0,'4.) Yearly Budget'!T76,'4.) Yearly Budget'!S76)</f>
        <v>0</v>
      </c>
      <c r="T76" s="388">
        <f t="shared" si="35"/>
        <v>0</v>
      </c>
      <c r="U76" s="285">
        <f t="shared" si="36"/>
        <v>0</v>
      </c>
      <c r="V76" s="389">
        <f t="shared" si="37"/>
        <v>0</v>
      </c>
      <c r="W76" s="389">
        <f t="shared" si="38"/>
        <v>0</v>
      </c>
      <c r="X76" s="389">
        <f>'4.) Yearly Budget'!W76</f>
        <v>0</v>
      </c>
      <c r="Y76" s="390">
        <f t="shared" si="39"/>
        <v>0</v>
      </c>
      <c r="Z76" s="391">
        <f>SUM(IF(I$18&lt;&gt;0,'4.) Yearly Budget'!J76,0)+IF(L$18&lt;&gt;0,'4.) Yearly Budget'!M76,0)+IF(O$18&lt;&gt;0,'4.) Yearly Budget'!P76,0)+IF(R$18&lt;&gt;0,'4.) Yearly Budget'!S76,0))</f>
        <v>0</v>
      </c>
      <c r="AA76" s="391">
        <f t="shared" si="40"/>
        <v>0</v>
      </c>
      <c r="AB76" s="391">
        <f>'4.) Yearly Budget'!V76</f>
        <v>0</v>
      </c>
      <c r="AC76" s="392">
        <f t="shared" si="41"/>
        <v>0</v>
      </c>
      <c r="AD76" s="391">
        <f>IF(U$6&lt;&gt;0,'4.) Yearly Budget'!I76/$AM$18,0)</f>
        <v>0</v>
      </c>
      <c r="AE76" s="388">
        <f t="shared" si="42"/>
        <v>0</v>
      </c>
      <c r="AF76" s="291"/>
    </row>
    <row r="77" spans="1:32" s="68" customFormat="1">
      <c r="A77" s="258">
        <f t="shared" si="31"/>
        <v>77</v>
      </c>
      <c r="B77" s="96"/>
      <c r="C77" s="55" t="s">
        <v>75</v>
      </c>
      <c r="D77" s="94"/>
      <c r="E77" s="120"/>
      <c r="F77" s="120"/>
      <c r="G77" s="594">
        <f>SUM(G71:G76)</f>
        <v>0</v>
      </c>
      <c r="H77" s="95"/>
      <c r="I77" s="627">
        <f t="shared" ref="I77:AE77" si="43">SUM(I71:I76)</f>
        <v>0</v>
      </c>
      <c r="J77" s="52">
        <f t="shared" si="43"/>
        <v>0</v>
      </c>
      <c r="K77" s="406">
        <f t="shared" si="43"/>
        <v>0</v>
      </c>
      <c r="L77" s="52">
        <f>SUM(L71:L76)</f>
        <v>0</v>
      </c>
      <c r="M77" s="52">
        <f t="shared" si="43"/>
        <v>0</v>
      </c>
      <c r="N77" s="406">
        <f t="shared" si="43"/>
        <v>0</v>
      </c>
      <c r="O77" s="52">
        <f>SUM(O71:O76)</f>
        <v>0</v>
      </c>
      <c r="P77" s="52">
        <f t="shared" si="43"/>
        <v>0</v>
      </c>
      <c r="Q77" s="406">
        <f t="shared" si="43"/>
        <v>0</v>
      </c>
      <c r="R77" s="52">
        <f>SUM(R71:R76)</f>
        <v>0</v>
      </c>
      <c r="S77" s="52">
        <f t="shared" si="43"/>
        <v>0</v>
      </c>
      <c r="T77" s="122">
        <f t="shared" si="43"/>
        <v>0</v>
      </c>
      <c r="U77" s="294">
        <f t="shared" si="43"/>
        <v>0</v>
      </c>
      <c r="V77" s="52">
        <f t="shared" si="43"/>
        <v>0</v>
      </c>
      <c r="W77" s="52">
        <f t="shared" si="43"/>
        <v>0</v>
      </c>
      <c r="X77" s="52">
        <f t="shared" si="43"/>
        <v>0</v>
      </c>
      <c r="Y77" s="407">
        <f t="shared" si="43"/>
        <v>0</v>
      </c>
      <c r="Z77" s="121">
        <f t="shared" si="43"/>
        <v>0</v>
      </c>
      <c r="AA77" s="121">
        <f t="shared" si="43"/>
        <v>0</v>
      </c>
      <c r="AB77" s="121">
        <f t="shared" si="43"/>
        <v>0</v>
      </c>
      <c r="AC77" s="406">
        <f t="shared" si="43"/>
        <v>0</v>
      </c>
      <c r="AD77" s="121">
        <f t="shared" si="43"/>
        <v>0</v>
      </c>
      <c r="AE77" s="408">
        <f t="shared" si="43"/>
        <v>0</v>
      </c>
      <c r="AF77" s="291"/>
    </row>
    <row r="78" spans="1:32" s="68" customFormat="1" ht="7.5" customHeight="1">
      <c r="A78" s="258">
        <f t="shared" si="31"/>
        <v>78</v>
      </c>
      <c r="B78" s="96"/>
      <c r="C78" s="94"/>
      <c r="D78" s="120"/>
      <c r="E78" s="120"/>
      <c r="F78" s="120"/>
      <c r="G78" s="598"/>
      <c r="H78" s="95"/>
      <c r="I78" s="95"/>
      <c r="J78" s="95"/>
      <c r="K78" s="95"/>
      <c r="L78" s="95"/>
      <c r="M78" s="95"/>
      <c r="N78" s="95"/>
      <c r="O78" s="95"/>
      <c r="P78" s="95"/>
      <c r="Q78" s="95"/>
      <c r="R78" s="95"/>
      <c r="S78" s="95"/>
      <c r="T78" s="118"/>
      <c r="U78" s="95"/>
      <c r="V78" s="95"/>
      <c r="W78" s="95"/>
      <c r="X78" s="95"/>
      <c r="Y78" s="95"/>
      <c r="Z78" s="95"/>
      <c r="AA78" s="95"/>
      <c r="AB78" s="95"/>
      <c r="AC78" s="95"/>
      <c r="AD78" s="95"/>
      <c r="AE78" s="118"/>
      <c r="AF78" s="291"/>
    </row>
    <row r="79" spans="1:32" s="68" customFormat="1">
      <c r="A79" s="258">
        <f t="shared" si="31"/>
        <v>79</v>
      </c>
      <c r="B79" s="96"/>
      <c r="C79" s="119" t="s">
        <v>77</v>
      </c>
      <c r="D79" s="50"/>
      <c r="E79" s="94"/>
      <c r="F79" s="94"/>
      <c r="G79" s="599"/>
      <c r="H79" s="95"/>
      <c r="I79" s="98"/>
      <c r="J79" s="98"/>
      <c r="K79" s="98"/>
      <c r="L79" s="98"/>
      <c r="M79" s="98"/>
      <c r="N79" s="98"/>
      <c r="O79" s="98"/>
      <c r="P79" s="98"/>
      <c r="Q79" s="98"/>
      <c r="R79" s="98"/>
      <c r="S79" s="98"/>
      <c r="T79" s="99"/>
      <c r="U79" s="95"/>
      <c r="V79" s="95"/>
      <c r="W79" s="95"/>
      <c r="X79" s="95"/>
      <c r="Y79" s="95"/>
      <c r="Z79" s="95"/>
      <c r="AA79" s="95"/>
      <c r="AB79" s="95"/>
      <c r="AC79" s="95"/>
      <c r="AD79" s="95"/>
      <c r="AE79" s="118"/>
      <c r="AF79" s="291"/>
    </row>
    <row r="80" spans="1:32" s="68" customFormat="1">
      <c r="A80" s="258">
        <f t="shared" si="31"/>
        <v>80</v>
      </c>
      <c r="B80" s="96"/>
      <c r="C80" s="94"/>
      <c r="D80" s="54" t="s">
        <v>51</v>
      </c>
      <c r="E80" s="120"/>
      <c r="F80" s="120"/>
      <c r="G80" s="594">
        <f>IFERROR(INDEX('3.) Staffing Plan'!O24:R24,COUNTIF('3.) Staffing Plan'!$O$44:$R$44,"&gt;0")),0)</f>
        <v>0</v>
      </c>
      <c r="H80" s="297"/>
      <c r="I80" s="276"/>
      <c r="J80" s="102">
        <f>IF('4.) Yearly Budget'!$K$18&gt;0,'4.) Yearly Budget'!K80,'4.) Yearly Budget'!J80)</f>
        <v>0</v>
      </c>
      <c r="K80" s="382">
        <f t="shared" ref="K80:K87" si="44">IF(I$18&lt;&gt;0,J80-I80,0)</f>
        <v>0</v>
      </c>
      <c r="L80" s="276"/>
      <c r="M80" s="102">
        <f>IF('4.) Yearly Budget'!$N$18&gt;0,'4.) Yearly Budget'!N80,'4.) Yearly Budget'!M80)</f>
        <v>0</v>
      </c>
      <c r="N80" s="382">
        <f t="shared" ref="N80:N87" si="45">IF(L$18&lt;&gt;0,M80-L80,0)</f>
        <v>0</v>
      </c>
      <c r="O80" s="276"/>
      <c r="P80" s="102">
        <f>IF('4.) Yearly Budget'!$Q$18&gt;0,'4.) Yearly Budget'!Q80,'4.) Yearly Budget'!P80)</f>
        <v>0</v>
      </c>
      <c r="Q80" s="382">
        <f t="shared" ref="Q80:Q87" si="46">IF(O$18&lt;&gt;0,P80-O80,0)</f>
        <v>0</v>
      </c>
      <c r="R80" s="276"/>
      <c r="S80" s="102">
        <f>IF('4.) Yearly Budget'!$T$18&gt;0,'4.) Yearly Budget'!T80,'4.) Yearly Budget'!S80)</f>
        <v>0</v>
      </c>
      <c r="T80" s="105">
        <f t="shared" ref="T80:T87" si="47">IF(R$18&lt;&gt;0,S80-R80,0)</f>
        <v>0</v>
      </c>
      <c r="U80" s="277">
        <f t="shared" ref="U80:U87" si="48">IF(I$6&lt;&gt;0,I80,0)+IF(L$6&lt;&gt;0,L80,0)+IF(O$6&lt;&gt;0,O80,0)+IF(R$6&lt;&gt;0,R80,0)</f>
        <v>0</v>
      </c>
      <c r="V80" s="379">
        <f t="shared" ref="V80:V87" si="49">SUM(IF(I$6&lt;&gt;0,J80,0)+IF(L$6&lt;&gt;0,M80,0)+IF(O$6&lt;&gt;0,P80,0)+IF(R$6&lt;&gt;0,S80,0))</f>
        <v>0</v>
      </c>
      <c r="W80" s="379">
        <f t="shared" ref="W80:W87" si="50">V80-U80</f>
        <v>0</v>
      </c>
      <c r="X80" s="379">
        <f>'4.) Yearly Budget'!W80</f>
        <v>0</v>
      </c>
      <c r="Y80" s="380">
        <f t="shared" ref="Y80:Y87" si="51">IF(U80&lt;&gt;0,X80-U80,IF(U80=0,X80,0))</f>
        <v>0</v>
      </c>
      <c r="Z80" s="381">
        <f>SUM(IF(I$18&lt;&gt;0,'4.) Yearly Budget'!J80,0)+IF(L$18&lt;&gt;0,'4.) Yearly Budget'!M80,0)+IF(O$18&lt;&gt;0,'4.) Yearly Budget'!P80,0)+IF(R$18&lt;&gt;0,'4.) Yearly Budget'!S80,0))</f>
        <v>0</v>
      </c>
      <c r="AA80" s="381">
        <f t="shared" ref="AA80:AA87" si="52">Z80-U80</f>
        <v>0</v>
      </c>
      <c r="AB80" s="381">
        <f>'4.) Yearly Budget'!V80</f>
        <v>0</v>
      </c>
      <c r="AC80" s="382">
        <f t="shared" ref="AC80:AC87" si="53">IF(U80&lt;&gt;0,AB80-U80,IF(U80=0,AB80,0))</f>
        <v>0</v>
      </c>
      <c r="AD80" s="381">
        <f>IF(U$6&lt;&gt;0,'4.) Yearly Budget'!I80/$AM$18,0)</f>
        <v>0</v>
      </c>
      <c r="AE80" s="105">
        <f t="shared" ref="AE80:AE87" si="54">AD80-U80</f>
        <v>0</v>
      </c>
      <c r="AF80" s="291"/>
    </row>
    <row r="81" spans="1:32" s="68" customFormat="1">
      <c r="A81" s="258">
        <f t="shared" si="31"/>
        <v>81</v>
      </c>
      <c r="B81" s="96"/>
      <c r="C81" s="94"/>
      <c r="D81" s="54" t="s">
        <v>52</v>
      </c>
      <c r="E81" s="120"/>
      <c r="F81" s="120"/>
      <c r="G81" s="594">
        <f>IFERROR(INDEX('3.) Staffing Plan'!O25:R25,COUNTIF('3.) Staffing Plan'!$O$44:$R$44,"&gt;0")),0)</f>
        <v>0</v>
      </c>
      <c r="H81" s="297"/>
      <c r="I81" s="276"/>
      <c r="J81" s="102">
        <f>IF('4.) Yearly Budget'!$K$18&gt;0,'4.) Yearly Budget'!K81,'4.) Yearly Budget'!J81)</f>
        <v>0</v>
      </c>
      <c r="K81" s="382">
        <f t="shared" si="44"/>
        <v>0</v>
      </c>
      <c r="L81" s="276"/>
      <c r="M81" s="102">
        <f>IF('4.) Yearly Budget'!$N$18&gt;0,'4.) Yearly Budget'!N81,'4.) Yearly Budget'!M81)</f>
        <v>0</v>
      </c>
      <c r="N81" s="382">
        <f t="shared" si="45"/>
        <v>0</v>
      </c>
      <c r="O81" s="276"/>
      <c r="P81" s="102">
        <f>IF('4.) Yearly Budget'!$Q$18&gt;0,'4.) Yearly Budget'!Q81,'4.) Yearly Budget'!P81)</f>
        <v>0</v>
      </c>
      <c r="Q81" s="382">
        <f t="shared" si="46"/>
        <v>0</v>
      </c>
      <c r="R81" s="276"/>
      <c r="S81" s="102">
        <f>IF('4.) Yearly Budget'!$T$18&gt;0,'4.) Yearly Budget'!T81,'4.) Yearly Budget'!S81)</f>
        <v>0</v>
      </c>
      <c r="T81" s="105">
        <f t="shared" si="47"/>
        <v>0</v>
      </c>
      <c r="U81" s="277">
        <f t="shared" si="48"/>
        <v>0</v>
      </c>
      <c r="V81" s="379">
        <f t="shared" si="49"/>
        <v>0</v>
      </c>
      <c r="W81" s="379">
        <f t="shared" si="50"/>
        <v>0</v>
      </c>
      <c r="X81" s="379">
        <f>'4.) Yearly Budget'!W81</f>
        <v>0</v>
      </c>
      <c r="Y81" s="380">
        <f t="shared" si="51"/>
        <v>0</v>
      </c>
      <c r="Z81" s="381">
        <f>SUM(IF(I$18&lt;&gt;0,'4.) Yearly Budget'!J81,0)+IF(L$18&lt;&gt;0,'4.) Yearly Budget'!M81,0)+IF(O$18&lt;&gt;0,'4.) Yearly Budget'!P81,0)+IF(R$18&lt;&gt;0,'4.) Yearly Budget'!S81,0))</f>
        <v>0</v>
      </c>
      <c r="AA81" s="381">
        <f t="shared" si="52"/>
        <v>0</v>
      </c>
      <c r="AB81" s="381">
        <f>'4.) Yearly Budget'!V81</f>
        <v>0</v>
      </c>
      <c r="AC81" s="382">
        <f t="shared" si="53"/>
        <v>0</v>
      </c>
      <c r="AD81" s="381">
        <f>IF(U$6&lt;&gt;0,'4.) Yearly Budget'!I81/$AM$18,0)</f>
        <v>0</v>
      </c>
      <c r="AE81" s="105">
        <f t="shared" si="54"/>
        <v>0</v>
      </c>
      <c r="AF81" s="291"/>
    </row>
    <row r="82" spans="1:32" s="68" customFormat="1">
      <c r="A82" s="258">
        <f t="shared" si="31"/>
        <v>82</v>
      </c>
      <c r="B82" s="96"/>
      <c r="C82" s="94"/>
      <c r="D82" s="54" t="s">
        <v>10</v>
      </c>
      <c r="E82" s="120"/>
      <c r="F82" s="120"/>
      <c r="G82" s="594">
        <f>IFERROR(INDEX('3.) Staffing Plan'!O26:R26,COUNTIF('3.) Staffing Plan'!$O$44:$R$44,"&gt;0")),0)</f>
        <v>0</v>
      </c>
      <c r="H82" s="297"/>
      <c r="I82" s="276"/>
      <c r="J82" s="102">
        <f>IF('4.) Yearly Budget'!$K$18&gt;0,'4.) Yearly Budget'!K82,'4.) Yearly Budget'!J82)</f>
        <v>0</v>
      </c>
      <c r="K82" s="382">
        <f t="shared" si="44"/>
        <v>0</v>
      </c>
      <c r="L82" s="276"/>
      <c r="M82" s="102">
        <f>IF('4.) Yearly Budget'!$N$18&gt;0,'4.) Yearly Budget'!N82,'4.) Yearly Budget'!M82)</f>
        <v>0</v>
      </c>
      <c r="N82" s="382">
        <f t="shared" si="45"/>
        <v>0</v>
      </c>
      <c r="O82" s="276"/>
      <c r="P82" s="102">
        <f>IF('4.) Yearly Budget'!$Q$18&gt;0,'4.) Yearly Budget'!Q82,'4.) Yearly Budget'!P82)</f>
        <v>0</v>
      </c>
      <c r="Q82" s="382">
        <f t="shared" si="46"/>
        <v>0</v>
      </c>
      <c r="R82" s="276"/>
      <c r="S82" s="102">
        <f>IF('4.) Yearly Budget'!$T$18&gt;0,'4.) Yearly Budget'!T82,'4.) Yearly Budget'!S82)</f>
        <v>0</v>
      </c>
      <c r="T82" s="105">
        <f t="shared" si="47"/>
        <v>0</v>
      </c>
      <c r="U82" s="277">
        <f t="shared" si="48"/>
        <v>0</v>
      </c>
      <c r="V82" s="379">
        <f t="shared" si="49"/>
        <v>0</v>
      </c>
      <c r="W82" s="379">
        <f t="shared" si="50"/>
        <v>0</v>
      </c>
      <c r="X82" s="379">
        <f>'4.) Yearly Budget'!W82</f>
        <v>0</v>
      </c>
      <c r="Y82" s="380">
        <f t="shared" si="51"/>
        <v>0</v>
      </c>
      <c r="Z82" s="381">
        <f>SUM(IF(I$18&lt;&gt;0,'4.) Yearly Budget'!J82,0)+IF(L$18&lt;&gt;0,'4.) Yearly Budget'!M82,0)+IF(O$18&lt;&gt;0,'4.) Yearly Budget'!P82,0)+IF(R$18&lt;&gt;0,'4.) Yearly Budget'!S82,0))</f>
        <v>0</v>
      </c>
      <c r="AA82" s="381">
        <f t="shared" si="52"/>
        <v>0</v>
      </c>
      <c r="AB82" s="381">
        <f>'4.) Yearly Budget'!V82</f>
        <v>0</v>
      </c>
      <c r="AC82" s="382">
        <f t="shared" si="53"/>
        <v>0</v>
      </c>
      <c r="AD82" s="381">
        <f>IF(U$6&lt;&gt;0,'4.) Yearly Budget'!I82/$AM$18,0)</f>
        <v>0</v>
      </c>
      <c r="AE82" s="105">
        <f t="shared" si="54"/>
        <v>0</v>
      </c>
      <c r="AF82" s="291"/>
    </row>
    <row r="83" spans="1:32" s="68" customFormat="1">
      <c r="A83" s="258">
        <f t="shared" si="31"/>
        <v>83</v>
      </c>
      <c r="B83" s="96"/>
      <c r="C83" s="94"/>
      <c r="D83" s="54" t="s">
        <v>11</v>
      </c>
      <c r="E83" s="120"/>
      <c r="F83" s="120"/>
      <c r="G83" s="594">
        <f>IFERROR(INDEX('3.) Staffing Plan'!O27:R27,COUNTIF('3.) Staffing Plan'!$O$44:$R$44,"&gt;0")),0)</f>
        <v>0</v>
      </c>
      <c r="H83" s="297"/>
      <c r="I83" s="276"/>
      <c r="J83" s="102">
        <f>IF('4.) Yearly Budget'!$K$18&gt;0,'4.) Yearly Budget'!K83,'4.) Yearly Budget'!J83)</f>
        <v>0</v>
      </c>
      <c r="K83" s="382">
        <f t="shared" si="44"/>
        <v>0</v>
      </c>
      <c r="L83" s="276"/>
      <c r="M83" s="102">
        <f>IF('4.) Yearly Budget'!$N$18&gt;0,'4.) Yearly Budget'!N83,'4.) Yearly Budget'!M83)</f>
        <v>0</v>
      </c>
      <c r="N83" s="382">
        <f t="shared" si="45"/>
        <v>0</v>
      </c>
      <c r="O83" s="276"/>
      <c r="P83" s="102">
        <f>IF('4.) Yearly Budget'!$Q$18&gt;0,'4.) Yearly Budget'!Q83,'4.) Yearly Budget'!P83)</f>
        <v>0</v>
      </c>
      <c r="Q83" s="382">
        <f t="shared" si="46"/>
        <v>0</v>
      </c>
      <c r="R83" s="276"/>
      <c r="S83" s="102">
        <f>IF('4.) Yearly Budget'!$T$18&gt;0,'4.) Yearly Budget'!T83,'4.) Yearly Budget'!S83)</f>
        <v>0</v>
      </c>
      <c r="T83" s="105">
        <f t="shared" si="47"/>
        <v>0</v>
      </c>
      <c r="U83" s="277">
        <f t="shared" si="48"/>
        <v>0</v>
      </c>
      <c r="V83" s="379">
        <f t="shared" si="49"/>
        <v>0</v>
      </c>
      <c r="W83" s="379">
        <f t="shared" si="50"/>
        <v>0</v>
      </c>
      <c r="X83" s="379">
        <f>'4.) Yearly Budget'!W83</f>
        <v>0</v>
      </c>
      <c r="Y83" s="380">
        <f t="shared" si="51"/>
        <v>0</v>
      </c>
      <c r="Z83" s="381">
        <f>SUM(IF(I$18&lt;&gt;0,'4.) Yearly Budget'!J83,0)+IF(L$18&lt;&gt;0,'4.) Yearly Budget'!M83,0)+IF(O$18&lt;&gt;0,'4.) Yearly Budget'!P83,0)+IF(R$18&lt;&gt;0,'4.) Yearly Budget'!S83,0))</f>
        <v>0</v>
      </c>
      <c r="AA83" s="381">
        <f t="shared" si="52"/>
        <v>0</v>
      </c>
      <c r="AB83" s="381">
        <f>'4.) Yearly Budget'!V83</f>
        <v>0</v>
      </c>
      <c r="AC83" s="382">
        <f t="shared" si="53"/>
        <v>0</v>
      </c>
      <c r="AD83" s="381">
        <f>IF(U$6&lt;&gt;0,'4.) Yearly Budget'!I83/$AM$18,0)</f>
        <v>0</v>
      </c>
      <c r="AE83" s="105">
        <f t="shared" si="54"/>
        <v>0</v>
      </c>
      <c r="AF83" s="291"/>
    </row>
    <row r="84" spans="1:32" s="68" customFormat="1">
      <c r="A84" s="258">
        <f t="shared" si="31"/>
        <v>84</v>
      </c>
      <c r="B84" s="96"/>
      <c r="C84" s="94"/>
      <c r="D84" s="54" t="s">
        <v>12</v>
      </c>
      <c r="E84" s="120"/>
      <c r="F84" s="120"/>
      <c r="G84" s="594">
        <f>IFERROR(INDEX('3.) Staffing Plan'!O28:R28,COUNTIF('3.) Staffing Plan'!$O$44:$R$44,"&gt;0")),0)</f>
        <v>0</v>
      </c>
      <c r="H84" s="297"/>
      <c r="I84" s="276"/>
      <c r="J84" s="102">
        <f>IF('4.) Yearly Budget'!$K$18&gt;0,'4.) Yearly Budget'!K84,'4.) Yearly Budget'!J84)</f>
        <v>0</v>
      </c>
      <c r="K84" s="382">
        <f t="shared" si="44"/>
        <v>0</v>
      </c>
      <c r="L84" s="276"/>
      <c r="M84" s="102">
        <f>IF('4.) Yearly Budget'!$N$18&gt;0,'4.) Yearly Budget'!N84,'4.) Yearly Budget'!M84)</f>
        <v>0</v>
      </c>
      <c r="N84" s="382">
        <f t="shared" si="45"/>
        <v>0</v>
      </c>
      <c r="O84" s="276"/>
      <c r="P84" s="102">
        <f>IF('4.) Yearly Budget'!$Q$18&gt;0,'4.) Yearly Budget'!Q84,'4.) Yearly Budget'!P84)</f>
        <v>0</v>
      </c>
      <c r="Q84" s="382">
        <f t="shared" si="46"/>
        <v>0</v>
      </c>
      <c r="R84" s="276"/>
      <c r="S84" s="102">
        <f>IF('4.) Yearly Budget'!$T$18&gt;0,'4.) Yearly Budget'!T84,'4.) Yearly Budget'!S84)</f>
        <v>0</v>
      </c>
      <c r="T84" s="105">
        <f t="shared" si="47"/>
        <v>0</v>
      </c>
      <c r="U84" s="277">
        <f t="shared" si="48"/>
        <v>0</v>
      </c>
      <c r="V84" s="379">
        <f t="shared" si="49"/>
        <v>0</v>
      </c>
      <c r="W84" s="379">
        <f t="shared" si="50"/>
        <v>0</v>
      </c>
      <c r="X84" s="379">
        <f>'4.) Yearly Budget'!W84</f>
        <v>0</v>
      </c>
      <c r="Y84" s="380">
        <f t="shared" si="51"/>
        <v>0</v>
      </c>
      <c r="Z84" s="381">
        <f>SUM(IF(I$18&lt;&gt;0,'4.) Yearly Budget'!J84,0)+IF(L$18&lt;&gt;0,'4.) Yearly Budget'!M84,0)+IF(O$18&lt;&gt;0,'4.) Yearly Budget'!P84,0)+IF(R$18&lt;&gt;0,'4.) Yearly Budget'!S84,0))</f>
        <v>0</v>
      </c>
      <c r="AA84" s="381">
        <f t="shared" si="52"/>
        <v>0</v>
      </c>
      <c r="AB84" s="381">
        <f>'4.) Yearly Budget'!V84</f>
        <v>0</v>
      </c>
      <c r="AC84" s="382">
        <f t="shared" si="53"/>
        <v>0</v>
      </c>
      <c r="AD84" s="381">
        <f>IF(U$6&lt;&gt;0,'4.) Yearly Budget'!I84/$AM$18,0)</f>
        <v>0</v>
      </c>
      <c r="AE84" s="105">
        <f t="shared" si="54"/>
        <v>0</v>
      </c>
      <c r="AF84" s="291"/>
    </row>
    <row r="85" spans="1:32" s="68" customFormat="1">
      <c r="A85" s="258">
        <f t="shared" si="31"/>
        <v>85</v>
      </c>
      <c r="B85" s="96"/>
      <c r="C85" s="94"/>
      <c r="D85" s="54" t="s">
        <v>13</v>
      </c>
      <c r="E85" s="120"/>
      <c r="F85" s="120"/>
      <c r="G85" s="594">
        <f>IFERROR(INDEX('3.) Staffing Plan'!O29:R29,COUNTIF('3.) Staffing Plan'!$O$44:$R$44,"&gt;0")),0)</f>
        <v>0</v>
      </c>
      <c r="H85" s="297"/>
      <c r="I85" s="276"/>
      <c r="J85" s="102">
        <f>IF('4.) Yearly Budget'!$K$18&gt;0,'4.) Yearly Budget'!K85,'4.) Yearly Budget'!J85)</f>
        <v>0</v>
      </c>
      <c r="K85" s="382">
        <f t="shared" si="44"/>
        <v>0</v>
      </c>
      <c r="L85" s="276"/>
      <c r="M85" s="102">
        <f>IF('4.) Yearly Budget'!$N$18&gt;0,'4.) Yearly Budget'!N85,'4.) Yearly Budget'!M85)</f>
        <v>0</v>
      </c>
      <c r="N85" s="382">
        <f t="shared" si="45"/>
        <v>0</v>
      </c>
      <c r="O85" s="276"/>
      <c r="P85" s="102">
        <f>IF('4.) Yearly Budget'!$Q$18&gt;0,'4.) Yearly Budget'!Q85,'4.) Yearly Budget'!P85)</f>
        <v>0</v>
      </c>
      <c r="Q85" s="382">
        <f t="shared" si="46"/>
        <v>0</v>
      </c>
      <c r="R85" s="276"/>
      <c r="S85" s="102">
        <f>IF('4.) Yearly Budget'!$T$18&gt;0,'4.) Yearly Budget'!T85,'4.) Yearly Budget'!S85)</f>
        <v>0</v>
      </c>
      <c r="T85" s="105">
        <f t="shared" si="47"/>
        <v>0</v>
      </c>
      <c r="U85" s="277">
        <f t="shared" si="48"/>
        <v>0</v>
      </c>
      <c r="V85" s="379">
        <f t="shared" si="49"/>
        <v>0</v>
      </c>
      <c r="W85" s="379">
        <f t="shared" si="50"/>
        <v>0</v>
      </c>
      <c r="X85" s="379">
        <f>'4.) Yearly Budget'!W85</f>
        <v>0</v>
      </c>
      <c r="Y85" s="380">
        <f t="shared" si="51"/>
        <v>0</v>
      </c>
      <c r="Z85" s="381">
        <f>SUM(IF(I$18&lt;&gt;0,'4.) Yearly Budget'!J85,0)+IF(L$18&lt;&gt;0,'4.) Yearly Budget'!M85,0)+IF(O$18&lt;&gt;0,'4.) Yearly Budget'!P85,0)+IF(R$18&lt;&gt;0,'4.) Yearly Budget'!S85,0))</f>
        <v>0</v>
      </c>
      <c r="AA85" s="381">
        <f t="shared" si="52"/>
        <v>0</v>
      </c>
      <c r="AB85" s="381">
        <f>'4.) Yearly Budget'!V85</f>
        <v>0</v>
      </c>
      <c r="AC85" s="382">
        <f t="shared" si="53"/>
        <v>0</v>
      </c>
      <c r="AD85" s="381">
        <f>IF(U$6&lt;&gt;0,'4.) Yearly Budget'!I85/$AM$18,0)</f>
        <v>0</v>
      </c>
      <c r="AE85" s="105">
        <f t="shared" si="54"/>
        <v>0</v>
      </c>
      <c r="AF85" s="291"/>
    </row>
    <row r="86" spans="1:32" s="68" customFormat="1">
      <c r="A86" s="258">
        <f t="shared" si="31"/>
        <v>86</v>
      </c>
      <c r="B86" s="96"/>
      <c r="C86" s="94"/>
      <c r="D86" s="54" t="s">
        <v>73</v>
      </c>
      <c r="E86" s="120"/>
      <c r="F86" s="120"/>
      <c r="G86" s="594">
        <f>IFERROR(INDEX('3.) Staffing Plan'!O30:R30,COUNTIF('3.) Staffing Plan'!$O$44:$R$44,"&gt;0")),0)</f>
        <v>0</v>
      </c>
      <c r="H86" s="297"/>
      <c r="I86" s="276"/>
      <c r="J86" s="102">
        <f>IF('4.) Yearly Budget'!$K$18&gt;0,'4.) Yearly Budget'!K86,'4.) Yearly Budget'!J86)</f>
        <v>0</v>
      </c>
      <c r="K86" s="382">
        <f t="shared" si="44"/>
        <v>0</v>
      </c>
      <c r="L86" s="276"/>
      <c r="M86" s="102">
        <f>IF('4.) Yearly Budget'!$N$18&gt;0,'4.) Yearly Budget'!N86,'4.) Yearly Budget'!M86)</f>
        <v>0</v>
      </c>
      <c r="N86" s="382">
        <f t="shared" si="45"/>
        <v>0</v>
      </c>
      <c r="O86" s="276"/>
      <c r="P86" s="102">
        <f>IF('4.) Yearly Budget'!$Q$18&gt;0,'4.) Yearly Budget'!Q86,'4.) Yearly Budget'!P86)</f>
        <v>0</v>
      </c>
      <c r="Q86" s="382">
        <f t="shared" si="46"/>
        <v>0</v>
      </c>
      <c r="R86" s="276"/>
      <c r="S86" s="102">
        <f>IF('4.) Yearly Budget'!$T$18&gt;0,'4.) Yearly Budget'!T86,'4.) Yearly Budget'!S86)</f>
        <v>0</v>
      </c>
      <c r="T86" s="105">
        <f t="shared" si="47"/>
        <v>0</v>
      </c>
      <c r="U86" s="277">
        <f t="shared" si="48"/>
        <v>0</v>
      </c>
      <c r="V86" s="379">
        <f t="shared" si="49"/>
        <v>0</v>
      </c>
      <c r="W86" s="379">
        <f t="shared" si="50"/>
        <v>0</v>
      </c>
      <c r="X86" s="379">
        <f>'4.) Yearly Budget'!W86</f>
        <v>0</v>
      </c>
      <c r="Y86" s="380">
        <f t="shared" si="51"/>
        <v>0</v>
      </c>
      <c r="Z86" s="381">
        <f>SUM(IF(I$18&lt;&gt;0,'4.) Yearly Budget'!J86,0)+IF(L$18&lt;&gt;0,'4.) Yearly Budget'!M86,0)+IF(O$18&lt;&gt;0,'4.) Yearly Budget'!P86,0)+IF(R$18&lt;&gt;0,'4.) Yearly Budget'!S86,0))</f>
        <v>0</v>
      </c>
      <c r="AA86" s="381">
        <f t="shared" si="52"/>
        <v>0</v>
      </c>
      <c r="AB86" s="381">
        <f>'4.) Yearly Budget'!V86</f>
        <v>0</v>
      </c>
      <c r="AC86" s="382">
        <f t="shared" si="53"/>
        <v>0</v>
      </c>
      <c r="AD86" s="381">
        <f>IF(U$6&lt;&gt;0,'4.) Yearly Budget'!I86/$AM$18,0)</f>
        <v>0</v>
      </c>
      <c r="AE86" s="105">
        <f t="shared" si="54"/>
        <v>0</v>
      </c>
      <c r="AF86" s="291"/>
    </row>
    <row r="87" spans="1:32" s="68" customFormat="1" ht="16.8">
      <c r="A87" s="258">
        <f t="shared" si="31"/>
        <v>87</v>
      </c>
      <c r="B87" s="96"/>
      <c r="C87" s="94"/>
      <c r="D87" s="58" t="s">
        <v>29</v>
      </c>
      <c r="E87" s="120"/>
      <c r="F87" s="120"/>
      <c r="G87" s="597">
        <f>IFERROR(INDEX('3.) Staffing Plan'!O31:R31,COUNTIF('3.) Staffing Plan'!$O$44:$R$44,"&gt;0")),0)</f>
        <v>0</v>
      </c>
      <c r="H87" s="297"/>
      <c r="I87" s="284"/>
      <c r="J87" s="549">
        <f>IF('4.) Yearly Budget'!$K$18&gt;0,'4.) Yearly Budget'!K87,'4.) Yearly Budget'!J87)</f>
        <v>0</v>
      </c>
      <c r="K87" s="392">
        <f t="shared" si="44"/>
        <v>0</v>
      </c>
      <c r="L87" s="284"/>
      <c r="M87" s="549">
        <f>IF('4.) Yearly Budget'!$N$18&gt;0,'4.) Yearly Budget'!N87,'4.) Yearly Budget'!M87)</f>
        <v>0</v>
      </c>
      <c r="N87" s="392">
        <f t="shared" si="45"/>
        <v>0</v>
      </c>
      <c r="O87" s="284"/>
      <c r="P87" s="549">
        <f>IF('4.) Yearly Budget'!$Q$18&gt;0,'4.) Yearly Budget'!Q87,'4.) Yearly Budget'!P87)</f>
        <v>0</v>
      </c>
      <c r="Q87" s="392">
        <f t="shared" si="46"/>
        <v>0</v>
      </c>
      <c r="R87" s="284"/>
      <c r="S87" s="549">
        <f>IF('4.) Yearly Budget'!$T$18&gt;0,'4.) Yearly Budget'!T87,'4.) Yearly Budget'!S87)</f>
        <v>0</v>
      </c>
      <c r="T87" s="388">
        <f t="shared" si="47"/>
        <v>0</v>
      </c>
      <c r="U87" s="285">
        <f t="shared" si="48"/>
        <v>0</v>
      </c>
      <c r="V87" s="389">
        <f t="shared" si="49"/>
        <v>0</v>
      </c>
      <c r="W87" s="389">
        <f t="shared" si="50"/>
        <v>0</v>
      </c>
      <c r="X87" s="389">
        <f>'4.) Yearly Budget'!W87</f>
        <v>0</v>
      </c>
      <c r="Y87" s="390">
        <f t="shared" si="51"/>
        <v>0</v>
      </c>
      <c r="Z87" s="391">
        <f>SUM(IF(I$18&lt;&gt;0,'4.) Yearly Budget'!J87,0)+IF(L$18&lt;&gt;0,'4.) Yearly Budget'!M87,0)+IF(O$18&lt;&gt;0,'4.) Yearly Budget'!P87,0)+IF(R$18&lt;&gt;0,'4.) Yearly Budget'!S87,0))</f>
        <v>0</v>
      </c>
      <c r="AA87" s="391">
        <f t="shared" si="52"/>
        <v>0</v>
      </c>
      <c r="AB87" s="391">
        <f>'4.) Yearly Budget'!V87</f>
        <v>0</v>
      </c>
      <c r="AC87" s="392">
        <f t="shared" si="53"/>
        <v>0</v>
      </c>
      <c r="AD87" s="391">
        <f>IF(U$6&lt;&gt;0,'4.) Yearly Budget'!I87/$AM$18,0)</f>
        <v>0</v>
      </c>
      <c r="AE87" s="388">
        <f t="shared" si="54"/>
        <v>0</v>
      </c>
      <c r="AF87" s="291"/>
    </row>
    <row r="88" spans="1:32" s="68" customFormat="1">
      <c r="A88" s="258">
        <f t="shared" si="31"/>
        <v>88</v>
      </c>
      <c r="B88" s="96"/>
      <c r="C88" s="55" t="s">
        <v>78</v>
      </c>
      <c r="D88" s="94"/>
      <c r="E88" s="120"/>
      <c r="F88" s="120"/>
      <c r="G88" s="594">
        <f>SUM(G80:G87)</f>
        <v>0</v>
      </c>
      <c r="H88" s="297"/>
      <c r="I88" s="627">
        <f t="shared" ref="I88:AE88" si="55">SUM(I80:I87)</f>
        <v>0</v>
      </c>
      <c r="J88" s="52">
        <f t="shared" si="55"/>
        <v>0</v>
      </c>
      <c r="K88" s="406">
        <f t="shared" si="55"/>
        <v>0</v>
      </c>
      <c r="L88" s="52">
        <f>SUM(L80:L87)</f>
        <v>0</v>
      </c>
      <c r="M88" s="52">
        <f t="shared" si="55"/>
        <v>0</v>
      </c>
      <c r="N88" s="406">
        <f t="shared" si="55"/>
        <v>0</v>
      </c>
      <c r="O88" s="52">
        <f>SUM(O80:O87)</f>
        <v>0</v>
      </c>
      <c r="P88" s="52">
        <f t="shared" si="55"/>
        <v>0</v>
      </c>
      <c r="Q88" s="406">
        <f t="shared" si="55"/>
        <v>0</v>
      </c>
      <c r="R88" s="52">
        <f>SUM(R80:R87)</f>
        <v>0</v>
      </c>
      <c r="S88" s="52">
        <f t="shared" si="55"/>
        <v>0</v>
      </c>
      <c r="T88" s="122">
        <f t="shared" si="55"/>
        <v>0</v>
      </c>
      <c r="U88" s="294">
        <f t="shared" si="55"/>
        <v>0</v>
      </c>
      <c r="V88" s="52">
        <f t="shared" si="55"/>
        <v>0</v>
      </c>
      <c r="W88" s="52">
        <f t="shared" si="55"/>
        <v>0</v>
      </c>
      <c r="X88" s="52">
        <f t="shared" si="55"/>
        <v>0</v>
      </c>
      <c r="Y88" s="407">
        <f t="shared" si="55"/>
        <v>0</v>
      </c>
      <c r="Z88" s="121">
        <f t="shared" si="55"/>
        <v>0</v>
      </c>
      <c r="AA88" s="121">
        <f t="shared" si="55"/>
        <v>0</v>
      </c>
      <c r="AB88" s="121">
        <f t="shared" si="55"/>
        <v>0</v>
      </c>
      <c r="AC88" s="406">
        <f t="shared" si="55"/>
        <v>0</v>
      </c>
      <c r="AD88" s="121">
        <f t="shared" si="55"/>
        <v>0</v>
      </c>
      <c r="AE88" s="409">
        <f t="shared" si="55"/>
        <v>0</v>
      </c>
      <c r="AF88" s="291"/>
    </row>
    <row r="89" spans="1:32" s="68" customFormat="1" ht="7.5" customHeight="1">
      <c r="A89" s="258">
        <f t="shared" si="31"/>
        <v>89</v>
      </c>
      <c r="B89" s="96"/>
      <c r="C89" s="94"/>
      <c r="D89" s="120"/>
      <c r="E89" s="120"/>
      <c r="F89" s="120"/>
      <c r="G89" s="598"/>
      <c r="H89" s="95"/>
      <c r="I89" s="95"/>
      <c r="J89" s="95"/>
      <c r="K89" s="95"/>
      <c r="L89" s="95"/>
      <c r="M89" s="95"/>
      <c r="N89" s="95"/>
      <c r="O89" s="95"/>
      <c r="P89" s="95"/>
      <c r="Q89" s="95"/>
      <c r="R89" s="95"/>
      <c r="S89" s="95"/>
      <c r="T89" s="118"/>
      <c r="U89" s="95"/>
      <c r="V89" s="95"/>
      <c r="W89" s="95"/>
      <c r="X89" s="95"/>
      <c r="Y89" s="95"/>
      <c r="Z89" s="95"/>
      <c r="AA89" s="95"/>
      <c r="AB89" s="95"/>
      <c r="AC89" s="95"/>
      <c r="AD89" s="95"/>
      <c r="AE89" s="118"/>
      <c r="AF89" s="291"/>
    </row>
    <row r="90" spans="1:32" s="68" customFormat="1">
      <c r="A90" s="258">
        <f t="shared" si="31"/>
        <v>90</v>
      </c>
      <c r="B90" s="96"/>
      <c r="C90" s="119" t="s">
        <v>79</v>
      </c>
      <c r="D90" s="50"/>
      <c r="E90" s="94"/>
      <c r="F90" s="94"/>
      <c r="G90" s="600"/>
      <c r="H90" s="95"/>
      <c r="I90" s="98"/>
      <c r="J90" s="98"/>
      <c r="K90" s="98"/>
      <c r="L90" s="98"/>
      <c r="M90" s="98"/>
      <c r="N90" s="98"/>
      <c r="O90" s="98"/>
      <c r="P90" s="98"/>
      <c r="Q90" s="98"/>
      <c r="R90" s="98"/>
      <c r="S90" s="98"/>
      <c r="T90" s="99"/>
      <c r="U90" s="95"/>
      <c r="V90" s="95"/>
      <c r="W90" s="95"/>
      <c r="X90" s="95"/>
      <c r="Y90" s="95"/>
      <c r="Z90" s="95"/>
      <c r="AA90" s="95"/>
      <c r="AB90" s="95"/>
      <c r="AC90" s="95"/>
      <c r="AD90" s="95"/>
      <c r="AE90" s="118"/>
      <c r="AF90" s="291"/>
    </row>
    <row r="91" spans="1:32" s="68" customFormat="1">
      <c r="A91" s="258">
        <f t="shared" si="31"/>
        <v>91</v>
      </c>
      <c r="B91" s="96"/>
      <c r="C91" s="94"/>
      <c r="D91" s="54" t="s">
        <v>100</v>
      </c>
      <c r="E91" s="120"/>
      <c r="F91" s="120"/>
      <c r="G91" s="594">
        <f>IFERROR(INDEX('3.) Staffing Plan'!O37:R37,COUNTIF('3.) Staffing Plan'!$O$44:$R$44,"&gt;0")),0)</f>
        <v>0</v>
      </c>
      <c r="H91" s="95"/>
      <c r="I91" s="276"/>
      <c r="J91" s="102">
        <f>IF('4.) Yearly Budget'!$K$18&gt;0,'4.) Yearly Budget'!K91,'4.) Yearly Budget'!J91)</f>
        <v>0</v>
      </c>
      <c r="K91" s="382">
        <f>IF(I$18&lt;&gt;0,J91-I91,0)</f>
        <v>0</v>
      </c>
      <c r="L91" s="276"/>
      <c r="M91" s="102">
        <f>IF('4.) Yearly Budget'!$N$18&gt;0,'4.) Yearly Budget'!N91,'4.) Yearly Budget'!M91)</f>
        <v>0</v>
      </c>
      <c r="N91" s="382">
        <f>IF(L$18&lt;&gt;0,M91-L91,0)</f>
        <v>0</v>
      </c>
      <c r="O91" s="276"/>
      <c r="P91" s="102">
        <f>IF('4.) Yearly Budget'!$Q$18&gt;0,'4.) Yearly Budget'!Q91,'4.) Yearly Budget'!P91)</f>
        <v>0</v>
      </c>
      <c r="Q91" s="382">
        <f>IF(O$18&lt;&gt;0,P91-O91,0)</f>
        <v>0</v>
      </c>
      <c r="R91" s="276"/>
      <c r="S91" s="102">
        <f>IF('4.) Yearly Budget'!$T$18&gt;0,'4.) Yearly Budget'!T91,'4.) Yearly Budget'!S91)</f>
        <v>0</v>
      </c>
      <c r="T91" s="105">
        <f>IF(R$18&lt;&gt;0,S91-R91,0)</f>
        <v>0</v>
      </c>
      <c r="U91" s="277">
        <f>IF(I$6&lt;&gt;0,I91,0)+IF(L$6&lt;&gt;0,L91,0)+IF(O$6&lt;&gt;0,O91,0)+IF(R$6&lt;&gt;0,R91,0)</f>
        <v>0</v>
      </c>
      <c r="V91" s="379">
        <f>SUM(IF(I$6&lt;&gt;0,J91,0)+IF(L$6&lt;&gt;0,M91,0)+IF(O$6&lt;&gt;0,P91,0)+IF(R$6&lt;&gt;0,S91,0))</f>
        <v>0</v>
      </c>
      <c r="W91" s="379">
        <f>V91-U91</f>
        <v>0</v>
      </c>
      <c r="X91" s="379">
        <f>'4.) Yearly Budget'!W91</f>
        <v>0</v>
      </c>
      <c r="Y91" s="380">
        <f>IF(U91&lt;&gt;0,X91-U91,IF(U91=0,X91,0))</f>
        <v>0</v>
      </c>
      <c r="Z91" s="381">
        <f>SUM(IF(I$18&lt;&gt;0,'4.) Yearly Budget'!J91,0)+IF(L$18&lt;&gt;0,'4.) Yearly Budget'!M91,0)+IF(O$18&lt;&gt;0,'4.) Yearly Budget'!P91,0)+IF(R$18&lt;&gt;0,'4.) Yearly Budget'!S91,0))</f>
        <v>0</v>
      </c>
      <c r="AA91" s="381">
        <f>Z91-U91</f>
        <v>0</v>
      </c>
      <c r="AB91" s="381">
        <f>'4.) Yearly Budget'!V91</f>
        <v>0</v>
      </c>
      <c r="AC91" s="382">
        <f>IF(U91&lt;&gt;0,AB91-U91,IF(U91=0,AB91,0))</f>
        <v>0</v>
      </c>
      <c r="AD91" s="381">
        <f>IF(U$6&lt;&gt;0,'4.) Yearly Budget'!I91/$AM$18,0)</f>
        <v>0</v>
      </c>
      <c r="AE91" s="105">
        <f>AD91-U91</f>
        <v>0</v>
      </c>
      <c r="AF91" s="291"/>
    </row>
    <row r="92" spans="1:32" s="68" customFormat="1">
      <c r="A92" s="258">
        <f t="shared" si="31"/>
        <v>92</v>
      </c>
      <c r="B92" s="96"/>
      <c r="C92" s="94"/>
      <c r="D92" s="54" t="s">
        <v>101</v>
      </c>
      <c r="E92" s="120"/>
      <c r="F92" s="120"/>
      <c r="G92" s="594">
        <f>IFERROR(INDEX('3.) Staffing Plan'!O38:R38,COUNTIF('3.) Staffing Plan'!$O$44:$R$44,"&gt;0")),0)</f>
        <v>0</v>
      </c>
      <c r="H92" s="95"/>
      <c r="I92" s="276"/>
      <c r="J92" s="102">
        <f>IF('4.) Yearly Budget'!$K$18&gt;0,'4.) Yearly Budget'!K92,'4.) Yearly Budget'!J92)</f>
        <v>0</v>
      </c>
      <c r="K92" s="382">
        <f>IF(I$18&lt;&gt;0,J92-I92,0)</f>
        <v>0</v>
      </c>
      <c r="L92" s="276"/>
      <c r="M92" s="102">
        <f>IF('4.) Yearly Budget'!$N$18&gt;0,'4.) Yearly Budget'!N92,'4.) Yearly Budget'!M92)</f>
        <v>0</v>
      </c>
      <c r="N92" s="382">
        <f>IF(L$18&lt;&gt;0,M92-L92,0)</f>
        <v>0</v>
      </c>
      <c r="O92" s="276"/>
      <c r="P92" s="102">
        <f>IF('4.) Yearly Budget'!$Q$18&gt;0,'4.) Yearly Budget'!Q92,'4.) Yearly Budget'!P92)</f>
        <v>0</v>
      </c>
      <c r="Q92" s="382">
        <f>IF(O$18&lt;&gt;0,P92-O92,0)</f>
        <v>0</v>
      </c>
      <c r="R92" s="276"/>
      <c r="S92" s="102">
        <f>IF('4.) Yearly Budget'!$T$18&gt;0,'4.) Yearly Budget'!T92,'4.) Yearly Budget'!S92)</f>
        <v>0</v>
      </c>
      <c r="T92" s="105">
        <f>IF(R$18&lt;&gt;0,S92-R92,0)</f>
        <v>0</v>
      </c>
      <c r="U92" s="277">
        <f>IF(I$6&lt;&gt;0,I92,0)+IF(L$6&lt;&gt;0,L92,0)+IF(O$6&lt;&gt;0,O92,0)+IF(R$6&lt;&gt;0,R92,0)</f>
        <v>0</v>
      </c>
      <c r="V92" s="379">
        <f>SUM(IF(I$6&lt;&gt;0,J92,0)+IF(L$6&lt;&gt;0,M92,0)+IF(O$6&lt;&gt;0,P92,0)+IF(R$6&lt;&gt;0,S92,0))</f>
        <v>0</v>
      </c>
      <c r="W92" s="379">
        <f>V92-U92</f>
        <v>0</v>
      </c>
      <c r="X92" s="379">
        <f>'4.) Yearly Budget'!W92</f>
        <v>0</v>
      </c>
      <c r="Y92" s="380">
        <f>IF(U92&lt;&gt;0,X92-U92,IF(U92=0,X92,0))</f>
        <v>0</v>
      </c>
      <c r="Z92" s="381">
        <f>SUM(IF(I$18&lt;&gt;0,'4.) Yearly Budget'!J92,0)+IF(L$18&lt;&gt;0,'4.) Yearly Budget'!M92,0)+IF(O$18&lt;&gt;0,'4.) Yearly Budget'!P92,0)+IF(R$18&lt;&gt;0,'4.) Yearly Budget'!S92,0))</f>
        <v>0</v>
      </c>
      <c r="AA92" s="381">
        <f>Z92-U92</f>
        <v>0</v>
      </c>
      <c r="AB92" s="381">
        <f>'4.) Yearly Budget'!V92</f>
        <v>0</v>
      </c>
      <c r="AC92" s="382">
        <f>IF(U92&lt;&gt;0,AB92-U92,IF(U92=0,AB92,0))</f>
        <v>0</v>
      </c>
      <c r="AD92" s="381">
        <f>IF(U$6&lt;&gt;0,'4.) Yearly Budget'!I92/$AM$18,0)</f>
        <v>0</v>
      </c>
      <c r="AE92" s="105">
        <f>AD92-U92</f>
        <v>0</v>
      </c>
      <c r="AF92" s="291"/>
    </row>
    <row r="93" spans="1:32" s="68" customFormat="1">
      <c r="A93" s="258">
        <f t="shared" si="31"/>
        <v>93</v>
      </c>
      <c r="B93" s="96"/>
      <c r="C93" s="94"/>
      <c r="D93" s="54" t="s">
        <v>102</v>
      </c>
      <c r="E93" s="120"/>
      <c r="F93" s="120"/>
      <c r="G93" s="594">
        <f>IFERROR(INDEX('3.) Staffing Plan'!O39:R39,COUNTIF('3.) Staffing Plan'!$O$44:$R$44,"&gt;0")),0)</f>
        <v>0</v>
      </c>
      <c r="H93" s="95"/>
      <c r="I93" s="276"/>
      <c r="J93" s="102">
        <f>IF('4.) Yearly Budget'!$K$18&gt;0,'4.) Yearly Budget'!K93,'4.) Yearly Budget'!J93)</f>
        <v>0</v>
      </c>
      <c r="K93" s="382">
        <f>IF(I$18&lt;&gt;0,J93-I93,0)</f>
        <v>0</v>
      </c>
      <c r="L93" s="276"/>
      <c r="M93" s="102">
        <f>IF('4.) Yearly Budget'!$N$18&gt;0,'4.) Yearly Budget'!N93,'4.) Yearly Budget'!M93)</f>
        <v>0</v>
      </c>
      <c r="N93" s="382">
        <f>IF(L$18&lt;&gt;0,M93-L93,0)</f>
        <v>0</v>
      </c>
      <c r="O93" s="276"/>
      <c r="P93" s="102">
        <f>IF('4.) Yearly Budget'!$Q$18&gt;0,'4.) Yearly Budget'!Q93,'4.) Yearly Budget'!P93)</f>
        <v>0</v>
      </c>
      <c r="Q93" s="382">
        <f>IF(O$18&lt;&gt;0,P93-O93,0)</f>
        <v>0</v>
      </c>
      <c r="R93" s="276"/>
      <c r="S93" s="102">
        <f>IF('4.) Yearly Budget'!$T$18&gt;0,'4.) Yearly Budget'!T93,'4.) Yearly Budget'!S93)</f>
        <v>0</v>
      </c>
      <c r="T93" s="105">
        <f>IF(R$18&lt;&gt;0,S93-R93,0)</f>
        <v>0</v>
      </c>
      <c r="U93" s="277">
        <f>IF(I$6&lt;&gt;0,I93,0)+IF(L$6&lt;&gt;0,L93,0)+IF(O$6&lt;&gt;0,O93,0)+IF(R$6&lt;&gt;0,R93,0)</f>
        <v>0</v>
      </c>
      <c r="V93" s="379">
        <f>SUM(IF(I$6&lt;&gt;0,J93,0)+IF(L$6&lt;&gt;0,M93,0)+IF(O$6&lt;&gt;0,P93,0)+IF(R$6&lt;&gt;0,S93,0))</f>
        <v>0</v>
      </c>
      <c r="W93" s="379">
        <f>V93-U93</f>
        <v>0</v>
      </c>
      <c r="X93" s="379">
        <f>'4.) Yearly Budget'!W93</f>
        <v>0</v>
      </c>
      <c r="Y93" s="380">
        <f>IF(U93&lt;&gt;0,X93-U93,IF(U93=0,X93,0))</f>
        <v>0</v>
      </c>
      <c r="Z93" s="381">
        <f>SUM(IF(I$18&lt;&gt;0,'4.) Yearly Budget'!J93,0)+IF(L$18&lt;&gt;0,'4.) Yearly Budget'!M93,0)+IF(O$18&lt;&gt;0,'4.) Yearly Budget'!P93,0)+IF(R$18&lt;&gt;0,'4.) Yearly Budget'!S93,0))</f>
        <v>0</v>
      </c>
      <c r="AA93" s="381">
        <f>Z93-U93</f>
        <v>0</v>
      </c>
      <c r="AB93" s="381">
        <f>'4.) Yearly Budget'!V93</f>
        <v>0</v>
      </c>
      <c r="AC93" s="382">
        <f>IF(U93&lt;&gt;0,AB93-U93,IF(U93=0,AB93,0))</f>
        <v>0</v>
      </c>
      <c r="AD93" s="381">
        <f>IF(U$6&lt;&gt;0,'4.) Yearly Budget'!I93/$AM$18,0)</f>
        <v>0</v>
      </c>
      <c r="AE93" s="105">
        <f>AD93-U93</f>
        <v>0</v>
      </c>
      <c r="AF93" s="291"/>
    </row>
    <row r="94" spans="1:32" s="68" customFormat="1">
      <c r="A94" s="258">
        <f t="shared" si="31"/>
        <v>94</v>
      </c>
      <c r="B94" s="96"/>
      <c r="C94" s="94"/>
      <c r="D94" s="54" t="s">
        <v>7</v>
      </c>
      <c r="E94" s="120"/>
      <c r="F94" s="120"/>
      <c r="G94" s="594">
        <f>IFERROR(INDEX('3.) Staffing Plan'!O40:R40,COUNTIF('3.) Staffing Plan'!$O$44:$R$44,"&gt;0")),0)</f>
        <v>0</v>
      </c>
      <c r="H94" s="95"/>
      <c r="I94" s="276"/>
      <c r="J94" s="102">
        <f>IF('4.) Yearly Budget'!$K$18&gt;0,'4.) Yearly Budget'!K94,'4.) Yearly Budget'!J94)</f>
        <v>0</v>
      </c>
      <c r="K94" s="382">
        <f>IF(I$18&lt;&gt;0,J94-I94,0)</f>
        <v>0</v>
      </c>
      <c r="L94" s="276"/>
      <c r="M94" s="102">
        <f>IF('4.) Yearly Budget'!$N$18&gt;0,'4.) Yearly Budget'!N94,'4.) Yearly Budget'!M94)</f>
        <v>0</v>
      </c>
      <c r="N94" s="382">
        <f>IF(L$18&lt;&gt;0,M94-L94,0)</f>
        <v>0</v>
      </c>
      <c r="O94" s="276"/>
      <c r="P94" s="102">
        <f>IF('4.) Yearly Budget'!$Q$18&gt;0,'4.) Yearly Budget'!Q94,'4.) Yearly Budget'!P94)</f>
        <v>0</v>
      </c>
      <c r="Q94" s="382">
        <f>IF(O$18&lt;&gt;0,P94-O94,0)</f>
        <v>0</v>
      </c>
      <c r="R94" s="276"/>
      <c r="S94" s="102">
        <f>IF('4.) Yearly Budget'!$T$18&gt;0,'4.) Yearly Budget'!T94,'4.) Yearly Budget'!S94)</f>
        <v>0</v>
      </c>
      <c r="T94" s="105">
        <f>IF(R$18&lt;&gt;0,S94-R94,0)</f>
        <v>0</v>
      </c>
      <c r="U94" s="277">
        <f>IF(I$6&lt;&gt;0,I94,0)+IF(L$6&lt;&gt;0,L94,0)+IF(O$6&lt;&gt;0,O94,0)+IF(R$6&lt;&gt;0,R94,0)</f>
        <v>0</v>
      </c>
      <c r="V94" s="379">
        <f>SUM(IF(I$6&lt;&gt;0,J94,0)+IF(L$6&lt;&gt;0,M94,0)+IF(O$6&lt;&gt;0,P94,0)+IF(R$6&lt;&gt;0,S94,0))</f>
        <v>0</v>
      </c>
      <c r="W94" s="379">
        <f>V94-U94</f>
        <v>0</v>
      </c>
      <c r="X94" s="379">
        <f>'4.) Yearly Budget'!W94</f>
        <v>0</v>
      </c>
      <c r="Y94" s="380">
        <f>IF(U94&lt;&gt;0,X94-U94,IF(U94=0,X94,0))</f>
        <v>0</v>
      </c>
      <c r="Z94" s="381">
        <f>SUM(IF(I$18&lt;&gt;0,'4.) Yearly Budget'!J94,0)+IF(L$18&lt;&gt;0,'4.) Yearly Budget'!M94,0)+IF(O$18&lt;&gt;0,'4.) Yearly Budget'!P94,0)+IF(R$18&lt;&gt;0,'4.) Yearly Budget'!S94,0))</f>
        <v>0</v>
      </c>
      <c r="AA94" s="381">
        <f>Z94-U94</f>
        <v>0</v>
      </c>
      <c r="AB94" s="381">
        <f>'4.) Yearly Budget'!V94</f>
        <v>0</v>
      </c>
      <c r="AC94" s="382">
        <f>IF(U94&lt;&gt;0,AB94-U94,IF(U94=0,AB94,0))</f>
        <v>0</v>
      </c>
      <c r="AD94" s="381">
        <f>IF(U$6&lt;&gt;0,'4.) Yearly Budget'!I94/$AM$18,0)</f>
        <v>0</v>
      </c>
      <c r="AE94" s="105">
        <f>AD94-U94</f>
        <v>0</v>
      </c>
      <c r="AF94" s="291"/>
    </row>
    <row r="95" spans="1:32" s="68" customFormat="1" ht="16.8">
      <c r="A95" s="258">
        <f t="shared" si="31"/>
        <v>95</v>
      </c>
      <c r="B95" s="96"/>
      <c r="C95" s="94"/>
      <c r="D95" s="54" t="s">
        <v>29</v>
      </c>
      <c r="E95" s="120"/>
      <c r="F95" s="120"/>
      <c r="G95" s="597">
        <f>IFERROR(INDEX('3.) Staffing Plan'!O41:R41,COUNTIF('3.) Staffing Plan'!$O$44:$R$44,"&gt;0")),0)</f>
        <v>0</v>
      </c>
      <c r="H95" s="95"/>
      <c r="I95" s="284"/>
      <c r="J95" s="549">
        <f>IF('4.) Yearly Budget'!$K$18&gt;0,'4.) Yearly Budget'!K95,'4.) Yearly Budget'!J95)</f>
        <v>0</v>
      </c>
      <c r="K95" s="392">
        <f>IF(I$18&lt;&gt;0,J95-I95,0)</f>
        <v>0</v>
      </c>
      <c r="L95" s="284"/>
      <c r="M95" s="549">
        <f>IF('4.) Yearly Budget'!$N$18&gt;0,'4.) Yearly Budget'!N95,'4.) Yearly Budget'!M95)</f>
        <v>0</v>
      </c>
      <c r="N95" s="392">
        <f>IF(L$18&lt;&gt;0,M95-L95,0)</f>
        <v>0</v>
      </c>
      <c r="O95" s="284"/>
      <c r="P95" s="549">
        <f>IF('4.) Yearly Budget'!$Q$18&gt;0,'4.) Yearly Budget'!Q95,'4.) Yearly Budget'!P95)</f>
        <v>0</v>
      </c>
      <c r="Q95" s="392">
        <f>IF(O$18&lt;&gt;0,P95-O95,0)</f>
        <v>0</v>
      </c>
      <c r="R95" s="284"/>
      <c r="S95" s="549">
        <f>IF('4.) Yearly Budget'!$T$18&gt;0,'4.) Yearly Budget'!T95,'4.) Yearly Budget'!S95)</f>
        <v>0</v>
      </c>
      <c r="T95" s="388">
        <f>IF(R$18&lt;&gt;0,S95-R95,0)</f>
        <v>0</v>
      </c>
      <c r="U95" s="285">
        <f>IF(I$6&lt;&gt;0,I95,0)+IF(L$6&lt;&gt;0,L95,0)+IF(O$6&lt;&gt;0,O95,0)+IF(R$6&lt;&gt;0,R95,0)</f>
        <v>0</v>
      </c>
      <c r="V95" s="389">
        <f>SUM(IF(I$6&lt;&gt;0,J95,0)+IF(L$6&lt;&gt;0,M95,0)+IF(O$6&lt;&gt;0,P95,0)+IF(R$6&lt;&gt;0,S95,0))</f>
        <v>0</v>
      </c>
      <c r="W95" s="389">
        <f>V95-U95</f>
        <v>0</v>
      </c>
      <c r="X95" s="389">
        <f>'4.) Yearly Budget'!W95</f>
        <v>0</v>
      </c>
      <c r="Y95" s="390">
        <f>IF(U95&lt;&gt;0,X95-U95,IF(U95=0,X95,0))</f>
        <v>0</v>
      </c>
      <c r="Z95" s="391">
        <f>SUM(IF(I$18&lt;&gt;0,'4.) Yearly Budget'!J95,0)+IF(L$18&lt;&gt;0,'4.) Yearly Budget'!M95,0)+IF(O$18&lt;&gt;0,'4.) Yearly Budget'!P95,0)+IF(R$18&lt;&gt;0,'4.) Yearly Budget'!S95,0))</f>
        <v>0</v>
      </c>
      <c r="AA95" s="391">
        <f>Z95-U95</f>
        <v>0</v>
      </c>
      <c r="AB95" s="391">
        <f>'4.) Yearly Budget'!V95</f>
        <v>0</v>
      </c>
      <c r="AC95" s="392">
        <f>IF(U95&lt;&gt;0,AB95-U95,IF(U95=0,AB95,0))</f>
        <v>0</v>
      </c>
      <c r="AD95" s="391">
        <f>IF(U$6&lt;&gt;0,'4.) Yearly Budget'!I95/$AM$18,0)</f>
        <v>0</v>
      </c>
      <c r="AE95" s="388">
        <f>AD95-U95</f>
        <v>0</v>
      </c>
      <c r="AF95" s="291"/>
    </row>
    <row r="96" spans="1:32" s="68" customFormat="1">
      <c r="A96" s="258">
        <f t="shared" si="31"/>
        <v>96</v>
      </c>
      <c r="B96" s="96"/>
      <c r="C96" s="55" t="s">
        <v>80</v>
      </c>
      <c r="D96" s="94"/>
      <c r="E96" s="120"/>
      <c r="F96" s="120"/>
      <c r="G96" s="594">
        <f>SUM(G91:G95)</f>
        <v>0</v>
      </c>
      <c r="H96" s="95"/>
      <c r="I96" s="627">
        <f t="shared" ref="I96:AE96" si="56">SUM(I91:I95)</f>
        <v>0</v>
      </c>
      <c r="J96" s="52">
        <f t="shared" si="56"/>
        <v>0</v>
      </c>
      <c r="K96" s="406">
        <f t="shared" si="56"/>
        <v>0</v>
      </c>
      <c r="L96" s="52">
        <f>SUM(L91:L95)</f>
        <v>0</v>
      </c>
      <c r="M96" s="52">
        <f t="shared" si="56"/>
        <v>0</v>
      </c>
      <c r="N96" s="406">
        <f t="shared" si="56"/>
        <v>0</v>
      </c>
      <c r="O96" s="52">
        <f>SUM(O91:O95)</f>
        <v>0</v>
      </c>
      <c r="P96" s="52">
        <f t="shared" si="56"/>
        <v>0</v>
      </c>
      <c r="Q96" s="406">
        <f t="shared" si="56"/>
        <v>0</v>
      </c>
      <c r="R96" s="52">
        <f>SUM(R91:R95)</f>
        <v>0</v>
      </c>
      <c r="S96" s="52">
        <f t="shared" si="56"/>
        <v>0</v>
      </c>
      <c r="T96" s="122">
        <f t="shared" si="56"/>
        <v>0</v>
      </c>
      <c r="U96" s="294">
        <f t="shared" si="56"/>
        <v>0</v>
      </c>
      <c r="V96" s="52">
        <f t="shared" si="56"/>
        <v>0</v>
      </c>
      <c r="W96" s="52">
        <f t="shared" si="56"/>
        <v>0</v>
      </c>
      <c r="X96" s="52">
        <f t="shared" si="56"/>
        <v>0</v>
      </c>
      <c r="Y96" s="407">
        <f t="shared" si="56"/>
        <v>0</v>
      </c>
      <c r="Z96" s="121">
        <f t="shared" si="56"/>
        <v>0</v>
      </c>
      <c r="AA96" s="121">
        <f t="shared" si="56"/>
        <v>0</v>
      </c>
      <c r="AB96" s="121">
        <f t="shared" si="56"/>
        <v>0</v>
      </c>
      <c r="AC96" s="406">
        <f t="shared" si="56"/>
        <v>0</v>
      </c>
      <c r="AD96" s="121">
        <f t="shared" si="56"/>
        <v>0</v>
      </c>
      <c r="AE96" s="408">
        <f t="shared" si="56"/>
        <v>0</v>
      </c>
      <c r="AF96" s="291"/>
    </row>
    <row r="97" spans="1:32" s="68" customFormat="1" ht="7.5" customHeight="1">
      <c r="A97" s="258">
        <f t="shared" si="31"/>
        <v>97</v>
      </c>
      <c r="B97" s="96"/>
      <c r="C97" s="94"/>
      <c r="D97" s="120"/>
      <c r="E97" s="120"/>
      <c r="F97" s="120"/>
      <c r="G97" s="598"/>
      <c r="H97" s="95"/>
      <c r="I97" s="104"/>
      <c r="J97" s="104"/>
      <c r="K97" s="104"/>
      <c r="L97" s="104"/>
      <c r="M97" s="104"/>
      <c r="N97" s="104"/>
      <c r="O97" s="104"/>
      <c r="P97" s="104"/>
      <c r="Q97" s="104"/>
      <c r="R97" s="104"/>
      <c r="S97" s="104"/>
      <c r="T97" s="105"/>
      <c r="U97" s="107"/>
      <c r="V97" s="107"/>
      <c r="W97" s="107"/>
      <c r="X97" s="107"/>
      <c r="Y97" s="107"/>
      <c r="Z97" s="107"/>
      <c r="AA97" s="107"/>
      <c r="AB97" s="107"/>
      <c r="AC97" s="107"/>
      <c r="AD97" s="107"/>
      <c r="AE97" s="107"/>
      <c r="AF97" s="291"/>
    </row>
    <row r="98" spans="1:32" s="68" customFormat="1">
      <c r="A98" s="258">
        <f t="shared" si="31"/>
        <v>98</v>
      </c>
      <c r="B98" s="96"/>
      <c r="C98" s="60" t="s">
        <v>81</v>
      </c>
      <c r="D98" s="50"/>
      <c r="E98" s="50"/>
      <c r="F98" s="50"/>
      <c r="G98" s="601">
        <f>G77+G88+G96</f>
        <v>0</v>
      </c>
      <c r="H98" s="95"/>
      <c r="I98" s="281">
        <f t="shared" ref="I98:AE98" si="57">I77+I88+I96</f>
        <v>0</v>
      </c>
      <c r="J98" s="158">
        <f t="shared" si="57"/>
        <v>0</v>
      </c>
      <c r="K98" s="393">
        <f t="shared" si="57"/>
        <v>0</v>
      </c>
      <c r="L98" s="158">
        <f>L77+L88+L96</f>
        <v>0</v>
      </c>
      <c r="M98" s="158">
        <f t="shared" si="57"/>
        <v>0</v>
      </c>
      <c r="N98" s="393">
        <f t="shared" si="57"/>
        <v>0</v>
      </c>
      <c r="O98" s="158">
        <f>O77+O88+O96</f>
        <v>0</v>
      </c>
      <c r="P98" s="158">
        <f t="shared" si="57"/>
        <v>0</v>
      </c>
      <c r="Q98" s="393">
        <f t="shared" si="57"/>
        <v>0</v>
      </c>
      <c r="R98" s="158">
        <f>R77+R88+R96</f>
        <v>0</v>
      </c>
      <c r="S98" s="158">
        <f t="shared" si="57"/>
        <v>0</v>
      </c>
      <c r="T98" s="103">
        <f t="shared" si="57"/>
        <v>0</v>
      </c>
      <c r="U98" s="277">
        <f t="shared" si="57"/>
        <v>0</v>
      </c>
      <c r="V98" s="158">
        <f t="shared" si="57"/>
        <v>0</v>
      </c>
      <c r="W98" s="158">
        <f t="shared" si="57"/>
        <v>0</v>
      </c>
      <c r="X98" s="158">
        <f t="shared" si="57"/>
        <v>0</v>
      </c>
      <c r="Y98" s="383">
        <f t="shared" si="57"/>
        <v>0</v>
      </c>
      <c r="Z98" s="102">
        <f t="shared" si="57"/>
        <v>0</v>
      </c>
      <c r="AA98" s="102">
        <f t="shared" si="57"/>
        <v>0</v>
      </c>
      <c r="AB98" s="102">
        <f t="shared" si="57"/>
        <v>0</v>
      </c>
      <c r="AC98" s="393">
        <f t="shared" si="57"/>
        <v>0</v>
      </c>
      <c r="AD98" s="102">
        <f t="shared" si="57"/>
        <v>0</v>
      </c>
      <c r="AE98" s="105">
        <f t="shared" si="57"/>
        <v>0</v>
      </c>
      <c r="AF98" s="291"/>
    </row>
    <row r="99" spans="1:32" s="68" customFormat="1" ht="7.5" customHeight="1">
      <c r="A99" s="258">
        <f t="shared" si="31"/>
        <v>99</v>
      </c>
      <c r="B99" s="96"/>
      <c r="C99" s="94"/>
      <c r="D99" s="120"/>
      <c r="E99" s="120"/>
      <c r="F99" s="120"/>
      <c r="G99" s="598"/>
      <c r="H99" s="95"/>
      <c r="I99" s="107"/>
      <c r="J99" s="107"/>
      <c r="K99" s="107"/>
      <c r="L99" s="107"/>
      <c r="M99" s="107"/>
      <c r="N99" s="107"/>
      <c r="O99" s="107"/>
      <c r="P99" s="107"/>
      <c r="Q99" s="107"/>
      <c r="R99" s="107"/>
      <c r="S99" s="107"/>
      <c r="T99" s="108"/>
      <c r="U99" s="107"/>
      <c r="V99" s="107"/>
      <c r="W99" s="107"/>
      <c r="X99" s="107"/>
      <c r="Y99" s="107"/>
      <c r="Z99" s="107"/>
      <c r="AA99" s="107"/>
      <c r="AB99" s="107"/>
      <c r="AC99" s="107"/>
      <c r="AD99" s="107"/>
      <c r="AE99" s="108"/>
      <c r="AF99" s="291"/>
    </row>
    <row r="100" spans="1:32" s="68" customFormat="1">
      <c r="A100" s="258">
        <f t="shared" si="31"/>
        <v>100</v>
      </c>
      <c r="B100" s="96"/>
      <c r="C100" s="119" t="s">
        <v>82</v>
      </c>
      <c r="D100" s="50"/>
      <c r="E100" s="50"/>
      <c r="F100" s="50"/>
      <c r="G100" s="600"/>
      <c r="H100" s="95"/>
      <c r="I100" s="98"/>
      <c r="J100" s="98"/>
      <c r="K100" s="98"/>
      <c r="L100" s="98"/>
      <c r="M100" s="98"/>
      <c r="N100" s="98"/>
      <c r="O100" s="98"/>
      <c r="P100" s="98"/>
      <c r="Q100" s="98"/>
      <c r="R100" s="98"/>
      <c r="S100" s="98"/>
      <c r="T100" s="99"/>
      <c r="U100" s="95"/>
      <c r="V100" s="95"/>
      <c r="W100" s="95"/>
      <c r="X100" s="95"/>
      <c r="Y100" s="95"/>
      <c r="Z100" s="95"/>
      <c r="AA100" s="95"/>
      <c r="AB100" s="95"/>
      <c r="AC100" s="95"/>
      <c r="AD100" s="95"/>
      <c r="AE100" s="118"/>
      <c r="AF100" s="291"/>
    </row>
    <row r="101" spans="1:32" s="68" customFormat="1">
      <c r="A101" s="258">
        <f t="shared" si="31"/>
        <v>101</v>
      </c>
      <c r="B101" s="96"/>
      <c r="C101" s="94"/>
      <c r="D101" s="54" t="s">
        <v>14</v>
      </c>
      <c r="E101" s="50"/>
      <c r="F101" s="50"/>
      <c r="G101" s="600"/>
      <c r="H101" s="95"/>
      <c r="I101" s="276"/>
      <c r="J101" s="102">
        <f>IF('4.) Yearly Budget'!$K$18&gt;0,'4.) Yearly Budget'!K101,'4.) Yearly Budget'!J101)</f>
        <v>0</v>
      </c>
      <c r="K101" s="382">
        <f>IF(I$18&lt;&gt;0,J101-I101,0)</f>
        <v>0</v>
      </c>
      <c r="L101" s="100"/>
      <c r="M101" s="102">
        <f>IF('4.) Yearly Budget'!$N$18&gt;0,'4.) Yearly Budget'!N101,'4.) Yearly Budget'!M101)</f>
        <v>0</v>
      </c>
      <c r="N101" s="382">
        <f>IF(L$18&lt;&gt;0,M101-L101,0)</f>
        <v>0</v>
      </c>
      <c r="O101" s="100"/>
      <c r="P101" s="102">
        <f>IF('4.) Yearly Budget'!$Q$18&gt;0,'4.) Yearly Budget'!Q101,'4.) Yearly Budget'!P101)</f>
        <v>0</v>
      </c>
      <c r="Q101" s="382">
        <f>IF(O$18&lt;&gt;0,P101-O101,0)</f>
        <v>0</v>
      </c>
      <c r="R101" s="100"/>
      <c r="S101" s="102">
        <f>IF('4.) Yearly Budget'!$T$18&gt;0,'4.) Yearly Budget'!T101,'4.) Yearly Budget'!S101)</f>
        <v>0</v>
      </c>
      <c r="T101" s="105">
        <f>IF(R$18&lt;&gt;0,S101-R101,0)</f>
        <v>0</v>
      </c>
      <c r="U101" s="277">
        <f>IF(I$6&lt;&gt;0,I101,0)+IF(L$6&lt;&gt;0,L101,0)+IF(O$6&lt;&gt;0,O101,0)+IF(R$6&lt;&gt;0,R101,0)</f>
        <v>0</v>
      </c>
      <c r="V101" s="379">
        <f>SUM(IF(I$6&lt;&gt;0,J101,0)+IF(L$6&lt;&gt;0,M101,0)+IF(O$6&lt;&gt;0,P101,0)+IF(R$6&lt;&gt;0,S101,0))</f>
        <v>0</v>
      </c>
      <c r="W101" s="379">
        <f>V101-U101</f>
        <v>0</v>
      </c>
      <c r="X101" s="379">
        <f>'4.) Yearly Budget'!W101</f>
        <v>0</v>
      </c>
      <c r="Y101" s="380">
        <f>IF(U101&lt;&gt;0,X101-U101,IF(U101=0,X101,0))</f>
        <v>0</v>
      </c>
      <c r="Z101" s="381">
        <f>SUM(IF(I$18&lt;&gt;0,'4.) Yearly Budget'!J101,0)+IF(L$18&lt;&gt;0,'4.) Yearly Budget'!M101,0)+IF(O$18&lt;&gt;0,'4.) Yearly Budget'!P101,0)+IF(R$18&lt;&gt;0,'4.) Yearly Budget'!S101,0))</f>
        <v>0</v>
      </c>
      <c r="AA101" s="381">
        <f>Z101-U101</f>
        <v>0</v>
      </c>
      <c r="AB101" s="381">
        <f>'4.) Yearly Budget'!V101</f>
        <v>0</v>
      </c>
      <c r="AC101" s="382">
        <f>IF(U101&lt;&gt;0,AB101-U101,IF(U101=0,AB101,0))</f>
        <v>0</v>
      </c>
      <c r="AD101" s="381">
        <f>IF(U$6&lt;&gt;0,'4.) Yearly Budget'!I101/$AM$18,0)</f>
        <v>0</v>
      </c>
      <c r="AE101" s="105">
        <f>AD101-U101</f>
        <v>0</v>
      </c>
      <c r="AF101" s="291"/>
    </row>
    <row r="102" spans="1:32" s="68" customFormat="1">
      <c r="A102" s="258">
        <f t="shared" si="31"/>
        <v>102</v>
      </c>
      <c r="B102" s="96"/>
      <c r="C102" s="94"/>
      <c r="D102" s="120" t="s">
        <v>69</v>
      </c>
      <c r="E102" s="50"/>
      <c r="F102" s="50"/>
      <c r="G102" s="600"/>
      <c r="H102" s="95"/>
      <c r="I102" s="276"/>
      <c r="J102" s="102">
        <f>IF('4.) Yearly Budget'!$K$18&gt;0,'4.) Yearly Budget'!K102,'4.) Yearly Budget'!J102)</f>
        <v>0</v>
      </c>
      <c r="K102" s="382">
        <f>IF(I$18&lt;&gt;0,J102-I102,0)</f>
        <v>0</v>
      </c>
      <c r="L102" s="100"/>
      <c r="M102" s="102">
        <f>IF('4.) Yearly Budget'!$N$18&gt;0,'4.) Yearly Budget'!N102,'4.) Yearly Budget'!M102)</f>
        <v>0</v>
      </c>
      <c r="N102" s="382">
        <f>IF(L$18&lt;&gt;0,M102-L102,0)</f>
        <v>0</v>
      </c>
      <c r="O102" s="100"/>
      <c r="P102" s="102">
        <f>IF('4.) Yearly Budget'!$Q$18&gt;0,'4.) Yearly Budget'!Q102,'4.) Yearly Budget'!P102)</f>
        <v>0</v>
      </c>
      <c r="Q102" s="382">
        <f>IF(O$18&lt;&gt;0,P102-O102,0)</f>
        <v>0</v>
      </c>
      <c r="R102" s="100"/>
      <c r="S102" s="102">
        <f>IF('4.) Yearly Budget'!$T$18&gt;0,'4.) Yearly Budget'!T102,'4.) Yearly Budget'!S102)</f>
        <v>0</v>
      </c>
      <c r="T102" s="105">
        <f>IF(R$18&lt;&gt;0,S102-R102,0)</f>
        <v>0</v>
      </c>
      <c r="U102" s="277">
        <f>IF(I$6&lt;&gt;0,I102,0)+IF(L$6&lt;&gt;0,L102,0)+IF(O$6&lt;&gt;0,O102,0)+IF(R$6&lt;&gt;0,R102,0)</f>
        <v>0</v>
      </c>
      <c r="V102" s="379">
        <f>SUM(IF(I$6&lt;&gt;0,J102,0)+IF(L$6&lt;&gt;0,M102,0)+IF(O$6&lt;&gt;0,P102,0)+IF(R$6&lt;&gt;0,S102,0))</f>
        <v>0</v>
      </c>
      <c r="W102" s="379">
        <f>V102-U102</f>
        <v>0</v>
      </c>
      <c r="X102" s="379">
        <f>'4.) Yearly Budget'!W102</f>
        <v>0</v>
      </c>
      <c r="Y102" s="380">
        <f>IF(U102&lt;&gt;0,X102-U102,IF(U102=0,X102,0))</f>
        <v>0</v>
      </c>
      <c r="Z102" s="381">
        <f>SUM(IF(I$18&lt;&gt;0,'4.) Yearly Budget'!J102,0)+IF(L$18&lt;&gt;0,'4.) Yearly Budget'!M102,0)+IF(O$18&lt;&gt;0,'4.) Yearly Budget'!P102,0)+IF(R$18&lt;&gt;0,'4.) Yearly Budget'!S102,0))</f>
        <v>0</v>
      </c>
      <c r="AA102" s="381">
        <f>Z102-U102</f>
        <v>0</v>
      </c>
      <c r="AB102" s="381">
        <f>'4.) Yearly Budget'!V102</f>
        <v>0</v>
      </c>
      <c r="AC102" s="382">
        <f>IF(U102&lt;&gt;0,AB102-U102,IF(U102=0,AB102,0))</f>
        <v>0</v>
      </c>
      <c r="AD102" s="381">
        <f>IF(U$6&lt;&gt;0,'4.) Yearly Budget'!I102/$AM$18,0)</f>
        <v>0</v>
      </c>
      <c r="AE102" s="105">
        <f>AD102-U102</f>
        <v>0</v>
      </c>
      <c r="AF102" s="291"/>
    </row>
    <row r="103" spans="1:32" s="68" customFormat="1" ht="16.8">
      <c r="A103" s="258">
        <f t="shared" si="31"/>
        <v>103</v>
      </c>
      <c r="B103" s="96"/>
      <c r="C103" s="94"/>
      <c r="D103" s="54" t="s">
        <v>58</v>
      </c>
      <c r="E103" s="50"/>
      <c r="F103" s="50"/>
      <c r="G103" s="600"/>
      <c r="H103" s="95"/>
      <c r="I103" s="284"/>
      <c r="J103" s="549">
        <f>IF('4.) Yearly Budget'!$K$18&gt;0,'4.) Yearly Budget'!K103,'4.) Yearly Budget'!J103)</f>
        <v>0</v>
      </c>
      <c r="K103" s="392">
        <f>IF(I$18&lt;&gt;0,J103-I103,0)</f>
        <v>0</v>
      </c>
      <c r="L103" s="106"/>
      <c r="M103" s="549">
        <f>IF('4.) Yearly Budget'!$N$18&gt;0,'4.) Yearly Budget'!N103,'4.) Yearly Budget'!M103)</f>
        <v>0</v>
      </c>
      <c r="N103" s="392">
        <f>IF(L$18&lt;&gt;0,M103-L103,0)</f>
        <v>0</v>
      </c>
      <c r="O103" s="106"/>
      <c r="P103" s="549">
        <f>IF('4.) Yearly Budget'!$Q$18&gt;0,'4.) Yearly Budget'!Q103,'4.) Yearly Budget'!P103)</f>
        <v>0</v>
      </c>
      <c r="Q103" s="392">
        <f>IF(O$18&lt;&gt;0,P103-O103,0)</f>
        <v>0</v>
      </c>
      <c r="R103" s="106"/>
      <c r="S103" s="549">
        <f>IF('4.) Yearly Budget'!$T$18&gt;0,'4.) Yearly Budget'!T103,'4.) Yearly Budget'!S103)</f>
        <v>0</v>
      </c>
      <c r="T103" s="388">
        <f>IF(R$18&lt;&gt;0,S103-R103,0)</f>
        <v>0</v>
      </c>
      <c r="U103" s="285">
        <f>IF(I$6&lt;&gt;0,I103,0)+IF(L$6&lt;&gt;0,L103,0)+IF(O$6&lt;&gt;0,O103,0)+IF(R$6&lt;&gt;0,R103,0)</f>
        <v>0</v>
      </c>
      <c r="V103" s="389">
        <f>SUM(IF(I$6&lt;&gt;0,J103,0)+IF(L$6&lt;&gt;0,M103,0)+IF(O$6&lt;&gt;0,P103,0)+IF(R$6&lt;&gt;0,S103,0))</f>
        <v>0</v>
      </c>
      <c r="W103" s="389">
        <f>V103-U103</f>
        <v>0</v>
      </c>
      <c r="X103" s="389">
        <f>'4.) Yearly Budget'!W103</f>
        <v>0</v>
      </c>
      <c r="Y103" s="390">
        <f>IF(U103&lt;&gt;0,X103-U103,IF(U103=0,X103,0))</f>
        <v>0</v>
      </c>
      <c r="Z103" s="391">
        <f>SUM(IF(I$18&lt;&gt;0,'4.) Yearly Budget'!J103,0)+IF(L$18&lt;&gt;0,'4.) Yearly Budget'!M103,0)+IF(O$18&lt;&gt;0,'4.) Yearly Budget'!P103,0)+IF(R$18&lt;&gt;0,'4.) Yearly Budget'!S103,0))</f>
        <v>0</v>
      </c>
      <c r="AA103" s="391">
        <f>Z103-U103</f>
        <v>0</v>
      </c>
      <c r="AB103" s="391">
        <f>'4.) Yearly Budget'!V103</f>
        <v>0</v>
      </c>
      <c r="AC103" s="392">
        <f>IF(U103&lt;&gt;0,AB103-U103,IF(U103=0,AB103,0))</f>
        <v>0</v>
      </c>
      <c r="AD103" s="391">
        <f>IF(U$6&lt;&gt;0,'4.) Yearly Budget'!I103/$AM$18,0)</f>
        <v>0</v>
      </c>
      <c r="AE103" s="388">
        <f>AD103-U103</f>
        <v>0</v>
      </c>
      <c r="AF103" s="291"/>
    </row>
    <row r="104" spans="1:32" s="68" customFormat="1">
      <c r="A104" s="258">
        <f t="shared" si="31"/>
        <v>104</v>
      </c>
      <c r="B104" s="96"/>
      <c r="C104" s="55" t="s">
        <v>83</v>
      </c>
      <c r="D104" s="50"/>
      <c r="E104" s="50"/>
      <c r="F104" s="50"/>
      <c r="G104" s="600"/>
      <c r="H104" s="95"/>
      <c r="I104" s="281">
        <f t="shared" ref="I104:AE104" si="58">SUM(I101:I103)</f>
        <v>0</v>
      </c>
      <c r="J104" s="158">
        <f t="shared" si="58"/>
        <v>0</v>
      </c>
      <c r="K104" s="393">
        <f t="shared" si="58"/>
        <v>0</v>
      </c>
      <c r="L104" s="102">
        <f t="shared" si="58"/>
        <v>0</v>
      </c>
      <c r="M104" s="158">
        <f t="shared" si="58"/>
        <v>0</v>
      </c>
      <c r="N104" s="393">
        <f t="shared" si="58"/>
        <v>0</v>
      </c>
      <c r="O104" s="102">
        <f t="shared" si="58"/>
        <v>0</v>
      </c>
      <c r="P104" s="158">
        <f t="shared" si="58"/>
        <v>0</v>
      </c>
      <c r="Q104" s="393">
        <f t="shared" si="58"/>
        <v>0</v>
      </c>
      <c r="R104" s="102">
        <f t="shared" si="58"/>
        <v>0</v>
      </c>
      <c r="S104" s="158">
        <f t="shared" si="58"/>
        <v>0</v>
      </c>
      <c r="T104" s="103">
        <f t="shared" si="58"/>
        <v>0</v>
      </c>
      <c r="U104" s="277">
        <f t="shared" si="58"/>
        <v>0</v>
      </c>
      <c r="V104" s="158">
        <f t="shared" si="58"/>
        <v>0</v>
      </c>
      <c r="W104" s="158">
        <f t="shared" si="58"/>
        <v>0</v>
      </c>
      <c r="X104" s="158">
        <f t="shared" si="58"/>
        <v>0</v>
      </c>
      <c r="Y104" s="383">
        <f t="shared" si="58"/>
        <v>0</v>
      </c>
      <c r="Z104" s="102">
        <f t="shared" si="58"/>
        <v>0</v>
      </c>
      <c r="AA104" s="102">
        <f t="shared" si="58"/>
        <v>0</v>
      </c>
      <c r="AB104" s="102">
        <f t="shared" si="58"/>
        <v>0</v>
      </c>
      <c r="AC104" s="393">
        <f t="shared" si="58"/>
        <v>0</v>
      </c>
      <c r="AD104" s="102">
        <f t="shared" si="58"/>
        <v>0</v>
      </c>
      <c r="AE104" s="105">
        <f t="shared" si="58"/>
        <v>0</v>
      </c>
      <c r="AF104" s="291"/>
    </row>
    <row r="105" spans="1:32" s="68" customFormat="1" ht="7.5" customHeight="1">
      <c r="A105" s="258">
        <f t="shared" si="31"/>
        <v>105</v>
      </c>
      <c r="B105" s="96"/>
      <c r="C105" s="94"/>
      <c r="D105" s="120"/>
      <c r="E105" s="120"/>
      <c r="F105" s="120"/>
      <c r="G105" s="598"/>
      <c r="H105" s="95"/>
      <c r="I105" s="104"/>
      <c r="J105" s="104"/>
      <c r="K105" s="104"/>
      <c r="L105" s="104"/>
      <c r="M105" s="104"/>
      <c r="N105" s="104"/>
      <c r="O105" s="104"/>
      <c r="P105" s="104"/>
      <c r="Q105" s="104"/>
      <c r="R105" s="104"/>
      <c r="S105" s="104"/>
      <c r="T105" s="105"/>
      <c r="U105" s="107"/>
      <c r="V105" s="107"/>
      <c r="W105" s="107"/>
      <c r="X105" s="107"/>
      <c r="Y105" s="107"/>
      <c r="Z105" s="107"/>
      <c r="AA105" s="107"/>
      <c r="AB105" s="107"/>
      <c r="AC105" s="107"/>
      <c r="AD105" s="107"/>
      <c r="AE105" s="108"/>
      <c r="AF105" s="291"/>
    </row>
    <row r="106" spans="1:32" s="94" customFormat="1">
      <c r="A106" s="258">
        <f t="shared" si="31"/>
        <v>106</v>
      </c>
      <c r="B106" s="96"/>
      <c r="C106" s="60" t="s">
        <v>84</v>
      </c>
      <c r="D106" s="50"/>
      <c r="E106" s="50"/>
      <c r="F106" s="50"/>
      <c r="G106" s="601">
        <f>G98</f>
        <v>0</v>
      </c>
      <c r="H106" s="95"/>
      <c r="I106" s="281">
        <f t="shared" ref="I106:AE106" si="59">I98+I104</f>
        <v>0</v>
      </c>
      <c r="J106" s="158">
        <f t="shared" si="59"/>
        <v>0</v>
      </c>
      <c r="K106" s="393">
        <f t="shared" si="59"/>
        <v>0</v>
      </c>
      <c r="L106" s="102">
        <f t="shared" si="59"/>
        <v>0</v>
      </c>
      <c r="M106" s="158">
        <f t="shared" si="59"/>
        <v>0</v>
      </c>
      <c r="N106" s="393">
        <f t="shared" si="59"/>
        <v>0</v>
      </c>
      <c r="O106" s="102">
        <f t="shared" si="59"/>
        <v>0</v>
      </c>
      <c r="P106" s="158">
        <f t="shared" si="59"/>
        <v>0</v>
      </c>
      <c r="Q106" s="393">
        <f t="shared" si="59"/>
        <v>0</v>
      </c>
      <c r="R106" s="102">
        <f t="shared" si="59"/>
        <v>0</v>
      </c>
      <c r="S106" s="158">
        <f t="shared" si="59"/>
        <v>0</v>
      </c>
      <c r="T106" s="103">
        <f t="shared" si="59"/>
        <v>0</v>
      </c>
      <c r="U106" s="277">
        <f t="shared" si="59"/>
        <v>0</v>
      </c>
      <c r="V106" s="158">
        <f t="shared" si="59"/>
        <v>0</v>
      </c>
      <c r="W106" s="158">
        <f t="shared" si="59"/>
        <v>0</v>
      </c>
      <c r="X106" s="158">
        <f t="shared" si="59"/>
        <v>0</v>
      </c>
      <c r="Y106" s="383">
        <f t="shared" si="59"/>
        <v>0</v>
      </c>
      <c r="Z106" s="102">
        <f t="shared" si="59"/>
        <v>0</v>
      </c>
      <c r="AA106" s="102">
        <f t="shared" si="59"/>
        <v>0</v>
      </c>
      <c r="AB106" s="102">
        <f t="shared" si="59"/>
        <v>0</v>
      </c>
      <c r="AC106" s="393">
        <f t="shared" si="59"/>
        <v>0</v>
      </c>
      <c r="AD106" s="102">
        <f t="shared" si="59"/>
        <v>0</v>
      </c>
      <c r="AE106" s="105">
        <f t="shared" si="59"/>
        <v>0</v>
      </c>
      <c r="AF106" s="291"/>
    </row>
    <row r="107" spans="1:32" s="68" customFormat="1" ht="7.5" customHeight="1">
      <c r="A107" s="258">
        <f t="shared" si="31"/>
        <v>107</v>
      </c>
      <c r="B107" s="96"/>
      <c r="C107" s="94"/>
      <c r="D107" s="94"/>
      <c r="E107" s="120"/>
      <c r="F107" s="120"/>
      <c r="G107" s="56"/>
      <c r="H107" s="95"/>
      <c r="I107" s="107"/>
      <c r="J107" s="107"/>
      <c r="K107" s="107"/>
      <c r="L107" s="107"/>
      <c r="M107" s="107"/>
      <c r="N107" s="107"/>
      <c r="O107" s="107"/>
      <c r="P107" s="107"/>
      <c r="Q107" s="107"/>
      <c r="R107" s="107"/>
      <c r="S107" s="107"/>
      <c r="T107" s="108"/>
      <c r="U107" s="107"/>
      <c r="V107" s="107"/>
      <c r="W107" s="107"/>
      <c r="X107" s="107"/>
      <c r="Y107" s="107"/>
      <c r="Z107" s="107"/>
      <c r="AA107" s="107"/>
      <c r="AB107" s="107"/>
      <c r="AC107" s="107"/>
      <c r="AD107" s="107"/>
      <c r="AE107" s="108"/>
      <c r="AF107" s="291"/>
    </row>
    <row r="108" spans="1:32" s="68" customFormat="1">
      <c r="A108" s="258">
        <f t="shared" si="31"/>
        <v>108</v>
      </c>
      <c r="B108" s="96"/>
      <c r="C108" s="119" t="s">
        <v>85</v>
      </c>
      <c r="D108" s="94"/>
      <c r="E108" s="120"/>
      <c r="F108" s="120"/>
      <c r="G108" s="56"/>
      <c r="H108" s="95"/>
      <c r="I108" s="98"/>
      <c r="J108" s="98"/>
      <c r="K108" s="98"/>
      <c r="L108" s="98"/>
      <c r="M108" s="98"/>
      <c r="N108" s="98"/>
      <c r="O108" s="98"/>
      <c r="P108" s="98"/>
      <c r="Q108" s="98"/>
      <c r="R108" s="98"/>
      <c r="S108" s="98"/>
      <c r="T108" s="99"/>
      <c r="U108" s="95"/>
      <c r="V108" s="95"/>
      <c r="W108" s="95"/>
      <c r="X108" s="95"/>
      <c r="Y108" s="95"/>
      <c r="Z108" s="95"/>
      <c r="AA108" s="95"/>
      <c r="AB108" s="95"/>
      <c r="AC108" s="95"/>
      <c r="AD108" s="95"/>
      <c r="AE108" s="118"/>
      <c r="AF108" s="291"/>
    </row>
    <row r="109" spans="1:32" s="68" customFormat="1">
      <c r="A109" s="258">
        <f t="shared" si="31"/>
        <v>109</v>
      </c>
      <c r="B109" s="96"/>
      <c r="C109" s="94"/>
      <c r="D109" s="50" t="s">
        <v>65</v>
      </c>
      <c r="E109" s="120"/>
      <c r="F109" s="120"/>
      <c r="G109" s="56"/>
      <c r="H109" s="95"/>
      <c r="I109" s="276"/>
      <c r="J109" s="102">
        <f>IF('4.) Yearly Budget'!$K$18&gt;0,'4.) Yearly Budget'!K109,'4.) Yearly Budget'!J109)</f>
        <v>0</v>
      </c>
      <c r="K109" s="382">
        <f t="shared" ref="K109:K117" si="60">IF(I$18&lt;&gt;0,J109-I109,0)</f>
        <v>0</v>
      </c>
      <c r="L109" s="100"/>
      <c r="M109" s="102">
        <f>IF('4.) Yearly Budget'!$N$18&gt;0,'4.) Yearly Budget'!N109,'4.) Yearly Budget'!M109)</f>
        <v>0</v>
      </c>
      <c r="N109" s="382">
        <f t="shared" ref="N109:N117" si="61">IF(L$18&lt;&gt;0,M109-L109,0)</f>
        <v>0</v>
      </c>
      <c r="O109" s="100"/>
      <c r="P109" s="102">
        <f>IF('4.) Yearly Budget'!$Q$18&gt;0,'4.) Yearly Budget'!Q109,'4.) Yearly Budget'!P109)</f>
        <v>0</v>
      </c>
      <c r="Q109" s="382">
        <f t="shared" ref="Q109:Q117" si="62">IF(O$18&lt;&gt;0,P109-O109,0)</f>
        <v>0</v>
      </c>
      <c r="R109" s="100"/>
      <c r="S109" s="102">
        <f>IF('4.) Yearly Budget'!$T$18&gt;0,'4.) Yearly Budget'!T109,'4.) Yearly Budget'!S109)</f>
        <v>0</v>
      </c>
      <c r="T109" s="105">
        <f t="shared" ref="T109:T117" si="63">IF(R$18&lt;&gt;0,S109-R109,0)</f>
        <v>0</v>
      </c>
      <c r="U109" s="277">
        <f t="shared" ref="U109:U117" si="64">IF(I$6&lt;&gt;0,I109,0)+IF(L$6&lt;&gt;0,L109,0)+IF(O$6&lt;&gt;0,O109,0)+IF(R$6&lt;&gt;0,R109,0)</f>
        <v>0</v>
      </c>
      <c r="V109" s="379">
        <f t="shared" ref="V109:V117" si="65">SUM(IF(I$6&lt;&gt;0,J109,0)+IF(L$6&lt;&gt;0,M109,0)+IF(O$6&lt;&gt;0,P109,0)+IF(R$6&lt;&gt;0,S109,0))</f>
        <v>0</v>
      </c>
      <c r="W109" s="379">
        <f t="shared" ref="W109:W117" si="66">V109-U109</f>
        <v>0</v>
      </c>
      <c r="X109" s="379">
        <f>'4.) Yearly Budget'!W109</f>
        <v>0</v>
      </c>
      <c r="Y109" s="380">
        <f t="shared" ref="Y109:Y117" si="67">IF(U109&lt;&gt;0,X109-U109,IF(U109=0,X109,0))</f>
        <v>0</v>
      </c>
      <c r="Z109" s="381">
        <f>SUM(IF(I$18&lt;&gt;0,'4.) Yearly Budget'!J109,0)+IF(L$18&lt;&gt;0,'4.) Yearly Budget'!M109,0)+IF(O$18&lt;&gt;0,'4.) Yearly Budget'!P109,0)+IF(R$18&lt;&gt;0,'4.) Yearly Budget'!S109,0))</f>
        <v>0</v>
      </c>
      <c r="AA109" s="381">
        <f t="shared" ref="AA109:AA117" si="68">Z109-U109</f>
        <v>0</v>
      </c>
      <c r="AB109" s="381">
        <f>'4.) Yearly Budget'!V109</f>
        <v>0</v>
      </c>
      <c r="AC109" s="382">
        <f t="shared" ref="AC109:AC117" si="69">IF(U109&lt;&gt;0,AB109-U109,IF(U109=0,AB109,0))</f>
        <v>0</v>
      </c>
      <c r="AD109" s="381">
        <f>IF(U$6&lt;&gt;0,'4.) Yearly Budget'!I109/$AM$18,0)</f>
        <v>0</v>
      </c>
      <c r="AE109" s="105">
        <f t="shared" ref="AE109:AE117" si="70">AD109-U109</f>
        <v>0</v>
      </c>
      <c r="AF109" s="291"/>
    </row>
    <row r="110" spans="1:32" s="68" customFormat="1">
      <c r="A110" s="258">
        <f t="shared" si="31"/>
        <v>110</v>
      </c>
      <c r="B110" s="96"/>
      <c r="C110" s="94"/>
      <c r="D110" s="54" t="s">
        <v>5</v>
      </c>
      <c r="E110" s="120"/>
      <c r="F110" s="120"/>
      <c r="G110" s="56"/>
      <c r="H110" s="95"/>
      <c r="I110" s="276"/>
      <c r="J110" s="102">
        <f>IF('4.) Yearly Budget'!$K$18&gt;0,'4.) Yearly Budget'!K110,'4.) Yearly Budget'!J110)</f>
        <v>0</v>
      </c>
      <c r="K110" s="382">
        <f t="shared" si="60"/>
        <v>0</v>
      </c>
      <c r="L110" s="100"/>
      <c r="M110" s="102">
        <f>IF('4.) Yearly Budget'!$N$18&gt;0,'4.) Yearly Budget'!N110,'4.) Yearly Budget'!M110)</f>
        <v>0</v>
      </c>
      <c r="N110" s="382">
        <f t="shared" si="61"/>
        <v>0</v>
      </c>
      <c r="O110" s="100"/>
      <c r="P110" s="102">
        <f>IF('4.) Yearly Budget'!$Q$18&gt;0,'4.) Yearly Budget'!Q110,'4.) Yearly Budget'!P110)</f>
        <v>0</v>
      </c>
      <c r="Q110" s="382">
        <f t="shared" si="62"/>
        <v>0</v>
      </c>
      <c r="R110" s="100"/>
      <c r="S110" s="102">
        <f>IF('4.) Yearly Budget'!$T$18&gt;0,'4.) Yearly Budget'!T110,'4.) Yearly Budget'!S110)</f>
        <v>0</v>
      </c>
      <c r="T110" s="105">
        <f t="shared" si="63"/>
        <v>0</v>
      </c>
      <c r="U110" s="277">
        <f t="shared" si="64"/>
        <v>0</v>
      </c>
      <c r="V110" s="379">
        <f t="shared" si="65"/>
        <v>0</v>
      </c>
      <c r="W110" s="379">
        <f t="shared" si="66"/>
        <v>0</v>
      </c>
      <c r="X110" s="379">
        <f>'4.) Yearly Budget'!W110</f>
        <v>0</v>
      </c>
      <c r="Y110" s="380">
        <f t="shared" si="67"/>
        <v>0</v>
      </c>
      <c r="Z110" s="381">
        <f>SUM(IF(I$18&lt;&gt;0,'4.) Yearly Budget'!J110,0)+IF(L$18&lt;&gt;0,'4.) Yearly Budget'!M110,0)+IF(O$18&lt;&gt;0,'4.) Yearly Budget'!P110,0)+IF(R$18&lt;&gt;0,'4.) Yearly Budget'!S110,0))</f>
        <v>0</v>
      </c>
      <c r="AA110" s="381">
        <f t="shared" si="68"/>
        <v>0</v>
      </c>
      <c r="AB110" s="381">
        <f>'4.) Yearly Budget'!V110</f>
        <v>0</v>
      </c>
      <c r="AC110" s="382">
        <f t="shared" si="69"/>
        <v>0</v>
      </c>
      <c r="AD110" s="381">
        <f>IF(U$6&lt;&gt;0,'4.) Yearly Budget'!I110/$AM$18,0)</f>
        <v>0</v>
      </c>
      <c r="AE110" s="105">
        <f t="shared" si="70"/>
        <v>0</v>
      </c>
      <c r="AF110" s="291"/>
    </row>
    <row r="111" spans="1:32" s="68" customFormat="1">
      <c r="A111" s="258">
        <f t="shared" si="31"/>
        <v>111</v>
      </c>
      <c r="B111" s="96"/>
      <c r="C111" s="94"/>
      <c r="D111" s="54" t="s">
        <v>66</v>
      </c>
      <c r="E111" s="120"/>
      <c r="F111" s="120"/>
      <c r="G111" s="56"/>
      <c r="H111" s="95"/>
      <c r="I111" s="276"/>
      <c r="J111" s="102">
        <f>IF('4.) Yearly Budget'!$K$18&gt;0,'4.) Yearly Budget'!K111,'4.) Yearly Budget'!J111)</f>
        <v>0</v>
      </c>
      <c r="K111" s="382">
        <f t="shared" si="60"/>
        <v>0</v>
      </c>
      <c r="L111" s="100"/>
      <c r="M111" s="102">
        <f>IF('4.) Yearly Budget'!$N$18&gt;0,'4.) Yearly Budget'!N111,'4.) Yearly Budget'!M111)</f>
        <v>0</v>
      </c>
      <c r="N111" s="382">
        <f t="shared" si="61"/>
        <v>0</v>
      </c>
      <c r="O111" s="100"/>
      <c r="P111" s="102">
        <f>IF('4.) Yearly Budget'!$Q$18&gt;0,'4.) Yearly Budget'!Q111,'4.) Yearly Budget'!P111)</f>
        <v>0</v>
      </c>
      <c r="Q111" s="382">
        <f t="shared" si="62"/>
        <v>0</v>
      </c>
      <c r="R111" s="100"/>
      <c r="S111" s="102">
        <f>IF('4.) Yearly Budget'!$T$18&gt;0,'4.) Yearly Budget'!T111,'4.) Yearly Budget'!S111)</f>
        <v>0</v>
      </c>
      <c r="T111" s="105">
        <f t="shared" si="63"/>
        <v>0</v>
      </c>
      <c r="U111" s="277">
        <f t="shared" si="64"/>
        <v>0</v>
      </c>
      <c r="V111" s="379">
        <f t="shared" si="65"/>
        <v>0</v>
      </c>
      <c r="W111" s="379">
        <f t="shared" si="66"/>
        <v>0</v>
      </c>
      <c r="X111" s="379">
        <f>'4.) Yearly Budget'!W111</f>
        <v>0</v>
      </c>
      <c r="Y111" s="380">
        <f t="shared" si="67"/>
        <v>0</v>
      </c>
      <c r="Z111" s="381">
        <f>SUM(IF(I$18&lt;&gt;0,'4.) Yearly Budget'!J111,0)+IF(L$18&lt;&gt;0,'4.) Yearly Budget'!M111,0)+IF(O$18&lt;&gt;0,'4.) Yearly Budget'!P111,0)+IF(R$18&lt;&gt;0,'4.) Yearly Budget'!S111,0))</f>
        <v>0</v>
      </c>
      <c r="AA111" s="381">
        <f t="shared" si="68"/>
        <v>0</v>
      </c>
      <c r="AB111" s="381">
        <f>'4.) Yearly Budget'!V111</f>
        <v>0</v>
      </c>
      <c r="AC111" s="382">
        <f t="shared" si="69"/>
        <v>0</v>
      </c>
      <c r="AD111" s="381">
        <f>IF(U$6&lt;&gt;0,'4.) Yearly Budget'!I111/$AM$18,0)</f>
        <v>0</v>
      </c>
      <c r="AE111" s="105">
        <f t="shared" si="70"/>
        <v>0</v>
      </c>
      <c r="AF111" s="291"/>
    </row>
    <row r="112" spans="1:32" s="68" customFormat="1">
      <c r="A112" s="258">
        <f t="shared" si="31"/>
        <v>112</v>
      </c>
      <c r="B112" s="96"/>
      <c r="C112" s="94"/>
      <c r="D112" s="54" t="s">
        <v>15</v>
      </c>
      <c r="E112" s="120"/>
      <c r="F112" s="120"/>
      <c r="G112" s="56"/>
      <c r="H112" s="95"/>
      <c r="I112" s="276"/>
      <c r="J112" s="102">
        <f>IF('4.) Yearly Budget'!$K$18&gt;0,'4.) Yearly Budget'!K112,'4.) Yearly Budget'!J112)</f>
        <v>0</v>
      </c>
      <c r="K112" s="382">
        <f t="shared" si="60"/>
        <v>0</v>
      </c>
      <c r="L112" s="100"/>
      <c r="M112" s="102">
        <f>IF('4.) Yearly Budget'!$N$18&gt;0,'4.) Yearly Budget'!N112,'4.) Yearly Budget'!M112)</f>
        <v>0</v>
      </c>
      <c r="N112" s="382">
        <f t="shared" si="61"/>
        <v>0</v>
      </c>
      <c r="O112" s="100"/>
      <c r="P112" s="102">
        <f>IF('4.) Yearly Budget'!$Q$18&gt;0,'4.) Yearly Budget'!Q112,'4.) Yearly Budget'!P112)</f>
        <v>0</v>
      </c>
      <c r="Q112" s="382">
        <f t="shared" si="62"/>
        <v>0</v>
      </c>
      <c r="R112" s="100"/>
      <c r="S112" s="102">
        <f>IF('4.) Yearly Budget'!$T$18&gt;0,'4.) Yearly Budget'!T112,'4.) Yearly Budget'!S112)</f>
        <v>0</v>
      </c>
      <c r="T112" s="105">
        <f t="shared" si="63"/>
        <v>0</v>
      </c>
      <c r="U112" s="277">
        <f t="shared" si="64"/>
        <v>0</v>
      </c>
      <c r="V112" s="379">
        <f t="shared" si="65"/>
        <v>0</v>
      </c>
      <c r="W112" s="379">
        <f t="shared" si="66"/>
        <v>0</v>
      </c>
      <c r="X112" s="379">
        <f>'4.) Yearly Budget'!W112</f>
        <v>0</v>
      </c>
      <c r="Y112" s="380">
        <f t="shared" si="67"/>
        <v>0</v>
      </c>
      <c r="Z112" s="381">
        <f>SUM(IF(I$18&lt;&gt;0,'4.) Yearly Budget'!J112,0)+IF(L$18&lt;&gt;0,'4.) Yearly Budget'!M112,0)+IF(O$18&lt;&gt;0,'4.) Yearly Budget'!P112,0)+IF(R$18&lt;&gt;0,'4.) Yearly Budget'!S112,0))</f>
        <v>0</v>
      </c>
      <c r="AA112" s="381">
        <f t="shared" si="68"/>
        <v>0</v>
      </c>
      <c r="AB112" s="381">
        <f>'4.) Yearly Budget'!V112</f>
        <v>0</v>
      </c>
      <c r="AC112" s="382">
        <f t="shared" si="69"/>
        <v>0</v>
      </c>
      <c r="AD112" s="381">
        <f>IF(U$6&lt;&gt;0,'4.) Yearly Budget'!I112/$AM$18,0)</f>
        <v>0</v>
      </c>
      <c r="AE112" s="105">
        <f t="shared" si="70"/>
        <v>0</v>
      </c>
      <c r="AF112" s="291"/>
    </row>
    <row r="113" spans="1:32" s="68" customFormat="1">
      <c r="A113" s="258">
        <f t="shared" si="31"/>
        <v>113</v>
      </c>
      <c r="B113" s="96"/>
      <c r="C113" s="94"/>
      <c r="D113" s="54" t="s">
        <v>57</v>
      </c>
      <c r="E113" s="120"/>
      <c r="F113" s="120"/>
      <c r="G113" s="56"/>
      <c r="H113" s="95"/>
      <c r="I113" s="276"/>
      <c r="J113" s="102">
        <f>IF('4.) Yearly Budget'!$K$18&gt;0,'4.) Yearly Budget'!K113,'4.) Yearly Budget'!J113)</f>
        <v>0</v>
      </c>
      <c r="K113" s="382">
        <f t="shared" si="60"/>
        <v>0</v>
      </c>
      <c r="L113" s="100"/>
      <c r="M113" s="102">
        <f>IF('4.) Yearly Budget'!$N$18&gt;0,'4.) Yearly Budget'!N113,'4.) Yearly Budget'!M113)</f>
        <v>0</v>
      </c>
      <c r="N113" s="382">
        <f t="shared" si="61"/>
        <v>0</v>
      </c>
      <c r="O113" s="100"/>
      <c r="P113" s="102">
        <f>IF('4.) Yearly Budget'!$Q$18&gt;0,'4.) Yearly Budget'!Q113,'4.) Yearly Budget'!P113)</f>
        <v>0</v>
      </c>
      <c r="Q113" s="382">
        <f t="shared" si="62"/>
        <v>0</v>
      </c>
      <c r="R113" s="100"/>
      <c r="S113" s="102">
        <f>IF('4.) Yearly Budget'!$T$18&gt;0,'4.) Yearly Budget'!T113,'4.) Yearly Budget'!S113)</f>
        <v>0</v>
      </c>
      <c r="T113" s="105">
        <f t="shared" si="63"/>
        <v>0</v>
      </c>
      <c r="U113" s="277">
        <f t="shared" si="64"/>
        <v>0</v>
      </c>
      <c r="V113" s="379">
        <f t="shared" si="65"/>
        <v>0</v>
      </c>
      <c r="W113" s="379">
        <f t="shared" si="66"/>
        <v>0</v>
      </c>
      <c r="X113" s="379">
        <f>'4.) Yearly Budget'!W113</f>
        <v>0</v>
      </c>
      <c r="Y113" s="380">
        <f t="shared" si="67"/>
        <v>0</v>
      </c>
      <c r="Z113" s="381">
        <f>SUM(IF(I$18&lt;&gt;0,'4.) Yearly Budget'!J113,0)+IF(L$18&lt;&gt;0,'4.) Yearly Budget'!M113,0)+IF(O$18&lt;&gt;0,'4.) Yearly Budget'!P113,0)+IF(R$18&lt;&gt;0,'4.) Yearly Budget'!S113,0))</f>
        <v>0</v>
      </c>
      <c r="AA113" s="381">
        <f t="shared" si="68"/>
        <v>0</v>
      </c>
      <c r="AB113" s="381">
        <f>'4.) Yearly Budget'!V113</f>
        <v>0</v>
      </c>
      <c r="AC113" s="382">
        <f t="shared" si="69"/>
        <v>0</v>
      </c>
      <c r="AD113" s="381">
        <f>IF(U$6&lt;&gt;0,'4.) Yearly Budget'!I113/$AM$18,0)</f>
        <v>0</v>
      </c>
      <c r="AE113" s="105">
        <f t="shared" si="70"/>
        <v>0</v>
      </c>
      <c r="AF113" s="291"/>
    </row>
    <row r="114" spans="1:32" s="68" customFormat="1">
      <c r="A114" s="258">
        <f t="shared" si="31"/>
        <v>114</v>
      </c>
      <c r="B114" s="96"/>
      <c r="C114" s="94"/>
      <c r="D114" s="54" t="s">
        <v>16</v>
      </c>
      <c r="E114" s="120"/>
      <c r="F114" s="120"/>
      <c r="G114" s="56"/>
      <c r="H114" s="95"/>
      <c r="I114" s="276"/>
      <c r="J114" s="102">
        <f>IF('4.) Yearly Budget'!$K$18&gt;0,'4.) Yearly Budget'!K114,'4.) Yearly Budget'!J114)</f>
        <v>0</v>
      </c>
      <c r="K114" s="382">
        <f t="shared" si="60"/>
        <v>0</v>
      </c>
      <c r="L114" s="100"/>
      <c r="M114" s="102">
        <f>IF('4.) Yearly Budget'!$N$18&gt;0,'4.) Yearly Budget'!N114,'4.) Yearly Budget'!M114)</f>
        <v>0</v>
      </c>
      <c r="N114" s="382">
        <f t="shared" si="61"/>
        <v>0</v>
      </c>
      <c r="O114" s="100"/>
      <c r="P114" s="102">
        <f>IF('4.) Yearly Budget'!$Q$18&gt;0,'4.) Yearly Budget'!Q114,'4.) Yearly Budget'!P114)</f>
        <v>0</v>
      </c>
      <c r="Q114" s="382">
        <f t="shared" si="62"/>
        <v>0</v>
      </c>
      <c r="R114" s="100"/>
      <c r="S114" s="102">
        <f>IF('4.) Yearly Budget'!$T$18&gt;0,'4.) Yearly Budget'!T114,'4.) Yearly Budget'!S114)</f>
        <v>0</v>
      </c>
      <c r="T114" s="105">
        <f t="shared" si="63"/>
        <v>0</v>
      </c>
      <c r="U114" s="277">
        <f t="shared" si="64"/>
        <v>0</v>
      </c>
      <c r="V114" s="379">
        <f t="shared" si="65"/>
        <v>0</v>
      </c>
      <c r="W114" s="379">
        <f t="shared" si="66"/>
        <v>0</v>
      </c>
      <c r="X114" s="379">
        <f>'4.) Yearly Budget'!W114</f>
        <v>0</v>
      </c>
      <c r="Y114" s="380">
        <f t="shared" si="67"/>
        <v>0</v>
      </c>
      <c r="Z114" s="381">
        <f>SUM(IF(I$18&lt;&gt;0,'4.) Yearly Budget'!J114,0)+IF(L$18&lt;&gt;0,'4.) Yearly Budget'!M114,0)+IF(O$18&lt;&gt;0,'4.) Yearly Budget'!P114,0)+IF(R$18&lt;&gt;0,'4.) Yearly Budget'!S114,0))</f>
        <v>0</v>
      </c>
      <c r="AA114" s="381">
        <f t="shared" si="68"/>
        <v>0</v>
      </c>
      <c r="AB114" s="381">
        <f>'4.) Yearly Budget'!V114</f>
        <v>0</v>
      </c>
      <c r="AC114" s="382">
        <f t="shared" si="69"/>
        <v>0</v>
      </c>
      <c r="AD114" s="381">
        <f>IF(U$6&lt;&gt;0,'4.) Yearly Budget'!I114/$AM$18,0)</f>
        <v>0</v>
      </c>
      <c r="AE114" s="105">
        <f t="shared" si="70"/>
        <v>0</v>
      </c>
      <c r="AF114" s="291"/>
    </row>
    <row r="115" spans="1:32" s="68" customFormat="1">
      <c r="A115" s="258">
        <f t="shared" si="31"/>
        <v>115</v>
      </c>
      <c r="B115" s="96"/>
      <c r="C115" s="94"/>
      <c r="D115" s="54" t="s">
        <v>17</v>
      </c>
      <c r="E115" s="120"/>
      <c r="F115" s="120"/>
      <c r="G115" s="56"/>
      <c r="H115" s="95"/>
      <c r="I115" s="276"/>
      <c r="J115" s="102">
        <f>IF('4.) Yearly Budget'!$K$18&gt;0,'4.) Yearly Budget'!K115,'4.) Yearly Budget'!J115)</f>
        <v>0</v>
      </c>
      <c r="K115" s="382">
        <f t="shared" si="60"/>
        <v>0</v>
      </c>
      <c r="L115" s="100"/>
      <c r="M115" s="102">
        <f>IF('4.) Yearly Budget'!$N$18&gt;0,'4.) Yearly Budget'!N115,'4.) Yearly Budget'!M115)</f>
        <v>0</v>
      </c>
      <c r="N115" s="382">
        <f t="shared" si="61"/>
        <v>0</v>
      </c>
      <c r="O115" s="100"/>
      <c r="P115" s="102">
        <f>IF('4.) Yearly Budget'!$Q$18&gt;0,'4.) Yearly Budget'!Q115,'4.) Yearly Budget'!P115)</f>
        <v>0</v>
      </c>
      <c r="Q115" s="382">
        <f t="shared" si="62"/>
        <v>0</v>
      </c>
      <c r="R115" s="100"/>
      <c r="S115" s="102">
        <f>IF('4.) Yearly Budget'!$T$18&gt;0,'4.) Yearly Budget'!T115,'4.) Yearly Budget'!S115)</f>
        <v>0</v>
      </c>
      <c r="T115" s="105">
        <f t="shared" si="63"/>
        <v>0</v>
      </c>
      <c r="U115" s="277">
        <f t="shared" si="64"/>
        <v>0</v>
      </c>
      <c r="V115" s="379">
        <f t="shared" si="65"/>
        <v>0</v>
      </c>
      <c r="W115" s="379">
        <f t="shared" si="66"/>
        <v>0</v>
      </c>
      <c r="X115" s="379">
        <f>'4.) Yearly Budget'!W115</f>
        <v>0</v>
      </c>
      <c r="Y115" s="380">
        <f t="shared" si="67"/>
        <v>0</v>
      </c>
      <c r="Z115" s="381">
        <f>SUM(IF(I$18&lt;&gt;0,'4.) Yearly Budget'!J115,0)+IF(L$18&lt;&gt;0,'4.) Yearly Budget'!M115,0)+IF(O$18&lt;&gt;0,'4.) Yearly Budget'!P115,0)+IF(R$18&lt;&gt;0,'4.) Yearly Budget'!S115,0))</f>
        <v>0</v>
      </c>
      <c r="AA115" s="381">
        <f t="shared" si="68"/>
        <v>0</v>
      </c>
      <c r="AB115" s="381">
        <f>'4.) Yearly Budget'!V115</f>
        <v>0</v>
      </c>
      <c r="AC115" s="382">
        <f t="shared" si="69"/>
        <v>0</v>
      </c>
      <c r="AD115" s="381">
        <f>IF(U$6&lt;&gt;0,'4.) Yearly Budget'!I115/$AM$18,0)</f>
        <v>0</v>
      </c>
      <c r="AE115" s="105">
        <f t="shared" si="70"/>
        <v>0</v>
      </c>
      <c r="AF115" s="291"/>
    </row>
    <row r="116" spans="1:32" s="68" customFormat="1">
      <c r="A116" s="258">
        <f t="shared" si="31"/>
        <v>116</v>
      </c>
      <c r="B116" s="96"/>
      <c r="C116" s="94"/>
      <c r="D116" s="54" t="s">
        <v>68</v>
      </c>
      <c r="E116" s="120"/>
      <c r="F116" s="120"/>
      <c r="G116" s="56"/>
      <c r="H116" s="95"/>
      <c r="I116" s="276"/>
      <c r="J116" s="102">
        <f>IF('4.) Yearly Budget'!$K$18&gt;0,'4.) Yearly Budget'!K116,'4.) Yearly Budget'!J116)</f>
        <v>0</v>
      </c>
      <c r="K116" s="382">
        <f t="shared" si="60"/>
        <v>0</v>
      </c>
      <c r="L116" s="100"/>
      <c r="M116" s="102">
        <f>IF('4.) Yearly Budget'!$N$18&gt;0,'4.) Yearly Budget'!N116,'4.) Yearly Budget'!M116)</f>
        <v>0</v>
      </c>
      <c r="N116" s="382">
        <f t="shared" si="61"/>
        <v>0</v>
      </c>
      <c r="O116" s="100"/>
      <c r="P116" s="102">
        <f>IF('4.) Yearly Budget'!$Q$18&gt;0,'4.) Yearly Budget'!Q116,'4.) Yearly Budget'!P116)</f>
        <v>0</v>
      </c>
      <c r="Q116" s="382">
        <f t="shared" si="62"/>
        <v>0</v>
      </c>
      <c r="R116" s="100"/>
      <c r="S116" s="102">
        <f>IF('4.) Yearly Budget'!$T$18&gt;0,'4.) Yearly Budget'!T116,'4.) Yearly Budget'!S116)</f>
        <v>0</v>
      </c>
      <c r="T116" s="105">
        <f t="shared" si="63"/>
        <v>0</v>
      </c>
      <c r="U116" s="277">
        <f t="shared" si="64"/>
        <v>0</v>
      </c>
      <c r="V116" s="379">
        <f t="shared" si="65"/>
        <v>0</v>
      </c>
      <c r="W116" s="379">
        <f t="shared" si="66"/>
        <v>0</v>
      </c>
      <c r="X116" s="379">
        <f>'4.) Yearly Budget'!W116</f>
        <v>0</v>
      </c>
      <c r="Y116" s="380">
        <f t="shared" si="67"/>
        <v>0</v>
      </c>
      <c r="Z116" s="381">
        <f>SUM(IF(I$18&lt;&gt;0,'4.) Yearly Budget'!J116,0)+IF(L$18&lt;&gt;0,'4.) Yearly Budget'!M116,0)+IF(O$18&lt;&gt;0,'4.) Yearly Budget'!P116,0)+IF(R$18&lt;&gt;0,'4.) Yearly Budget'!S116,0))</f>
        <v>0</v>
      </c>
      <c r="AA116" s="381">
        <f t="shared" si="68"/>
        <v>0</v>
      </c>
      <c r="AB116" s="381">
        <f>'4.) Yearly Budget'!V116</f>
        <v>0</v>
      </c>
      <c r="AC116" s="382">
        <f t="shared" si="69"/>
        <v>0</v>
      </c>
      <c r="AD116" s="381">
        <f>IF(U$6&lt;&gt;0,'4.) Yearly Budget'!I116/$AM$18,0)</f>
        <v>0</v>
      </c>
      <c r="AE116" s="105">
        <f t="shared" si="70"/>
        <v>0</v>
      </c>
      <c r="AF116" s="291"/>
    </row>
    <row r="117" spans="1:32" s="68" customFormat="1" ht="16.8">
      <c r="A117" s="258">
        <f t="shared" si="31"/>
        <v>117</v>
      </c>
      <c r="B117" s="96"/>
      <c r="C117" s="94"/>
      <c r="D117" s="50" t="s">
        <v>67</v>
      </c>
      <c r="E117" s="120"/>
      <c r="F117" s="120"/>
      <c r="G117" s="56"/>
      <c r="H117" s="95"/>
      <c r="I117" s="284"/>
      <c r="J117" s="549">
        <f>IF('4.) Yearly Budget'!$K$18&gt;0,'4.) Yearly Budget'!K117,'4.) Yearly Budget'!J117)</f>
        <v>0</v>
      </c>
      <c r="K117" s="392">
        <f t="shared" si="60"/>
        <v>0</v>
      </c>
      <c r="L117" s="106"/>
      <c r="M117" s="549">
        <f>IF('4.) Yearly Budget'!$N$18&gt;0,'4.) Yearly Budget'!N117,'4.) Yearly Budget'!M117)</f>
        <v>0</v>
      </c>
      <c r="N117" s="392">
        <f t="shared" si="61"/>
        <v>0</v>
      </c>
      <c r="O117" s="106"/>
      <c r="P117" s="549">
        <f>IF('4.) Yearly Budget'!$Q$18&gt;0,'4.) Yearly Budget'!Q117,'4.) Yearly Budget'!P117)</f>
        <v>0</v>
      </c>
      <c r="Q117" s="392">
        <f t="shared" si="62"/>
        <v>0</v>
      </c>
      <c r="R117" s="106"/>
      <c r="S117" s="549">
        <f>IF('4.) Yearly Budget'!$T$18&gt;0,'4.) Yearly Budget'!T117,'4.) Yearly Budget'!S117)</f>
        <v>0</v>
      </c>
      <c r="T117" s="388">
        <f t="shared" si="63"/>
        <v>0</v>
      </c>
      <c r="U117" s="285">
        <f t="shared" si="64"/>
        <v>0</v>
      </c>
      <c r="V117" s="389">
        <f t="shared" si="65"/>
        <v>0</v>
      </c>
      <c r="W117" s="389">
        <f t="shared" si="66"/>
        <v>0</v>
      </c>
      <c r="X117" s="389">
        <f>'4.) Yearly Budget'!W117</f>
        <v>0</v>
      </c>
      <c r="Y117" s="390">
        <f t="shared" si="67"/>
        <v>0</v>
      </c>
      <c r="Z117" s="391">
        <f>SUM(IF(I$18&lt;&gt;0,'4.) Yearly Budget'!J117,0)+IF(L$18&lt;&gt;0,'4.) Yearly Budget'!M117,0)+IF(O$18&lt;&gt;0,'4.) Yearly Budget'!P117,0)+IF(R$18&lt;&gt;0,'4.) Yearly Budget'!S117,0))</f>
        <v>0</v>
      </c>
      <c r="AA117" s="391">
        <f t="shared" si="68"/>
        <v>0</v>
      </c>
      <c r="AB117" s="391">
        <f>'4.) Yearly Budget'!V117</f>
        <v>0</v>
      </c>
      <c r="AC117" s="392">
        <f t="shared" si="69"/>
        <v>0</v>
      </c>
      <c r="AD117" s="391">
        <f>IF(U$6&lt;&gt;0,'4.) Yearly Budget'!I117/$AM$18,0)</f>
        <v>0</v>
      </c>
      <c r="AE117" s="388">
        <f t="shared" si="70"/>
        <v>0</v>
      </c>
      <c r="AF117" s="291"/>
    </row>
    <row r="118" spans="1:32" s="68" customFormat="1" ht="15.6" thickBot="1">
      <c r="A118" s="258">
        <f t="shared" si="31"/>
        <v>118</v>
      </c>
      <c r="B118" s="453"/>
      <c r="C118" s="454" t="s">
        <v>86</v>
      </c>
      <c r="D118" s="455"/>
      <c r="E118" s="456"/>
      <c r="F118" s="456"/>
      <c r="G118" s="457"/>
      <c r="H118" s="458"/>
      <c r="I118" s="459">
        <f t="shared" ref="I118:AE118" si="71">SUM(I109:I117)</f>
        <v>0</v>
      </c>
      <c r="J118" s="460">
        <f t="shared" si="71"/>
        <v>0</v>
      </c>
      <c r="K118" s="461">
        <f t="shared" si="71"/>
        <v>0</v>
      </c>
      <c r="L118" s="462">
        <f t="shared" si="71"/>
        <v>0</v>
      </c>
      <c r="M118" s="460">
        <f t="shared" si="71"/>
        <v>0</v>
      </c>
      <c r="N118" s="461">
        <f t="shared" si="71"/>
        <v>0</v>
      </c>
      <c r="O118" s="462">
        <f t="shared" si="71"/>
        <v>0</v>
      </c>
      <c r="P118" s="460">
        <f t="shared" si="71"/>
        <v>0</v>
      </c>
      <c r="Q118" s="461">
        <f t="shared" si="71"/>
        <v>0</v>
      </c>
      <c r="R118" s="462">
        <f t="shared" si="71"/>
        <v>0</v>
      </c>
      <c r="S118" s="460">
        <f t="shared" si="71"/>
        <v>0</v>
      </c>
      <c r="T118" s="463">
        <f t="shared" si="71"/>
        <v>0</v>
      </c>
      <c r="U118" s="464">
        <f t="shared" si="71"/>
        <v>0</v>
      </c>
      <c r="V118" s="460">
        <f t="shared" si="71"/>
        <v>0</v>
      </c>
      <c r="W118" s="460">
        <f t="shared" si="71"/>
        <v>0</v>
      </c>
      <c r="X118" s="460">
        <f t="shared" si="71"/>
        <v>0</v>
      </c>
      <c r="Y118" s="465">
        <f t="shared" si="71"/>
        <v>0</v>
      </c>
      <c r="Z118" s="462">
        <f t="shared" si="71"/>
        <v>0</v>
      </c>
      <c r="AA118" s="462">
        <f t="shared" si="71"/>
        <v>0</v>
      </c>
      <c r="AB118" s="462">
        <f t="shared" si="71"/>
        <v>0</v>
      </c>
      <c r="AC118" s="461">
        <f t="shared" si="71"/>
        <v>0</v>
      </c>
      <c r="AD118" s="462">
        <f t="shared" si="71"/>
        <v>0</v>
      </c>
      <c r="AE118" s="466">
        <f t="shared" si="71"/>
        <v>0</v>
      </c>
      <c r="AF118" s="467"/>
    </row>
    <row r="119" spans="1:32" s="68" customFormat="1" ht="7.5" customHeight="1">
      <c r="A119" s="258">
        <f t="shared" si="31"/>
        <v>119</v>
      </c>
      <c r="B119" s="96"/>
      <c r="C119" s="94"/>
      <c r="D119" s="120"/>
      <c r="E119" s="120"/>
      <c r="F119" s="120"/>
      <c r="G119" s="56"/>
      <c r="H119" s="95"/>
      <c r="I119" s="95"/>
      <c r="J119" s="95"/>
      <c r="K119" s="95"/>
      <c r="L119" s="95"/>
      <c r="M119" s="95"/>
      <c r="N119" s="95"/>
      <c r="O119" s="95"/>
      <c r="P119" s="95"/>
      <c r="Q119" s="95"/>
      <c r="R119" s="95"/>
      <c r="S119" s="95"/>
      <c r="T119" s="118"/>
      <c r="U119" s="95"/>
      <c r="V119" s="95"/>
      <c r="W119" s="95"/>
      <c r="X119" s="95"/>
      <c r="Y119" s="95"/>
      <c r="Z119" s="95"/>
      <c r="AA119" s="95"/>
      <c r="AB119" s="95"/>
      <c r="AC119" s="95"/>
      <c r="AD119" s="95"/>
      <c r="AE119" s="118"/>
      <c r="AF119" s="291"/>
    </row>
    <row r="120" spans="1:32" s="68" customFormat="1">
      <c r="A120" s="258">
        <f t="shared" si="31"/>
        <v>120</v>
      </c>
      <c r="B120" s="96"/>
      <c r="C120" s="119" t="s">
        <v>87</v>
      </c>
      <c r="D120" s="120"/>
      <c r="E120" s="120"/>
      <c r="F120" s="120"/>
      <c r="G120" s="56"/>
      <c r="H120" s="95"/>
      <c r="I120" s="98"/>
      <c r="J120" s="98"/>
      <c r="K120" s="98"/>
      <c r="L120" s="98"/>
      <c r="M120" s="98"/>
      <c r="N120" s="98"/>
      <c r="O120" s="98"/>
      <c r="P120" s="98"/>
      <c r="Q120" s="98"/>
      <c r="R120" s="98"/>
      <c r="S120" s="98"/>
      <c r="T120" s="99"/>
      <c r="U120" s="95"/>
      <c r="V120" s="95"/>
      <c r="W120" s="95"/>
      <c r="X120" s="95"/>
      <c r="Y120" s="95"/>
      <c r="Z120" s="95"/>
      <c r="AA120" s="95"/>
      <c r="AB120" s="95"/>
      <c r="AC120" s="95"/>
      <c r="AD120" s="95"/>
      <c r="AE120" s="118"/>
      <c r="AF120" s="291"/>
    </row>
    <row r="121" spans="1:32" s="68" customFormat="1">
      <c r="A121" s="258">
        <f t="shared" si="31"/>
        <v>121</v>
      </c>
      <c r="B121" s="96"/>
      <c r="C121" s="94"/>
      <c r="D121" s="54" t="s">
        <v>1</v>
      </c>
      <c r="E121" s="50"/>
      <c r="F121" s="50"/>
      <c r="G121" s="59"/>
      <c r="H121" s="95"/>
      <c r="I121" s="276"/>
      <c r="J121" s="102">
        <f>IF('4.) Yearly Budget'!$K$18&gt;0,'4.) Yearly Budget'!K121,'4.) Yearly Budget'!J121)</f>
        <v>0</v>
      </c>
      <c r="K121" s="382">
        <f t="shared" ref="K121:K140" si="72">IF(I$18&lt;&gt;0,J121-I121,0)</f>
        <v>0</v>
      </c>
      <c r="L121" s="100"/>
      <c r="M121" s="102">
        <f>IF('4.) Yearly Budget'!$N$18&gt;0,'4.) Yearly Budget'!N121,'4.) Yearly Budget'!M121)</f>
        <v>0</v>
      </c>
      <c r="N121" s="382">
        <f t="shared" ref="N121:N140" si="73">IF(L$18&lt;&gt;0,M121-L121,0)</f>
        <v>0</v>
      </c>
      <c r="O121" s="100"/>
      <c r="P121" s="102">
        <f>IF('4.) Yearly Budget'!$Q$18&gt;0,'4.) Yearly Budget'!Q121,'4.) Yearly Budget'!P121)</f>
        <v>0</v>
      </c>
      <c r="Q121" s="382">
        <f t="shared" ref="Q121:Q140" si="74">IF(O$18&lt;&gt;0,P121-O121,0)</f>
        <v>0</v>
      </c>
      <c r="R121" s="100"/>
      <c r="S121" s="102">
        <f>IF('4.) Yearly Budget'!$T$18&gt;0,'4.) Yearly Budget'!T121,'4.) Yearly Budget'!S121)</f>
        <v>0</v>
      </c>
      <c r="T121" s="105">
        <f t="shared" ref="T121:T140" si="75">IF(R$18&lt;&gt;0,S121-R121,0)</f>
        <v>0</v>
      </c>
      <c r="U121" s="277">
        <f t="shared" ref="U121:U140" si="76">IF(I$6&lt;&gt;0,I121,0)+IF(L$6&lt;&gt;0,L121,0)+IF(O$6&lt;&gt;0,O121,0)+IF(R$6&lt;&gt;0,R121,0)</f>
        <v>0</v>
      </c>
      <c r="V121" s="379">
        <f t="shared" ref="V121:V140" si="77">SUM(IF(I$6&lt;&gt;0,J121,0)+IF(L$6&lt;&gt;0,M121,0)+IF(O$6&lt;&gt;0,P121,0)+IF(R$6&lt;&gt;0,S121,0))</f>
        <v>0</v>
      </c>
      <c r="W121" s="379">
        <f t="shared" ref="W121:W140" si="78">V121-U121</f>
        <v>0</v>
      </c>
      <c r="X121" s="379">
        <f>'4.) Yearly Budget'!W121</f>
        <v>0</v>
      </c>
      <c r="Y121" s="380">
        <f t="shared" ref="Y121:Y140" si="79">IF(U121&lt;&gt;0,X121-U121,IF(U121=0,X121,0))</f>
        <v>0</v>
      </c>
      <c r="Z121" s="381">
        <f>SUM(IF(I$18&lt;&gt;0,'4.) Yearly Budget'!J121,0)+IF(L$18&lt;&gt;0,'4.) Yearly Budget'!M121,0)+IF(O$18&lt;&gt;0,'4.) Yearly Budget'!P121,0)+IF(R$18&lt;&gt;0,'4.) Yearly Budget'!S121,0))</f>
        <v>0</v>
      </c>
      <c r="AA121" s="381">
        <f t="shared" ref="AA121:AA140" si="80">Z121-U121</f>
        <v>0</v>
      </c>
      <c r="AB121" s="381">
        <f>'4.) Yearly Budget'!V121</f>
        <v>0</v>
      </c>
      <c r="AC121" s="382">
        <f t="shared" ref="AC121:AC140" si="81">IF(U121&lt;&gt;0,AB121-U121,IF(U121=0,AB121,0))</f>
        <v>0</v>
      </c>
      <c r="AD121" s="381">
        <f>IF(U$6&lt;&gt;0,'4.) Yearly Budget'!I121/$AM$18,0)</f>
        <v>0</v>
      </c>
      <c r="AE121" s="105">
        <f t="shared" ref="AE121:AE140" si="82">AD121-U121</f>
        <v>0</v>
      </c>
      <c r="AF121" s="291"/>
    </row>
    <row r="122" spans="1:32" s="68" customFormat="1">
      <c r="A122" s="258">
        <f t="shared" si="31"/>
        <v>122</v>
      </c>
      <c r="B122" s="96"/>
      <c r="C122" s="94"/>
      <c r="D122" s="54" t="s">
        <v>71</v>
      </c>
      <c r="E122" s="50"/>
      <c r="F122" s="50"/>
      <c r="G122" s="59"/>
      <c r="H122" s="95"/>
      <c r="I122" s="276"/>
      <c r="J122" s="102">
        <f>IF('4.) Yearly Budget'!$K$18&gt;0,'4.) Yearly Budget'!K122,'4.) Yearly Budget'!J122)</f>
        <v>0</v>
      </c>
      <c r="K122" s="382">
        <f t="shared" si="72"/>
        <v>0</v>
      </c>
      <c r="L122" s="100"/>
      <c r="M122" s="102">
        <f>IF('4.) Yearly Budget'!$N$18&gt;0,'4.) Yearly Budget'!N122,'4.) Yearly Budget'!M122)</f>
        <v>0</v>
      </c>
      <c r="N122" s="382">
        <f t="shared" si="73"/>
        <v>0</v>
      </c>
      <c r="O122" s="100"/>
      <c r="P122" s="102">
        <f>IF('4.) Yearly Budget'!$Q$18&gt;0,'4.) Yearly Budget'!Q122,'4.) Yearly Budget'!P122)</f>
        <v>0</v>
      </c>
      <c r="Q122" s="382">
        <f t="shared" si="74"/>
        <v>0</v>
      </c>
      <c r="R122" s="100"/>
      <c r="S122" s="102">
        <f>IF('4.) Yearly Budget'!$T$18&gt;0,'4.) Yearly Budget'!T122,'4.) Yearly Budget'!S122)</f>
        <v>0</v>
      </c>
      <c r="T122" s="105">
        <f t="shared" si="75"/>
        <v>0</v>
      </c>
      <c r="U122" s="277">
        <f t="shared" si="76"/>
        <v>0</v>
      </c>
      <c r="V122" s="379">
        <f t="shared" si="77"/>
        <v>0</v>
      </c>
      <c r="W122" s="379">
        <f t="shared" si="78"/>
        <v>0</v>
      </c>
      <c r="X122" s="379">
        <f>'4.) Yearly Budget'!W122</f>
        <v>0</v>
      </c>
      <c r="Y122" s="380">
        <f t="shared" si="79"/>
        <v>0</v>
      </c>
      <c r="Z122" s="381">
        <f>SUM(IF(I$18&lt;&gt;0,'4.) Yearly Budget'!J122,0)+IF(L$18&lt;&gt;0,'4.) Yearly Budget'!M122,0)+IF(O$18&lt;&gt;0,'4.) Yearly Budget'!P122,0)+IF(R$18&lt;&gt;0,'4.) Yearly Budget'!S122,0))</f>
        <v>0</v>
      </c>
      <c r="AA122" s="381">
        <f t="shared" si="80"/>
        <v>0</v>
      </c>
      <c r="AB122" s="381">
        <f>'4.) Yearly Budget'!V122</f>
        <v>0</v>
      </c>
      <c r="AC122" s="382">
        <f t="shared" si="81"/>
        <v>0</v>
      </c>
      <c r="AD122" s="381">
        <f>IF(U$6&lt;&gt;0,'4.) Yearly Budget'!I122/$AM$18,0)</f>
        <v>0</v>
      </c>
      <c r="AE122" s="105">
        <f t="shared" si="82"/>
        <v>0</v>
      </c>
      <c r="AF122" s="291"/>
    </row>
    <row r="123" spans="1:32" s="68" customFormat="1">
      <c r="A123" s="258">
        <f t="shared" si="31"/>
        <v>123</v>
      </c>
      <c r="B123" s="96"/>
      <c r="C123" s="94"/>
      <c r="D123" s="54" t="s">
        <v>64</v>
      </c>
      <c r="E123" s="50"/>
      <c r="F123" s="50"/>
      <c r="G123" s="59"/>
      <c r="H123" s="95"/>
      <c r="I123" s="276"/>
      <c r="J123" s="102">
        <f>IF('4.) Yearly Budget'!$K$18&gt;0,'4.) Yearly Budget'!K123,'4.) Yearly Budget'!J123)</f>
        <v>0</v>
      </c>
      <c r="K123" s="382">
        <f t="shared" si="72"/>
        <v>0</v>
      </c>
      <c r="L123" s="100"/>
      <c r="M123" s="102">
        <f>IF('4.) Yearly Budget'!$N$18&gt;0,'4.) Yearly Budget'!N123,'4.) Yearly Budget'!M123)</f>
        <v>0</v>
      </c>
      <c r="N123" s="382">
        <f t="shared" si="73"/>
        <v>0</v>
      </c>
      <c r="O123" s="100"/>
      <c r="P123" s="102">
        <f>IF('4.) Yearly Budget'!$Q$18&gt;0,'4.) Yearly Budget'!Q123,'4.) Yearly Budget'!P123)</f>
        <v>0</v>
      </c>
      <c r="Q123" s="382">
        <f t="shared" si="74"/>
        <v>0</v>
      </c>
      <c r="R123" s="100"/>
      <c r="S123" s="102">
        <f>IF('4.) Yearly Budget'!$T$18&gt;0,'4.) Yearly Budget'!T123,'4.) Yearly Budget'!S123)</f>
        <v>0</v>
      </c>
      <c r="T123" s="105">
        <f t="shared" si="75"/>
        <v>0</v>
      </c>
      <c r="U123" s="277">
        <f t="shared" si="76"/>
        <v>0</v>
      </c>
      <c r="V123" s="379">
        <f t="shared" si="77"/>
        <v>0</v>
      </c>
      <c r="W123" s="379">
        <f t="shared" si="78"/>
        <v>0</v>
      </c>
      <c r="X123" s="379">
        <f>'4.) Yearly Budget'!W123</f>
        <v>0</v>
      </c>
      <c r="Y123" s="380">
        <f t="shared" si="79"/>
        <v>0</v>
      </c>
      <c r="Z123" s="381">
        <f>SUM(IF(I$18&lt;&gt;0,'4.) Yearly Budget'!J123,0)+IF(L$18&lt;&gt;0,'4.) Yearly Budget'!M123,0)+IF(O$18&lt;&gt;0,'4.) Yearly Budget'!P123,0)+IF(R$18&lt;&gt;0,'4.) Yearly Budget'!S123,0))</f>
        <v>0</v>
      </c>
      <c r="AA123" s="381">
        <f t="shared" si="80"/>
        <v>0</v>
      </c>
      <c r="AB123" s="381">
        <f>'4.) Yearly Budget'!V123</f>
        <v>0</v>
      </c>
      <c r="AC123" s="382">
        <f t="shared" si="81"/>
        <v>0</v>
      </c>
      <c r="AD123" s="381">
        <f>IF(U$6&lt;&gt;0,'4.) Yearly Budget'!I123/$AM$18,0)</f>
        <v>0</v>
      </c>
      <c r="AE123" s="105">
        <f t="shared" si="82"/>
        <v>0</v>
      </c>
      <c r="AF123" s="291"/>
    </row>
    <row r="124" spans="1:32" s="68" customFormat="1">
      <c r="A124" s="258">
        <f t="shared" si="31"/>
        <v>124</v>
      </c>
      <c r="B124" s="96"/>
      <c r="C124" s="94"/>
      <c r="D124" s="54" t="s">
        <v>70</v>
      </c>
      <c r="E124" s="50"/>
      <c r="F124" s="50"/>
      <c r="G124" s="59"/>
      <c r="H124" s="95"/>
      <c r="I124" s="276"/>
      <c r="J124" s="102">
        <f>IF('4.) Yearly Budget'!$K$18&gt;0,'4.) Yearly Budget'!K124,'4.) Yearly Budget'!J124)</f>
        <v>0</v>
      </c>
      <c r="K124" s="382">
        <f t="shared" si="72"/>
        <v>0</v>
      </c>
      <c r="L124" s="100"/>
      <c r="M124" s="102">
        <f>IF('4.) Yearly Budget'!$N$18&gt;0,'4.) Yearly Budget'!N124,'4.) Yearly Budget'!M124)</f>
        <v>0</v>
      </c>
      <c r="N124" s="382">
        <f t="shared" si="73"/>
        <v>0</v>
      </c>
      <c r="O124" s="100"/>
      <c r="P124" s="102">
        <f>IF('4.) Yearly Budget'!$Q$18&gt;0,'4.) Yearly Budget'!Q124,'4.) Yearly Budget'!P124)</f>
        <v>0</v>
      </c>
      <c r="Q124" s="382">
        <f t="shared" si="74"/>
        <v>0</v>
      </c>
      <c r="R124" s="100"/>
      <c r="S124" s="102">
        <f>IF('4.) Yearly Budget'!$T$18&gt;0,'4.) Yearly Budget'!T124,'4.) Yearly Budget'!S124)</f>
        <v>0</v>
      </c>
      <c r="T124" s="105">
        <f t="shared" si="75"/>
        <v>0</v>
      </c>
      <c r="U124" s="277">
        <f t="shared" si="76"/>
        <v>0</v>
      </c>
      <c r="V124" s="379">
        <f t="shared" si="77"/>
        <v>0</v>
      </c>
      <c r="W124" s="379">
        <f t="shared" si="78"/>
        <v>0</v>
      </c>
      <c r="X124" s="379">
        <f>'4.) Yearly Budget'!W124</f>
        <v>0</v>
      </c>
      <c r="Y124" s="380">
        <f t="shared" si="79"/>
        <v>0</v>
      </c>
      <c r="Z124" s="381">
        <f>SUM(IF(I$18&lt;&gt;0,'4.) Yearly Budget'!J124,0)+IF(L$18&lt;&gt;0,'4.) Yearly Budget'!M124,0)+IF(O$18&lt;&gt;0,'4.) Yearly Budget'!P124,0)+IF(R$18&lt;&gt;0,'4.) Yearly Budget'!S124,0))</f>
        <v>0</v>
      </c>
      <c r="AA124" s="381">
        <f t="shared" si="80"/>
        <v>0</v>
      </c>
      <c r="AB124" s="381">
        <f>'4.) Yearly Budget'!V124</f>
        <v>0</v>
      </c>
      <c r="AC124" s="382">
        <f t="shared" si="81"/>
        <v>0</v>
      </c>
      <c r="AD124" s="381">
        <f>IF(U$6&lt;&gt;0,'4.) Yearly Budget'!I124/$AM$18,0)</f>
        <v>0</v>
      </c>
      <c r="AE124" s="105">
        <f t="shared" si="82"/>
        <v>0</v>
      </c>
      <c r="AF124" s="291"/>
    </row>
    <row r="125" spans="1:32" s="68" customFormat="1">
      <c r="A125" s="258">
        <f t="shared" si="31"/>
        <v>125</v>
      </c>
      <c r="B125" s="96"/>
      <c r="C125" s="94"/>
      <c r="D125" s="50" t="s">
        <v>72</v>
      </c>
      <c r="E125" s="50"/>
      <c r="F125" s="50"/>
      <c r="G125" s="59"/>
      <c r="H125" s="95"/>
      <c r="I125" s="276"/>
      <c r="J125" s="102">
        <f>IF('4.) Yearly Budget'!$K$18&gt;0,'4.) Yearly Budget'!K125,'4.) Yearly Budget'!J125)</f>
        <v>0</v>
      </c>
      <c r="K125" s="382">
        <f t="shared" si="72"/>
        <v>0</v>
      </c>
      <c r="L125" s="100"/>
      <c r="M125" s="102">
        <f>IF('4.) Yearly Budget'!$N$18&gt;0,'4.) Yearly Budget'!N125,'4.) Yearly Budget'!M125)</f>
        <v>0</v>
      </c>
      <c r="N125" s="382">
        <f t="shared" si="73"/>
        <v>0</v>
      </c>
      <c r="O125" s="100"/>
      <c r="P125" s="102">
        <f>IF('4.) Yearly Budget'!$Q$18&gt;0,'4.) Yearly Budget'!Q125,'4.) Yearly Budget'!P125)</f>
        <v>0</v>
      </c>
      <c r="Q125" s="382">
        <f t="shared" si="74"/>
        <v>0</v>
      </c>
      <c r="R125" s="100"/>
      <c r="S125" s="102">
        <f>IF('4.) Yearly Budget'!$T$18&gt;0,'4.) Yearly Budget'!T125,'4.) Yearly Budget'!S125)</f>
        <v>0</v>
      </c>
      <c r="T125" s="105">
        <f t="shared" si="75"/>
        <v>0</v>
      </c>
      <c r="U125" s="277">
        <f t="shared" si="76"/>
        <v>0</v>
      </c>
      <c r="V125" s="379">
        <f t="shared" si="77"/>
        <v>0</v>
      </c>
      <c r="W125" s="379">
        <f t="shared" si="78"/>
        <v>0</v>
      </c>
      <c r="X125" s="379">
        <f>'4.) Yearly Budget'!W125</f>
        <v>0</v>
      </c>
      <c r="Y125" s="380">
        <f t="shared" si="79"/>
        <v>0</v>
      </c>
      <c r="Z125" s="381">
        <f>SUM(IF(I$18&lt;&gt;0,'4.) Yearly Budget'!J125,0)+IF(L$18&lt;&gt;0,'4.) Yearly Budget'!M125,0)+IF(O$18&lt;&gt;0,'4.) Yearly Budget'!P125,0)+IF(R$18&lt;&gt;0,'4.) Yearly Budget'!S125,0))</f>
        <v>0</v>
      </c>
      <c r="AA125" s="381">
        <f t="shared" si="80"/>
        <v>0</v>
      </c>
      <c r="AB125" s="381">
        <f>'4.) Yearly Budget'!V125</f>
        <v>0</v>
      </c>
      <c r="AC125" s="382">
        <f t="shared" si="81"/>
        <v>0</v>
      </c>
      <c r="AD125" s="381">
        <f>IF(U$6&lt;&gt;0,'4.) Yearly Budget'!I125/$AM$18,0)</f>
        <v>0</v>
      </c>
      <c r="AE125" s="105">
        <f t="shared" si="82"/>
        <v>0</v>
      </c>
      <c r="AF125" s="291"/>
    </row>
    <row r="126" spans="1:32" s="68" customFormat="1">
      <c r="A126" s="258">
        <f t="shared" si="31"/>
        <v>126</v>
      </c>
      <c r="B126" s="96"/>
      <c r="C126" s="94"/>
      <c r="D126" s="50" t="s">
        <v>56</v>
      </c>
      <c r="E126" s="50"/>
      <c r="F126" s="50"/>
      <c r="G126" s="59"/>
      <c r="H126" s="95"/>
      <c r="I126" s="276"/>
      <c r="J126" s="102">
        <f>IF('4.) Yearly Budget'!$K$18&gt;0,'4.) Yearly Budget'!K126,'4.) Yearly Budget'!J126)</f>
        <v>0</v>
      </c>
      <c r="K126" s="382">
        <f t="shared" si="72"/>
        <v>0</v>
      </c>
      <c r="L126" s="100"/>
      <c r="M126" s="102">
        <f>IF('4.) Yearly Budget'!$N$18&gt;0,'4.) Yearly Budget'!N126,'4.) Yearly Budget'!M126)</f>
        <v>0</v>
      </c>
      <c r="N126" s="382">
        <f t="shared" si="73"/>
        <v>0</v>
      </c>
      <c r="O126" s="100"/>
      <c r="P126" s="102">
        <f>IF('4.) Yearly Budget'!$Q$18&gt;0,'4.) Yearly Budget'!Q126,'4.) Yearly Budget'!P126)</f>
        <v>0</v>
      </c>
      <c r="Q126" s="382">
        <f t="shared" si="74"/>
        <v>0</v>
      </c>
      <c r="R126" s="100"/>
      <c r="S126" s="102">
        <f>IF('4.) Yearly Budget'!$T$18&gt;0,'4.) Yearly Budget'!T126,'4.) Yearly Budget'!S126)</f>
        <v>0</v>
      </c>
      <c r="T126" s="105">
        <f t="shared" si="75"/>
        <v>0</v>
      </c>
      <c r="U126" s="277">
        <f t="shared" si="76"/>
        <v>0</v>
      </c>
      <c r="V126" s="379">
        <f t="shared" si="77"/>
        <v>0</v>
      </c>
      <c r="W126" s="379">
        <f t="shared" si="78"/>
        <v>0</v>
      </c>
      <c r="X126" s="379">
        <f>'4.) Yearly Budget'!W126</f>
        <v>0</v>
      </c>
      <c r="Y126" s="380">
        <f t="shared" si="79"/>
        <v>0</v>
      </c>
      <c r="Z126" s="381">
        <f>SUM(IF(I$18&lt;&gt;0,'4.) Yearly Budget'!J126,0)+IF(L$18&lt;&gt;0,'4.) Yearly Budget'!M126,0)+IF(O$18&lt;&gt;0,'4.) Yearly Budget'!P126,0)+IF(R$18&lt;&gt;0,'4.) Yearly Budget'!S126,0))</f>
        <v>0</v>
      </c>
      <c r="AA126" s="381">
        <f t="shared" si="80"/>
        <v>0</v>
      </c>
      <c r="AB126" s="381">
        <f>'4.) Yearly Budget'!V126</f>
        <v>0</v>
      </c>
      <c r="AC126" s="382">
        <f t="shared" si="81"/>
        <v>0</v>
      </c>
      <c r="AD126" s="381">
        <f>IF(U$6&lt;&gt;0,'4.) Yearly Budget'!I126/$AM$18,0)</f>
        <v>0</v>
      </c>
      <c r="AE126" s="105">
        <f t="shared" si="82"/>
        <v>0</v>
      </c>
      <c r="AF126" s="291"/>
    </row>
    <row r="127" spans="1:32" s="68" customFormat="1">
      <c r="A127" s="258">
        <f t="shared" si="31"/>
        <v>127</v>
      </c>
      <c r="B127" s="96"/>
      <c r="C127" s="94"/>
      <c r="D127" s="54" t="s">
        <v>62</v>
      </c>
      <c r="E127" s="50"/>
      <c r="F127" s="50"/>
      <c r="G127" s="59"/>
      <c r="H127" s="95"/>
      <c r="I127" s="276"/>
      <c r="J127" s="102">
        <f>IF('4.) Yearly Budget'!$K$18&gt;0,'4.) Yearly Budget'!K127,'4.) Yearly Budget'!J127)</f>
        <v>0</v>
      </c>
      <c r="K127" s="382">
        <f t="shared" si="72"/>
        <v>0</v>
      </c>
      <c r="L127" s="100"/>
      <c r="M127" s="102">
        <f>IF('4.) Yearly Budget'!$N$18&gt;0,'4.) Yearly Budget'!N127,'4.) Yearly Budget'!M127)</f>
        <v>0</v>
      </c>
      <c r="N127" s="382">
        <f t="shared" si="73"/>
        <v>0</v>
      </c>
      <c r="O127" s="100"/>
      <c r="P127" s="102">
        <f>IF('4.) Yearly Budget'!$Q$18&gt;0,'4.) Yearly Budget'!Q127,'4.) Yearly Budget'!P127)</f>
        <v>0</v>
      </c>
      <c r="Q127" s="382">
        <f t="shared" si="74"/>
        <v>0</v>
      </c>
      <c r="R127" s="100"/>
      <c r="S127" s="102">
        <f>IF('4.) Yearly Budget'!$T$18&gt;0,'4.) Yearly Budget'!T127,'4.) Yearly Budget'!S127)</f>
        <v>0</v>
      </c>
      <c r="T127" s="105">
        <f t="shared" si="75"/>
        <v>0</v>
      </c>
      <c r="U127" s="277">
        <f t="shared" si="76"/>
        <v>0</v>
      </c>
      <c r="V127" s="379">
        <f t="shared" si="77"/>
        <v>0</v>
      </c>
      <c r="W127" s="379">
        <f t="shared" si="78"/>
        <v>0</v>
      </c>
      <c r="X127" s="379">
        <f>'4.) Yearly Budget'!W127</f>
        <v>0</v>
      </c>
      <c r="Y127" s="380">
        <f t="shared" si="79"/>
        <v>0</v>
      </c>
      <c r="Z127" s="381">
        <f>SUM(IF(I$18&lt;&gt;0,'4.) Yearly Budget'!J127,0)+IF(L$18&lt;&gt;0,'4.) Yearly Budget'!M127,0)+IF(O$18&lt;&gt;0,'4.) Yearly Budget'!P127,0)+IF(R$18&lt;&gt;0,'4.) Yearly Budget'!S127,0))</f>
        <v>0</v>
      </c>
      <c r="AA127" s="381">
        <f t="shared" si="80"/>
        <v>0</v>
      </c>
      <c r="AB127" s="381">
        <f>'4.) Yearly Budget'!V127</f>
        <v>0</v>
      </c>
      <c r="AC127" s="382">
        <f t="shared" si="81"/>
        <v>0</v>
      </c>
      <c r="AD127" s="381">
        <f>IF(U$6&lt;&gt;0,'4.) Yearly Budget'!I127/$AM$18,0)</f>
        <v>0</v>
      </c>
      <c r="AE127" s="105">
        <f t="shared" si="82"/>
        <v>0</v>
      </c>
      <c r="AF127" s="291"/>
    </row>
    <row r="128" spans="1:32" s="68" customFormat="1">
      <c r="A128" s="258">
        <f t="shared" si="31"/>
        <v>128</v>
      </c>
      <c r="B128" s="96"/>
      <c r="C128" s="94"/>
      <c r="D128" s="50" t="s">
        <v>53</v>
      </c>
      <c r="E128" s="50"/>
      <c r="F128" s="50"/>
      <c r="G128" s="59"/>
      <c r="H128" s="95"/>
      <c r="I128" s="276"/>
      <c r="J128" s="102">
        <f>IF('4.) Yearly Budget'!$K$18&gt;0,'4.) Yearly Budget'!K128,'4.) Yearly Budget'!J128)</f>
        <v>0</v>
      </c>
      <c r="K128" s="382">
        <f t="shared" si="72"/>
        <v>0</v>
      </c>
      <c r="L128" s="100"/>
      <c r="M128" s="102">
        <f>IF('4.) Yearly Budget'!$N$18&gt;0,'4.) Yearly Budget'!N128,'4.) Yearly Budget'!M128)</f>
        <v>0</v>
      </c>
      <c r="N128" s="382">
        <f t="shared" si="73"/>
        <v>0</v>
      </c>
      <c r="O128" s="100"/>
      <c r="P128" s="102">
        <f>IF('4.) Yearly Budget'!$Q$18&gt;0,'4.) Yearly Budget'!Q128,'4.) Yearly Budget'!P128)</f>
        <v>0</v>
      </c>
      <c r="Q128" s="382">
        <f t="shared" si="74"/>
        <v>0</v>
      </c>
      <c r="R128" s="100"/>
      <c r="S128" s="102">
        <f>IF('4.) Yearly Budget'!$T$18&gt;0,'4.) Yearly Budget'!T128,'4.) Yearly Budget'!S128)</f>
        <v>0</v>
      </c>
      <c r="T128" s="105">
        <f t="shared" si="75"/>
        <v>0</v>
      </c>
      <c r="U128" s="277">
        <f t="shared" si="76"/>
        <v>0</v>
      </c>
      <c r="V128" s="379">
        <f t="shared" si="77"/>
        <v>0</v>
      </c>
      <c r="W128" s="379">
        <f t="shared" si="78"/>
        <v>0</v>
      </c>
      <c r="X128" s="379">
        <f>'4.) Yearly Budget'!W128</f>
        <v>0</v>
      </c>
      <c r="Y128" s="380">
        <f t="shared" si="79"/>
        <v>0</v>
      </c>
      <c r="Z128" s="381">
        <f>SUM(IF(I$18&lt;&gt;0,'4.) Yearly Budget'!J128,0)+IF(L$18&lt;&gt;0,'4.) Yearly Budget'!M128,0)+IF(O$18&lt;&gt;0,'4.) Yearly Budget'!P128,0)+IF(R$18&lt;&gt;0,'4.) Yearly Budget'!S128,0))</f>
        <v>0</v>
      </c>
      <c r="AA128" s="381">
        <f t="shared" si="80"/>
        <v>0</v>
      </c>
      <c r="AB128" s="381">
        <f>'4.) Yearly Budget'!V128</f>
        <v>0</v>
      </c>
      <c r="AC128" s="382">
        <f t="shared" si="81"/>
        <v>0</v>
      </c>
      <c r="AD128" s="381">
        <f>IF(U$6&lt;&gt;0,'4.) Yearly Budget'!I128/$AM$18,0)</f>
        <v>0</v>
      </c>
      <c r="AE128" s="105">
        <f t="shared" si="82"/>
        <v>0</v>
      </c>
      <c r="AF128" s="291"/>
    </row>
    <row r="129" spans="1:32" s="68" customFormat="1">
      <c r="A129" s="258">
        <f t="shared" si="31"/>
        <v>129</v>
      </c>
      <c r="B129" s="96"/>
      <c r="C129" s="94"/>
      <c r="D129" s="54" t="s">
        <v>60</v>
      </c>
      <c r="E129" s="50"/>
      <c r="F129" s="50"/>
      <c r="G129" s="59"/>
      <c r="H129" s="95"/>
      <c r="I129" s="276"/>
      <c r="J129" s="102">
        <f>IF('4.) Yearly Budget'!$K$18&gt;0,'4.) Yearly Budget'!K129,'4.) Yearly Budget'!J129)</f>
        <v>0</v>
      </c>
      <c r="K129" s="382">
        <f t="shared" si="72"/>
        <v>0</v>
      </c>
      <c r="L129" s="100"/>
      <c r="M129" s="102">
        <f>IF('4.) Yearly Budget'!$N$18&gt;0,'4.) Yearly Budget'!N129,'4.) Yearly Budget'!M129)</f>
        <v>0</v>
      </c>
      <c r="N129" s="382">
        <f t="shared" si="73"/>
        <v>0</v>
      </c>
      <c r="O129" s="100"/>
      <c r="P129" s="102">
        <f>IF('4.) Yearly Budget'!$Q$18&gt;0,'4.) Yearly Budget'!Q129,'4.) Yearly Budget'!P129)</f>
        <v>0</v>
      </c>
      <c r="Q129" s="382">
        <f t="shared" si="74"/>
        <v>0</v>
      </c>
      <c r="R129" s="100"/>
      <c r="S129" s="102">
        <f>IF('4.) Yearly Budget'!$T$18&gt;0,'4.) Yearly Budget'!T129,'4.) Yearly Budget'!S129)</f>
        <v>0</v>
      </c>
      <c r="T129" s="105">
        <f t="shared" si="75"/>
        <v>0</v>
      </c>
      <c r="U129" s="277">
        <f t="shared" si="76"/>
        <v>0</v>
      </c>
      <c r="V129" s="379">
        <f t="shared" si="77"/>
        <v>0</v>
      </c>
      <c r="W129" s="379">
        <f t="shared" si="78"/>
        <v>0</v>
      </c>
      <c r="X129" s="379">
        <f>'4.) Yearly Budget'!W129</f>
        <v>0</v>
      </c>
      <c r="Y129" s="380">
        <f t="shared" si="79"/>
        <v>0</v>
      </c>
      <c r="Z129" s="381">
        <f>SUM(IF(I$18&lt;&gt;0,'4.) Yearly Budget'!J129,0)+IF(L$18&lt;&gt;0,'4.) Yearly Budget'!M129,0)+IF(O$18&lt;&gt;0,'4.) Yearly Budget'!P129,0)+IF(R$18&lt;&gt;0,'4.) Yearly Budget'!S129,0))</f>
        <v>0</v>
      </c>
      <c r="AA129" s="381">
        <f t="shared" si="80"/>
        <v>0</v>
      </c>
      <c r="AB129" s="381">
        <f>'4.) Yearly Budget'!V129</f>
        <v>0</v>
      </c>
      <c r="AC129" s="382">
        <f t="shared" si="81"/>
        <v>0</v>
      </c>
      <c r="AD129" s="381">
        <f>IF(U$6&lt;&gt;0,'4.) Yearly Budget'!I129/$AM$18,0)</f>
        <v>0</v>
      </c>
      <c r="AE129" s="105">
        <f t="shared" si="82"/>
        <v>0</v>
      </c>
      <c r="AF129" s="291"/>
    </row>
    <row r="130" spans="1:32" s="68" customFormat="1">
      <c r="A130" s="258">
        <f t="shared" si="31"/>
        <v>130</v>
      </c>
      <c r="B130" s="96"/>
      <c r="C130" s="94"/>
      <c r="D130" s="54" t="s">
        <v>2</v>
      </c>
      <c r="E130" s="50"/>
      <c r="F130" s="50"/>
      <c r="G130" s="59"/>
      <c r="H130" s="95"/>
      <c r="I130" s="276"/>
      <c r="J130" s="102">
        <f>IF('4.) Yearly Budget'!$K$18&gt;0,'4.) Yearly Budget'!K130,'4.) Yearly Budget'!J130)</f>
        <v>0</v>
      </c>
      <c r="K130" s="382">
        <f t="shared" si="72"/>
        <v>0</v>
      </c>
      <c r="L130" s="100"/>
      <c r="M130" s="102">
        <f>IF('4.) Yearly Budget'!$N$18&gt;0,'4.) Yearly Budget'!N130,'4.) Yearly Budget'!M130)</f>
        <v>0</v>
      </c>
      <c r="N130" s="382">
        <f t="shared" si="73"/>
        <v>0</v>
      </c>
      <c r="O130" s="100"/>
      <c r="P130" s="102">
        <f>IF('4.) Yearly Budget'!$Q$18&gt;0,'4.) Yearly Budget'!Q130,'4.) Yearly Budget'!P130)</f>
        <v>0</v>
      </c>
      <c r="Q130" s="382">
        <f t="shared" si="74"/>
        <v>0</v>
      </c>
      <c r="R130" s="100"/>
      <c r="S130" s="102">
        <f>IF('4.) Yearly Budget'!$T$18&gt;0,'4.) Yearly Budget'!T130,'4.) Yearly Budget'!S130)</f>
        <v>0</v>
      </c>
      <c r="T130" s="105">
        <f t="shared" si="75"/>
        <v>0</v>
      </c>
      <c r="U130" s="277">
        <f t="shared" si="76"/>
        <v>0</v>
      </c>
      <c r="V130" s="379">
        <f t="shared" si="77"/>
        <v>0</v>
      </c>
      <c r="W130" s="379">
        <f t="shared" si="78"/>
        <v>0</v>
      </c>
      <c r="X130" s="379">
        <f>'4.) Yearly Budget'!W130</f>
        <v>0</v>
      </c>
      <c r="Y130" s="380">
        <f t="shared" si="79"/>
        <v>0</v>
      </c>
      <c r="Z130" s="381">
        <f>SUM(IF(I$18&lt;&gt;0,'4.) Yearly Budget'!J130,0)+IF(L$18&lt;&gt;0,'4.) Yearly Budget'!M130,0)+IF(O$18&lt;&gt;0,'4.) Yearly Budget'!P130,0)+IF(R$18&lt;&gt;0,'4.) Yearly Budget'!S130,0))</f>
        <v>0</v>
      </c>
      <c r="AA130" s="381">
        <f t="shared" si="80"/>
        <v>0</v>
      </c>
      <c r="AB130" s="381">
        <f>'4.) Yearly Budget'!V130</f>
        <v>0</v>
      </c>
      <c r="AC130" s="382">
        <f t="shared" si="81"/>
        <v>0</v>
      </c>
      <c r="AD130" s="381">
        <f>IF(U$6&lt;&gt;0,'4.) Yearly Budget'!I130/$AM$18,0)</f>
        <v>0</v>
      </c>
      <c r="AE130" s="105">
        <f t="shared" si="82"/>
        <v>0</v>
      </c>
      <c r="AF130" s="291"/>
    </row>
    <row r="131" spans="1:32" s="68" customFormat="1">
      <c r="A131" s="258">
        <f t="shared" si="31"/>
        <v>131</v>
      </c>
      <c r="B131" s="96"/>
      <c r="C131" s="94"/>
      <c r="D131" s="54" t="s">
        <v>19</v>
      </c>
      <c r="E131" s="50"/>
      <c r="F131" s="50"/>
      <c r="G131" s="59"/>
      <c r="H131" s="95"/>
      <c r="I131" s="276"/>
      <c r="J131" s="102">
        <f>IF('4.) Yearly Budget'!$K$18&gt;0,'4.) Yearly Budget'!K131,'4.) Yearly Budget'!J131)</f>
        <v>0</v>
      </c>
      <c r="K131" s="382">
        <f t="shared" si="72"/>
        <v>0</v>
      </c>
      <c r="L131" s="100"/>
      <c r="M131" s="102">
        <f>IF('4.) Yearly Budget'!$N$18&gt;0,'4.) Yearly Budget'!N131,'4.) Yearly Budget'!M131)</f>
        <v>0</v>
      </c>
      <c r="N131" s="382">
        <f t="shared" si="73"/>
        <v>0</v>
      </c>
      <c r="O131" s="100"/>
      <c r="P131" s="102">
        <f>IF('4.) Yearly Budget'!$Q$18&gt;0,'4.) Yearly Budget'!Q131,'4.) Yearly Budget'!P131)</f>
        <v>0</v>
      </c>
      <c r="Q131" s="382">
        <f t="shared" si="74"/>
        <v>0</v>
      </c>
      <c r="R131" s="100"/>
      <c r="S131" s="102">
        <f>IF('4.) Yearly Budget'!$T$18&gt;0,'4.) Yearly Budget'!T131,'4.) Yearly Budget'!S131)</f>
        <v>0</v>
      </c>
      <c r="T131" s="105">
        <f t="shared" si="75"/>
        <v>0</v>
      </c>
      <c r="U131" s="277">
        <f t="shared" si="76"/>
        <v>0</v>
      </c>
      <c r="V131" s="379">
        <f t="shared" si="77"/>
        <v>0</v>
      </c>
      <c r="W131" s="379">
        <f t="shared" si="78"/>
        <v>0</v>
      </c>
      <c r="X131" s="379">
        <f>'4.) Yearly Budget'!W131</f>
        <v>0</v>
      </c>
      <c r="Y131" s="380">
        <f t="shared" si="79"/>
        <v>0</v>
      </c>
      <c r="Z131" s="381">
        <f>SUM(IF(I$18&lt;&gt;0,'4.) Yearly Budget'!J131,0)+IF(L$18&lt;&gt;0,'4.) Yearly Budget'!M131,0)+IF(O$18&lt;&gt;0,'4.) Yearly Budget'!P131,0)+IF(R$18&lt;&gt;0,'4.) Yearly Budget'!S131,0))</f>
        <v>0</v>
      </c>
      <c r="AA131" s="381">
        <f t="shared" si="80"/>
        <v>0</v>
      </c>
      <c r="AB131" s="381">
        <f>'4.) Yearly Budget'!V131</f>
        <v>0</v>
      </c>
      <c r="AC131" s="382">
        <f t="shared" si="81"/>
        <v>0</v>
      </c>
      <c r="AD131" s="381">
        <f>IF(U$6&lt;&gt;0,'4.) Yearly Budget'!I131/$AM$18,0)</f>
        <v>0</v>
      </c>
      <c r="AE131" s="105">
        <f t="shared" si="82"/>
        <v>0</v>
      </c>
      <c r="AF131" s="291"/>
    </row>
    <row r="132" spans="1:32" s="68" customFormat="1">
      <c r="A132" s="258">
        <f t="shared" ref="A132:A183" si="83">A131+1</f>
        <v>132</v>
      </c>
      <c r="B132" s="96"/>
      <c r="C132" s="94"/>
      <c r="D132" s="54" t="s">
        <v>63</v>
      </c>
      <c r="E132" s="50"/>
      <c r="F132" s="50"/>
      <c r="G132" s="59"/>
      <c r="H132" s="95"/>
      <c r="I132" s="276"/>
      <c r="J132" s="102">
        <f>IF('4.) Yearly Budget'!$K$18&gt;0,'4.) Yearly Budget'!K132,'4.) Yearly Budget'!J132)</f>
        <v>0</v>
      </c>
      <c r="K132" s="382">
        <f t="shared" si="72"/>
        <v>0</v>
      </c>
      <c r="L132" s="100"/>
      <c r="M132" s="102">
        <f>IF('4.) Yearly Budget'!$N$18&gt;0,'4.) Yearly Budget'!N132,'4.) Yearly Budget'!M132)</f>
        <v>0</v>
      </c>
      <c r="N132" s="382">
        <f t="shared" si="73"/>
        <v>0</v>
      </c>
      <c r="O132" s="100"/>
      <c r="P132" s="102">
        <f>IF('4.) Yearly Budget'!$Q$18&gt;0,'4.) Yearly Budget'!Q132,'4.) Yearly Budget'!P132)</f>
        <v>0</v>
      </c>
      <c r="Q132" s="382">
        <f t="shared" si="74"/>
        <v>0</v>
      </c>
      <c r="R132" s="100"/>
      <c r="S132" s="102">
        <f>IF('4.) Yearly Budget'!$T$18&gt;0,'4.) Yearly Budget'!T132,'4.) Yearly Budget'!S132)</f>
        <v>0</v>
      </c>
      <c r="T132" s="105">
        <f t="shared" si="75"/>
        <v>0</v>
      </c>
      <c r="U132" s="277">
        <f t="shared" si="76"/>
        <v>0</v>
      </c>
      <c r="V132" s="379">
        <f t="shared" si="77"/>
        <v>0</v>
      </c>
      <c r="W132" s="379">
        <f t="shared" si="78"/>
        <v>0</v>
      </c>
      <c r="X132" s="379">
        <f>'4.) Yearly Budget'!W132</f>
        <v>0</v>
      </c>
      <c r="Y132" s="380">
        <f t="shared" si="79"/>
        <v>0</v>
      </c>
      <c r="Z132" s="381">
        <f>SUM(IF(I$18&lt;&gt;0,'4.) Yearly Budget'!J132,0)+IF(L$18&lt;&gt;0,'4.) Yearly Budget'!M132,0)+IF(O$18&lt;&gt;0,'4.) Yearly Budget'!P132,0)+IF(R$18&lt;&gt;0,'4.) Yearly Budget'!S132,0))</f>
        <v>0</v>
      </c>
      <c r="AA132" s="381">
        <f t="shared" si="80"/>
        <v>0</v>
      </c>
      <c r="AB132" s="381">
        <f>'4.) Yearly Budget'!V132</f>
        <v>0</v>
      </c>
      <c r="AC132" s="382">
        <f t="shared" si="81"/>
        <v>0</v>
      </c>
      <c r="AD132" s="381">
        <f>IF(U$6&lt;&gt;0,'4.) Yearly Budget'!I132/$AM$18,0)</f>
        <v>0</v>
      </c>
      <c r="AE132" s="105">
        <f t="shared" si="82"/>
        <v>0</v>
      </c>
      <c r="AF132" s="291"/>
    </row>
    <row r="133" spans="1:32" s="68" customFormat="1">
      <c r="A133" s="258">
        <f t="shared" si="83"/>
        <v>133</v>
      </c>
      <c r="B133" s="96"/>
      <c r="C133" s="94"/>
      <c r="D133" s="50" t="s">
        <v>6</v>
      </c>
      <c r="E133" s="50"/>
      <c r="F133" s="50"/>
      <c r="G133" s="59"/>
      <c r="H133" s="95"/>
      <c r="I133" s="276"/>
      <c r="J133" s="102">
        <f>IF('4.) Yearly Budget'!$K$18&gt;0,'4.) Yearly Budget'!K133,'4.) Yearly Budget'!J133)</f>
        <v>0</v>
      </c>
      <c r="K133" s="382">
        <f t="shared" si="72"/>
        <v>0</v>
      </c>
      <c r="L133" s="100"/>
      <c r="M133" s="102">
        <f>IF('4.) Yearly Budget'!$N$18&gt;0,'4.) Yearly Budget'!N133,'4.) Yearly Budget'!M133)</f>
        <v>0</v>
      </c>
      <c r="N133" s="382">
        <f t="shared" si="73"/>
        <v>0</v>
      </c>
      <c r="O133" s="100"/>
      <c r="P133" s="102">
        <f>IF('4.) Yearly Budget'!$Q$18&gt;0,'4.) Yearly Budget'!Q133,'4.) Yearly Budget'!P133)</f>
        <v>0</v>
      </c>
      <c r="Q133" s="382">
        <f t="shared" si="74"/>
        <v>0</v>
      </c>
      <c r="R133" s="100"/>
      <c r="S133" s="102">
        <f>IF('4.) Yearly Budget'!$T$18&gt;0,'4.) Yearly Budget'!T133,'4.) Yearly Budget'!S133)</f>
        <v>0</v>
      </c>
      <c r="T133" s="105">
        <f t="shared" si="75"/>
        <v>0</v>
      </c>
      <c r="U133" s="277">
        <f t="shared" si="76"/>
        <v>0</v>
      </c>
      <c r="V133" s="379">
        <f t="shared" si="77"/>
        <v>0</v>
      </c>
      <c r="W133" s="379">
        <f t="shared" si="78"/>
        <v>0</v>
      </c>
      <c r="X133" s="379">
        <f>'4.) Yearly Budget'!W133</f>
        <v>0</v>
      </c>
      <c r="Y133" s="380">
        <f t="shared" si="79"/>
        <v>0</v>
      </c>
      <c r="Z133" s="381">
        <f>SUM(IF(I$18&lt;&gt;0,'4.) Yearly Budget'!J133,0)+IF(L$18&lt;&gt;0,'4.) Yearly Budget'!M133,0)+IF(O$18&lt;&gt;0,'4.) Yearly Budget'!P133,0)+IF(R$18&lt;&gt;0,'4.) Yearly Budget'!S133,0))</f>
        <v>0</v>
      </c>
      <c r="AA133" s="381">
        <f t="shared" si="80"/>
        <v>0</v>
      </c>
      <c r="AB133" s="381">
        <f>'4.) Yearly Budget'!V133</f>
        <v>0</v>
      </c>
      <c r="AC133" s="382">
        <f t="shared" si="81"/>
        <v>0</v>
      </c>
      <c r="AD133" s="381">
        <f>IF(U$6&lt;&gt;0,'4.) Yearly Budget'!I133/$AM$18,0)</f>
        <v>0</v>
      </c>
      <c r="AE133" s="105">
        <f t="shared" si="82"/>
        <v>0</v>
      </c>
      <c r="AF133" s="291"/>
    </row>
    <row r="134" spans="1:32" s="68" customFormat="1">
      <c r="A134" s="258">
        <f t="shared" si="83"/>
        <v>134</v>
      </c>
      <c r="B134" s="96"/>
      <c r="C134" s="94"/>
      <c r="D134" s="50" t="s">
        <v>18</v>
      </c>
      <c r="E134" s="50"/>
      <c r="F134" s="50"/>
      <c r="G134" s="59"/>
      <c r="H134" s="95"/>
      <c r="I134" s="276"/>
      <c r="J134" s="102">
        <f>IF('4.) Yearly Budget'!$K$18&gt;0,'4.) Yearly Budget'!K134,'4.) Yearly Budget'!J134)</f>
        <v>0</v>
      </c>
      <c r="K134" s="382">
        <f t="shared" si="72"/>
        <v>0</v>
      </c>
      <c r="L134" s="100"/>
      <c r="M134" s="102">
        <f>IF('4.) Yearly Budget'!$N$18&gt;0,'4.) Yearly Budget'!N134,'4.) Yearly Budget'!M134)</f>
        <v>0</v>
      </c>
      <c r="N134" s="382">
        <f t="shared" si="73"/>
        <v>0</v>
      </c>
      <c r="O134" s="100"/>
      <c r="P134" s="102">
        <f>IF('4.) Yearly Budget'!$Q$18&gt;0,'4.) Yearly Budget'!Q134,'4.) Yearly Budget'!P134)</f>
        <v>0</v>
      </c>
      <c r="Q134" s="382">
        <f t="shared" si="74"/>
        <v>0</v>
      </c>
      <c r="R134" s="100"/>
      <c r="S134" s="102">
        <f>IF('4.) Yearly Budget'!$T$18&gt;0,'4.) Yearly Budget'!T134,'4.) Yearly Budget'!S134)</f>
        <v>0</v>
      </c>
      <c r="T134" s="105">
        <f t="shared" si="75"/>
        <v>0</v>
      </c>
      <c r="U134" s="277">
        <f t="shared" si="76"/>
        <v>0</v>
      </c>
      <c r="V134" s="379">
        <f t="shared" si="77"/>
        <v>0</v>
      </c>
      <c r="W134" s="379">
        <f t="shared" si="78"/>
        <v>0</v>
      </c>
      <c r="X134" s="379">
        <f>'4.) Yearly Budget'!W134</f>
        <v>0</v>
      </c>
      <c r="Y134" s="380">
        <f t="shared" si="79"/>
        <v>0</v>
      </c>
      <c r="Z134" s="381">
        <f>SUM(IF(I$18&lt;&gt;0,'4.) Yearly Budget'!J134,0)+IF(L$18&lt;&gt;0,'4.) Yearly Budget'!M134,0)+IF(O$18&lt;&gt;0,'4.) Yearly Budget'!P134,0)+IF(R$18&lt;&gt;0,'4.) Yearly Budget'!S134,0))</f>
        <v>0</v>
      </c>
      <c r="AA134" s="381">
        <f t="shared" si="80"/>
        <v>0</v>
      </c>
      <c r="AB134" s="381">
        <f>'4.) Yearly Budget'!V134</f>
        <v>0</v>
      </c>
      <c r="AC134" s="382">
        <f t="shared" si="81"/>
        <v>0</v>
      </c>
      <c r="AD134" s="381">
        <f>IF(U$6&lt;&gt;0,'4.) Yearly Budget'!I134/$AM$18,0)</f>
        <v>0</v>
      </c>
      <c r="AE134" s="105">
        <f t="shared" si="82"/>
        <v>0</v>
      </c>
      <c r="AF134" s="291"/>
    </row>
    <row r="135" spans="1:32" s="68" customFormat="1">
      <c r="A135" s="258">
        <f t="shared" si="83"/>
        <v>135</v>
      </c>
      <c r="B135" s="96"/>
      <c r="C135" s="94"/>
      <c r="D135" s="54" t="s">
        <v>8</v>
      </c>
      <c r="E135" s="50"/>
      <c r="F135" s="50"/>
      <c r="G135" s="59"/>
      <c r="H135" s="95"/>
      <c r="I135" s="276"/>
      <c r="J135" s="102">
        <f>IF('4.) Yearly Budget'!$K$18&gt;0,'4.) Yearly Budget'!K135,'4.) Yearly Budget'!J135)</f>
        <v>0</v>
      </c>
      <c r="K135" s="382">
        <f t="shared" si="72"/>
        <v>0</v>
      </c>
      <c r="L135" s="100"/>
      <c r="M135" s="102">
        <f>IF('4.) Yearly Budget'!$N$18&gt;0,'4.) Yearly Budget'!N135,'4.) Yearly Budget'!M135)</f>
        <v>0</v>
      </c>
      <c r="N135" s="382">
        <f t="shared" si="73"/>
        <v>0</v>
      </c>
      <c r="O135" s="100"/>
      <c r="P135" s="102">
        <f>IF('4.) Yearly Budget'!$Q$18&gt;0,'4.) Yearly Budget'!Q135,'4.) Yearly Budget'!P135)</f>
        <v>0</v>
      </c>
      <c r="Q135" s="382">
        <f t="shared" si="74"/>
        <v>0</v>
      </c>
      <c r="R135" s="100"/>
      <c r="S135" s="102">
        <f>IF('4.) Yearly Budget'!$T$18&gt;0,'4.) Yearly Budget'!T135,'4.) Yearly Budget'!S135)</f>
        <v>0</v>
      </c>
      <c r="T135" s="105">
        <f t="shared" si="75"/>
        <v>0</v>
      </c>
      <c r="U135" s="277">
        <f t="shared" si="76"/>
        <v>0</v>
      </c>
      <c r="V135" s="379">
        <f t="shared" si="77"/>
        <v>0</v>
      </c>
      <c r="W135" s="379">
        <f t="shared" si="78"/>
        <v>0</v>
      </c>
      <c r="X135" s="379">
        <f>'4.) Yearly Budget'!W135</f>
        <v>0</v>
      </c>
      <c r="Y135" s="380">
        <f t="shared" si="79"/>
        <v>0</v>
      </c>
      <c r="Z135" s="381">
        <f>SUM(IF(I$18&lt;&gt;0,'4.) Yearly Budget'!J135,0)+IF(L$18&lt;&gt;0,'4.) Yearly Budget'!M135,0)+IF(O$18&lt;&gt;0,'4.) Yearly Budget'!P135,0)+IF(R$18&lt;&gt;0,'4.) Yearly Budget'!S135,0))</f>
        <v>0</v>
      </c>
      <c r="AA135" s="381">
        <f t="shared" si="80"/>
        <v>0</v>
      </c>
      <c r="AB135" s="381">
        <f>'4.) Yearly Budget'!V135</f>
        <v>0</v>
      </c>
      <c r="AC135" s="382">
        <f t="shared" si="81"/>
        <v>0</v>
      </c>
      <c r="AD135" s="381">
        <f>IF(U$6&lt;&gt;0,'4.) Yearly Budget'!I135/$AM$18,0)</f>
        <v>0</v>
      </c>
      <c r="AE135" s="105">
        <f t="shared" si="82"/>
        <v>0</v>
      </c>
      <c r="AF135" s="291"/>
    </row>
    <row r="136" spans="1:32" s="68" customFormat="1">
      <c r="A136" s="258">
        <f t="shared" si="83"/>
        <v>136</v>
      </c>
      <c r="B136" s="96"/>
      <c r="C136" s="94"/>
      <c r="D136" s="54" t="s">
        <v>59</v>
      </c>
      <c r="E136" s="50"/>
      <c r="F136" s="50"/>
      <c r="G136" s="59"/>
      <c r="H136" s="95"/>
      <c r="I136" s="276"/>
      <c r="J136" s="102">
        <f>IF('4.) Yearly Budget'!$K$18&gt;0,'4.) Yearly Budget'!K136,'4.) Yearly Budget'!J136)</f>
        <v>0</v>
      </c>
      <c r="K136" s="382">
        <f t="shared" si="72"/>
        <v>0</v>
      </c>
      <c r="L136" s="100"/>
      <c r="M136" s="102">
        <f>IF('4.) Yearly Budget'!$N$18&gt;0,'4.) Yearly Budget'!N136,'4.) Yearly Budget'!M136)</f>
        <v>0</v>
      </c>
      <c r="N136" s="382">
        <f t="shared" si="73"/>
        <v>0</v>
      </c>
      <c r="O136" s="100"/>
      <c r="P136" s="102">
        <f>IF('4.) Yearly Budget'!$Q$18&gt;0,'4.) Yearly Budget'!Q136,'4.) Yearly Budget'!P136)</f>
        <v>0</v>
      </c>
      <c r="Q136" s="382">
        <f t="shared" si="74"/>
        <v>0</v>
      </c>
      <c r="R136" s="100"/>
      <c r="S136" s="102">
        <f>IF('4.) Yearly Budget'!$T$18&gt;0,'4.) Yearly Budget'!T136,'4.) Yearly Budget'!S136)</f>
        <v>0</v>
      </c>
      <c r="T136" s="105">
        <f t="shared" si="75"/>
        <v>0</v>
      </c>
      <c r="U136" s="277">
        <f t="shared" si="76"/>
        <v>0</v>
      </c>
      <c r="V136" s="379">
        <f t="shared" si="77"/>
        <v>0</v>
      </c>
      <c r="W136" s="379">
        <f t="shared" si="78"/>
        <v>0</v>
      </c>
      <c r="X136" s="379">
        <f>'4.) Yearly Budget'!W136</f>
        <v>0</v>
      </c>
      <c r="Y136" s="380">
        <f t="shared" si="79"/>
        <v>0</v>
      </c>
      <c r="Z136" s="381">
        <f>SUM(IF(I$18&lt;&gt;0,'4.) Yearly Budget'!J136,0)+IF(L$18&lt;&gt;0,'4.) Yearly Budget'!M136,0)+IF(O$18&lt;&gt;0,'4.) Yearly Budget'!P136,0)+IF(R$18&lt;&gt;0,'4.) Yearly Budget'!S136,0))</f>
        <v>0</v>
      </c>
      <c r="AA136" s="381">
        <f t="shared" si="80"/>
        <v>0</v>
      </c>
      <c r="AB136" s="381">
        <f>'4.) Yearly Budget'!V136</f>
        <v>0</v>
      </c>
      <c r="AC136" s="382">
        <f t="shared" si="81"/>
        <v>0</v>
      </c>
      <c r="AD136" s="381">
        <f>IF(U$6&lt;&gt;0,'4.) Yearly Budget'!I136/$AM$18,0)</f>
        <v>0</v>
      </c>
      <c r="AE136" s="105">
        <f t="shared" si="82"/>
        <v>0</v>
      </c>
      <c r="AF136" s="291"/>
    </row>
    <row r="137" spans="1:32" s="68" customFormat="1">
      <c r="A137" s="258">
        <f t="shared" si="83"/>
        <v>137</v>
      </c>
      <c r="B137" s="96"/>
      <c r="C137" s="94"/>
      <c r="D137" s="54" t="s">
        <v>74</v>
      </c>
      <c r="E137" s="50"/>
      <c r="F137" s="50"/>
      <c r="G137" s="59"/>
      <c r="H137" s="95"/>
      <c r="I137" s="276"/>
      <c r="J137" s="102">
        <f>IF('4.) Yearly Budget'!$K$18&gt;0,'4.) Yearly Budget'!K137,'4.) Yearly Budget'!J137)</f>
        <v>0</v>
      </c>
      <c r="K137" s="382">
        <f t="shared" si="72"/>
        <v>0</v>
      </c>
      <c r="L137" s="100"/>
      <c r="M137" s="102">
        <f>IF('4.) Yearly Budget'!$N$18&gt;0,'4.) Yearly Budget'!N137,'4.) Yearly Budget'!M137)</f>
        <v>0</v>
      </c>
      <c r="N137" s="382">
        <f t="shared" si="73"/>
        <v>0</v>
      </c>
      <c r="O137" s="100"/>
      <c r="P137" s="102">
        <f>IF('4.) Yearly Budget'!$Q$18&gt;0,'4.) Yearly Budget'!Q137,'4.) Yearly Budget'!P137)</f>
        <v>0</v>
      </c>
      <c r="Q137" s="382">
        <f t="shared" si="74"/>
        <v>0</v>
      </c>
      <c r="R137" s="100"/>
      <c r="S137" s="102">
        <f>IF('4.) Yearly Budget'!$T$18&gt;0,'4.) Yearly Budget'!T137,'4.) Yearly Budget'!S137)</f>
        <v>0</v>
      </c>
      <c r="T137" s="105">
        <f t="shared" si="75"/>
        <v>0</v>
      </c>
      <c r="U137" s="277">
        <f t="shared" si="76"/>
        <v>0</v>
      </c>
      <c r="V137" s="379">
        <f t="shared" si="77"/>
        <v>0</v>
      </c>
      <c r="W137" s="379">
        <f t="shared" si="78"/>
        <v>0</v>
      </c>
      <c r="X137" s="379">
        <f>'4.) Yearly Budget'!W137</f>
        <v>0</v>
      </c>
      <c r="Y137" s="380">
        <f t="shared" si="79"/>
        <v>0</v>
      </c>
      <c r="Z137" s="381">
        <f>SUM(IF(I$18&lt;&gt;0,'4.) Yearly Budget'!J137,0)+IF(L$18&lt;&gt;0,'4.) Yearly Budget'!M137,0)+IF(O$18&lt;&gt;0,'4.) Yearly Budget'!P137,0)+IF(R$18&lt;&gt;0,'4.) Yearly Budget'!S137,0))</f>
        <v>0</v>
      </c>
      <c r="AA137" s="381">
        <f t="shared" si="80"/>
        <v>0</v>
      </c>
      <c r="AB137" s="381">
        <f>'4.) Yearly Budget'!V137</f>
        <v>0</v>
      </c>
      <c r="AC137" s="382">
        <f t="shared" si="81"/>
        <v>0</v>
      </c>
      <c r="AD137" s="381">
        <f>IF(U$6&lt;&gt;0,'4.) Yearly Budget'!I137/$AM$18,0)</f>
        <v>0</v>
      </c>
      <c r="AE137" s="105">
        <f t="shared" si="82"/>
        <v>0</v>
      </c>
      <c r="AF137" s="291"/>
    </row>
    <row r="138" spans="1:32" s="68" customFormat="1">
      <c r="A138" s="258">
        <f t="shared" si="83"/>
        <v>138</v>
      </c>
      <c r="B138" s="96"/>
      <c r="C138" s="94"/>
      <c r="D138" s="54" t="s">
        <v>61</v>
      </c>
      <c r="E138" s="50"/>
      <c r="F138" s="50"/>
      <c r="G138" s="59"/>
      <c r="H138" s="95"/>
      <c r="I138" s="276"/>
      <c r="J138" s="102">
        <f>IF('4.) Yearly Budget'!$K$18&gt;0,'4.) Yearly Budget'!K138,'4.) Yearly Budget'!J138)</f>
        <v>0</v>
      </c>
      <c r="K138" s="382">
        <f t="shared" si="72"/>
        <v>0</v>
      </c>
      <c r="L138" s="100"/>
      <c r="M138" s="102">
        <f>IF('4.) Yearly Budget'!$N$18&gt;0,'4.) Yearly Budget'!N138,'4.) Yearly Budget'!M138)</f>
        <v>0</v>
      </c>
      <c r="N138" s="382">
        <f t="shared" si="73"/>
        <v>0</v>
      </c>
      <c r="O138" s="100"/>
      <c r="P138" s="102">
        <f>IF('4.) Yearly Budget'!$Q$18&gt;0,'4.) Yearly Budget'!Q138,'4.) Yearly Budget'!P138)</f>
        <v>0</v>
      </c>
      <c r="Q138" s="382">
        <f t="shared" si="74"/>
        <v>0</v>
      </c>
      <c r="R138" s="100"/>
      <c r="S138" s="102">
        <f>IF('4.) Yearly Budget'!$T$18&gt;0,'4.) Yearly Budget'!T138,'4.) Yearly Budget'!S138)</f>
        <v>0</v>
      </c>
      <c r="T138" s="105">
        <f t="shared" si="75"/>
        <v>0</v>
      </c>
      <c r="U138" s="277">
        <f t="shared" si="76"/>
        <v>0</v>
      </c>
      <c r="V138" s="379">
        <f t="shared" si="77"/>
        <v>0</v>
      </c>
      <c r="W138" s="379">
        <f t="shared" si="78"/>
        <v>0</v>
      </c>
      <c r="X138" s="379">
        <f>'4.) Yearly Budget'!W138</f>
        <v>0</v>
      </c>
      <c r="Y138" s="380">
        <f t="shared" si="79"/>
        <v>0</v>
      </c>
      <c r="Z138" s="381">
        <f>SUM(IF(I$18&lt;&gt;0,'4.) Yearly Budget'!J138,0)+IF(L$18&lt;&gt;0,'4.) Yearly Budget'!M138,0)+IF(O$18&lt;&gt;0,'4.) Yearly Budget'!P138,0)+IF(R$18&lt;&gt;0,'4.) Yearly Budget'!S138,0))</f>
        <v>0</v>
      </c>
      <c r="AA138" s="381">
        <f t="shared" si="80"/>
        <v>0</v>
      </c>
      <c r="AB138" s="381">
        <f>'4.) Yearly Budget'!V138</f>
        <v>0</v>
      </c>
      <c r="AC138" s="382">
        <f t="shared" si="81"/>
        <v>0</v>
      </c>
      <c r="AD138" s="381">
        <f>IF(U$6&lt;&gt;0,'4.) Yearly Budget'!I138/$AM$18,0)</f>
        <v>0</v>
      </c>
      <c r="AE138" s="105">
        <f t="shared" si="82"/>
        <v>0</v>
      </c>
      <c r="AF138" s="291"/>
    </row>
    <row r="139" spans="1:32" s="68" customFormat="1">
      <c r="A139" s="258">
        <f t="shared" si="83"/>
        <v>139</v>
      </c>
      <c r="B139" s="96"/>
      <c r="C139" s="94"/>
      <c r="D139" s="54" t="s">
        <v>41</v>
      </c>
      <c r="E139" s="50"/>
      <c r="F139" s="50"/>
      <c r="G139" s="59"/>
      <c r="H139" s="95"/>
      <c r="I139" s="276"/>
      <c r="J139" s="102">
        <f>IF('4.) Yearly Budget'!$K$18&gt;0,'4.) Yearly Budget'!K139,'4.) Yearly Budget'!J139)</f>
        <v>0</v>
      </c>
      <c r="K139" s="382">
        <f t="shared" si="72"/>
        <v>0</v>
      </c>
      <c r="L139" s="100"/>
      <c r="M139" s="102">
        <f>IF('4.) Yearly Budget'!$N$18&gt;0,'4.) Yearly Budget'!N139,'4.) Yearly Budget'!M139)</f>
        <v>0</v>
      </c>
      <c r="N139" s="382">
        <f t="shared" si="73"/>
        <v>0</v>
      </c>
      <c r="O139" s="100"/>
      <c r="P139" s="102">
        <f>IF('4.) Yearly Budget'!$Q$18&gt;0,'4.) Yearly Budget'!Q139,'4.) Yearly Budget'!P139)</f>
        <v>0</v>
      </c>
      <c r="Q139" s="382">
        <f t="shared" si="74"/>
        <v>0</v>
      </c>
      <c r="R139" s="100"/>
      <c r="S139" s="102">
        <f>IF('4.) Yearly Budget'!$T$18&gt;0,'4.) Yearly Budget'!T139,'4.) Yearly Budget'!S139)</f>
        <v>0</v>
      </c>
      <c r="T139" s="105">
        <f t="shared" si="75"/>
        <v>0</v>
      </c>
      <c r="U139" s="277">
        <f t="shared" si="76"/>
        <v>0</v>
      </c>
      <c r="V139" s="379">
        <f t="shared" si="77"/>
        <v>0</v>
      </c>
      <c r="W139" s="379">
        <f t="shared" si="78"/>
        <v>0</v>
      </c>
      <c r="X139" s="379">
        <f>'4.) Yearly Budget'!W139</f>
        <v>0</v>
      </c>
      <c r="Y139" s="380">
        <f t="shared" si="79"/>
        <v>0</v>
      </c>
      <c r="Z139" s="381">
        <f>SUM(IF(I$18&lt;&gt;0,'4.) Yearly Budget'!J139,0)+IF(L$18&lt;&gt;0,'4.) Yearly Budget'!M139,0)+IF(O$18&lt;&gt;0,'4.) Yearly Budget'!P139,0)+IF(R$18&lt;&gt;0,'4.) Yearly Budget'!S139,0))</f>
        <v>0</v>
      </c>
      <c r="AA139" s="381">
        <f t="shared" si="80"/>
        <v>0</v>
      </c>
      <c r="AB139" s="381">
        <f>'4.) Yearly Budget'!V139</f>
        <v>0</v>
      </c>
      <c r="AC139" s="382">
        <f t="shared" si="81"/>
        <v>0</v>
      </c>
      <c r="AD139" s="381">
        <f>IF(U$6&lt;&gt;0,'4.) Yearly Budget'!I139/$AM$18,0)</f>
        <v>0</v>
      </c>
      <c r="AE139" s="105">
        <f t="shared" si="82"/>
        <v>0</v>
      </c>
      <c r="AF139" s="291"/>
    </row>
    <row r="140" spans="1:32" s="68" customFormat="1" ht="16.8">
      <c r="A140" s="258">
        <f t="shared" si="83"/>
        <v>140</v>
      </c>
      <c r="B140" s="96"/>
      <c r="C140" s="94"/>
      <c r="D140" s="50" t="s">
        <v>29</v>
      </c>
      <c r="E140" s="50"/>
      <c r="F140" s="50"/>
      <c r="G140" s="59"/>
      <c r="H140" s="95"/>
      <c r="I140" s="284"/>
      <c r="J140" s="392">
        <f>IF('4.) Yearly Budget'!$K$18&gt;0,'4.) Yearly Budget'!K140,'4.) Yearly Budget'!J140)</f>
        <v>0</v>
      </c>
      <c r="K140" s="392">
        <f t="shared" si="72"/>
        <v>0</v>
      </c>
      <c r="L140" s="106"/>
      <c r="M140" s="549">
        <f>IF('4.) Yearly Budget'!$N$18&gt;0,'4.) Yearly Budget'!N140,'4.) Yearly Budget'!M140)</f>
        <v>0</v>
      </c>
      <c r="N140" s="392">
        <f t="shared" si="73"/>
        <v>0</v>
      </c>
      <c r="O140" s="106"/>
      <c r="P140" s="549">
        <f>IF('4.) Yearly Budget'!$Q$18&gt;0,'4.) Yearly Budget'!Q140,'4.) Yearly Budget'!P140)</f>
        <v>0</v>
      </c>
      <c r="Q140" s="392">
        <f t="shared" si="74"/>
        <v>0</v>
      </c>
      <c r="R140" s="106"/>
      <c r="S140" s="549">
        <f>IF('4.) Yearly Budget'!$T$18&gt;0,'4.) Yearly Budget'!T140,'4.) Yearly Budget'!S140)</f>
        <v>0</v>
      </c>
      <c r="T140" s="388">
        <f t="shared" si="75"/>
        <v>0</v>
      </c>
      <c r="U140" s="285">
        <f t="shared" si="76"/>
        <v>0</v>
      </c>
      <c r="V140" s="389">
        <f t="shared" si="77"/>
        <v>0</v>
      </c>
      <c r="W140" s="389">
        <f t="shared" si="78"/>
        <v>0</v>
      </c>
      <c r="X140" s="389">
        <f>'4.) Yearly Budget'!W140</f>
        <v>0</v>
      </c>
      <c r="Y140" s="390">
        <f t="shared" si="79"/>
        <v>0</v>
      </c>
      <c r="Z140" s="391">
        <f>SUM(IF(I$18&lt;&gt;0,'4.) Yearly Budget'!J140,0)+IF(L$18&lt;&gt;0,'4.) Yearly Budget'!M140,0)+IF(O$18&lt;&gt;0,'4.) Yearly Budget'!P140,0)+IF(R$18&lt;&gt;0,'4.) Yearly Budget'!S140,0))</f>
        <v>0</v>
      </c>
      <c r="AA140" s="391">
        <f t="shared" si="80"/>
        <v>0</v>
      </c>
      <c r="AB140" s="391">
        <f>'4.) Yearly Budget'!V140</f>
        <v>0</v>
      </c>
      <c r="AC140" s="392">
        <f t="shared" si="81"/>
        <v>0</v>
      </c>
      <c r="AD140" s="391">
        <f>IF(U$6&lt;&gt;0,'4.) Yearly Budget'!I140/$AM$18,0)</f>
        <v>0</v>
      </c>
      <c r="AE140" s="388">
        <f t="shared" si="82"/>
        <v>0</v>
      </c>
      <c r="AF140" s="291"/>
    </row>
    <row r="141" spans="1:32" s="68" customFormat="1">
      <c r="A141" s="258">
        <f t="shared" si="83"/>
        <v>141</v>
      </c>
      <c r="B141" s="96"/>
      <c r="C141" s="55" t="s">
        <v>88</v>
      </c>
      <c r="D141" s="50"/>
      <c r="E141" s="50"/>
      <c r="F141" s="50"/>
      <c r="G141" s="59"/>
      <c r="H141" s="95"/>
      <c r="I141" s="281">
        <f t="shared" ref="I141:AE141" si="84">SUM(I121:I140)</f>
        <v>0</v>
      </c>
      <c r="J141" s="158">
        <f t="shared" si="84"/>
        <v>0</v>
      </c>
      <c r="K141" s="393">
        <f t="shared" si="84"/>
        <v>0</v>
      </c>
      <c r="L141" s="102">
        <f t="shared" si="84"/>
        <v>0</v>
      </c>
      <c r="M141" s="158">
        <f t="shared" si="84"/>
        <v>0</v>
      </c>
      <c r="N141" s="393">
        <f t="shared" si="84"/>
        <v>0</v>
      </c>
      <c r="O141" s="102">
        <f t="shared" si="84"/>
        <v>0</v>
      </c>
      <c r="P141" s="158">
        <f t="shared" si="84"/>
        <v>0</v>
      </c>
      <c r="Q141" s="393">
        <f t="shared" si="84"/>
        <v>0</v>
      </c>
      <c r="R141" s="102">
        <f t="shared" si="84"/>
        <v>0</v>
      </c>
      <c r="S141" s="158">
        <f t="shared" si="84"/>
        <v>0</v>
      </c>
      <c r="T141" s="103">
        <f t="shared" si="84"/>
        <v>0</v>
      </c>
      <c r="U141" s="277">
        <f t="shared" si="84"/>
        <v>0</v>
      </c>
      <c r="V141" s="158">
        <f t="shared" si="84"/>
        <v>0</v>
      </c>
      <c r="W141" s="158">
        <f t="shared" si="84"/>
        <v>0</v>
      </c>
      <c r="X141" s="158">
        <f t="shared" si="84"/>
        <v>0</v>
      </c>
      <c r="Y141" s="383">
        <f t="shared" si="84"/>
        <v>0</v>
      </c>
      <c r="Z141" s="102">
        <f t="shared" si="84"/>
        <v>0</v>
      </c>
      <c r="AA141" s="102">
        <f t="shared" si="84"/>
        <v>0</v>
      </c>
      <c r="AB141" s="102">
        <f t="shared" si="84"/>
        <v>0</v>
      </c>
      <c r="AC141" s="393">
        <f t="shared" si="84"/>
        <v>0</v>
      </c>
      <c r="AD141" s="102">
        <f t="shared" si="84"/>
        <v>0</v>
      </c>
      <c r="AE141" s="105">
        <f t="shared" si="84"/>
        <v>0</v>
      </c>
      <c r="AF141" s="291"/>
    </row>
    <row r="142" spans="1:32" s="68" customFormat="1" ht="7.5" customHeight="1">
      <c r="A142" s="258">
        <f t="shared" si="83"/>
        <v>142</v>
      </c>
      <c r="B142" s="96"/>
      <c r="C142" s="94"/>
      <c r="D142" s="120"/>
      <c r="E142" s="120"/>
      <c r="F142" s="120"/>
      <c r="G142" s="56"/>
      <c r="H142" s="95"/>
      <c r="I142" s="107"/>
      <c r="J142" s="107"/>
      <c r="K142" s="107"/>
      <c r="L142" s="107"/>
      <c r="M142" s="107"/>
      <c r="N142" s="107"/>
      <c r="O142" s="107"/>
      <c r="P142" s="107"/>
      <c r="Q142" s="107"/>
      <c r="R142" s="107"/>
      <c r="S142" s="107"/>
      <c r="T142" s="108"/>
      <c r="U142" s="107"/>
      <c r="V142" s="107"/>
      <c r="W142" s="107"/>
      <c r="X142" s="107"/>
      <c r="Y142" s="107"/>
      <c r="Z142" s="107"/>
      <c r="AA142" s="107"/>
      <c r="AB142" s="107"/>
      <c r="AC142" s="107"/>
      <c r="AD142" s="107"/>
      <c r="AE142" s="108"/>
      <c r="AF142" s="291"/>
    </row>
    <row r="143" spans="1:32" s="68" customFormat="1">
      <c r="A143" s="258">
        <f t="shared" si="83"/>
        <v>143</v>
      </c>
      <c r="B143" s="96"/>
      <c r="C143" s="119" t="s">
        <v>89</v>
      </c>
      <c r="D143" s="50"/>
      <c r="E143" s="123"/>
      <c r="F143" s="123"/>
      <c r="G143" s="124"/>
      <c r="H143" s="95"/>
      <c r="I143" s="98"/>
      <c r="J143" s="98"/>
      <c r="K143" s="98"/>
      <c r="L143" s="98"/>
      <c r="M143" s="98"/>
      <c r="N143" s="98"/>
      <c r="O143" s="98"/>
      <c r="P143" s="98"/>
      <c r="Q143" s="98"/>
      <c r="R143" s="98"/>
      <c r="S143" s="98"/>
      <c r="T143" s="99"/>
      <c r="U143" s="98"/>
      <c r="V143" s="98"/>
      <c r="W143" s="98"/>
      <c r="X143" s="98"/>
      <c r="Y143" s="98"/>
      <c r="Z143" s="98"/>
      <c r="AA143" s="98"/>
      <c r="AB143" s="98"/>
      <c r="AC143" s="98"/>
      <c r="AD143" s="98"/>
      <c r="AE143" s="99"/>
      <c r="AF143" s="291"/>
    </row>
    <row r="144" spans="1:32" s="68" customFormat="1">
      <c r="A144" s="258">
        <f t="shared" si="83"/>
        <v>144</v>
      </c>
      <c r="B144" s="96"/>
      <c r="C144" s="50"/>
      <c r="D144" s="54" t="s">
        <v>3</v>
      </c>
      <c r="E144" s="53"/>
      <c r="F144" s="53"/>
      <c r="G144" s="124"/>
      <c r="H144" s="95"/>
      <c r="I144" s="276"/>
      <c r="J144" s="102">
        <f>IF('4.) Yearly Budget'!$K$18&gt;0,'4.) Yearly Budget'!K144,'4.) Yearly Budget'!J144)</f>
        <v>0</v>
      </c>
      <c r="K144" s="382">
        <f t="shared" ref="K144:K150" si="85">IF(I$18&lt;&gt;0,J144-I144,0)</f>
        <v>0</v>
      </c>
      <c r="L144" s="100"/>
      <c r="M144" s="102">
        <f>IF('4.) Yearly Budget'!$N$18&gt;0,'4.) Yearly Budget'!N144,'4.) Yearly Budget'!M144)</f>
        <v>0</v>
      </c>
      <c r="N144" s="382">
        <f t="shared" ref="N144:N150" si="86">IF(L$18&lt;&gt;0,M144-L144,0)</f>
        <v>0</v>
      </c>
      <c r="O144" s="100"/>
      <c r="P144" s="102">
        <f>IF('4.) Yearly Budget'!$Q$18&gt;0,'4.) Yearly Budget'!Q144,'4.) Yearly Budget'!P144)</f>
        <v>0</v>
      </c>
      <c r="Q144" s="382">
        <f t="shared" ref="Q144:Q150" si="87">IF(O$18&lt;&gt;0,P144-O144,0)</f>
        <v>0</v>
      </c>
      <c r="R144" s="100"/>
      <c r="S144" s="102">
        <f>IF('4.) Yearly Budget'!$T$18&gt;0,'4.) Yearly Budget'!T144,'4.) Yearly Budget'!S144)</f>
        <v>0</v>
      </c>
      <c r="T144" s="105">
        <f t="shared" ref="T144:T150" si="88">IF(R$18&lt;&gt;0,S144-R144,0)</f>
        <v>0</v>
      </c>
      <c r="U144" s="277">
        <f t="shared" ref="U144:U150" si="89">IF(I$6&lt;&gt;0,I144,0)+IF(L$6&lt;&gt;0,L144,0)+IF(O$6&lt;&gt;0,O144,0)+IF(R$6&lt;&gt;0,R144,0)</f>
        <v>0</v>
      </c>
      <c r="V144" s="379">
        <f t="shared" ref="V144:V150" si="90">SUM(IF(I$6&lt;&gt;0,J144,0)+IF(L$6&lt;&gt;0,M144,0)+IF(O$6&lt;&gt;0,P144,0)+IF(R$6&lt;&gt;0,S144,0))</f>
        <v>0</v>
      </c>
      <c r="W144" s="379">
        <f t="shared" ref="W144:W150" si="91">V144-U144</f>
        <v>0</v>
      </c>
      <c r="X144" s="379">
        <f>'4.) Yearly Budget'!W144</f>
        <v>0</v>
      </c>
      <c r="Y144" s="380">
        <f t="shared" ref="Y144:Y150" si="92">IF(U144&lt;&gt;0,X144-U144,IF(U144=0,X144,0))</f>
        <v>0</v>
      </c>
      <c r="Z144" s="381">
        <f>SUM(IF(I$18&lt;&gt;0,'4.) Yearly Budget'!J144,0)+IF(L$18&lt;&gt;0,'4.) Yearly Budget'!M144,0)+IF(O$18&lt;&gt;0,'4.) Yearly Budget'!P144,0)+IF(R$18&lt;&gt;0,'4.) Yearly Budget'!S144,0))</f>
        <v>0</v>
      </c>
      <c r="AA144" s="381">
        <f t="shared" ref="AA144:AA150" si="93">Z144-U144</f>
        <v>0</v>
      </c>
      <c r="AB144" s="381">
        <f>'4.) Yearly Budget'!V144</f>
        <v>0</v>
      </c>
      <c r="AC144" s="382">
        <f t="shared" ref="AC144:AC150" si="94">IF(U144&lt;&gt;0,AB144-U144,IF(U144=0,AB144,0))</f>
        <v>0</v>
      </c>
      <c r="AD144" s="381">
        <f>IF(U$6&lt;&gt;0,'4.) Yearly Budget'!I144/$AM$18,0)</f>
        <v>0</v>
      </c>
      <c r="AE144" s="105">
        <f t="shared" ref="AE144:AE150" si="95">AD144-U144</f>
        <v>0</v>
      </c>
      <c r="AF144" s="291"/>
    </row>
    <row r="145" spans="1:32" s="68" customFormat="1">
      <c r="A145" s="258">
        <f t="shared" si="83"/>
        <v>145</v>
      </c>
      <c r="B145" s="96"/>
      <c r="C145" s="50"/>
      <c r="D145" s="54" t="s">
        <v>4</v>
      </c>
      <c r="E145" s="53"/>
      <c r="F145" s="53"/>
      <c r="G145" s="124"/>
      <c r="H145" s="95"/>
      <c r="I145" s="276"/>
      <c r="J145" s="102">
        <f>IF('4.) Yearly Budget'!$K$18&gt;0,'4.) Yearly Budget'!K145,'4.) Yearly Budget'!J145)</f>
        <v>0</v>
      </c>
      <c r="K145" s="382">
        <f t="shared" si="85"/>
        <v>0</v>
      </c>
      <c r="L145" s="100"/>
      <c r="M145" s="102">
        <f>IF('4.) Yearly Budget'!$N$18&gt;0,'4.) Yearly Budget'!N145,'4.) Yearly Budget'!M145)</f>
        <v>0</v>
      </c>
      <c r="N145" s="382">
        <f t="shared" si="86"/>
        <v>0</v>
      </c>
      <c r="O145" s="100"/>
      <c r="P145" s="102">
        <f>IF('4.) Yearly Budget'!$Q$18&gt;0,'4.) Yearly Budget'!Q145,'4.) Yearly Budget'!P145)</f>
        <v>0</v>
      </c>
      <c r="Q145" s="382">
        <f t="shared" si="87"/>
        <v>0</v>
      </c>
      <c r="R145" s="100"/>
      <c r="S145" s="102">
        <f>IF('4.) Yearly Budget'!$T$18&gt;0,'4.) Yearly Budget'!T145,'4.) Yearly Budget'!S145)</f>
        <v>0</v>
      </c>
      <c r="T145" s="105">
        <f t="shared" si="88"/>
        <v>0</v>
      </c>
      <c r="U145" s="277">
        <f t="shared" si="89"/>
        <v>0</v>
      </c>
      <c r="V145" s="379">
        <f t="shared" si="90"/>
        <v>0</v>
      </c>
      <c r="W145" s="379">
        <f t="shared" si="91"/>
        <v>0</v>
      </c>
      <c r="X145" s="379">
        <f>'4.) Yearly Budget'!W145</f>
        <v>0</v>
      </c>
      <c r="Y145" s="380">
        <f t="shared" si="92"/>
        <v>0</v>
      </c>
      <c r="Z145" s="381">
        <f>SUM(IF(I$18&lt;&gt;0,'4.) Yearly Budget'!J145,0)+IF(L$18&lt;&gt;0,'4.) Yearly Budget'!M145,0)+IF(O$18&lt;&gt;0,'4.) Yearly Budget'!P145,0)+IF(R$18&lt;&gt;0,'4.) Yearly Budget'!S145,0))</f>
        <v>0</v>
      </c>
      <c r="AA145" s="381">
        <f t="shared" si="93"/>
        <v>0</v>
      </c>
      <c r="AB145" s="381">
        <f>'4.) Yearly Budget'!V145</f>
        <v>0</v>
      </c>
      <c r="AC145" s="382">
        <f t="shared" si="94"/>
        <v>0</v>
      </c>
      <c r="AD145" s="381">
        <f>IF(U$6&lt;&gt;0,'4.) Yearly Budget'!I145/$AM$18,0)</f>
        <v>0</v>
      </c>
      <c r="AE145" s="105">
        <f t="shared" si="95"/>
        <v>0</v>
      </c>
      <c r="AF145" s="291"/>
    </row>
    <row r="146" spans="1:32" s="68" customFormat="1">
      <c r="A146" s="258">
        <f t="shared" si="83"/>
        <v>146</v>
      </c>
      <c r="B146" s="96"/>
      <c r="C146" s="50"/>
      <c r="D146" s="50" t="s">
        <v>348</v>
      </c>
      <c r="E146" s="53"/>
      <c r="F146" s="53"/>
      <c r="G146" s="124"/>
      <c r="H146" s="95"/>
      <c r="I146" s="276"/>
      <c r="J146" s="102">
        <f>IF('4.) Yearly Budget'!$K$18&gt;0,'4.) Yearly Budget'!K146,'4.) Yearly Budget'!J146)</f>
        <v>0</v>
      </c>
      <c r="K146" s="382">
        <f t="shared" si="85"/>
        <v>0</v>
      </c>
      <c r="L146" s="100"/>
      <c r="M146" s="102">
        <f>IF('4.) Yearly Budget'!$N$18&gt;0,'4.) Yearly Budget'!N146,'4.) Yearly Budget'!M146)</f>
        <v>0</v>
      </c>
      <c r="N146" s="382">
        <f t="shared" si="86"/>
        <v>0</v>
      </c>
      <c r="O146" s="100"/>
      <c r="P146" s="102">
        <f>IF('4.) Yearly Budget'!$Q$18&gt;0,'4.) Yearly Budget'!Q146,'4.) Yearly Budget'!P146)</f>
        <v>0</v>
      </c>
      <c r="Q146" s="382">
        <f t="shared" si="87"/>
        <v>0</v>
      </c>
      <c r="R146" s="100"/>
      <c r="S146" s="102">
        <f>IF('4.) Yearly Budget'!$T$18&gt;0,'4.) Yearly Budget'!T146,'4.) Yearly Budget'!S146)</f>
        <v>0</v>
      </c>
      <c r="T146" s="105">
        <f t="shared" si="88"/>
        <v>0</v>
      </c>
      <c r="U146" s="277">
        <f t="shared" si="89"/>
        <v>0</v>
      </c>
      <c r="V146" s="379">
        <f t="shared" si="90"/>
        <v>0</v>
      </c>
      <c r="W146" s="379">
        <f t="shared" si="91"/>
        <v>0</v>
      </c>
      <c r="X146" s="379">
        <f>'4.) Yearly Budget'!W146</f>
        <v>0</v>
      </c>
      <c r="Y146" s="380">
        <f t="shared" si="92"/>
        <v>0</v>
      </c>
      <c r="Z146" s="381">
        <f>SUM(IF(I$18&lt;&gt;0,'4.) Yearly Budget'!J146,0)+IF(L$18&lt;&gt;0,'4.) Yearly Budget'!M146,0)+IF(O$18&lt;&gt;0,'4.) Yearly Budget'!P146,0)+IF(R$18&lt;&gt;0,'4.) Yearly Budget'!S146,0))</f>
        <v>0</v>
      </c>
      <c r="AA146" s="381">
        <f t="shared" si="93"/>
        <v>0</v>
      </c>
      <c r="AB146" s="381">
        <f>'4.) Yearly Budget'!V146</f>
        <v>0</v>
      </c>
      <c r="AC146" s="382">
        <f t="shared" si="94"/>
        <v>0</v>
      </c>
      <c r="AD146" s="381">
        <f>IF(U$6&lt;&gt;0,'4.) Yearly Budget'!I146/$AM$18,0)</f>
        <v>0</v>
      </c>
      <c r="AE146" s="105">
        <f t="shared" si="95"/>
        <v>0</v>
      </c>
      <c r="AF146" s="291"/>
    </row>
    <row r="147" spans="1:32" s="68" customFormat="1">
      <c r="A147" s="258">
        <f t="shared" si="83"/>
        <v>147</v>
      </c>
      <c r="B147" s="96"/>
      <c r="C147" s="50"/>
      <c r="D147" s="50" t="s">
        <v>54</v>
      </c>
      <c r="E147" s="53"/>
      <c r="F147" s="53"/>
      <c r="G147" s="124"/>
      <c r="H147" s="95"/>
      <c r="I147" s="276"/>
      <c r="J147" s="102">
        <f>IF('4.) Yearly Budget'!$K$18&gt;0,'4.) Yearly Budget'!K147,'4.) Yearly Budget'!J147)</f>
        <v>0</v>
      </c>
      <c r="K147" s="382">
        <f t="shared" si="85"/>
        <v>0</v>
      </c>
      <c r="L147" s="100"/>
      <c r="M147" s="102">
        <f>IF('4.) Yearly Budget'!$N$18&gt;0,'4.) Yearly Budget'!N147,'4.) Yearly Budget'!M147)</f>
        <v>0</v>
      </c>
      <c r="N147" s="382">
        <f t="shared" si="86"/>
        <v>0</v>
      </c>
      <c r="O147" s="100"/>
      <c r="P147" s="102">
        <f>IF('4.) Yearly Budget'!$Q$18&gt;0,'4.) Yearly Budget'!Q147,'4.) Yearly Budget'!P147)</f>
        <v>0</v>
      </c>
      <c r="Q147" s="382">
        <f t="shared" si="87"/>
        <v>0</v>
      </c>
      <c r="R147" s="100"/>
      <c r="S147" s="102">
        <f>IF('4.) Yearly Budget'!$T$18&gt;0,'4.) Yearly Budget'!T147,'4.) Yearly Budget'!S147)</f>
        <v>0</v>
      </c>
      <c r="T147" s="105">
        <f t="shared" si="88"/>
        <v>0</v>
      </c>
      <c r="U147" s="277">
        <f t="shared" si="89"/>
        <v>0</v>
      </c>
      <c r="V147" s="379">
        <f t="shared" si="90"/>
        <v>0</v>
      </c>
      <c r="W147" s="379">
        <f t="shared" si="91"/>
        <v>0</v>
      </c>
      <c r="X147" s="379">
        <f>'4.) Yearly Budget'!W147</f>
        <v>0</v>
      </c>
      <c r="Y147" s="380">
        <f t="shared" si="92"/>
        <v>0</v>
      </c>
      <c r="Z147" s="381">
        <f>SUM(IF(I$18&lt;&gt;0,'4.) Yearly Budget'!J147,0)+IF(L$18&lt;&gt;0,'4.) Yearly Budget'!M147,0)+IF(O$18&lt;&gt;0,'4.) Yearly Budget'!P147,0)+IF(R$18&lt;&gt;0,'4.) Yearly Budget'!S147,0))</f>
        <v>0</v>
      </c>
      <c r="AA147" s="381">
        <f t="shared" si="93"/>
        <v>0</v>
      </c>
      <c r="AB147" s="381">
        <f>'4.) Yearly Budget'!V147</f>
        <v>0</v>
      </c>
      <c r="AC147" s="382">
        <f t="shared" si="94"/>
        <v>0</v>
      </c>
      <c r="AD147" s="381">
        <f>IF(U$6&lt;&gt;0,'4.) Yearly Budget'!I147/$AM$18,0)</f>
        <v>0</v>
      </c>
      <c r="AE147" s="105">
        <f t="shared" si="95"/>
        <v>0</v>
      </c>
      <c r="AF147" s="291"/>
    </row>
    <row r="148" spans="1:32" s="68" customFormat="1">
      <c r="A148" s="258">
        <f t="shared" si="83"/>
        <v>148</v>
      </c>
      <c r="B148" s="96"/>
      <c r="C148" s="50"/>
      <c r="D148" s="50" t="s">
        <v>56</v>
      </c>
      <c r="E148" s="53"/>
      <c r="F148" s="53"/>
      <c r="G148" s="124"/>
      <c r="H148" s="95"/>
      <c r="I148" s="276"/>
      <c r="J148" s="102">
        <f>IF('4.) Yearly Budget'!$K$18&gt;0,'4.) Yearly Budget'!K148,'4.) Yearly Budget'!J148)</f>
        <v>0</v>
      </c>
      <c r="K148" s="382">
        <f t="shared" si="85"/>
        <v>0</v>
      </c>
      <c r="L148" s="100"/>
      <c r="M148" s="102">
        <f>IF('4.) Yearly Budget'!$N$18&gt;0,'4.) Yearly Budget'!N148,'4.) Yearly Budget'!M148)</f>
        <v>0</v>
      </c>
      <c r="N148" s="382">
        <f t="shared" si="86"/>
        <v>0</v>
      </c>
      <c r="O148" s="100"/>
      <c r="P148" s="102">
        <f>IF('4.) Yearly Budget'!$Q$18&gt;0,'4.) Yearly Budget'!Q148,'4.) Yearly Budget'!P148)</f>
        <v>0</v>
      </c>
      <c r="Q148" s="382">
        <f t="shared" si="87"/>
        <v>0</v>
      </c>
      <c r="R148" s="100"/>
      <c r="S148" s="102">
        <f>IF('4.) Yearly Budget'!$T$18&gt;0,'4.) Yearly Budget'!T148,'4.) Yearly Budget'!S148)</f>
        <v>0</v>
      </c>
      <c r="T148" s="105">
        <f t="shared" si="88"/>
        <v>0</v>
      </c>
      <c r="U148" s="277">
        <f t="shared" si="89"/>
        <v>0</v>
      </c>
      <c r="V148" s="379">
        <f t="shared" si="90"/>
        <v>0</v>
      </c>
      <c r="W148" s="379">
        <f t="shared" si="91"/>
        <v>0</v>
      </c>
      <c r="X148" s="379">
        <f>'4.) Yearly Budget'!W148</f>
        <v>0</v>
      </c>
      <c r="Y148" s="380">
        <f t="shared" si="92"/>
        <v>0</v>
      </c>
      <c r="Z148" s="381">
        <f>SUM(IF(I$18&lt;&gt;0,'4.) Yearly Budget'!J148,0)+IF(L$18&lt;&gt;0,'4.) Yearly Budget'!M148,0)+IF(O$18&lt;&gt;0,'4.) Yearly Budget'!P148,0)+IF(R$18&lt;&gt;0,'4.) Yearly Budget'!S148,0))</f>
        <v>0</v>
      </c>
      <c r="AA148" s="381">
        <f t="shared" si="93"/>
        <v>0</v>
      </c>
      <c r="AB148" s="381">
        <f>'4.) Yearly Budget'!V148</f>
        <v>0</v>
      </c>
      <c r="AC148" s="382">
        <f t="shared" si="94"/>
        <v>0</v>
      </c>
      <c r="AD148" s="381">
        <f>IF(U$6&lt;&gt;0,'4.) Yearly Budget'!I148/$AM$18,0)</f>
        <v>0</v>
      </c>
      <c r="AE148" s="105">
        <f t="shared" si="95"/>
        <v>0</v>
      </c>
      <c r="AF148" s="291"/>
    </row>
    <row r="149" spans="1:32" s="68" customFormat="1">
      <c r="A149" s="258">
        <f t="shared" si="83"/>
        <v>149</v>
      </c>
      <c r="B149" s="96"/>
      <c r="C149" s="50"/>
      <c r="D149" s="54" t="s">
        <v>7</v>
      </c>
      <c r="E149" s="53"/>
      <c r="F149" s="53"/>
      <c r="G149" s="124"/>
      <c r="H149" s="95"/>
      <c r="I149" s="276"/>
      <c r="J149" s="102">
        <f>IF('4.) Yearly Budget'!$K$18&gt;0,'4.) Yearly Budget'!K149,'4.) Yearly Budget'!J149)</f>
        <v>0</v>
      </c>
      <c r="K149" s="382">
        <f t="shared" si="85"/>
        <v>0</v>
      </c>
      <c r="L149" s="100"/>
      <c r="M149" s="102">
        <f>IF('4.) Yearly Budget'!$N$18&gt;0,'4.) Yearly Budget'!N149,'4.) Yearly Budget'!M149)</f>
        <v>0</v>
      </c>
      <c r="N149" s="382">
        <f t="shared" si="86"/>
        <v>0</v>
      </c>
      <c r="O149" s="100"/>
      <c r="P149" s="102">
        <f>IF('4.) Yearly Budget'!$Q$18&gt;0,'4.) Yearly Budget'!Q149,'4.) Yearly Budget'!P149)</f>
        <v>0</v>
      </c>
      <c r="Q149" s="382">
        <f t="shared" si="87"/>
        <v>0</v>
      </c>
      <c r="R149" s="100"/>
      <c r="S149" s="102">
        <f>IF('4.) Yearly Budget'!$T$18&gt;0,'4.) Yearly Budget'!T149,'4.) Yearly Budget'!S149)</f>
        <v>0</v>
      </c>
      <c r="T149" s="105">
        <f t="shared" si="88"/>
        <v>0</v>
      </c>
      <c r="U149" s="277">
        <f t="shared" si="89"/>
        <v>0</v>
      </c>
      <c r="V149" s="379">
        <f t="shared" si="90"/>
        <v>0</v>
      </c>
      <c r="W149" s="379">
        <f t="shared" si="91"/>
        <v>0</v>
      </c>
      <c r="X149" s="379">
        <f>'4.) Yearly Budget'!W149</f>
        <v>0</v>
      </c>
      <c r="Y149" s="380">
        <f t="shared" si="92"/>
        <v>0</v>
      </c>
      <c r="Z149" s="381">
        <f>SUM(IF(I$18&lt;&gt;0,'4.) Yearly Budget'!J149,0)+IF(L$18&lt;&gt;0,'4.) Yearly Budget'!M149,0)+IF(O$18&lt;&gt;0,'4.) Yearly Budget'!P149,0)+IF(R$18&lt;&gt;0,'4.) Yearly Budget'!S149,0))</f>
        <v>0</v>
      </c>
      <c r="AA149" s="381">
        <f t="shared" si="93"/>
        <v>0</v>
      </c>
      <c r="AB149" s="381">
        <f>'4.) Yearly Budget'!V149</f>
        <v>0</v>
      </c>
      <c r="AC149" s="382">
        <f t="shared" si="94"/>
        <v>0</v>
      </c>
      <c r="AD149" s="381">
        <f>IF(U$6&lt;&gt;0,'4.) Yearly Budget'!I149/$AM$18,0)</f>
        <v>0</v>
      </c>
      <c r="AE149" s="105">
        <f t="shared" si="95"/>
        <v>0</v>
      </c>
      <c r="AF149" s="291"/>
    </row>
    <row r="150" spans="1:32" s="68" customFormat="1" ht="16.8">
      <c r="A150" s="258">
        <f t="shared" si="83"/>
        <v>150</v>
      </c>
      <c r="B150" s="96"/>
      <c r="C150" s="50"/>
      <c r="D150" s="50" t="s">
        <v>9</v>
      </c>
      <c r="E150" s="53"/>
      <c r="F150" s="53"/>
      <c r="G150" s="124"/>
      <c r="H150" s="95"/>
      <c r="I150" s="284"/>
      <c r="J150" s="392">
        <f>IF('4.) Yearly Budget'!$K$18&gt;0,'4.) Yearly Budget'!K150,'4.) Yearly Budget'!J150)</f>
        <v>0</v>
      </c>
      <c r="K150" s="392">
        <f t="shared" si="85"/>
        <v>0</v>
      </c>
      <c r="L150" s="106"/>
      <c r="M150" s="549">
        <f>IF('4.) Yearly Budget'!$N$18&gt;0,'4.) Yearly Budget'!N150,'4.) Yearly Budget'!M150)</f>
        <v>0</v>
      </c>
      <c r="N150" s="392">
        <f t="shared" si="86"/>
        <v>0</v>
      </c>
      <c r="O150" s="106"/>
      <c r="P150" s="549">
        <f>IF('4.) Yearly Budget'!$Q$18&gt;0,'4.) Yearly Budget'!Q150,'4.) Yearly Budget'!P150)</f>
        <v>0</v>
      </c>
      <c r="Q150" s="392">
        <f t="shared" si="87"/>
        <v>0</v>
      </c>
      <c r="R150" s="106"/>
      <c r="S150" s="549">
        <f>IF('4.) Yearly Budget'!$T$18&gt;0,'4.) Yearly Budget'!T150,'4.) Yearly Budget'!S150)</f>
        <v>0</v>
      </c>
      <c r="T150" s="388">
        <f t="shared" si="88"/>
        <v>0</v>
      </c>
      <c r="U150" s="285">
        <f t="shared" si="89"/>
        <v>0</v>
      </c>
      <c r="V150" s="389">
        <f t="shared" si="90"/>
        <v>0</v>
      </c>
      <c r="W150" s="389">
        <f t="shared" si="91"/>
        <v>0</v>
      </c>
      <c r="X150" s="389">
        <f>'4.) Yearly Budget'!W150</f>
        <v>0</v>
      </c>
      <c r="Y150" s="390">
        <f t="shared" si="92"/>
        <v>0</v>
      </c>
      <c r="Z150" s="391">
        <f>SUM(IF(I$18&lt;&gt;0,'4.) Yearly Budget'!J150,0)+IF(L$18&lt;&gt;0,'4.) Yearly Budget'!M150,0)+IF(O$18&lt;&gt;0,'4.) Yearly Budget'!P150,0)+IF(R$18&lt;&gt;0,'4.) Yearly Budget'!S150,0))</f>
        <v>0</v>
      </c>
      <c r="AA150" s="391">
        <f t="shared" si="93"/>
        <v>0</v>
      </c>
      <c r="AB150" s="391">
        <f>'4.) Yearly Budget'!V150</f>
        <v>0</v>
      </c>
      <c r="AC150" s="392">
        <f t="shared" si="94"/>
        <v>0</v>
      </c>
      <c r="AD150" s="391">
        <f>IF(U$6&lt;&gt;0,'4.) Yearly Budget'!I150/$AM$18,0)</f>
        <v>0</v>
      </c>
      <c r="AE150" s="388">
        <f t="shared" si="95"/>
        <v>0</v>
      </c>
      <c r="AF150" s="291"/>
    </row>
    <row r="151" spans="1:32" s="68" customFormat="1">
      <c r="A151" s="258">
        <f t="shared" si="83"/>
        <v>151</v>
      </c>
      <c r="B151" s="96"/>
      <c r="C151" s="120" t="s">
        <v>90</v>
      </c>
      <c r="D151" s="50"/>
      <c r="E151" s="123"/>
      <c r="F151" s="123"/>
      <c r="G151" s="124"/>
      <c r="H151" s="95"/>
      <c r="I151" s="281">
        <f t="shared" ref="I151:AE151" si="96">SUM(I144:I150)</f>
        <v>0</v>
      </c>
      <c r="J151" s="158">
        <f t="shared" si="96"/>
        <v>0</v>
      </c>
      <c r="K151" s="393">
        <f t="shared" si="96"/>
        <v>0</v>
      </c>
      <c r="L151" s="102">
        <f t="shared" si="96"/>
        <v>0</v>
      </c>
      <c r="M151" s="158">
        <f t="shared" si="96"/>
        <v>0</v>
      </c>
      <c r="N151" s="393">
        <f t="shared" si="96"/>
        <v>0</v>
      </c>
      <c r="O151" s="102">
        <f t="shared" si="96"/>
        <v>0</v>
      </c>
      <c r="P151" s="158">
        <f t="shared" si="96"/>
        <v>0</v>
      </c>
      <c r="Q151" s="393">
        <f t="shared" si="96"/>
        <v>0</v>
      </c>
      <c r="R151" s="102">
        <f t="shared" si="96"/>
        <v>0</v>
      </c>
      <c r="S151" s="158">
        <f t="shared" si="96"/>
        <v>0</v>
      </c>
      <c r="T151" s="103">
        <f t="shared" si="96"/>
        <v>0</v>
      </c>
      <c r="U151" s="277">
        <f t="shared" si="96"/>
        <v>0</v>
      </c>
      <c r="V151" s="158">
        <f t="shared" si="96"/>
        <v>0</v>
      </c>
      <c r="W151" s="158">
        <f t="shared" si="96"/>
        <v>0</v>
      </c>
      <c r="X151" s="158">
        <f t="shared" si="96"/>
        <v>0</v>
      </c>
      <c r="Y151" s="383">
        <f t="shared" si="96"/>
        <v>0</v>
      </c>
      <c r="Z151" s="102">
        <f t="shared" si="96"/>
        <v>0</v>
      </c>
      <c r="AA151" s="102">
        <f t="shared" si="96"/>
        <v>0</v>
      </c>
      <c r="AB151" s="102">
        <f t="shared" si="96"/>
        <v>0</v>
      </c>
      <c r="AC151" s="393">
        <f t="shared" si="96"/>
        <v>0</v>
      </c>
      <c r="AD151" s="102">
        <f t="shared" si="96"/>
        <v>0</v>
      </c>
      <c r="AE151" s="105">
        <f t="shared" si="96"/>
        <v>0</v>
      </c>
      <c r="AF151" s="291"/>
    </row>
    <row r="152" spans="1:32" s="68" customFormat="1" ht="7.5" customHeight="1">
      <c r="A152" s="258">
        <f t="shared" si="83"/>
        <v>152</v>
      </c>
      <c r="B152" s="96"/>
      <c r="C152" s="119"/>
      <c r="D152" s="50"/>
      <c r="E152" s="123"/>
      <c r="F152" s="123"/>
      <c r="G152" s="124"/>
      <c r="H152" s="95"/>
      <c r="I152" s="104"/>
      <c r="J152" s="104"/>
      <c r="K152" s="104"/>
      <c r="L152" s="104"/>
      <c r="M152" s="104"/>
      <c r="N152" s="104"/>
      <c r="O152" s="104"/>
      <c r="P152" s="104"/>
      <c r="Q152" s="104"/>
      <c r="R152" s="104"/>
      <c r="S152" s="104"/>
      <c r="T152" s="105"/>
      <c r="U152" s="104"/>
      <c r="V152" s="104"/>
      <c r="W152" s="104"/>
      <c r="X152" s="104"/>
      <c r="Y152" s="104"/>
      <c r="Z152" s="104"/>
      <c r="AA152" s="104"/>
      <c r="AB152" s="104"/>
      <c r="AC152" s="104"/>
      <c r="AD152" s="104"/>
      <c r="AE152" s="105"/>
      <c r="AF152" s="291"/>
    </row>
    <row r="153" spans="1:32" s="68" customFormat="1">
      <c r="A153" s="258">
        <f t="shared" si="83"/>
        <v>153</v>
      </c>
      <c r="B153" s="96"/>
      <c r="C153" s="119" t="s">
        <v>91</v>
      </c>
      <c r="D153" s="50"/>
      <c r="E153" s="123"/>
      <c r="F153" s="123"/>
      <c r="G153" s="124"/>
      <c r="H153" s="95"/>
      <c r="I153" s="276"/>
      <c r="J153" s="102">
        <f>IF('4.) Yearly Budget'!$K$18&gt;0,'4.) Yearly Budget'!K153,'4.) Yearly Budget'!J153)</f>
        <v>0</v>
      </c>
      <c r="K153" s="382">
        <f>IF(I$18&lt;&gt;0,J153-I153,0)</f>
        <v>0</v>
      </c>
      <c r="L153" s="100"/>
      <c r="M153" s="102">
        <f>IF('4.) Yearly Budget'!$N$18&gt;0,'4.) Yearly Budget'!N153,'4.) Yearly Budget'!M153)</f>
        <v>0</v>
      </c>
      <c r="N153" s="382">
        <f>IF(L$18&lt;&gt;0,M153-L153,0)</f>
        <v>0</v>
      </c>
      <c r="O153" s="100"/>
      <c r="P153" s="102">
        <f>IF('4.) Yearly Budget'!$Q$18&gt;0,'4.) Yearly Budget'!Q153,'4.) Yearly Budget'!P153)</f>
        <v>0</v>
      </c>
      <c r="Q153" s="382">
        <f>IF(O$18&lt;&gt;0,P153-O153,0)</f>
        <v>0</v>
      </c>
      <c r="R153" s="100"/>
      <c r="S153" s="102">
        <f>IF('4.) Yearly Budget'!$T$18&gt;0,'4.) Yearly Budget'!T153,'4.) Yearly Budget'!S153)</f>
        <v>0</v>
      </c>
      <c r="T153" s="105">
        <f>IF(R$18&lt;&gt;0,S153-R153,0)</f>
        <v>0</v>
      </c>
      <c r="U153" s="277">
        <f>IF(I$6&lt;&gt;0,I153,0)+IF(L$6&lt;&gt;0,L153,0)+IF(O$6&lt;&gt;0,O153,0)+IF(R$6&lt;&gt;0,R153,0)</f>
        <v>0</v>
      </c>
      <c r="V153" s="379">
        <f>SUM(IF(I$6&lt;&gt;0,J153,0)+IF(L$6&lt;&gt;0,M153,0)+IF(O$6&lt;&gt;0,P153,0)+IF(R$6&lt;&gt;0,S153,0))</f>
        <v>0</v>
      </c>
      <c r="W153" s="379">
        <f>V153-U153</f>
        <v>0</v>
      </c>
      <c r="X153" s="379">
        <f>'4.) Yearly Budget'!W153</f>
        <v>0</v>
      </c>
      <c r="Y153" s="380">
        <f>IF(U153&lt;&gt;0,X153-U153,IF(U153=0,X153,0))</f>
        <v>0</v>
      </c>
      <c r="Z153" s="381">
        <f>SUM(IF(I$18&lt;&gt;0,'4.) Yearly Budget'!J153,0)+IF(L$18&lt;&gt;0,'4.) Yearly Budget'!M153,0)+IF(O$18&lt;&gt;0,'4.) Yearly Budget'!P153,0)+IF(R$18&lt;&gt;0,'4.) Yearly Budget'!S153,0))</f>
        <v>0</v>
      </c>
      <c r="AA153" s="381">
        <f>Z153-U153</f>
        <v>0</v>
      </c>
      <c r="AB153" s="381">
        <f>'4.) Yearly Budget'!V153</f>
        <v>0</v>
      </c>
      <c r="AC153" s="382">
        <f>IF(U153&lt;&gt;0,AB153-U153,IF(U153=0,AB153,0))</f>
        <v>0</v>
      </c>
      <c r="AD153" s="381">
        <f>IF(U$6&lt;&gt;0,'4.) Yearly Budget'!I153/$AM$18,0)</f>
        <v>0</v>
      </c>
      <c r="AE153" s="105">
        <f>AD153-U153</f>
        <v>0</v>
      </c>
      <c r="AF153" s="291"/>
    </row>
    <row r="154" spans="1:32" s="68" customFormat="1">
      <c r="A154" s="258">
        <f t="shared" si="83"/>
        <v>154</v>
      </c>
      <c r="B154" s="96"/>
      <c r="C154" s="119" t="s">
        <v>1332</v>
      </c>
      <c r="D154" s="50"/>
      <c r="E154" s="123"/>
      <c r="F154" s="123"/>
      <c r="G154" s="124"/>
      <c r="H154" s="95"/>
      <c r="I154" s="276"/>
      <c r="J154" s="102">
        <f>IF('4.) Yearly Budget'!$K$18&gt;0,'4.) Yearly Budget'!K154,'4.) Yearly Budget'!J154)</f>
        <v>0</v>
      </c>
      <c r="K154" s="382">
        <f>IF(I$18&lt;&gt;0,J154-I154,0)</f>
        <v>0</v>
      </c>
      <c r="L154" s="100"/>
      <c r="M154" s="102">
        <f>IF('4.) Yearly Budget'!$N$18&gt;0,'4.) Yearly Budget'!N154,'4.) Yearly Budget'!M154)</f>
        <v>0</v>
      </c>
      <c r="N154" s="382">
        <f>IF(L$18&lt;&gt;0,M154-L154,0)</f>
        <v>0</v>
      </c>
      <c r="O154" s="100"/>
      <c r="P154" s="102">
        <f>IF('4.) Yearly Budget'!$Q$18&gt;0,'4.) Yearly Budget'!Q154,'4.) Yearly Budget'!P154)</f>
        <v>0</v>
      </c>
      <c r="Q154" s="382">
        <f>IF(O$18&lt;&gt;0,P154-O154,0)</f>
        <v>0</v>
      </c>
      <c r="R154" s="100"/>
      <c r="S154" s="102">
        <f>IF('4.) Yearly Budget'!$T$18&gt;0,'4.) Yearly Budget'!T154,'4.) Yearly Budget'!S154)</f>
        <v>0</v>
      </c>
      <c r="T154" s="105">
        <f>IF(R$18&lt;&gt;0,S154-R154,0)</f>
        <v>0</v>
      </c>
      <c r="U154" s="277">
        <f>IF(I$6&lt;&gt;0,I154,0)+IF(L$6&lt;&gt;0,L154,0)+IF(O$6&lt;&gt;0,O154,0)+IF(R$6&lt;&gt;0,R154,0)</f>
        <v>0</v>
      </c>
      <c r="V154" s="379">
        <f>SUM(IF(I$6&lt;&gt;0,J154,0)+IF(L$6&lt;&gt;0,M154,0)+IF(O$6&lt;&gt;0,P154,0)+IF(R$6&lt;&gt;0,S154,0))</f>
        <v>0</v>
      </c>
      <c r="W154" s="379">
        <f>V154-U154</f>
        <v>0</v>
      </c>
      <c r="X154" s="379">
        <f>'4.) Yearly Budget'!W154</f>
        <v>0</v>
      </c>
      <c r="Y154" s="380">
        <f>IF(U154&lt;&gt;0,X154-U154,IF(U154=0,X154,0))</f>
        <v>0</v>
      </c>
      <c r="Z154" s="381">
        <f>SUM(IF(I$18&lt;&gt;0,'4.) Yearly Budget'!J154,0)+IF(L$18&lt;&gt;0,'4.) Yearly Budget'!M154,0)+IF(O$18&lt;&gt;0,'4.) Yearly Budget'!P154,0)+IF(R$18&lt;&gt;0,'4.) Yearly Budget'!S154,0))</f>
        <v>0</v>
      </c>
      <c r="AA154" s="381">
        <f>Z154-U154</f>
        <v>0</v>
      </c>
      <c r="AB154" s="381">
        <f>'4.) Yearly Budget'!V154</f>
        <v>0</v>
      </c>
      <c r="AC154" s="382">
        <f>IF(U154&lt;&gt;0,AB154-U154,IF(U154=0,AB154,0))</f>
        <v>0</v>
      </c>
      <c r="AD154" s="381">
        <f>IF(U$6&lt;&gt;0,'4.) Yearly Budget'!I154/$AM$18,0)</f>
        <v>0</v>
      </c>
      <c r="AE154" s="105">
        <f>AD154-U154</f>
        <v>0</v>
      </c>
      <c r="AF154" s="291"/>
    </row>
    <row r="155" spans="1:32" s="68" customFormat="1">
      <c r="A155" s="258">
        <f t="shared" si="83"/>
        <v>155</v>
      </c>
      <c r="B155" s="96"/>
      <c r="C155" s="119" t="s">
        <v>1262</v>
      </c>
      <c r="D155" s="50"/>
      <c r="E155" s="123"/>
      <c r="F155" s="123"/>
      <c r="G155" s="124"/>
      <c r="H155" s="95"/>
      <c r="I155" s="276"/>
      <c r="J155" s="102">
        <f>IF('4.) Yearly Budget'!$K$18&gt;0,'4.) Yearly Budget'!K155,'4.) Yearly Budget'!J155)</f>
        <v>0</v>
      </c>
      <c r="K155" s="382">
        <f>IF(I$18&lt;&gt;0,J155-I155,0)</f>
        <v>0</v>
      </c>
      <c r="L155" s="100"/>
      <c r="M155" s="102">
        <f>IF('4.) Yearly Budget'!$N$18&gt;0,'4.) Yearly Budget'!N155,'4.) Yearly Budget'!M155)</f>
        <v>0</v>
      </c>
      <c r="N155" s="382">
        <f>IF(L$18&lt;&gt;0,M155-L155,0)</f>
        <v>0</v>
      </c>
      <c r="O155" s="100"/>
      <c r="P155" s="102">
        <f>IF('4.) Yearly Budget'!$Q$18&gt;0,'4.) Yearly Budget'!Q155,'4.) Yearly Budget'!P155)</f>
        <v>0</v>
      </c>
      <c r="Q155" s="382">
        <f>IF(O$18&lt;&gt;0,P155-O155,0)</f>
        <v>0</v>
      </c>
      <c r="R155" s="100"/>
      <c r="S155" s="102">
        <f>IF('4.) Yearly Budget'!$T$18&gt;0,'4.) Yearly Budget'!T155,'4.) Yearly Budget'!S155)</f>
        <v>0</v>
      </c>
      <c r="T155" s="105">
        <f>IF(R$18&lt;&gt;0,S155-R155,0)</f>
        <v>0</v>
      </c>
      <c r="U155" s="277">
        <f>IF(I$6&lt;&gt;0,I155,0)+IF(L$6&lt;&gt;0,L155,0)+IF(O$6&lt;&gt;0,O155,0)+IF(R$6&lt;&gt;0,R155,0)</f>
        <v>0</v>
      </c>
      <c r="V155" s="379">
        <f>SUM(IF(I$6&lt;&gt;0,J155,0)+IF(L$6&lt;&gt;0,M155,0)+IF(O$6&lt;&gt;0,P155,0)+IF(R$6&lt;&gt;0,S155,0))</f>
        <v>0</v>
      </c>
      <c r="W155" s="379">
        <f>V155-U155</f>
        <v>0</v>
      </c>
      <c r="X155" s="379">
        <f>'4.) Yearly Budget'!W155</f>
        <v>0</v>
      </c>
      <c r="Y155" s="380">
        <f>IF(U155&lt;&gt;0,X155-U155,IF(U155=0,X155,0))</f>
        <v>0</v>
      </c>
      <c r="Z155" s="381">
        <f>SUM(IF(I$18&lt;&gt;0,'4.) Yearly Budget'!J155,0)+IF(L$18&lt;&gt;0,'4.) Yearly Budget'!M155,0)+IF(O$18&lt;&gt;0,'4.) Yearly Budget'!P155,0)+IF(R$18&lt;&gt;0,'4.) Yearly Budget'!S155,0))</f>
        <v>0</v>
      </c>
      <c r="AA155" s="381">
        <f>Z155-U155</f>
        <v>0</v>
      </c>
      <c r="AB155" s="381">
        <f>'4.) Yearly Budget'!V155</f>
        <v>0</v>
      </c>
      <c r="AC155" s="382">
        <f>IF(U155&lt;&gt;0,AB155-U155,IF(U155=0,AB155,0))</f>
        <v>0</v>
      </c>
      <c r="AD155" s="381">
        <f>IF(U$6&lt;&gt;0,'4.) Yearly Budget'!I155/$AM$18,0)</f>
        <v>0</v>
      </c>
      <c r="AE155" s="105">
        <f>AD155-U155</f>
        <v>0</v>
      </c>
      <c r="AF155" s="291"/>
    </row>
    <row r="156" spans="1:32" s="94" customFormat="1">
      <c r="A156" s="258">
        <f t="shared" si="83"/>
        <v>156</v>
      </c>
      <c r="B156" s="96"/>
      <c r="C156" s="119"/>
      <c r="D156" s="50"/>
      <c r="E156" s="123"/>
      <c r="F156" s="123"/>
      <c r="G156" s="124"/>
      <c r="H156" s="95"/>
      <c r="I156" s="104"/>
      <c r="J156" s="104"/>
      <c r="K156" s="104"/>
      <c r="L156" s="104"/>
      <c r="M156" s="104"/>
      <c r="N156" s="104"/>
      <c r="O156" s="104"/>
      <c r="P156" s="104"/>
      <c r="Q156" s="104"/>
      <c r="R156" s="104"/>
      <c r="S156" s="104"/>
      <c r="T156" s="105"/>
      <c r="U156" s="104"/>
      <c r="V156" s="104"/>
      <c r="W156" s="104"/>
      <c r="X156" s="104"/>
      <c r="Y156" s="104"/>
      <c r="Z156" s="104"/>
      <c r="AA156" s="104"/>
      <c r="AB156" s="104"/>
      <c r="AC156" s="104"/>
      <c r="AD156" s="104"/>
      <c r="AE156" s="105"/>
      <c r="AF156" s="291"/>
    </row>
    <row r="157" spans="1:32" s="68" customFormat="1" ht="16.8">
      <c r="A157" s="258">
        <f t="shared" si="83"/>
        <v>157</v>
      </c>
      <c r="B157" s="92" t="s">
        <v>55</v>
      </c>
      <c r="C157" s="93"/>
      <c r="D157" s="93"/>
      <c r="E157" s="94"/>
      <c r="F157" s="94"/>
      <c r="G157" s="57"/>
      <c r="H157" s="137"/>
      <c r="I157" s="299">
        <f>I106+I118+I141+I151+I153+I154+I155</f>
        <v>0</v>
      </c>
      <c r="J157" s="410">
        <f t="shared" ref="J157:AE157" si="97">J106+J118+J141+J151+J153+J154+J155</f>
        <v>0</v>
      </c>
      <c r="K157" s="157">
        <f t="shared" si="97"/>
        <v>0</v>
      </c>
      <c r="L157" s="299">
        <f t="shared" si="97"/>
        <v>0</v>
      </c>
      <c r="M157" s="410">
        <f t="shared" si="97"/>
        <v>0</v>
      </c>
      <c r="N157" s="157">
        <f t="shared" si="97"/>
        <v>0</v>
      </c>
      <c r="O157" s="299">
        <f t="shared" si="97"/>
        <v>0</v>
      </c>
      <c r="P157" s="410">
        <f t="shared" si="97"/>
        <v>0</v>
      </c>
      <c r="Q157" s="157">
        <f t="shared" si="97"/>
        <v>0</v>
      </c>
      <c r="R157" s="299">
        <f t="shared" si="97"/>
        <v>0</v>
      </c>
      <c r="S157" s="410">
        <f t="shared" si="97"/>
        <v>0</v>
      </c>
      <c r="T157" s="411">
        <f t="shared" si="97"/>
        <v>0</v>
      </c>
      <c r="U157" s="412">
        <f t="shared" si="97"/>
        <v>0</v>
      </c>
      <c r="V157" s="410">
        <f t="shared" si="97"/>
        <v>0</v>
      </c>
      <c r="W157" s="410">
        <f t="shared" si="97"/>
        <v>0</v>
      </c>
      <c r="X157" s="410">
        <f t="shared" si="97"/>
        <v>0</v>
      </c>
      <c r="Y157" s="157">
        <f t="shared" si="97"/>
        <v>0</v>
      </c>
      <c r="Z157" s="299">
        <f t="shared" si="97"/>
        <v>0</v>
      </c>
      <c r="AA157" s="410">
        <f t="shared" si="97"/>
        <v>0</v>
      </c>
      <c r="AB157" s="410">
        <f t="shared" si="97"/>
        <v>0</v>
      </c>
      <c r="AC157" s="413">
        <f t="shared" si="97"/>
        <v>0</v>
      </c>
      <c r="AD157" s="299">
        <f t="shared" si="97"/>
        <v>0</v>
      </c>
      <c r="AE157" s="411">
        <f t="shared" si="97"/>
        <v>0</v>
      </c>
      <c r="AF157" s="291"/>
    </row>
    <row r="158" spans="1:32" s="94" customFormat="1" ht="7.5" customHeight="1">
      <c r="A158" s="258">
        <f t="shared" si="83"/>
        <v>158</v>
      </c>
      <c r="B158" s="92"/>
      <c r="C158" s="93"/>
      <c r="D158" s="93"/>
      <c r="G158" s="57"/>
      <c r="H158" s="137"/>
      <c r="I158" s="138"/>
      <c r="J158" s="138"/>
      <c r="K158" s="138"/>
      <c r="L158" s="138"/>
      <c r="M158" s="138"/>
      <c r="N158" s="138"/>
      <c r="O158" s="138"/>
      <c r="P158" s="138"/>
      <c r="Q158" s="138"/>
      <c r="R158" s="138"/>
      <c r="S158" s="138"/>
      <c r="T158" s="411"/>
      <c r="U158" s="138"/>
      <c r="V158" s="138"/>
      <c r="W158" s="138"/>
      <c r="X158" s="138"/>
      <c r="Y158" s="138"/>
      <c r="Z158" s="138"/>
      <c r="AA158" s="138"/>
      <c r="AB158" s="138"/>
      <c r="AC158" s="138"/>
      <c r="AD158" s="138"/>
      <c r="AE158" s="411"/>
      <c r="AF158" s="291"/>
    </row>
    <row r="159" spans="1:32" s="68" customFormat="1" ht="17.399999999999999" thickBot="1">
      <c r="A159" s="258">
        <f t="shared" si="83"/>
        <v>159</v>
      </c>
      <c r="B159" s="125" t="s">
        <v>96</v>
      </c>
      <c r="C159" s="126"/>
      <c r="D159" s="126"/>
      <c r="E159" s="127"/>
      <c r="F159" s="127"/>
      <c r="G159" s="112"/>
      <c r="H159" s="139"/>
      <c r="I159" s="286">
        <f>I66-I157</f>
        <v>0</v>
      </c>
      <c r="J159" s="114">
        <f>J66-J157</f>
        <v>0</v>
      </c>
      <c r="K159" s="398">
        <f>K66+K157</f>
        <v>0</v>
      </c>
      <c r="L159" s="286">
        <f>L66-L157</f>
        <v>0</v>
      </c>
      <c r="M159" s="114">
        <f>M66-M157</f>
        <v>0</v>
      </c>
      <c r="N159" s="398">
        <f>N66+N157</f>
        <v>0</v>
      </c>
      <c r="O159" s="286">
        <f>O66-O157</f>
        <v>0</v>
      </c>
      <c r="P159" s="114">
        <f>P66-P157</f>
        <v>0</v>
      </c>
      <c r="Q159" s="398">
        <f>Q66+Q157</f>
        <v>0</v>
      </c>
      <c r="R159" s="286">
        <f>R66-R157</f>
        <v>0</v>
      </c>
      <c r="S159" s="152">
        <f>S66-S157</f>
        <v>0</v>
      </c>
      <c r="T159" s="115">
        <f>T66+T157</f>
        <v>0</v>
      </c>
      <c r="U159" s="300">
        <f>U66-U157</f>
        <v>0</v>
      </c>
      <c r="V159" s="114">
        <f>V66-V157</f>
        <v>0</v>
      </c>
      <c r="W159" s="114">
        <f>W66+W157</f>
        <v>0</v>
      </c>
      <c r="X159" s="114">
        <f>X66-X157</f>
        <v>0</v>
      </c>
      <c r="Y159" s="114">
        <f>Y66+Y157</f>
        <v>0</v>
      </c>
      <c r="Z159" s="113">
        <f>Z66-Z157</f>
        <v>0</v>
      </c>
      <c r="AA159" s="113">
        <f>AA66+AA157</f>
        <v>0</v>
      </c>
      <c r="AB159" s="113">
        <f>AB66-AB157</f>
        <v>0</v>
      </c>
      <c r="AC159" s="398">
        <f>AC66+AC157</f>
        <v>0</v>
      </c>
      <c r="AD159" s="113">
        <f>AD66-AD157</f>
        <v>0</v>
      </c>
      <c r="AE159" s="287">
        <f>AE66+AE157</f>
        <v>0</v>
      </c>
      <c r="AF159" s="414"/>
    </row>
    <row r="160" spans="1:32" s="94" customFormat="1" ht="7.5" customHeight="1" thickTop="1">
      <c r="A160" s="258">
        <f t="shared" si="83"/>
        <v>160</v>
      </c>
      <c r="B160" s="301"/>
      <c r="C160" s="301"/>
      <c r="D160" s="301"/>
      <c r="E160" s="116"/>
      <c r="F160" s="116"/>
      <c r="G160" s="117"/>
      <c r="H160" s="302"/>
      <c r="I160" s="302"/>
      <c r="J160" s="302"/>
      <c r="K160" s="302"/>
      <c r="L160" s="302"/>
      <c r="M160" s="302"/>
      <c r="N160" s="302"/>
      <c r="O160" s="302"/>
      <c r="P160" s="302"/>
      <c r="Q160" s="302"/>
      <c r="R160" s="302"/>
      <c r="S160" s="302"/>
      <c r="T160" s="302"/>
      <c r="U160" s="752"/>
      <c r="V160" s="302"/>
      <c r="W160" s="302"/>
      <c r="X160" s="302"/>
      <c r="Y160" s="302"/>
      <c r="Z160" s="302"/>
      <c r="AA160" s="302"/>
      <c r="AB160" s="302"/>
      <c r="AC160" s="302"/>
      <c r="AD160" s="302"/>
      <c r="AE160" s="302"/>
      <c r="AF160" s="415"/>
    </row>
    <row r="161" spans="1:32" s="94" customFormat="1" ht="7.5" hidden="1" customHeight="1">
      <c r="A161" s="258">
        <f t="shared" si="83"/>
        <v>161</v>
      </c>
      <c r="B161" s="81"/>
      <c r="C161" s="82"/>
      <c r="D161" s="82"/>
      <c r="G161" s="57"/>
      <c r="H161" s="128"/>
      <c r="I161" s="128"/>
      <c r="J161" s="128"/>
      <c r="K161" s="128"/>
      <c r="L161" s="128"/>
      <c r="M161" s="128"/>
      <c r="N161" s="128"/>
      <c r="O161" s="128"/>
      <c r="P161" s="128"/>
      <c r="Q161" s="128"/>
      <c r="R161" s="128"/>
      <c r="S161" s="128"/>
      <c r="T161" s="128"/>
      <c r="U161" s="416"/>
      <c r="V161" s="128"/>
      <c r="W161" s="128"/>
      <c r="X161" s="128"/>
      <c r="Y161" s="128"/>
      <c r="Z161" s="128"/>
      <c r="AA161" s="128"/>
      <c r="AB161" s="128"/>
      <c r="AC161" s="128"/>
      <c r="AD161" s="128"/>
      <c r="AE161" s="129"/>
      <c r="AF161" s="278"/>
    </row>
    <row r="162" spans="1:32">
      <c r="A162" s="258">
        <f t="shared" si="83"/>
        <v>162</v>
      </c>
      <c r="B162" s="92" t="s">
        <v>92</v>
      </c>
      <c r="C162" s="93"/>
      <c r="D162" s="93"/>
      <c r="E162" s="82"/>
      <c r="F162" s="82"/>
      <c r="G162" s="59"/>
      <c r="H162" s="130"/>
      <c r="I162" s="132"/>
      <c r="J162" s="132"/>
      <c r="K162" s="132"/>
      <c r="L162" s="132"/>
      <c r="M162" s="132"/>
      <c r="N162" s="132"/>
      <c r="O162" s="132"/>
      <c r="P162" s="132"/>
      <c r="Q162" s="132"/>
      <c r="R162" s="132"/>
      <c r="S162" s="132"/>
      <c r="T162" s="132"/>
      <c r="U162" s="417" t="s">
        <v>320</v>
      </c>
      <c r="V162" s="132"/>
      <c r="W162" s="132"/>
      <c r="X162" s="132"/>
      <c r="Y162" s="132"/>
      <c r="Z162" s="132"/>
      <c r="AA162" s="132"/>
      <c r="AB162" s="132"/>
      <c r="AC162" s="132"/>
      <c r="AD162" s="132"/>
      <c r="AE162" s="133"/>
      <c r="AF162" s="278"/>
    </row>
    <row r="163" spans="1:32">
      <c r="A163" s="258">
        <f t="shared" si="83"/>
        <v>163</v>
      </c>
      <c r="B163" s="96"/>
      <c r="C163" s="50"/>
      <c r="D163" s="50"/>
      <c r="E163" s="82" t="str">
        <f t="shared" ref="E163:E178" si="98">E18</f>
        <v>-</v>
      </c>
      <c r="F163" s="82"/>
      <c r="G163" s="59"/>
      <c r="H163" s="130"/>
      <c r="I163" s="484">
        <f>'2.) Enrollment'!P22</f>
        <v>0</v>
      </c>
      <c r="J163" s="102">
        <f>IF('4.) Yearly Budget'!$K$18&gt;0,'4.) Yearly Budget'!K163,'4.) Yearly Budget'!J163)</f>
        <v>0</v>
      </c>
      <c r="K163" s="382">
        <f t="shared" ref="K163:K178" si="99">IF(I$163&gt;0,I163-J163,0)</f>
        <v>0</v>
      </c>
      <c r="L163" s="551">
        <f>'2.) Enrollment'!Q22</f>
        <v>0</v>
      </c>
      <c r="M163" s="102">
        <f>IF('4.) Yearly Budget'!$N$18&gt;0,'4.) Yearly Budget'!N163,'4.) Yearly Budget'!M163)</f>
        <v>0</v>
      </c>
      <c r="N163" s="382">
        <f t="shared" ref="N163:N178" si="100">IF(L$163&gt;0,L163-M163,0)</f>
        <v>0</v>
      </c>
      <c r="O163" s="551">
        <f>'2.) Enrollment'!R22</f>
        <v>0</v>
      </c>
      <c r="P163" s="102">
        <f>IF('4.) Yearly Budget'!$Q$18&gt;0,'4.) Yearly Budget'!Q163,'4.) Yearly Budget'!P163)</f>
        <v>0</v>
      </c>
      <c r="Q163" s="382">
        <f t="shared" ref="Q163:Q178" si="101">IF(O$163&gt;0,O163-P163,0)</f>
        <v>0</v>
      </c>
      <c r="R163" s="551">
        <f>'2.) Enrollment'!S22</f>
        <v>0</v>
      </c>
      <c r="S163" s="102">
        <f>IF('4.) Yearly Budget'!$T$18&gt;0,'4.) Yearly Budget'!T163,'4.) Yearly Budget'!S163)</f>
        <v>0</v>
      </c>
      <c r="T163" s="105">
        <f t="shared" ref="T163:T178" si="102">IF(R$163&gt;0,R163-S163,0)</f>
        <v>0</v>
      </c>
      <c r="U163" s="283">
        <f t="shared" ref="U163:U178" si="103">IF(R$163&gt;0,R163,IF(O$163&gt;0,O163,IF(L$163&gt;0,L163,IF(I$163&gt;0,I163,0))))</f>
        <v>0</v>
      </c>
      <c r="V163" s="418">
        <f t="shared" ref="V163:V178" si="104">IF(R$163&gt;0,S163,IF(O$163&gt;0,P163,IF(L$163&gt;0,M163,IF(I$163&gt;0,J163,0))))</f>
        <v>0</v>
      </c>
      <c r="W163" s="379">
        <f t="shared" ref="W163:W178" si="105">U163-V163</f>
        <v>0</v>
      </c>
      <c r="X163" s="419"/>
      <c r="Y163" s="420"/>
      <c r="Z163" s="421">
        <f>IF(R$163&gt;0,'4.) Yearly Budget'!S163,IF(O$163&gt;0,'4.) Yearly Budget'!P163,IF(L$163&gt;0,'4.) Yearly Budget'!M163,IF(I$163&gt;0,'4.) Yearly Budget'!J163,0))))</f>
        <v>0</v>
      </c>
      <c r="AA163" s="381">
        <f t="shared" ref="AA163:AA178" si="106">U163-Z163</f>
        <v>0</v>
      </c>
      <c r="AB163" s="420"/>
      <c r="AC163" s="107"/>
      <c r="AD163" s="421">
        <f>IF(U$163&gt;0,'4.) Yearly Budget'!I163,0)</f>
        <v>0</v>
      </c>
      <c r="AE163" s="101">
        <f t="shared" ref="AE163:AE178" si="107">U163-AD163</f>
        <v>0</v>
      </c>
      <c r="AF163" s="278"/>
    </row>
    <row r="164" spans="1:32">
      <c r="A164" s="258">
        <f t="shared" si="83"/>
        <v>164</v>
      </c>
      <c r="B164" s="96"/>
      <c r="C164" s="50"/>
      <c r="D164" s="50"/>
      <c r="E164" s="82" t="str">
        <f t="shared" si="98"/>
        <v>-</v>
      </c>
      <c r="F164" s="82"/>
      <c r="G164" s="59"/>
      <c r="H164" s="130"/>
      <c r="I164" s="484">
        <f>'2.) Enrollment'!P23</f>
        <v>0</v>
      </c>
      <c r="J164" s="102">
        <f>IF('4.) Yearly Budget'!$K$18&gt;0,'4.) Yearly Budget'!K164,'4.) Yearly Budget'!J164)</f>
        <v>0</v>
      </c>
      <c r="K164" s="382">
        <f t="shared" si="99"/>
        <v>0</v>
      </c>
      <c r="L164" s="551">
        <f>'2.) Enrollment'!Q23</f>
        <v>0</v>
      </c>
      <c r="M164" s="102">
        <f>IF('4.) Yearly Budget'!$N$18&gt;0,'4.) Yearly Budget'!N164,'4.) Yearly Budget'!M164)</f>
        <v>0</v>
      </c>
      <c r="N164" s="382">
        <f t="shared" si="100"/>
        <v>0</v>
      </c>
      <c r="O164" s="551">
        <f>'2.) Enrollment'!R23</f>
        <v>0</v>
      </c>
      <c r="P164" s="102">
        <f>IF('4.) Yearly Budget'!$Q$18&gt;0,'4.) Yearly Budget'!Q164,'4.) Yearly Budget'!P164)</f>
        <v>0</v>
      </c>
      <c r="Q164" s="382">
        <f t="shared" si="101"/>
        <v>0</v>
      </c>
      <c r="R164" s="551">
        <f>'2.) Enrollment'!S23</f>
        <v>0</v>
      </c>
      <c r="S164" s="102">
        <f>IF('4.) Yearly Budget'!$T$18&gt;0,'4.) Yearly Budget'!T164,'4.) Yearly Budget'!S164)</f>
        <v>0</v>
      </c>
      <c r="T164" s="105">
        <f t="shared" si="102"/>
        <v>0</v>
      </c>
      <c r="U164" s="283">
        <f t="shared" si="103"/>
        <v>0</v>
      </c>
      <c r="V164" s="418">
        <f t="shared" si="104"/>
        <v>0</v>
      </c>
      <c r="W164" s="379">
        <f t="shared" si="105"/>
        <v>0</v>
      </c>
      <c r="X164" s="422"/>
      <c r="Y164" s="95"/>
      <c r="Z164" s="421">
        <f>IF(R$163&gt;0,'4.) Yearly Budget'!S164,IF(O$163&gt;0,'4.) Yearly Budget'!P164,IF(L$163&gt;0,'4.) Yearly Budget'!M164,IF(I$163&gt;0,'4.) Yearly Budget'!J164,0))))</f>
        <v>0</v>
      </c>
      <c r="AA164" s="381">
        <f t="shared" si="106"/>
        <v>0</v>
      </c>
      <c r="AB164" s="95"/>
      <c r="AC164" s="95"/>
      <c r="AD164" s="421">
        <f>IF(U$163&gt;0,'4.) Yearly Budget'!I164,0)</f>
        <v>0</v>
      </c>
      <c r="AE164" s="101">
        <f t="shared" si="107"/>
        <v>0</v>
      </c>
      <c r="AF164" s="278"/>
    </row>
    <row r="165" spans="1:32">
      <c r="A165" s="258">
        <f t="shared" si="83"/>
        <v>165</v>
      </c>
      <c r="B165" s="96"/>
      <c r="C165" s="50"/>
      <c r="D165" s="50"/>
      <c r="E165" s="82" t="str">
        <f t="shared" si="98"/>
        <v>-</v>
      </c>
      <c r="F165" s="82"/>
      <c r="G165" s="59"/>
      <c r="H165" s="130"/>
      <c r="I165" s="484">
        <f>'2.) Enrollment'!P24</f>
        <v>0</v>
      </c>
      <c r="J165" s="102">
        <f>IF('4.) Yearly Budget'!$K$18&gt;0,'4.) Yearly Budget'!K165,'4.) Yearly Budget'!J165)</f>
        <v>0</v>
      </c>
      <c r="K165" s="382">
        <f t="shared" si="99"/>
        <v>0</v>
      </c>
      <c r="L165" s="551">
        <f>'2.) Enrollment'!Q24</f>
        <v>0</v>
      </c>
      <c r="M165" s="102">
        <f>IF('4.) Yearly Budget'!$N$18&gt;0,'4.) Yearly Budget'!N165,'4.) Yearly Budget'!M165)</f>
        <v>0</v>
      </c>
      <c r="N165" s="382">
        <f t="shared" si="100"/>
        <v>0</v>
      </c>
      <c r="O165" s="551">
        <f>'2.) Enrollment'!R24</f>
        <v>0</v>
      </c>
      <c r="P165" s="102">
        <f>IF('4.) Yearly Budget'!$Q$18&gt;0,'4.) Yearly Budget'!Q165,'4.) Yearly Budget'!P165)</f>
        <v>0</v>
      </c>
      <c r="Q165" s="382">
        <f t="shared" si="101"/>
        <v>0</v>
      </c>
      <c r="R165" s="551">
        <f>'2.) Enrollment'!S24</f>
        <v>0</v>
      </c>
      <c r="S165" s="102">
        <f>IF('4.) Yearly Budget'!$T$18&gt;0,'4.) Yearly Budget'!T165,'4.) Yearly Budget'!S165)</f>
        <v>0</v>
      </c>
      <c r="T165" s="105">
        <f t="shared" si="102"/>
        <v>0</v>
      </c>
      <c r="U165" s="283">
        <f t="shared" si="103"/>
        <v>0</v>
      </c>
      <c r="V165" s="418">
        <f t="shared" si="104"/>
        <v>0</v>
      </c>
      <c r="W165" s="379">
        <f t="shared" si="105"/>
        <v>0</v>
      </c>
      <c r="X165" s="422"/>
      <c r="Y165" s="95"/>
      <c r="Z165" s="421">
        <f>IF(R$163&gt;0,'4.) Yearly Budget'!S165,IF(O$163&gt;0,'4.) Yearly Budget'!P165,IF(L$163&gt;0,'4.) Yearly Budget'!M165,IF(I$163&gt;0,'4.) Yearly Budget'!J165,0))))</f>
        <v>0</v>
      </c>
      <c r="AA165" s="381">
        <f t="shared" si="106"/>
        <v>0</v>
      </c>
      <c r="AB165" s="95"/>
      <c r="AC165" s="95"/>
      <c r="AD165" s="421">
        <f>IF(U$163&gt;0,'4.) Yearly Budget'!I165,0)</f>
        <v>0</v>
      </c>
      <c r="AE165" s="101">
        <f t="shared" si="107"/>
        <v>0</v>
      </c>
      <c r="AF165" s="278"/>
    </row>
    <row r="166" spans="1:32">
      <c r="A166" s="258">
        <f t="shared" si="83"/>
        <v>166</v>
      </c>
      <c r="B166" s="96"/>
      <c r="C166" s="50"/>
      <c r="D166" s="50"/>
      <c r="E166" s="82" t="str">
        <f t="shared" si="98"/>
        <v>-</v>
      </c>
      <c r="F166" s="82"/>
      <c r="G166" s="59"/>
      <c r="H166" s="130"/>
      <c r="I166" s="484">
        <f>'2.) Enrollment'!P25</f>
        <v>0</v>
      </c>
      <c r="J166" s="102">
        <f>IF('4.) Yearly Budget'!$K$18&gt;0,'4.) Yearly Budget'!K166,'4.) Yearly Budget'!J166)</f>
        <v>0</v>
      </c>
      <c r="K166" s="382">
        <f t="shared" si="99"/>
        <v>0</v>
      </c>
      <c r="L166" s="551">
        <f>'2.) Enrollment'!Q25</f>
        <v>0</v>
      </c>
      <c r="M166" s="102">
        <f>IF('4.) Yearly Budget'!$N$18&gt;0,'4.) Yearly Budget'!N166,'4.) Yearly Budget'!M166)</f>
        <v>0</v>
      </c>
      <c r="N166" s="382">
        <f t="shared" si="100"/>
        <v>0</v>
      </c>
      <c r="O166" s="551">
        <f>'2.) Enrollment'!R25</f>
        <v>0</v>
      </c>
      <c r="P166" s="102">
        <f>IF('4.) Yearly Budget'!$Q$18&gt;0,'4.) Yearly Budget'!Q166,'4.) Yearly Budget'!P166)</f>
        <v>0</v>
      </c>
      <c r="Q166" s="382">
        <f t="shared" si="101"/>
        <v>0</v>
      </c>
      <c r="R166" s="551">
        <f>'2.) Enrollment'!S25</f>
        <v>0</v>
      </c>
      <c r="S166" s="102">
        <f>IF('4.) Yearly Budget'!$T$18&gt;0,'4.) Yearly Budget'!T166,'4.) Yearly Budget'!S166)</f>
        <v>0</v>
      </c>
      <c r="T166" s="105">
        <f t="shared" si="102"/>
        <v>0</v>
      </c>
      <c r="U166" s="283">
        <f t="shared" si="103"/>
        <v>0</v>
      </c>
      <c r="V166" s="418">
        <f t="shared" si="104"/>
        <v>0</v>
      </c>
      <c r="W166" s="379">
        <f t="shared" si="105"/>
        <v>0</v>
      </c>
      <c r="X166" s="422"/>
      <c r="Y166" s="95"/>
      <c r="Z166" s="421">
        <f>IF(R$163&gt;0,'4.) Yearly Budget'!S166,IF(O$163&gt;0,'4.) Yearly Budget'!P166,IF(L$163&gt;0,'4.) Yearly Budget'!M166,IF(I$163&gt;0,'4.) Yearly Budget'!J166,0))))</f>
        <v>0</v>
      </c>
      <c r="AA166" s="381">
        <f t="shared" si="106"/>
        <v>0</v>
      </c>
      <c r="AB166" s="95"/>
      <c r="AC166" s="95"/>
      <c r="AD166" s="421">
        <f>IF(U$163&gt;0,'4.) Yearly Budget'!I166,0)</f>
        <v>0</v>
      </c>
      <c r="AE166" s="101">
        <f t="shared" si="107"/>
        <v>0</v>
      </c>
      <c r="AF166" s="278"/>
    </row>
    <row r="167" spans="1:32">
      <c r="A167" s="258">
        <f t="shared" si="83"/>
        <v>167</v>
      </c>
      <c r="B167" s="96"/>
      <c r="C167" s="50"/>
      <c r="D167" s="50"/>
      <c r="E167" s="82" t="str">
        <f t="shared" si="98"/>
        <v>-</v>
      </c>
      <c r="F167" s="82"/>
      <c r="G167" s="59"/>
      <c r="H167" s="130"/>
      <c r="I167" s="484">
        <f>'2.) Enrollment'!P26</f>
        <v>0</v>
      </c>
      <c r="J167" s="102">
        <f>IF('4.) Yearly Budget'!$K$18&gt;0,'4.) Yearly Budget'!K167,'4.) Yearly Budget'!J167)</f>
        <v>0</v>
      </c>
      <c r="K167" s="382">
        <f t="shared" si="99"/>
        <v>0</v>
      </c>
      <c r="L167" s="551">
        <f>'2.) Enrollment'!Q26</f>
        <v>0</v>
      </c>
      <c r="M167" s="102">
        <f>IF('4.) Yearly Budget'!$N$18&gt;0,'4.) Yearly Budget'!N167,'4.) Yearly Budget'!M167)</f>
        <v>0</v>
      </c>
      <c r="N167" s="382">
        <f t="shared" si="100"/>
        <v>0</v>
      </c>
      <c r="O167" s="551">
        <f>'2.) Enrollment'!R26</f>
        <v>0</v>
      </c>
      <c r="P167" s="102">
        <f>IF('4.) Yearly Budget'!$Q$18&gt;0,'4.) Yearly Budget'!Q167,'4.) Yearly Budget'!P167)</f>
        <v>0</v>
      </c>
      <c r="Q167" s="382">
        <f t="shared" si="101"/>
        <v>0</v>
      </c>
      <c r="R167" s="551">
        <f>'2.) Enrollment'!S26</f>
        <v>0</v>
      </c>
      <c r="S167" s="102">
        <f>IF('4.) Yearly Budget'!$T$18&gt;0,'4.) Yearly Budget'!T167,'4.) Yearly Budget'!S167)</f>
        <v>0</v>
      </c>
      <c r="T167" s="105">
        <f t="shared" si="102"/>
        <v>0</v>
      </c>
      <c r="U167" s="283">
        <f t="shared" si="103"/>
        <v>0</v>
      </c>
      <c r="V167" s="418">
        <f t="shared" si="104"/>
        <v>0</v>
      </c>
      <c r="W167" s="379">
        <f t="shared" si="105"/>
        <v>0</v>
      </c>
      <c r="X167" s="422"/>
      <c r="Y167" s="95"/>
      <c r="Z167" s="421">
        <f>IF(R$163&gt;0,'4.) Yearly Budget'!S167,IF(O$163&gt;0,'4.) Yearly Budget'!P167,IF(L$163&gt;0,'4.) Yearly Budget'!M167,IF(I$163&gt;0,'4.) Yearly Budget'!J167,0))))</f>
        <v>0</v>
      </c>
      <c r="AA167" s="381">
        <f t="shared" si="106"/>
        <v>0</v>
      </c>
      <c r="AB167" s="95"/>
      <c r="AC167" s="95"/>
      <c r="AD167" s="421">
        <f>IF(U$163&gt;0,'4.) Yearly Budget'!I167,0)</f>
        <v>0</v>
      </c>
      <c r="AE167" s="101">
        <f t="shared" si="107"/>
        <v>0</v>
      </c>
      <c r="AF167" s="278"/>
    </row>
    <row r="168" spans="1:32">
      <c r="A168" s="258">
        <f t="shared" si="83"/>
        <v>168</v>
      </c>
      <c r="B168" s="96"/>
      <c r="C168" s="50"/>
      <c r="D168" s="50"/>
      <c r="E168" s="82" t="str">
        <f t="shared" si="98"/>
        <v>-</v>
      </c>
      <c r="F168" s="82"/>
      <c r="G168" s="59"/>
      <c r="H168" s="130"/>
      <c r="I168" s="484">
        <f>'2.) Enrollment'!P27</f>
        <v>0</v>
      </c>
      <c r="J168" s="102">
        <f>IF('4.) Yearly Budget'!$K$18&gt;0,'4.) Yearly Budget'!K168,'4.) Yearly Budget'!J168)</f>
        <v>0</v>
      </c>
      <c r="K168" s="382">
        <f t="shared" si="99"/>
        <v>0</v>
      </c>
      <c r="L168" s="551">
        <f>'2.) Enrollment'!Q27</f>
        <v>0</v>
      </c>
      <c r="M168" s="102">
        <f>IF('4.) Yearly Budget'!$N$18&gt;0,'4.) Yearly Budget'!N168,'4.) Yearly Budget'!M168)</f>
        <v>0</v>
      </c>
      <c r="N168" s="382">
        <f t="shared" si="100"/>
        <v>0</v>
      </c>
      <c r="O168" s="551">
        <f>'2.) Enrollment'!R27</f>
        <v>0</v>
      </c>
      <c r="P168" s="102">
        <f>IF('4.) Yearly Budget'!$Q$18&gt;0,'4.) Yearly Budget'!Q168,'4.) Yearly Budget'!P168)</f>
        <v>0</v>
      </c>
      <c r="Q168" s="382">
        <f t="shared" si="101"/>
        <v>0</v>
      </c>
      <c r="R168" s="551">
        <f>'2.) Enrollment'!S27</f>
        <v>0</v>
      </c>
      <c r="S168" s="102">
        <f>IF('4.) Yearly Budget'!$T$18&gt;0,'4.) Yearly Budget'!T168,'4.) Yearly Budget'!S168)</f>
        <v>0</v>
      </c>
      <c r="T168" s="105">
        <f t="shared" si="102"/>
        <v>0</v>
      </c>
      <c r="U168" s="283">
        <f t="shared" si="103"/>
        <v>0</v>
      </c>
      <c r="V168" s="418">
        <f t="shared" si="104"/>
        <v>0</v>
      </c>
      <c r="W168" s="379">
        <f t="shared" si="105"/>
        <v>0</v>
      </c>
      <c r="X168" s="422"/>
      <c r="Y168" s="95"/>
      <c r="Z168" s="421">
        <f>IF(R$163&gt;0,'4.) Yearly Budget'!S168,IF(O$163&gt;0,'4.) Yearly Budget'!P168,IF(L$163&gt;0,'4.) Yearly Budget'!M168,IF(I$163&gt;0,'4.) Yearly Budget'!J168,0))))</f>
        <v>0</v>
      </c>
      <c r="AA168" s="381">
        <f t="shared" si="106"/>
        <v>0</v>
      </c>
      <c r="AB168" s="95"/>
      <c r="AC168" s="95"/>
      <c r="AD168" s="421">
        <f>IF(U$163&gt;0,'4.) Yearly Budget'!I168,0)</f>
        <v>0</v>
      </c>
      <c r="AE168" s="101">
        <f t="shared" si="107"/>
        <v>0</v>
      </c>
      <c r="AF168" s="278"/>
    </row>
    <row r="169" spans="1:32">
      <c r="A169" s="258">
        <f t="shared" si="83"/>
        <v>169</v>
      </c>
      <c r="B169" s="96"/>
      <c r="C169" s="50"/>
      <c r="D169" s="50"/>
      <c r="E169" s="82" t="str">
        <f t="shared" si="98"/>
        <v>-</v>
      </c>
      <c r="F169" s="82"/>
      <c r="G169" s="59"/>
      <c r="H169" s="130"/>
      <c r="I169" s="484">
        <f>'2.) Enrollment'!P28</f>
        <v>0</v>
      </c>
      <c r="J169" s="102">
        <f>IF('4.) Yearly Budget'!$K$18&gt;0,'4.) Yearly Budget'!K169,'4.) Yearly Budget'!J169)</f>
        <v>0</v>
      </c>
      <c r="K169" s="382">
        <f t="shared" si="99"/>
        <v>0</v>
      </c>
      <c r="L169" s="551">
        <f>'2.) Enrollment'!Q28</f>
        <v>0</v>
      </c>
      <c r="M169" s="102">
        <f>IF('4.) Yearly Budget'!$N$18&gt;0,'4.) Yearly Budget'!N169,'4.) Yearly Budget'!M169)</f>
        <v>0</v>
      </c>
      <c r="N169" s="382">
        <f t="shared" si="100"/>
        <v>0</v>
      </c>
      <c r="O169" s="551">
        <f>'2.) Enrollment'!R28</f>
        <v>0</v>
      </c>
      <c r="P169" s="102">
        <f>IF('4.) Yearly Budget'!$Q$18&gt;0,'4.) Yearly Budget'!Q169,'4.) Yearly Budget'!P169)</f>
        <v>0</v>
      </c>
      <c r="Q169" s="382">
        <f t="shared" si="101"/>
        <v>0</v>
      </c>
      <c r="R169" s="551">
        <f>'2.) Enrollment'!S28</f>
        <v>0</v>
      </c>
      <c r="S169" s="102">
        <f>IF('4.) Yearly Budget'!$T$18&gt;0,'4.) Yearly Budget'!T169,'4.) Yearly Budget'!S169)</f>
        <v>0</v>
      </c>
      <c r="T169" s="105">
        <f t="shared" si="102"/>
        <v>0</v>
      </c>
      <c r="U169" s="283">
        <f t="shared" si="103"/>
        <v>0</v>
      </c>
      <c r="V169" s="418">
        <f t="shared" si="104"/>
        <v>0</v>
      </c>
      <c r="W169" s="379">
        <f t="shared" si="105"/>
        <v>0</v>
      </c>
      <c r="X169" s="422"/>
      <c r="Y169" s="95"/>
      <c r="Z169" s="421">
        <f>IF(R$163&gt;0,'4.) Yearly Budget'!S169,IF(O$163&gt;0,'4.) Yearly Budget'!P169,IF(L$163&gt;0,'4.) Yearly Budget'!M169,IF(I$163&gt;0,'4.) Yearly Budget'!J169,0))))</f>
        <v>0</v>
      </c>
      <c r="AA169" s="381">
        <f t="shared" si="106"/>
        <v>0</v>
      </c>
      <c r="AB169" s="95"/>
      <c r="AC169" s="95"/>
      <c r="AD169" s="421">
        <f>IF(U$163&gt;0,'4.) Yearly Budget'!I169,0)</f>
        <v>0</v>
      </c>
      <c r="AE169" s="101">
        <f t="shared" si="107"/>
        <v>0</v>
      </c>
      <c r="AF169" s="278"/>
    </row>
    <row r="170" spans="1:32">
      <c r="A170" s="258">
        <f t="shared" si="83"/>
        <v>170</v>
      </c>
      <c r="B170" s="96"/>
      <c r="C170" s="50"/>
      <c r="D170" s="50"/>
      <c r="E170" s="82" t="str">
        <f t="shared" si="98"/>
        <v>-</v>
      </c>
      <c r="F170" s="82"/>
      <c r="G170" s="59"/>
      <c r="H170" s="130"/>
      <c r="I170" s="484">
        <f>'2.) Enrollment'!P29</f>
        <v>0</v>
      </c>
      <c r="J170" s="102">
        <f>IF('4.) Yearly Budget'!$K$18&gt;0,'4.) Yearly Budget'!K170,'4.) Yearly Budget'!J170)</f>
        <v>0</v>
      </c>
      <c r="K170" s="382">
        <f t="shared" si="99"/>
        <v>0</v>
      </c>
      <c r="L170" s="551">
        <f>'2.) Enrollment'!Q29</f>
        <v>0</v>
      </c>
      <c r="M170" s="102">
        <f>IF('4.) Yearly Budget'!$N$18&gt;0,'4.) Yearly Budget'!N170,'4.) Yearly Budget'!M170)</f>
        <v>0</v>
      </c>
      <c r="N170" s="382">
        <f t="shared" si="100"/>
        <v>0</v>
      </c>
      <c r="O170" s="551">
        <f>'2.) Enrollment'!R29</f>
        <v>0</v>
      </c>
      <c r="P170" s="102">
        <f>IF('4.) Yearly Budget'!$Q$18&gt;0,'4.) Yearly Budget'!Q170,'4.) Yearly Budget'!P170)</f>
        <v>0</v>
      </c>
      <c r="Q170" s="382">
        <f t="shared" si="101"/>
        <v>0</v>
      </c>
      <c r="R170" s="551">
        <f>'2.) Enrollment'!S29</f>
        <v>0</v>
      </c>
      <c r="S170" s="102">
        <f>IF('4.) Yearly Budget'!$T$18&gt;0,'4.) Yearly Budget'!T170,'4.) Yearly Budget'!S170)</f>
        <v>0</v>
      </c>
      <c r="T170" s="105">
        <f t="shared" si="102"/>
        <v>0</v>
      </c>
      <c r="U170" s="283">
        <f t="shared" si="103"/>
        <v>0</v>
      </c>
      <c r="V170" s="418">
        <f t="shared" si="104"/>
        <v>0</v>
      </c>
      <c r="W170" s="379">
        <f t="shared" si="105"/>
        <v>0</v>
      </c>
      <c r="X170" s="422"/>
      <c r="Y170" s="95"/>
      <c r="Z170" s="421">
        <f>IF(R$163&gt;0,'4.) Yearly Budget'!S170,IF(O$163&gt;0,'4.) Yearly Budget'!P170,IF(L$163&gt;0,'4.) Yearly Budget'!M170,IF(I$163&gt;0,'4.) Yearly Budget'!J170,0))))</f>
        <v>0</v>
      </c>
      <c r="AA170" s="381">
        <f t="shared" si="106"/>
        <v>0</v>
      </c>
      <c r="AB170" s="95"/>
      <c r="AC170" s="95"/>
      <c r="AD170" s="421">
        <f>IF(U$163&gt;0,'4.) Yearly Budget'!I170,0)</f>
        <v>0</v>
      </c>
      <c r="AE170" s="101">
        <f t="shared" si="107"/>
        <v>0</v>
      </c>
      <c r="AF170" s="278"/>
    </row>
    <row r="171" spans="1:32">
      <c r="A171" s="258">
        <f t="shared" si="83"/>
        <v>171</v>
      </c>
      <c r="B171" s="96"/>
      <c r="C171" s="50"/>
      <c r="D171" s="50"/>
      <c r="E171" s="82" t="str">
        <f t="shared" si="98"/>
        <v>-</v>
      </c>
      <c r="F171" s="82"/>
      <c r="G171" s="59"/>
      <c r="H171" s="130"/>
      <c r="I171" s="484">
        <f>'2.) Enrollment'!P30</f>
        <v>0</v>
      </c>
      <c r="J171" s="102">
        <f>IF('4.) Yearly Budget'!$K$18&gt;0,'4.) Yearly Budget'!K171,'4.) Yearly Budget'!J171)</f>
        <v>0</v>
      </c>
      <c r="K171" s="382">
        <f t="shared" si="99"/>
        <v>0</v>
      </c>
      <c r="L171" s="551">
        <f>'2.) Enrollment'!Q30</f>
        <v>0</v>
      </c>
      <c r="M171" s="102">
        <f>IF('4.) Yearly Budget'!$N$18&gt;0,'4.) Yearly Budget'!N171,'4.) Yearly Budget'!M171)</f>
        <v>0</v>
      </c>
      <c r="N171" s="382">
        <f t="shared" si="100"/>
        <v>0</v>
      </c>
      <c r="O171" s="551">
        <f>'2.) Enrollment'!R30</f>
        <v>0</v>
      </c>
      <c r="P171" s="102">
        <f>IF('4.) Yearly Budget'!$Q$18&gt;0,'4.) Yearly Budget'!Q171,'4.) Yearly Budget'!P171)</f>
        <v>0</v>
      </c>
      <c r="Q171" s="382">
        <f t="shared" si="101"/>
        <v>0</v>
      </c>
      <c r="R171" s="551">
        <f>'2.) Enrollment'!S30</f>
        <v>0</v>
      </c>
      <c r="S171" s="102">
        <f>IF('4.) Yearly Budget'!$T$18&gt;0,'4.) Yearly Budget'!T171,'4.) Yearly Budget'!S171)</f>
        <v>0</v>
      </c>
      <c r="T171" s="105">
        <f t="shared" si="102"/>
        <v>0</v>
      </c>
      <c r="U171" s="283">
        <f t="shared" si="103"/>
        <v>0</v>
      </c>
      <c r="V171" s="418">
        <f t="shared" si="104"/>
        <v>0</v>
      </c>
      <c r="W171" s="379">
        <f t="shared" si="105"/>
        <v>0</v>
      </c>
      <c r="X171" s="422"/>
      <c r="Y171" s="95"/>
      <c r="Z171" s="421">
        <f>IF(R$163&gt;0,'4.) Yearly Budget'!S171,IF(O$163&gt;0,'4.) Yearly Budget'!P171,IF(L$163&gt;0,'4.) Yearly Budget'!M171,IF(I$163&gt;0,'4.) Yearly Budget'!J171,0))))</f>
        <v>0</v>
      </c>
      <c r="AA171" s="381">
        <f t="shared" si="106"/>
        <v>0</v>
      </c>
      <c r="AB171" s="95"/>
      <c r="AC171" s="95"/>
      <c r="AD171" s="421">
        <f>IF(U$163&gt;0,'4.) Yearly Budget'!I171,0)</f>
        <v>0</v>
      </c>
      <c r="AE171" s="101">
        <f t="shared" si="107"/>
        <v>0</v>
      </c>
      <c r="AF171" s="278"/>
    </row>
    <row r="172" spans="1:32">
      <c r="A172" s="258">
        <f t="shared" si="83"/>
        <v>172</v>
      </c>
      <c r="B172" s="96"/>
      <c r="C172" s="50"/>
      <c r="D172" s="50"/>
      <c r="E172" s="82" t="str">
        <f t="shared" si="98"/>
        <v>-</v>
      </c>
      <c r="F172" s="82"/>
      <c r="G172" s="59"/>
      <c r="H172" s="130"/>
      <c r="I172" s="484">
        <f>'2.) Enrollment'!P31</f>
        <v>0</v>
      </c>
      <c r="J172" s="102">
        <f>IF('4.) Yearly Budget'!$K$18&gt;0,'4.) Yearly Budget'!K172,'4.) Yearly Budget'!J172)</f>
        <v>0</v>
      </c>
      <c r="K172" s="382">
        <f t="shared" si="99"/>
        <v>0</v>
      </c>
      <c r="L172" s="551">
        <f>'2.) Enrollment'!Q31</f>
        <v>0</v>
      </c>
      <c r="M172" s="102">
        <f>IF('4.) Yearly Budget'!$N$18&gt;0,'4.) Yearly Budget'!N172,'4.) Yearly Budget'!M172)</f>
        <v>0</v>
      </c>
      <c r="N172" s="382">
        <f t="shared" si="100"/>
        <v>0</v>
      </c>
      <c r="O172" s="551">
        <f>'2.) Enrollment'!R31</f>
        <v>0</v>
      </c>
      <c r="P172" s="102">
        <f>IF('4.) Yearly Budget'!$Q$18&gt;0,'4.) Yearly Budget'!Q172,'4.) Yearly Budget'!P172)</f>
        <v>0</v>
      </c>
      <c r="Q172" s="382">
        <f t="shared" si="101"/>
        <v>0</v>
      </c>
      <c r="R172" s="551">
        <f>'2.) Enrollment'!S31</f>
        <v>0</v>
      </c>
      <c r="S172" s="102">
        <f>IF('4.) Yearly Budget'!$T$18&gt;0,'4.) Yearly Budget'!T172,'4.) Yearly Budget'!S172)</f>
        <v>0</v>
      </c>
      <c r="T172" s="105">
        <f t="shared" si="102"/>
        <v>0</v>
      </c>
      <c r="U172" s="283">
        <f t="shared" si="103"/>
        <v>0</v>
      </c>
      <c r="V172" s="418">
        <f t="shared" si="104"/>
        <v>0</v>
      </c>
      <c r="W172" s="379">
        <f t="shared" si="105"/>
        <v>0</v>
      </c>
      <c r="X172" s="422"/>
      <c r="Y172" s="95"/>
      <c r="Z172" s="421">
        <f>IF(R$163&gt;0,'4.) Yearly Budget'!S172,IF(O$163&gt;0,'4.) Yearly Budget'!P172,IF(L$163&gt;0,'4.) Yearly Budget'!M172,IF(I$163&gt;0,'4.) Yearly Budget'!J172,0))))</f>
        <v>0</v>
      </c>
      <c r="AA172" s="381">
        <f t="shared" si="106"/>
        <v>0</v>
      </c>
      <c r="AB172" s="95"/>
      <c r="AC172" s="95"/>
      <c r="AD172" s="421">
        <f>IF(U$163&gt;0,'4.) Yearly Budget'!I172,0)</f>
        <v>0</v>
      </c>
      <c r="AE172" s="101">
        <f t="shared" si="107"/>
        <v>0</v>
      </c>
      <c r="AF172" s="278"/>
    </row>
    <row r="173" spans="1:32">
      <c r="A173" s="258">
        <f t="shared" si="83"/>
        <v>173</v>
      </c>
      <c r="B173" s="96"/>
      <c r="C173" s="50"/>
      <c r="D173" s="50"/>
      <c r="E173" s="82" t="str">
        <f t="shared" si="98"/>
        <v>-</v>
      </c>
      <c r="F173" s="82"/>
      <c r="G173" s="59"/>
      <c r="H173" s="130"/>
      <c r="I173" s="484">
        <f>'2.) Enrollment'!P32</f>
        <v>0</v>
      </c>
      <c r="J173" s="102">
        <f>IF('4.) Yearly Budget'!$K$18&gt;0,'4.) Yearly Budget'!K173,'4.) Yearly Budget'!J173)</f>
        <v>0</v>
      </c>
      <c r="K173" s="382">
        <f t="shared" si="99"/>
        <v>0</v>
      </c>
      <c r="L173" s="551">
        <f>'2.) Enrollment'!Q32</f>
        <v>0</v>
      </c>
      <c r="M173" s="102">
        <f>IF('4.) Yearly Budget'!$N$18&gt;0,'4.) Yearly Budget'!N173,'4.) Yearly Budget'!M173)</f>
        <v>0</v>
      </c>
      <c r="N173" s="382">
        <f t="shared" si="100"/>
        <v>0</v>
      </c>
      <c r="O173" s="551">
        <f>'2.) Enrollment'!R32</f>
        <v>0</v>
      </c>
      <c r="P173" s="102">
        <f>IF('4.) Yearly Budget'!$Q$18&gt;0,'4.) Yearly Budget'!Q173,'4.) Yearly Budget'!P173)</f>
        <v>0</v>
      </c>
      <c r="Q173" s="382">
        <f t="shared" si="101"/>
        <v>0</v>
      </c>
      <c r="R173" s="551">
        <f>'2.) Enrollment'!S32</f>
        <v>0</v>
      </c>
      <c r="S173" s="102">
        <f>IF('4.) Yearly Budget'!$T$18&gt;0,'4.) Yearly Budget'!T173,'4.) Yearly Budget'!S173)</f>
        <v>0</v>
      </c>
      <c r="T173" s="105">
        <f t="shared" si="102"/>
        <v>0</v>
      </c>
      <c r="U173" s="283">
        <f t="shared" si="103"/>
        <v>0</v>
      </c>
      <c r="V173" s="418">
        <f t="shared" si="104"/>
        <v>0</v>
      </c>
      <c r="W173" s="379">
        <f t="shared" si="105"/>
        <v>0</v>
      </c>
      <c r="X173" s="422"/>
      <c r="Y173" s="95"/>
      <c r="Z173" s="421">
        <f>IF(R$163&gt;0,'4.) Yearly Budget'!S173,IF(O$163&gt;0,'4.) Yearly Budget'!P173,IF(L$163&gt;0,'4.) Yearly Budget'!M173,IF(I$163&gt;0,'4.) Yearly Budget'!J173,0))))</f>
        <v>0</v>
      </c>
      <c r="AA173" s="381">
        <f t="shared" si="106"/>
        <v>0</v>
      </c>
      <c r="AB173" s="95"/>
      <c r="AC173" s="95"/>
      <c r="AD173" s="421">
        <f>IF(U$163&gt;0,'4.) Yearly Budget'!I173,0)</f>
        <v>0</v>
      </c>
      <c r="AE173" s="101">
        <f t="shared" si="107"/>
        <v>0</v>
      </c>
      <c r="AF173" s="278"/>
    </row>
    <row r="174" spans="1:32">
      <c r="A174" s="258">
        <f t="shared" si="83"/>
        <v>174</v>
      </c>
      <c r="B174" s="96"/>
      <c r="C174" s="50"/>
      <c r="D174" s="50"/>
      <c r="E174" s="82" t="str">
        <f t="shared" si="98"/>
        <v>-</v>
      </c>
      <c r="F174" s="82"/>
      <c r="G174" s="59"/>
      <c r="H174" s="130"/>
      <c r="I174" s="484">
        <f>'2.) Enrollment'!P33</f>
        <v>0</v>
      </c>
      <c r="J174" s="102">
        <f>IF('4.) Yearly Budget'!$K$18&gt;0,'4.) Yearly Budget'!K174,'4.) Yearly Budget'!J174)</f>
        <v>0</v>
      </c>
      <c r="K174" s="382">
        <f t="shared" si="99"/>
        <v>0</v>
      </c>
      <c r="L174" s="551">
        <f>'2.) Enrollment'!Q33</f>
        <v>0</v>
      </c>
      <c r="M174" s="102">
        <f>IF('4.) Yearly Budget'!$N$18&gt;0,'4.) Yearly Budget'!N174,'4.) Yearly Budget'!M174)</f>
        <v>0</v>
      </c>
      <c r="N174" s="382">
        <f t="shared" si="100"/>
        <v>0</v>
      </c>
      <c r="O174" s="551">
        <f>'2.) Enrollment'!R33</f>
        <v>0</v>
      </c>
      <c r="P174" s="102">
        <f>IF('4.) Yearly Budget'!$Q$18&gt;0,'4.) Yearly Budget'!Q174,'4.) Yearly Budget'!P174)</f>
        <v>0</v>
      </c>
      <c r="Q174" s="382">
        <f t="shared" si="101"/>
        <v>0</v>
      </c>
      <c r="R174" s="551">
        <f>'2.) Enrollment'!S33</f>
        <v>0</v>
      </c>
      <c r="S174" s="102">
        <f>IF('4.) Yearly Budget'!$T$18&gt;0,'4.) Yearly Budget'!T174,'4.) Yearly Budget'!S174)</f>
        <v>0</v>
      </c>
      <c r="T174" s="105">
        <f t="shared" si="102"/>
        <v>0</v>
      </c>
      <c r="U174" s="283">
        <f t="shared" si="103"/>
        <v>0</v>
      </c>
      <c r="V174" s="418">
        <f t="shared" si="104"/>
        <v>0</v>
      </c>
      <c r="W174" s="379">
        <f t="shared" si="105"/>
        <v>0</v>
      </c>
      <c r="X174" s="422"/>
      <c r="Y174" s="95"/>
      <c r="Z174" s="421">
        <f>IF(R$163&gt;0,'4.) Yearly Budget'!S174,IF(O$163&gt;0,'4.) Yearly Budget'!P174,IF(L$163&gt;0,'4.) Yearly Budget'!M174,IF(I$163&gt;0,'4.) Yearly Budget'!J174,0))))</f>
        <v>0</v>
      </c>
      <c r="AA174" s="381">
        <f t="shared" si="106"/>
        <v>0</v>
      </c>
      <c r="AB174" s="95"/>
      <c r="AC174" s="95"/>
      <c r="AD174" s="421">
        <f>IF(U$163&gt;0,'4.) Yearly Budget'!I174,0)</f>
        <v>0</v>
      </c>
      <c r="AE174" s="101">
        <f t="shared" si="107"/>
        <v>0</v>
      </c>
      <c r="AF174" s="278"/>
    </row>
    <row r="175" spans="1:32">
      <c r="A175" s="258">
        <f t="shared" si="83"/>
        <v>175</v>
      </c>
      <c r="B175" s="96"/>
      <c r="C175" s="50"/>
      <c r="D175" s="50"/>
      <c r="E175" s="82" t="str">
        <f t="shared" si="98"/>
        <v>-</v>
      </c>
      <c r="F175" s="82"/>
      <c r="G175" s="59"/>
      <c r="H175" s="130"/>
      <c r="I175" s="484">
        <f>'2.) Enrollment'!P34</f>
        <v>0</v>
      </c>
      <c r="J175" s="102">
        <f>IF('4.) Yearly Budget'!$K$18&gt;0,'4.) Yearly Budget'!K175,'4.) Yearly Budget'!J175)</f>
        <v>0</v>
      </c>
      <c r="K175" s="382">
        <f t="shared" si="99"/>
        <v>0</v>
      </c>
      <c r="L175" s="551">
        <f>'2.) Enrollment'!Q34</f>
        <v>0</v>
      </c>
      <c r="M175" s="102">
        <f>IF('4.) Yearly Budget'!$N$18&gt;0,'4.) Yearly Budget'!N175,'4.) Yearly Budget'!M175)</f>
        <v>0</v>
      </c>
      <c r="N175" s="382">
        <f t="shared" si="100"/>
        <v>0</v>
      </c>
      <c r="O175" s="551">
        <f>'2.) Enrollment'!R34</f>
        <v>0</v>
      </c>
      <c r="P175" s="102">
        <f>IF('4.) Yearly Budget'!$Q$18&gt;0,'4.) Yearly Budget'!Q175,'4.) Yearly Budget'!P175)</f>
        <v>0</v>
      </c>
      <c r="Q175" s="382">
        <f t="shared" si="101"/>
        <v>0</v>
      </c>
      <c r="R175" s="551">
        <f>'2.) Enrollment'!S34</f>
        <v>0</v>
      </c>
      <c r="S175" s="102">
        <f>IF('4.) Yearly Budget'!$T$18&gt;0,'4.) Yearly Budget'!T175,'4.) Yearly Budget'!S175)</f>
        <v>0</v>
      </c>
      <c r="T175" s="105">
        <f t="shared" si="102"/>
        <v>0</v>
      </c>
      <c r="U175" s="283">
        <f t="shared" si="103"/>
        <v>0</v>
      </c>
      <c r="V175" s="418">
        <f t="shared" si="104"/>
        <v>0</v>
      </c>
      <c r="W175" s="379">
        <f t="shared" si="105"/>
        <v>0</v>
      </c>
      <c r="X175" s="422"/>
      <c r="Y175" s="95"/>
      <c r="Z175" s="421">
        <f>IF(R$163&gt;0,'4.) Yearly Budget'!S175,IF(O$163&gt;0,'4.) Yearly Budget'!P175,IF(L$163&gt;0,'4.) Yearly Budget'!M175,IF(I$163&gt;0,'4.) Yearly Budget'!J175,0))))</f>
        <v>0</v>
      </c>
      <c r="AA175" s="381">
        <f t="shared" si="106"/>
        <v>0</v>
      </c>
      <c r="AB175" s="95"/>
      <c r="AC175" s="95"/>
      <c r="AD175" s="421">
        <f>IF(U$163&gt;0,'4.) Yearly Budget'!I175,0)</f>
        <v>0</v>
      </c>
      <c r="AE175" s="101">
        <f t="shared" si="107"/>
        <v>0</v>
      </c>
      <c r="AF175" s="278"/>
    </row>
    <row r="176" spans="1:32">
      <c r="A176" s="258">
        <f t="shared" si="83"/>
        <v>176</v>
      </c>
      <c r="B176" s="96"/>
      <c r="C176" s="50"/>
      <c r="D176" s="50"/>
      <c r="E176" s="82" t="str">
        <f t="shared" si="98"/>
        <v>-</v>
      </c>
      <c r="F176" s="82"/>
      <c r="G176" s="59"/>
      <c r="H176" s="130"/>
      <c r="I176" s="484">
        <f>'2.) Enrollment'!P35</f>
        <v>0</v>
      </c>
      <c r="J176" s="102">
        <f>IF('4.) Yearly Budget'!$K$18&gt;0,'4.) Yearly Budget'!K176,'4.) Yearly Budget'!J176)</f>
        <v>0</v>
      </c>
      <c r="K176" s="382">
        <f t="shared" si="99"/>
        <v>0</v>
      </c>
      <c r="L176" s="551">
        <f>'2.) Enrollment'!Q35</f>
        <v>0</v>
      </c>
      <c r="M176" s="102">
        <f>IF('4.) Yearly Budget'!$N$18&gt;0,'4.) Yearly Budget'!N176,'4.) Yearly Budget'!M176)</f>
        <v>0</v>
      </c>
      <c r="N176" s="382">
        <f t="shared" si="100"/>
        <v>0</v>
      </c>
      <c r="O176" s="551">
        <f>'2.) Enrollment'!R35</f>
        <v>0</v>
      </c>
      <c r="P176" s="102">
        <f>IF('4.) Yearly Budget'!$Q$18&gt;0,'4.) Yearly Budget'!Q176,'4.) Yearly Budget'!P176)</f>
        <v>0</v>
      </c>
      <c r="Q176" s="382">
        <f t="shared" si="101"/>
        <v>0</v>
      </c>
      <c r="R176" s="551">
        <f>'2.) Enrollment'!S35</f>
        <v>0</v>
      </c>
      <c r="S176" s="102">
        <f>IF('4.) Yearly Budget'!$T$18&gt;0,'4.) Yearly Budget'!T176,'4.) Yearly Budget'!S176)</f>
        <v>0</v>
      </c>
      <c r="T176" s="105">
        <f t="shared" si="102"/>
        <v>0</v>
      </c>
      <c r="U176" s="283">
        <f t="shared" si="103"/>
        <v>0</v>
      </c>
      <c r="V176" s="418">
        <f t="shared" si="104"/>
        <v>0</v>
      </c>
      <c r="W176" s="379">
        <f t="shared" si="105"/>
        <v>0</v>
      </c>
      <c r="X176" s="422"/>
      <c r="Y176" s="95"/>
      <c r="Z176" s="421">
        <f>IF(R$163&gt;0,'4.) Yearly Budget'!S176,IF(O$163&gt;0,'4.) Yearly Budget'!P176,IF(L$163&gt;0,'4.) Yearly Budget'!M176,IF(I$163&gt;0,'4.) Yearly Budget'!J176,0))))</f>
        <v>0</v>
      </c>
      <c r="AA176" s="381">
        <f t="shared" si="106"/>
        <v>0</v>
      </c>
      <c r="AB176" s="95"/>
      <c r="AC176" s="95"/>
      <c r="AD176" s="421">
        <f>IF(U$163&gt;0,'4.) Yearly Budget'!I176,0)</f>
        <v>0</v>
      </c>
      <c r="AE176" s="101">
        <f t="shared" si="107"/>
        <v>0</v>
      </c>
      <c r="AF176" s="278"/>
    </row>
    <row r="177" spans="1:32">
      <c r="A177" s="258">
        <f t="shared" si="83"/>
        <v>177</v>
      </c>
      <c r="B177" s="96"/>
      <c r="C177" s="50"/>
      <c r="D177" s="50"/>
      <c r="E177" s="82" t="str">
        <f t="shared" si="98"/>
        <v>-</v>
      </c>
      <c r="F177" s="82"/>
      <c r="G177" s="59"/>
      <c r="H177" s="130"/>
      <c r="I177" s="484">
        <f>'2.) Enrollment'!P36</f>
        <v>0</v>
      </c>
      <c r="J177" s="102">
        <f>IF('4.) Yearly Budget'!$K$18&gt;0,'4.) Yearly Budget'!K177,'4.) Yearly Budget'!J177)</f>
        <v>0</v>
      </c>
      <c r="K177" s="382">
        <f t="shared" si="99"/>
        <v>0</v>
      </c>
      <c r="L177" s="551">
        <f>'2.) Enrollment'!Q36</f>
        <v>0</v>
      </c>
      <c r="M177" s="102">
        <f>IF('4.) Yearly Budget'!$N$18&gt;0,'4.) Yearly Budget'!N177,'4.) Yearly Budget'!M177)</f>
        <v>0</v>
      </c>
      <c r="N177" s="382">
        <f t="shared" si="100"/>
        <v>0</v>
      </c>
      <c r="O177" s="551">
        <f>'2.) Enrollment'!R36</f>
        <v>0</v>
      </c>
      <c r="P177" s="102">
        <f>IF('4.) Yearly Budget'!$Q$18&gt;0,'4.) Yearly Budget'!Q177,'4.) Yearly Budget'!P177)</f>
        <v>0</v>
      </c>
      <c r="Q177" s="382">
        <f t="shared" si="101"/>
        <v>0</v>
      </c>
      <c r="R177" s="551">
        <f>'2.) Enrollment'!S36</f>
        <v>0</v>
      </c>
      <c r="S177" s="102">
        <f>IF('4.) Yearly Budget'!$T$18&gt;0,'4.) Yearly Budget'!T177,'4.) Yearly Budget'!S177)</f>
        <v>0</v>
      </c>
      <c r="T177" s="105">
        <f t="shared" si="102"/>
        <v>0</v>
      </c>
      <c r="U177" s="283">
        <f t="shared" si="103"/>
        <v>0</v>
      </c>
      <c r="V177" s="418">
        <f t="shared" si="104"/>
        <v>0</v>
      </c>
      <c r="W177" s="379">
        <f t="shared" si="105"/>
        <v>0</v>
      </c>
      <c r="X177" s="422"/>
      <c r="Y177" s="95"/>
      <c r="Z177" s="421">
        <f>IF(R$163&gt;0,'4.) Yearly Budget'!S177,IF(O$163&gt;0,'4.) Yearly Budget'!P177,IF(L$163&gt;0,'4.) Yearly Budget'!M177,IF(I$163&gt;0,'4.) Yearly Budget'!J177,0))))</f>
        <v>0</v>
      </c>
      <c r="AA177" s="381">
        <f t="shared" si="106"/>
        <v>0</v>
      </c>
      <c r="AB177" s="95"/>
      <c r="AC177" s="95"/>
      <c r="AD177" s="421">
        <f>IF(U$163&gt;0,'4.) Yearly Budget'!I177,0)</f>
        <v>0</v>
      </c>
      <c r="AE177" s="101">
        <f t="shared" si="107"/>
        <v>0</v>
      </c>
      <c r="AF177" s="278"/>
    </row>
    <row r="178" spans="1:32" ht="16.8">
      <c r="A178" s="258">
        <f t="shared" si="83"/>
        <v>178</v>
      </c>
      <c r="B178" s="96"/>
      <c r="C178" s="50"/>
      <c r="D178" s="50"/>
      <c r="E178" s="82" t="str">
        <f t="shared" si="98"/>
        <v>ALL OTHER School Districts: ( Count = 0 )</v>
      </c>
      <c r="F178" s="82"/>
      <c r="G178" s="59"/>
      <c r="H178" s="153"/>
      <c r="I178" s="484">
        <f>SUM('2.) Enrollment'!P37:P71)</f>
        <v>0</v>
      </c>
      <c r="J178" s="102">
        <f>IF('4.) Yearly Budget'!$K$18&gt;0,'4.) Yearly Budget'!K178,'4.) Yearly Budget'!J178)</f>
        <v>0</v>
      </c>
      <c r="K178" s="382">
        <f t="shared" si="99"/>
        <v>0</v>
      </c>
      <c r="L178" s="484">
        <f>SUM('2.) Enrollment'!Q37:Q71)</f>
        <v>0</v>
      </c>
      <c r="M178" s="102">
        <f>IF('4.) Yearly Budget'!$N$18&gt;0,'4.) Yearly Budget'!N178,'4.) Yearly Budget'!M178)</f>
        <v>0</v>
      </c>
      <c r="N178" s="382">
        <f t="shared" si="100"/>
        <v>0</v>
      </c>
      <c r="O178" s="484">
        <f>SUM('2.) Enrollment'!R37:R71)</f>
        <v>0</v>
      </c>
      <c r="P178" s="102">
        <f>IF('4.) Yearly Budget'!$Q$18&gt;0,'4.) Yearly Budget'!Q178,'4.) Yearly Budget'!P178)</f>
        <v>0</v>
      </c>
      <c r="Q178" s="382">
        <f t="shared" si="101"/>
        <v>0</v>
      </c>
      <c r="R178" s="484">
        <f>SUM('2.) Enrollment'!S37:S71)</f>
        <v>0</v>
      </c>
      <c r="S178" s="102">
        <f>IF('4.) Yearly Budget'!$T$18&gt;0,'4.) Yearly Budget'!T178,'4.) Yearly Budget'!S178)</f>
        <v>0</v>
      </c>
      <c r="T178" s="105">
        <f t="shared" si="102"/>
        <v>0</v>
      </c>
      <c r="U178" s="283">
        <f t="shared" si="103"/>
        <v>0</v>
      </c>
      <c r="V178" s="418">
        <f t="shared" si="104"/>
        <v>0</v>
      </c>
      <c r="W178" s="379">
        <f t="shared" si="105"/>
        <v>0</v>
      </c>
      <c r="X178" s="422"/>
      <c r="Y178" s="95"/>
      <c r="Z178" s="421">
        <f>IF(R$163&gt;0,'4.) Yearly Budget'!S178,IF(O$163&gt;0,'4.) Yearly Budget'!P178,IF(L$163&gt;0,'4.) Yearly Budget'!M178,IF(I$163&gt;0,'4.) Yearly Budget'!J178,0))))</f>
        <v>0</v>
      </c>
      <c r="AA178" s="381">
        <f t="shared" si="106"/>
        <v>0</v>
      </c>
      <c r="AB178" s="95"/>
      <c r="AC178" s="95"/>
      <c r="AD178" s="421">
        <f>IF(U$163&gt;0,'4.) Yearly Budget'!I178,0)</f>
        <v>0</v>
      </c>
      <c r="AE178" s="101">
        <f t="shared" si="107"/>
        <v>0</v>
      </c>
      <c r="AF178" s="278"/>
    </row>
    <row r="179" spans="1:32" ht="16.8">
      <c r="A179" s="258">
        <f t="shared" si="83"/>
        <v>179</v>
      </c>
      <c r="B179" s="65" t="s">
        <v>93</v>
      </c>
      <c r="C179" s="66"/>
      <c r="D179" s="66"/>
      <c r="E179" s="82"/>
      <c r="F179" s="82"/>
      <c r="G179" s="59"/>
      <c r="H179" s="144"/>
      <c r="I179" s="305">
        <f t="shared" ref="I179:W179" si="108">SUM(I163:I178)</f>
        <v>0</v>
      </c>
      <c r="J179" s="423">
        <f t="shared" si="108"/>
        <v>0</v>
      </c>
      <c r="K179" s="424">
        <f t="shared" si="108"/>
        <v>0</v>
      </c>
      <c r="L179" s="425">
        <f t="shared" si="108"/>
        <v>0</v>
      </c>
      <c r="M179" s="423">
        <f t="shared" si="108"/>
        <v>0</v>
      </c>
      <c r="N179" s="424">
        <f t="shared" si="108"/>
        <v>0</v>
      </c>
      <c r="O179" s="425">
        <f t="shared" si="108"/>
        <v>0</v>
      </c>
      <c r="P179" s="423">
        <f t="shared" si="108"/>
        <v>0</v>
      </c>
      <c r="Q179" s="424">
        <f t="shared" si="108"/>
        <v>0</v>
      </c>
      <c r="R179" s="425">
        <f t="shared" si="108"/>
        <v>0</v>
      </c>
      <c r="S179" s="423">
        <f t="shared" si="108"/>
        <v>0</v>
      </c>
      <c r="T179" s="426">
        <f t="shared" si="108"/>
        <v>0</v>
      </c>
      <c r="U179" s="427">
        <f t="shared" si="108"/>
        <v>0</v>
      </c>
      <c r="V179" s="428">
        <f t="shared" si="108"/>
        <v>0</v>
      </c>
      <c r="W179" s="428">
        <f t="shared" si="108"/>
        <v>0</v>
      </c>
      <c r="X179" s="429"/>
      <c r="Y179" s="144"/>
      <c r="Z179" s="430">
        <f>SUM(Z163:Z178)</f>
        <v>0</v>
      </c>
      <c r="AA179" s="431">
        <f>SUM(AA163:AA178)</f>
        <v>0</v>
      </c>
      <c r="AB179" s="144"/>
      <c r="AC179" s="144"/>
      <c r="AD179" s="430">
        <f>SUM(AD163:AD178)</f>
        <v>0</v>
      </c>
      <c r="AE179" s="306">
        <f>SUM(AE163:AE178)</f>
        <v>0</v>
      </c>
      <c r="AF179" s="278"/>
    </row>
    <row r="180" spans="1:32" s="50" customFormat="1" ht="7.5" customHeight="1">
      <c r="A180" s="258">
        <f t="shared" si="83"/>
        <v>180</v>
      </c>
      <c r="B180" s="81"/>
      <c r="C180" s="82"/>
      <c r="D180" s="82"/>
      <c r="E180" s="82"/>
      <c r="F180" s="82"/>
      <c r="G180" s="59"/>
      <c r="H180" s="130"/>
      <c r="I180" s="142"/>
      <c r="J180" s="142"/>
      <c r="K180" s="142"/>
      <c r="L180" s="142"/>
      <c r="M180" s="142"/>
      <c r="N180" s="142"/>
      <c r="O180" s="142"/>
      <c r="P180" s="142"/>
      <c r="Q180" s="142"/>
      <c r="R180" s="142"/>
      <c r="S180" s="142"/>
      <c r="T180" s="307"/>
      <c r="U180" s="142"/>
      <c r="V180" s="142"/>
      <c r="W180" s="142"/>
      <c r="X180" s="130"/>
      <c r="Y180" s="130"/>
      <c r="Z180" s="130"/>
      <c r="AA180" s="130"/>
      <c r="AB180" s="130"/>
      <c r="AC180" s="130"/>
      <c r="AD180" s="130"/>
      <c r="AE180" s="432"/>
      <c r="AF180" s="278"/>
    </row>
    <row r="181" spans="1:32" ht="16.8">
      <c r="A181" s="258">
        <f t="shared" si="83"/>
        <v>181</v>
      </c>
      <c r="B181" s="92" t="s">
        <v>94</v>
      </c>
      <c r="C181" s="93"/>
      <c r="D181" s="93"/>
      <c r="E181" s="82"/>
      <c r="F181" s="82"/>
      <c r="G181" s="59"/>
      <c r="H181" s="144"/>
      <c r="I181" s="308">
        <f>IF(I179&gt;0,I66/I179,0)</f>
        <v>0</v>
      </c>
      <c r="J181" s="309">
        <f>IF(J179&gt;0,J66/J179,0)</f>
        <v>0</v>
      </c>
      <c r="K181" s="433">
        <f>IF(I$18&lt;&gt;0,I181-J181,0)</f>
        <v>0</v>
      </c>
      <c r="L181" s="434">
        <f>IF(L179&gt;0,L66/L179,0)</f>
        <v>0</v>
      </c>
      <c r="M181" s="309">
        <f>IF(M179&gt;0,M66/M179,0)</f>
        <v>0</v>
      </c>
      <c r="N181" s="433">
        <f>IF(L$18&lt;&gt;0,L181-M181,0)</f>
        <v>0</v>
      </c>
      <c r="O181" s="434">
        <f>IF(O179&gt;0,O66/O179,0)</f>
        <v>0</v>
      </c>
      <c r="P181" s="309">
        <f>IF(P179&gt;0,P66/P179,0)</f>
        <v>0</v>
      </c>
      <c r="Q181" s="433">
        <f>IF(O$18&lt;&gt;0,O181-P181,0)</f>
        <v>0</v>
      </c>
      <c r="R181" s="434">
        <f>IF(R179&gt;0,R66/R179,0)</f>
        <v>0</v>
      </c>
      <c r="S181" s="309">
        <f>IF(S179&gt;0,S66/S179,0)</f>
        <v>0</v>
      </c>
      <c r="T181" s="435">
        <f>IF(R$18&lt;&gt;0,R181-S181,0)</f>
        <v>0</v>
      </c>
      <c r="U181" s="436">
        <f>IF(U179&gt;0,U66/U179,0)</f>
        <v>0</v>
      </c>
      <c r="V181" s="154">
        <f>IF(V179&gt;0,V66/V179,0)</f>
        <v>0</v>
      </c>
      <c r="W181" s="154">
        <f>U181-V181</f>
        <v>0</v>
      </c>
      <c r="X181" s="437"/>
      <c r="Y181" s="143"/>
      <c r="Z181" s="438">
        <f>IF(Z179&gt;0,Z66/Z179,0)</f>
        <v>0</v>
      </c>
      <c r="AA181" s="154">
        <f>U181-Z181</f>
        <v>0</v>
      </c>
      <c r="AB181" s="143"/>
      <c r="AC181" s="143"/>
      <c r="AD181" s="438">
        <f>IF(AD179&gt;0,AD66/AD179,0)</f>
        <v>0</v>
      </c>
      <c r="AE181" s="439">
        <f>U181-AD181</f>
        <v>0</v>
      </c>
      <c r="AF181" s="278"/>
    </row>
    <row r="182" spans="1:32" s="50" customFormat="1" ht="7.5" customHeight="1">
      <c r="A182" s="258">
        <f t="shared" si="83"/>
        <v>182</v>
      </c>
      <c r="B182" s="81"/>
      <c r="C182" s="82"/>
      <c r="D182" s="82"/>
      <c r="E182" s="82"/>
      <c r="F182" s="82"/>
      <c r="G182" s="59"/>
      <c r="H182" s="130"/>
      <c r="I182" s="142"/>
      <c r="J182" s="142"/>
      <c r="K182" s="142"/>
      <c r="L182" s="142"/>
      <c r="M182" s="142"/>
      <c r="N182" s="142"/>
      <c r="O182" s="142"/>
      <c r="P182" s="142"/>
      <c r="Q182" s="142"/>
      <c r="R182" s="142"/>
      <c r="S182" s="142"/>
      <c r="T182" s="307"/>
      <c r="U182" s="142"/>
      <c r="V182" s="142"/>
      <c r="W182" s="142"/>
      <c r="X182" s="130"/>
      <c r="Y182" s="130"/>
      <c r="Z182" s="142"/>
      <c r="AA182" s="142"/>
      <c r="AB182" s="130"/>
      <c r="AC182" s="130"/>
      <c r="AD182" s="142"/>
      <c r="AE182" s="432"/>
      <c r="AF182" s="278"/>
    </row>
    <row r="183" spans="1:32" ht="17.399999999999999" thickBot="1">
      <c r="A183" s="258">
        <f t="shared" si="83"/>
        <v>183</v>
      </c>
      <c r="B183" s="125" t="s">
        <v>95</v>
      </c>
      <c r="C183" s="126"/>
      <c r="D183" s="126"/>
      <c r="E183" s="310"/>
      <c r="F183" s="310"/>
      <c r="G183" s="311"/>
      <c r="H183" s="312"/>
      <c r="I183" s="313">
        <f>IF(I179&gt;0,I157/I179,0)</f>
        <v>0</v>
      </c>
      <c r="J183" s="314">
        <f>IF(J179&gt;0,J157/J179,0)</f>
        <v>0</v>
      </c>
      <c r="K183" s="440">
        <f>IF(I$18&lt;&gt;0,J183-I183,0)</f>
        <v>0</v>
      </c>
      <c r="L183" s="441">
        <f>IF(L179&gt;0,L157/L179,0)</f>
        <v>0</v>
      </c>
      <c r="M183" s="314">
        <f>IF(M179&gt;0,M157/M179,0)</f>
        <v>0</v>
      </c>
      <c r="N183" s="440">
        <f>IF(L$18&lt;&gt;0,M183-L183,0)</f>
        <v>0</v>
      </c>
      <c r="O183" s="441">
        <f>IF(O179&gt;0,O157/O179,0)</f>
        <v>0</v>
      </c>
      <c r="P183" s="314">
        <f>IF(P179&gt;0,P157/P179,0)</f>
        <v>0</v>
      </c>
      <c r="Q183" s="440">
        <f>IF(O$18&lt;&gt;0,P183-O183,0)</f>
        <v>0</v>
      </c>
      <c r="R183" s="441">
        <f>IF(R179&gt;0,R157/R179,0)</f>
        <v>0</v>
      </c>
      <c r="S183" s="314">
        <f>IF(S179&gt;0,S157/S179,0)</f>
        <v>0</v>
      </c>
      <c r="T183" s="442">
        <f>IF(R$18&lt;&gt;0,S183-R183,0)</f>
        <v>0</v>
      </c>
      <c r="U183" s="443">
        <f>IF(U179&gt;0,U157/U179,0)</f>
        <v>0</v>
      </c>
      <c r="V183" s="444">
        <f>IF(V179&gt;0,V157/V179,0)</f>
        <v>0</v>
      </c>
      <c r="W183" s="444">
        <f>V183-U183</f>
        <v>0</v>
      </c>
      <c r="X183" s="445"/>
      <c r="Y183" s="446"/>
      <c r="Z183" s="447">
        <f>IF(Z179&gt;0,Z157/Z179,0)</f>
        <v>0</v>
      </c>
      <c r="AA183" s="444">
        <f>Z183-U183</f>
        <v>0</v>
      </c>
      <c r="AB183" s="446"/>
      <c r="AC183" s="446"/>
      <c r="AD183" s="447">
        <f>IF(AD179&gt;0,AD157/AD179,0)</f>
        <v>0</v>
      </c>
      <c r="AE183" s="448">
        <f>AD183-U183</f>
        <v>0</v>
      </c>
      <c r="AF183" s="449"/>
    </row>
    <row r="184" spans="1:32" ht="15.6" thickTop="1">
      <c r="I184" s="450"/>
      <c r="J184" s="450"/>
      <c r="K184" s="450"/>
      <c r="L184" s="450"/>
      <c r="M184" s="450"/>
      <c r="N184" s="450"/>
      <c r="O184" s="450"/>
      <c r="P184" s="450"/>
      <c r="Q184" s="450"/>
      <c r="R184" s="450"/>
      <c r="S184" s="450"/>
      <c r="T184" s="450"/>
    </row>
    <row r="185" spans="1:32">
      <c r="J185" s="130"/>
    </row>
  </sheetData>
  <sheetProtection algorithmName="SHA-512" hashValue="uKISvpVsV66nD5HPmMAydKXtn8h1mEJ9SNOrMB5HkiaXuO+wlfEG+udSJnZe7umWrb/EEEq7gmhz3cd6G2K+ew==" saltValue="xqSvzsugkmcXOOgnVFxXpg==" spinCount="100000" sheet="1" objects="1" scenarios="1"/>
  <mergeCells count="12">
    <mergeCell ref="U12:AE12"/>
    <mergeCell ref="B13:G13"/>
    <mergeCell ref="U2:AE2"/>
    <mergeCell ref="U3:AE3"/>
    <mergeCell ref="U4:AE4"/>
    <mergeCell ref="I12:K12"/>
    <mergeCell ref="L12:N12"/>
    <mergeCell ref="O12:Q12"/>
    <mergeCell ref="R12:T12"/>
    <mergeCell ref="I2:T2"/>
    <mergeCell ref="I3:T3"/>
    <mergeCell ref="I4:T4"/>
  </mergeCells>
  <conditionalFormatting sqref="I2 U2:AE2">
    <cfRule type="expression" dxfId="51" priority="74">
      <formula>$I$2=Mssg1</formula>
    </cfRule>
  </conditionalFormatting>
  <conditionalFormatting sqref="C4:I4 U4:AE4">
    <cfRule type="expression" dxfId="50" priority="75">
      <formula>$I$4=Mssg2</formula>
    </cfRule>
  </conditionalFormatting>
  <conditionalFormatting sqref="E2">
    <cfRule type="notContainsBlanks" dxfId="49" priority="77">
      <formula>LEN(TRIM(E2))&gt;0</formula>
    </cfRule>
  </conditionalFormatting>
  <printOptions horizontalCentered="1"/>
  <pageMargins left="0.28999999999999998" right="0.28999999999999998" top="0.31" bottom="0.28000000000000003" header="0.3" footer="0.3"/>
  <pageSetup scale="53" orientation="landscape" r:id="rId1"/>
  <headerFooter>
    <oddFooter>&amp;CPage &amp;P of &amp;N&amp;R&amp;F</oddFooter>
  </headerFooter>
  <rowBreaks count="3" manualBreakCount="3">
    <brk id="66" max="16383" man="1"/>
    <brk id="118" max="16383" man="1"/>
    <brk id="159" max="16383" man="1"/>
  </rowBreaks>
  <colBreaks count="1" manualBreakCount="1">
    <brk id="20" max="1048575" man="1"/>
  </colBreaks>
  <ignoredErrors>
    <ignoredError sqref="L9 O9 R9 N34 Q34 T34 K34 U34:AE34 K181:T183 K159:AA159" formula="1"/>
    <ignoredError sqref="I178 L178 O178 R178 M33:N33"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3366"/>
    <pageSetUpPr fitToPage="1"/>
  </sheetPr>
  <dimension ref="A1:D18"/>
  <sheetViews>
    <sheetView zoomScaleNormal="100" workbookViewId="0">
      <selection activeCell="D13" sqref="D13:D14"/>
    </sheetView>
  </sheetViews>
  <sheetFormatPr defaultRowHeight="13.2"/>
  <cols>
    <col min="2" max="3" width="11.33203125" customWidth="1"/>
    <col min="4" max="4" width="49.109375" customWidth="1"/>
    <col min="258" max="259" width="11.33203125" customWidth="1"/>
    <col min="260" max="260" width="49.109375" customWidth="1"/>
    <col min="514" max="515" width="11.33203125" customWidth="1"/>
    <col min="516" max="516" width="49.109375" customWidth="1"/>
    <col min="770" max="771" width="11.33203125" customWidth="1"/>
    <col min="772" max="772" width="49.109375" customWidth="1"/>
    <col min="1026" max="1027" width="11.33203125" customWidth="1"/>
    <col min="1028" max="1028" width="49.109375" customWidth="1"/>
    <col min="1282" max="1283" width="11.33203125" customWidth="1"/>
    <col min="1284" max="1284" width="49.109375" customWidth="1"/>
    <col min="1538" max="1539" width="11.33203125" customWidth="1"/>
    <col min="1540" max="1540" width="49.109375" customWidth="1"/>
    <col min="1794" max="1795" width="11.33203125" customWidth="1"/>
    <col min="1796" max="1796" width="49.109375" customWidth="1"/>
    <col min="2050" max="2051" width="11.33203125" customWidth="1"/>
    <col min="2052" max="2052" width="49.109375" customWidth="1"/>
    <col min="2306" max="2307" width="11.33203125" customWidth="1"/>
    <col min="2308" max="2308" width="49.109375" customWidth="1"/>
    <col min="2562" max="2563" width="11.33203125" customWidth="1"/>
    <col min="2564" max="2564" width="49.109375" customWidth="1"/>
    <col min="2818" max="2819" width="11.33203125" customWidth="1"/>
    <col min="2820" max="2820" width="49.109375" customWidth="1"/>
    <col min="3074" max="3075" width="11.33203125" customWidth="1"/>
    <col min="3076" max="3076" width="49.109375" customWidth="1"/>
    <col min="3330" max="3331" width="11.33203125" customWidth="1"/>
    <col min="3332" max="3332" width="49.109375" customWidth="1"/>
    <col min="3586" max="3587" width="11.33203125" customWidth="1"/>
    <col min="3588" max="3588" width="49.109375" customWidth="1"/>
    <col min="3842" max="3843" width="11.33203125" customWidth="1"/>
    <col min="3844" max="3844" width="49.109375" customWidth="1"/>
    <col min="4098" max="4099" width="11.33203125" customWidth="1"/>
    <col min="4100" max="4100" width="49.109375" customWidth="1"/>
    <col min="4354" max="4355" width="11.33203125" customWidth="1"/>
    <col min="4356" max="4356" width="49.109375" customWidth="1"/>
    <col min="4610" max="4611" width="11.33203125" customWidth="1"/>
    <col min="4612" max="4612" width="49.109375" customWidth="1"/>
    <col min="4866" max="4867" width="11.33203125" customWidth="1"/>
    <col min="4868" max="4868" width="49.109375" customWidth="1"/>
    <col min="5122" max="5123" width="11.33203125" customWidth="1"/>
    <col min="5124" max="5124" width="49.109375" customWidth="1"/>
    <col min="5378" max="5379" width="11.33203125" customWidth="1"/>
    <col min="5380" max="5380" width="49.109375" customWidth="1"/>
    <col min="5634" max="5635" width="11.33203125" customWidth="1"/>
    <col min="5636" max="5636" width="49.109375" customWidth="1"/>
    <col min="5890" max="5891" width="11.33203125" customWidth="1"/>
    <col min="5892" max="5892" width="49.109375" customWidth="1"/>
    <col min="6146" max="6147" width="11.33203125" customWidth="1"/>
    <col min="6148" max="6148" width="49.109375" customWidth="1"/>
    <col min="6402" max="6403" width="11.33203125" customWidth="1"/>
    <col min="6404" max="6404" width="49.109375" customWidth="1"/>
    <col min="6658" max="6659" width="11.33203125" customWidth="1"/>
    <col min="6660" max="6660" width="49.109375" customWidth="1"/>
    <col min="6914" max="6915" width="11.33203125" customWidth="1"/>
    <col min="6916" max="6916" width="49.109375" customWidth="1"/>
    <col min="7170" max="7171" width="11.33203125" customWidth="1"/>
    <col min="7172" max="7172" width="49.109375" customWidth="1"/>
    <col min="7426" max="7427" width="11.33203125" customWidth="1"/>
    <col min="7428" max="7428" width="49.109375" customWidth="1"/>
    <col min="7682" max="7683" width="11.33203125" customWidth="1"/>
    <col min="7684" max="7684" width="49.109375" customWidth="1"/>
    <col min="7938" max="7939" width="11.33203125" customWidth="1"/>
    <col min="7940" max="7940" width="49.109375" customWidth="1"/>
    <col min="8194" max="8195" width="11.33203125" customWidth="1"/>
    <col min="8196" max="8196" width="49.109375" customWidth="1"/>
    <col min="8450" max="8451" width="11.33203125" customWidth="1"/>
    <col min="8452" max="8452" width="49.109375" customWidth="1"/>
    <col min="8706" max="8707" width="11.33203125" customWidth="1"/>
    <col min="8708" max="8708" width="49.109375" customWidth="1"/>
    <col min="8962" max="8963" width="11.33203125" customWidth="1"/>
    <col min="8964" max="8964" width="49.109375" customWidth="1"/>
    <col min="9218" max="9219" width="11.33203125" customWidth="1"/>
    <col min="9220" max="9220" width="49.109375" customWidth="1"/>
    <col min="9474" max="9475" width="11.33203125" customWidth="1"/>
    <col min="9476" max="9476" width="49.109375" customWidth="1"/>
    <col min="9730" max="9731" width="11.33203125" customWidth="1"/>
    <col min="9732" max="9732" width="49.109375" customWidth="1"/>
    <col min="9986" max="9987" width="11.33203125" customWidth="1"/>
    <col min="9988" max="9988" width="49.109375" customWidth="1"/>
    <col min="10242" max="10243" width="11.33203125" customWidth="1"/>
    <col min="10244" max="10244" width="49.109375" customWidth="1"/>
    <col min="10498" max="10499" width="11.33203125" customWidth="1"/>
    <col min="10500" max="10500" width="49.109375" customWidth="1"/>
    <col min="10754" max="10755" width="11.33203125" customWidth="1"/>
    <col min="10756" max="10756" width="49.109375" customWidth="1"/>
    <col min="11010" max="11011" width="11.33203125" customWidth="1"/>
    <col min="11012" max="11012" width="49.109375" customWidth="1"/>
    <col min="11266" max="11267" width="11.33203125" customWidth="1"/>
    <col min="11268" max="11268" width="49.109375" customWidth="1"/>
    <col min="11522" max="11523" width="11.33203125" customWidth="1"/>
    <col min="11524" max="11524" width="49.109375" customWidth="1"/>
    <col min="11778" max="11779" width="11.33203125" customWidth="1"/>
    <col min="11780" max="11780" width="49.109375" customWidth="1"/>
    <col min="12034" max="12035" width="11.33203125" customWidth="1"/>
    <col min="12036" max="12036" width="49.109375" customWidth="1"/>
    <col min="12290" max="12291" width="11.33203125" customWidth="1"/>
    <col min="12292" max="12292" width="49.109375" customWidth="1"/>
    <col min="12546" max="12547" width="11.33203125" customWidth="1"/>
    <col min="12548" max="12548" width="49.109375" customWidth="1"/>
    <col min="12802" max="12803" width="11.33203125" customWidth="1"/>
    <col min="12804" max="12804" width="49.109375" customWidth="1"/>
    <col min="13058" max="13059" width="11.33203125" customWidth="1"/>
    <col min="13060" max="13060" width="49.109375" customWidth="1"/>
    <col min="13314" max="13315" width="11.33203125" customWidth="1"/>
    <col min="13316" max="13316" width="49.109375" customWidth="1"/>
    <col min="13570" max="13571" width="11.33203125" customWidth="1"/>
    <col min="13572" max="13572" width="49.109375" customWidth="1"/>
    <col min="13826" max="13827" width="11.33203125" customWidth="1"/>
    <col min="13828" max="13828" width="49.109375" customWidth="1"/>
    <col min="14082" max="14083" width="11.33203125" customWidth="1"/>
    <col min="14084" max="14084" width="49.109375" customWidth="1"/>
    <col min="14338" max="14339" width="11.33203125" customWidth="1"/>
    <col min="14340" max="14340" width="49.109375" customWidth="1"/>
    <col min="14594" max="14595" width="11.33203125" customWidth="1"/>
    <col min="14596" max="14596" width="49.109375" customWidth="1"/>
    <col min="14850" max="14851" width="11.33203125" customWidth="1"/>
    <col min="14852" max="14852" width="49.109375" customWidth="1"/>
    <col min="15106" max="15107" width="11.33203125" customWidth="1"/>
    <col min="15108" max="15108" width="49.109375" customWidth="1"/>
    <col min="15362" max="15363" width="11.33203125" customWidth="1"/>
    <col min="15364" max="15364" width="49.109375" customWidth="1"/>
    <col min="15618" max="15619" width="11.33203125" customWidth="1"/>
    <col min="15620" max="15620" width="49.109375" customWidth="1"/>
    <col min="15874" max="15875" width="11.33203125" customWidth="1"/>
    <col min="15876" max="15876" width="49.109375" customWidth="1"/>
    <col min="16130" max="16131" width="11.33203125" customWidth="1"/>
    <col min="16132" max="16132" width="49.109375" customWidth="1"/>
  </cols>
  <sheetData>
    <row r="1" spans="1:4" ht="15.6" thickBot="1">
      <c r="A1" s="340"/>
      <c r="B1" s="340"/>
      <c r="C1" s="340"/>
      <c r="D1" s="340"/>
    </row>
    <row r="2" spans="1:4" ht="15">
      <c r="A2" s="340"/>
      <c r="B2" s="341"/>
      <c r="C2" s="342"/>
      <c r="D2" s="343"/>
    </row>
    <row r="3" spans="1:4" ht="15">
      <c r="A3" s="340"/>
      <c r="B3" s="344"/>
      <c r="C3" s="345"/>
      <c r="D3" s="346"/>
    </row>
    <row r="4" spans="1:4" ht="15">
      <c r="A4" s="340"/>
      <c r="B4" s="344"/>
      <c r="C4" s="345"/>
      <c r="D4" s="346"/>
    </row>
    <row r="5" spans="1:4" ht="15">
      <c r="A5" s="340"/>
      <c r="B5" s="344"/>
      <c r="C5" s="345"/>
      <c r="D5" s="346"/>
    </row>
    <row r="6" spans="1:4" ht="15">
      <c r="A6" s="340"/>
      <c r="B6" s="344"/>
      <c r="C6" s="345"/>
      <c r="D6" s="346"/>
    </row>
    <row r="7" spans="1:4" ht="18" customHeight="1">
      <c r="A7" s="340"/>
      <c r="B7" s="344"/>
      <c r="C7" s="568"/>
      <c r="D7" s="346"/>
    </row>
    <row r="8" spans="1:4" ht="18">
      <c r="A8" s="340"/>
      <c r="B8" s="1097" t="s">
        <v>303</v>
      </c>
      <c r="C8" s="1098"/>
      <c r="D8" s="1099"/>
    </row>
    <row r="9" spans="1:4" ht="15.6">
      <c r="A9" s="340"/>
      <c r="B9" s="1100" t="s">
        <v>304</v>
      </c>
      <c r="C9" s="1101"/>
      <c r="D9" s="1102"/>
    </row>
    <row r="10" spans="1:4" ht="21" customHeight="1">
      <c r="A10" s="591"/>
      <c r="B10" s="843" t="str">
        <f>IF(School="",Mssg1,School)</f>
        <v>Please enter school name on tab - "1) Name of School"</v>
      </c>
      <c r="C10" s="608"/>
      <c r="D10" s="609"/>
    </row>
    <row r="11" spans="1:4" ht="15">
      <c r="A11" s="340"/>
      <c r="B11" s="610" t="str">
        <f>IF(CONTROL!J12=0,Mssg2,AcadYr1)</f>
        <v>2020-21</v>
      </c>
      <c r="C11" s="611"/>
      <c r="D11" s="612"/>
    </row>
    <row r="12" spans="1:4" ht="15">
      <c r="A12" s="340"/>
      <c r="B12" s="592"/>
      <c r="C12" s="169"/>
      <c r="D12" s="593"/>
    </row>
    <row r="13" spans="1:4" ht="12.75" customHeight="1">
      <c r="A13" s="340"/>
      <c r="B13" s="1103" t="s">
        <v>305</v>
      </c>
      <c r="C13" s="1104"/>
      <c r="D13" s="1105">
        <v>0</v>
      </c>
    </row>
    <row r="14" spans="1:4" ht="19.5" customHeight="1">
      <c r="A14" s="340"/>
      <c r="B14" s="1103"/>
      <c r="C14" s="1104"/>
      <c r="D14" s="1105"/>
    </row>
    <row r="15" spans="1:4" ht="15">
      <c r="A15" s="340"/>
      <c r="B15" s="1106"/>
      <c r="C15" s="1107"/>
      <c r="D15" s="570"/>
    </row>
    <row r="16" spans="1:4" ht="75.599999999999994" thickBot="1">
      <c r="A16" s="340"/>
      <c r="B16" s="1095" t="s">
        <v>306</v>
      </c>
      <c r="C16" s="1096"/>
      <c r="D16" s="571" t="s">
        <v>307</v>
      </c>
    </row>
    <row r="17" spans="1:4" ht="15">
      <c r="A17" s="340"/>
      <c r="B17" s="340"/>
      <c r="C17" s="340"/>
      <c r="D17" s="340"/>
    </row>
    <row r="18" spans="1:4" ht="15">
      <c r="A18" s="340"/>
      <c r="B18" s="347" t="s">
        <v>336</v>
      </c>
      <c r="C18" s="340"/>
      <c r="D18" s="340"/>
    </row>
  </sheetData>
  <sheetProtection algorithmName="SHA-512" hashValue="M0Om6+Jn2fpzRT6jYCpa2WBy+fmUcZvuJ/zUvzpD7rYAch2Sw2gf1h4KuBVbqUobKswM+7lxKELD/twhVXtP0w==" saltValue="HPxqcAQ8gu1OmLpU4AlvyQ==" spinCount="100000" sheet="1" objects="1" scenarios="1"/>
  <mergeCells count="6">
    <mergeCell ref="B16:C16"/>
    <mergeCell ref="B8:D8"/>
    <mergeCell ref="B9:D9"/>
    <mergeCell ref="B13:C14"/>
    <mergeCell ref="D13:D14"/>
    <mergeCell ref="B15:C15"/>
  </mergeCells>
  <conditionalFormatting sqref="D13:D14">
    <cfRule type="cellIs" dxfId="48" priority="4" stopIfTrue="1" operator="greaterThan">
      <formula>0</formula>
    </cfRule>
  </conditionalFormatting>
  <conditionalFormatting sqref="B10:D10">
    <cfRule type="expression" dxfId="47" priority="3">
      <formula>$B$10=Mssg1</formula>
    </cfRule>
  </conditionalFormatting>
  <conditionalFormatting sqref="B11:D11">
    <cfRule type="expression" dxfId="46" priority="1">
      <formula>$B$11=Mssg2</formula>
    </cfRule>
  </conditionalFormatting>
  <printOptions horizontalCentered="1" verticalCentered="1"/>
  <pageMargins left="0.49" right="0.45" top="0.31" bottom="0.28000000000000003" header="0.3" footer="0.3"/>
  <pageSetup orientation="landscape" r:id="rId1"/>
  <headerFooter>
    <oddFooter>&amp;CPage &amp;P of &amp;N&amp;R&amp;F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36</vt:i4>
      </vt:variant>
    </vt:vector>
  </HeadingPairs>
  <TitlesOfParts>
    <vt:vector size="46" baseType="lpstr">
      <vt:lpstr>INSTRUCTIONS</vt:lpstr>
      <vt:lpstr>Funding by District</vt:lpstr>
      <vt:lpstr>1.) Name of School</vt:lpstr>
      <vt:lpstr>2.) Enrollment</vt:lpstr>
      <vt:lpstr>3.) Staffing Plan</vt:lpstr>
      <vt:lpstr>4.) Yearly Budget</vt:lpstr>
      <vt:lpstr>5.) Balance Sheet</vt:lpstr>
      <vt:lpstr>6.) Quarterly Report</vt:lpstr>
      <vt:lpstr>7.) Annual Report Requirement</vt:lpstr>
      <vt:lpstr>CONTROL</vt:lpstr>
      <vt:lpstr>AcadYr1</vt:lpstr>
      <vt:lpstr>BSNote1</vt:lpstr>
      <vt:lpstr>BSNote2</vt:lpstr>
      <vt:lpstr>BSNoteCode</vt:lpstr>
      <vt:lpstr>DistrictList</vt:lpstr>
      <vt:lpstr>DVList_AcadYr</vt:lpstr>
      <vt:lpstr>List_Grade5Levels</vt:lpstr>
      <vt:lpstr>List_GradeLevels</vt:lpstr>
      <vt:lpstr>Mssg1</vt:lpstr>
      <vt:lpstr>Mssg2</vt:lpstr>
      <vt:lpstr>Mssg3</vt:lpstr>
      <vt:lpstr>mySchools</vt:lpstr>
      <vt:lpstr>PPR_Tbl_Date</vt:lpstr>
      <vt:lpstr>'1.) Name of School'!Print_Area</vt:lpstr>
      <vt:lpstr>'2.) Enrollment'!Print_Area</vt:lpstr>
      <vt:lpstr>'3.) Staffing Plan'!Print_Area</vt:lpstr>
      <vt:lpstr>'4.) Yearly Budget'!Print_Area</vt:lpstr>
      <vt:lpstr>'5.) Balance Sheet'!Print_Area</vt:lpstr>
      <vt:lpstr>'6.) Quarterly Report'!Print_Area</vt:lpstr>
      <vt:lpstr>'Funding by District'!Print_Area</vt:lpstr>
      <vt:lpstr>INSTRUCTIONS!Print_Area</vt:lpstr>
      <vt:lpstr>'2.) Enrollment'!Print_Titles</vt:lpstr>
      <vt:lpstr>'3.) Staffing Plan'!Print_Titles</vt:lpstr>
      <vt:lpstr>'4.) Yearly Budget'!Print_Titles</vt:lpstr>
      <vt:lpstr>'6.) Quarterly Report'!Print_Titles</vt:lpstr>
      <vt:lpstr>'Funding by District'!Print_Titles</vt:lpstr>
      <vt:lpstr>PriorPeriod</vt:lpstr>
      <vt:lpstr>QTR</vt:lpstr>
      <vt:lpstr>QTR_MSG</vt:lpstr>
      <vt:lpstr>School</vt:lpstr>
      <vt:lpstr>SCHOOLS</vt:lpstr>
      <vt:lpstr>Year1</vt:lpstr>
      <vt:lpstr>Year2</vt:lpstr>
      <vt:lpstr>Year3</vt:lpstr>
      <vt:lpstr>Year4</vt:lpstr>
      <vt:lpstr>Year5</vt:lpstr>
    </vt:vector>
  </TitlesOfParts>
  <Company>SUNY Charter Schools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Budget/Qtr Template</dc:title>
  <dc:creator>flackjo</dc:creator>
  <cp:lastModifiedBy>LeClair, Connor</cp:lastModifiedBy>
  <cp:lastPrinted>2018-05-23T16:47:55Z</cp:lastPrinted>
  <dcterms:created xsi:type="dcterms:W3CDTF">2009-07-01T14:18:54Z</dcterms:created>
  <dcterms:modified xsi:type="dcterms:W3CDTF">2020-05-26T13:33:25Z</dcterms:modified>
</cp:coreProperties>
</file>