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C:\Users\ingrid\Documents\Work from 012018 and on\Audit - 2022\2022 - Audited Financial Templated FINAL\"/>
    </mc:Choice>
  </mc:AlternateContent>
  <xr:revisionPtr revIDLastSave="0" documentId="13_ncr:1_{1B302E52-0E7E-4CD7-8684-8FEBE58DAF98}" xr6:coauthVersionLast="47" xr6:coauthVersionMax="47" xr10:uidLastSave="{00000000-0000-0000-0000-000000000000}"/>
  <bookViews>
    <workbookView xWindow="-120" yWindow="-120" windowWidth="19440" windowHeight="11640" tabRatio="950" activeTab="4" xr2:uid="{00000000-000D-0000-FFFF-FFFF0000000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very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3" i="19" l="1"/>
  <c r="L21" i="22"/>
  <c r="H21" i="22"/>
  <c r="G21" i="22"/>
  <c r="F21" i="22"/>
  <c r="L18" i="22"/>
  <c r="L25" i="22" l="1"/>
  <c r="L22" i="22"/>
  <c r="H22" i="22"/>
  <c r="G22" i="22"/>
  <c r="F22" i="22"/>
  <c r="L34" i="22"/>
  <c r="H34" i="22"/>
  <c r="G34" i="22"/>
  <c r="F34" i="22"/>
  <c r="D38" i="21" l="1"/>
  <c r="D15" i="21"/>
  <c r="E27" i="19"/>
  <c r="E28" i="19"/>
  <c r="G12" i="19"/>
  <c r="G20" i="19"/>
  <c r="E20" i="19"/>
  <c r="E38" i="19" l="1"/>
  <c r="G38" i="19"/>
  <c r="F9" i="29" l="1"/>
  <c r="E9" i="29"/>
  <c r="H9" i="29" s="1"/>
  <c r="E10" i="29" l="1"/>
  <c r="F20" i="20"/>
  <c r="F14" i="29" l="1"/>
  <c r="F15" i="29" s="1"/>
  <c r="C9" i="29"/>
  <c r="C8" i="29"/>
  <c r="B20" i="29"/>
  <c r="B19" i="29"/>
  <c r="B18" i="29"/>
  <c r="B17" i="29"/>
  <c r="B16" i="29"/>
  <c r="B3" i="19"/>
  <c r="F18" i="29" l="1"/>
  <c r="F20" i="29"/>
  <c r="F21" i="29"/>
  <c r="G8" i="19"/>
  <c r="B3" i="21"/>
  <c r="C3" i="29"/>
  <c r="F39" i="21"/>
  <c r="D39" i="21"/>
  <c r="F50" i="20"/>
  <c r="F49" i="20"/>
  <c r="G33" i="19"/>
  <c r="G40" i="19" s="1"/>
  <c r="G45" i="19"/>
  <c r="G16" i="19"/>
  <c r="G22" i="19" s="1"/>
  <c r="E45" i="19"/>
  <c r="E33" i="19"/>
  <c r="E16" i="19"/>
  <c r="E22" i="19" s="1"/>
  <c r="Q15" i="22"/>
  <c r="L15" i="22"/>
  <c r="L36" i="22" s="1"/>
  <c r="K15" i="22"/>
  <c r="K36" i="22" s="1"/>
  <c r="H15" i="22"/>
  <c r="H36" i="22" s="1"/>
  <c r="G15" i="22"/>
  <c r="F29" i="21"/>
  <c r="F34" i="21"/>
  <c r="H22" i="20"/>
  <c r="H29" i="20"/>
  <c r="H32" i="20" s="1"/>
  <c r="H45" i="20"/>
  <c r="E22" i="20"/>
  <c r="E29" i="20"/>
  <c r="E32" i="20" s="1"/>
  <c r="E34" i="20" s="1"/>
  <c r="E45" i="20"/>
  <c r="D45" i="20"/>
  <c r="D29" i="20"/>
  <c r="D32" i="20" s="1"/>
  <c r="I35" i="22"/>
  <c r="M35" i="22"/>
  <c r="I17" i="22"/>
  <c r="O17" i="22" s="1"/>
  <c r="M17" i="22"/>
  <c r="I18" i="22"/>
  <c r="M18" i="22"/>
  <c r="O18" i="22" s="1"/>
  <c r="I19" i="22"/>
  <c r="O19" i="22" s="1"/>
  <c r="M19" i="22"/>
  <c r="I20" i="22"/>
  <c r="O20" i="22" s="1"/>
  <c r="M20" i="22"/>
  <c r="M12" i="22"/>
  <c r="M14" i="22"/>
  <c r="M13" i="22"/>
  <c r="I21" i="22"/>
  <c r="M21" i="22"/>
  <c r="I22" i="22"/>
  <c r="M22" i="22"/>
  <c r="I23" i="22"/>
  <c r="M23" i="22"/>
  <c r="I24" i="22"/>
  <c r="M24" i="22"/>
  <c r="I25" i="22"/>
  <c r="M25" i="22"/>
  <c r="I26" i="22"/>
  <c r="M26" i="22"/>
  <c r="I27" i="22"/>
  <c r="O27" i="22"/>
  <c r="M27" i="22"/>
  <c r="I28" i="22"/>
  <c r="O28" i="22" s="1"/>
  <c r="M28" i="22"/>
  <c r="I29" i="22"/>
  <c r="M29" i="22"/>
  <c r="I30" i="22"/>
  <c r="O30" i="22" s="1"/>
  <c r="M30" i="22"/>
  <c r="I31" i="22"/>
  <c r="O31" i="22" s="1"/>
  <c r="M31" i="22"/>
  <c r="I32" i="22"/>
  <c r="M32" i="22"/>
  <c r="I33" i="22"/>
  <c r="M33" i="22"/>
  <c r="I34" i="22"/>
  <c r="M34" i="22"/>
  <c r="I16" i="22"/>
  <c r="O16" i="22" s="1"/>
  <c r="M16" i="22"/>
  <c r="I12" i="22"/>
  <c r="I13" i="22"/>
  <c r="I14" i="22"/>
  <c r="O14" i="22" s="1"/>
  <c r="D15" i="22"/>
  <c r="F15" i="22"/>
  <c r="F36" i="22" s="1"/>
  <c r="F13" i="20"/>
  <c r="F14" i="20"/>
  <c r="F16" i="20"/>
  <c r="F17" i="20"/>
  <c r="F18" i="20"/>
  <c r="F19" i="20"/>
  <c r="F21" i="20"/>
  <c r="F26" i="20"/>
  <c r="F31" i="20"/>
  <c r="F27" i="20"/>
  <c r="F28" i="20"/>
  <c r="F30" i="20"/>
  <c r="F38" i="20"/>
  <c r="F39" i="20"/>
  <c r="F40" i="20"/>
  <c r="F41" i="20"/>
  <c r="F42" i="20"/>
  <c r="F43" i="20"/>
  <c r="F44" i="20"/>
  <c r="D22" i="20"/>
  <c r="D29" i="21"/>
  <c r="D34" i="21"/>
  <c r="G36" i="22"/>
  <c r="Q36" i="22"/>
  <c r="O25" i="22" l="1"/>
  <c r="O35" i="22"/>
  <c r="I15" i="22"/>
  <c r="D41" i="21"/>
  <c r="F41" i="21"/>
  <c r="F43" i="21" s="1"/>
  <c r="O13" i="22"/>
  <c r="O23" i="22"/>
  <c r="G47" i="19"/>
  <c r="G50" i="19" s="1"/>
  <c r="O33" i="22"/>
  <c r="O22" i="22"/>
  <c r="E40" i="19"/>
  <c r="E47" i="19" s="1"/>
  <c r="E50" i="19" s="1"/>
  <c r="E47" i="20"/>
  <c r="E52" i="20" s="1"/>
  <c r="H34" i="20"/>
  <c r="H47" i="20" s="1"/>
  <c r="H52" i="20" s="1"/>
  <c r="D34" i="20"/>
  <c r="D47" i="20" s="1"/>
  <c r="D52" i="20" s="1"/>
  <c r="F19" i="29"/>
  <c r="E11" i="29"/>
  <c r="I36" i="22"/>
  <c r="D43" i="21"/>
  <c r="O34" i="22"/>
  <c r="O32" i="22"/>
  <c r="O21" i="22"/>
  <c r="O36" i="22" s="1"/>
  <c r="M15" i="22"/>
  <c r="M36" i="22" s="1"/>
  <c r="O29" i="22"/>
  <c r="O26" i="22"/>
  <c r="O24" i="22"/>
  <c r="F22" i="20"/>
  <c r="F29" i="20"/>
  <c r="F32" i="20" s="1"/>
  <c r="F45" i="20"/>
  <c r="B3" i="20"/>
  <c r="B3" i="22"/>
  <c r="F6" i="29"/>
  <c r="B6" i="19" s="1"/>
  <c r="B6" i="20" s="1"/>
  <c r="C7" i="29"/>
  <c r="E8" i="19"/>
  <c r="F8" i="22" s="1"/>
  <c r="F8" i="21"/>
  <c r="Q8" i="22"/>
  <c r="H8" i="20"/>
  <c r="O12" i="22"/>
  <c r="O15" i="22" l="1"/>
  <c r="C17" i="29"/>
  <c r="C16" i="29" s="1"/>
  <c r="C15" i="29"/>
  <c r="C14" i="29" s="1"/>
  <c r="F25" i="29"/>
  <c r="F24" i="29"/>
  <c r="F34" i="20"/>
  <c r="F47" i="20" s="1"/>
  <c r="F52" i="20" s="1"/>
  <c r="B15" i="29"/>
  <c r="B6" i="22"/>
  <c r="B6" i="21"/>
  <c r="B5" i="19"/>
  <c r="B5" i="20" s="1"/>
  <c r="D8" i="20"/>
  <c r="D8" i="21"/>
  <c r="B14" i="29" l="1"/>
  <c r="C27" i="29"/>
  <c r="C5" i="21"/>
  <c r="B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C12" authorId="0" shapeId="0" xr:uid="{00000000-0006-0000-0100-000001000000}">
      <text>
        <r>
          <rPr>
            <b/>
            <sz val="8"/>
            <color indexed="81"/>
            <rFont val="Tahoma"/>
            <family val="2"/>
          </rPr>
          <t>Institute:</t>
        </r>
        <r>
          <rPr>
            <sz val="8"/>
            <color indexed="81"/>
            <rFont val="Tahoma"/>
            <family val="2"/>
          </rPr>
          <t xml:space="preserve">
State, Federal or other grants due to the school.</t>
        </r>
      </text>
    </comment>
    <comment ref="C13" authorId="0" shapeId="0" xr:uid="{00000000-0006-0000-0100-000002000000}">
      <text>
        <r>
          <rPr>
            <b/>
            <sz val="8"/>
            <color indexed="81"/>
            <rFont val="Tahoma"/>
            <family val="2"/>
          </rPr>
          <t xml:space="preserve">Institute:
</t>
        </r>
        <r>
          <rPr>
            <sz val="8"/>
            <color indexed="81"/>
            <rFont val="Tahoma"/>
            <family val="2"/>
          </rPr>
          <t>NON GRANT
 - Due from School Districts
 - Due from Governments</t>
        </r>
      </text>
    </comment>
    <comment ref="C20" authorId="0" shapeId="0" xr:uid="{00000000-0006-0000-0100-00000300000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xr:uid="{00000000-0006-0000-0100-000004000000}">
      <text>
        <r>
          <rPr>
            <b/>
            <sz val="8"/>
            <color indexed="81"/>
            <rFont val="Tahoma"/>
            <family val="2"/>
          </rPr>
          <t>Institute:</t>
        </r>
        <r>
          <rPr>
            <sz val="8"/>
            <color indexed="81"/>
            <rFont val="Tahoma"/>
            <family val="2"/>
          </rPr>
          <t xml:space="preserve">
Land, Building, Loan(s) related</t>
        </r>
      </text>
    </comment>
    <comment ref="C32" authorId="0" shapeId="0" xr:uid="{00000000-0006-0000-0100-00000500000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xr:uid="{00000000-0006-0000-0100-00000600000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hrubyda</author>
    <author>flackjo</author>
  </authors>
  <commentList>
    <comment ref="B16" authorId="0" shapeId="0" xr:uid="{00000000-0006-0000-0400-000001000000}">
      <text>
        <r>
          <rPr>
            <b/>
            <sz val="8"/>
            <color indexed="81"/>
            <rFont val="Tahoma"/>
            <family val="2"/>
          </rPr>
          <t>Institute:</t>
        </r>
        <r>
          <rPr>
            <sz val="8"/>
            <color indexed="81"/>
            <rFont val="Tahoma"/>
            <family val="2"/>
          </rPr>
          <t xml:space="preserve">
Health and Dental
Social Security
Medicare
Unemployment
Other
</t>
        </r>
      </text>
    </comment>
    <comment ref="B21" authorId="0" shapeId="0" xr:uid="{00000000-0006-0000-0400-00000200000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xr:uid="{00000000-0006-0000-0400-000003000000}">
      <text>
        <r>
          <rPr>
            <b/>
            <sz val="9"/>
            <color indexed="81"/>
            <rFont val="Tahoma"/>
            <family val="2"/>
          </rPr>
          <t>Institute:</t>
        </r>
        <r>
          <rPr>
            <sz val="9"/>
            <color indexed="81"/>
            <rFont val="Tahoma"/>
            <family val="2"/>
          </rPr>
          <t xml:space="preserve">
Include any Facility Renting/Leasing/Financing Costs</t>
        </r>
      </text>
    </comment>
    <comment ref="B23" authorId="0" shapeId="0" xr:uid="{00000000-0006-0000-0400-000004000000}">
      <text>
        <r>
          <rPr>
            <b/>
            <sz val="8"/>
            <color indexed="81"/>
            <rFont val="Tahoma"/>
            <family val="2"/>
          </rPr>
          <t>Institute:</t>
        </r>
        <r>
          <rPr>
            <sz val="8"/>
            <color indexed="81"/>
            <rFont val="Tahoma"/>
            <family val="2"/>
          </rPr>
          <t xml:space="preserve">
Facility
Equipment</t>
        </r>
      </text>
    </comment>
    <comment ref="B25" authorId="0" shapeId="0" xr:uid="{00000000-0006-0000-0400-000005000000}">
      <text>
        <r>
          <rPr>
            <b/>
            <sz val="8"/>
            <color indexed="81"/>
            <rFont val="Tahoma"/>
            <family val="2"/>
          </rPr>
          <t>Institute:</t>
        </r>
        <r>
          <rPr>
            <sz val="8"/>
            <color indexed="81"/>
            <rFont val="Tahoma"/>
            <family val="2"/>
          </rPr>
          <t xml:space="preserve">
Electric
Gas
Telephone</t>
        </r>
      </text>
    </comment>
    <comment ref="B26" authorId="0" shapeId="0" xr:uid="{00000000-0006-0000-0400-00000600000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xr:uid="{00000000-0006-0000-0400-000007000000}">
      <text>
        <r>
          <rPr>
            <b/>
            <sz val="8"/>
            <color indexed="81"/>
            <rFont val="Tahoma"/>
            <family val="2"/>
          </rPr>
          <t>Institute:</t>
        </r>
        <r>
          <rPr>
            <sz val="8"/>
            <color indexed="81"/>
            <rFont val="Tahoma"/>
            <family val="2"/>
          </rPr>
          <t xml:space="preserve">
Instructional
Non-Instructional
Athletic
Music
Office Equipment</t>
        </r>
      </text>
    </comment>
    <comment ref="B29" authorId="0" shapeId="0" xr:uid="{00000000-0006-0000-0400-000008000000}">
      <text>
        <r>
          <rPr>
            <b/>
            <sz val="8"/>
            <color indexed="81"/>
            <rFont val="Tahoma"/>
            <family val="2"/>
          </rPr>
          <t>Institute:</t>
        </r>
        <r>
          <rPr>
            <sz val="8"/>
            <color indexed="81"/>
            <rFont val="Tahoma"/>
            <family val="2"/>
          </rPr>
          <t xml:space="preserve">
Student
Staff</t>
        </r>
      </text>
    </comment>
    <comment ref="B30" authorId="0" shapeId="0" xr:uid="{00000000-0006-0000-0400-000009000000}">
      <text>
        <r>
          <rPr>
            <b/>
            <sz val="8"/>
            <color indexed="81"/>
            <rFont val="Tahoma"/>
            <family val="2"/>
          </rPr>
          <t>Institute:</t>
        </r>
        <r>
          <rPr>
            <sz val="8"/>
            <color indexed="81"/>
            <rFont val="Tahoma"/>
            <family val="2"/>
          </rPr>
          <t xml:space="preserve">
Hardware
Software
Internet
Wiring
Other</t>
        </r>
      </text>
    </comment>
    <comment ref="B32" authorId="0" shapeId="0" xr:uid="{00000000-0006-0000-0400-00000A00000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xr:uid="{00000000-0006-0000-0400-00000B000000}">
      <text>
        <r>
          <rPr>
            <b/>
            <sz val="8"/>
            <color indexed="81"/>
            <rFont val="Tahoma"/>
            <family val="2"/>
          </rPr>
          <t>Institute:</t>
        </r>
        <r>
          <rPr>
            <sz val="8"/>
            <color indexed="81"/>
            <rFont val="Tahoma"/>
            <family val="2"/>
          </rPr>
          <t xml:space="preserve">
Leases (i.e. copier)
Printing
Postage
Copying</t>
        </r>
      </text>
    </comment>
    <comment ref="B35" authorId="0" shapeId="0" xr:uid="{00000000-0006-0000-0400-00000C00000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F82" authorId="0" shapeId="0" xr:uid="{00000000-0006-0000-0500-000001000000}">
      <text>
        <r>
          <rPr>
            <b/>
            <sz val="9"/>
            <color indexed="81"/>
            <rFont val="Tahoma"/>
            <family val="2"/>
          </rPr>
          <t>Flack, John:</t>
        </r>
        <r>
          <rPr>
            <sz val="9"/>
            <color indexed="81"/>
            <rFont val="Tahoma"/>
            <family val="2"/>
          </rPr>
          <t xml:space="preserve">
The "Surviving" Ed Corp will not open until 2020-21.
</t>
        </r>
      </text>
    </comment>
    <comment ref="E105" authorId="1" shapeId="0" xr:uid="{00000000-0006-0000-0500-000002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6" authorId="1" shapeId="0" xr:uid="{00000000-0006-0000-0500-000003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<sst xmlns="http://schemas.openxmlformats.org/spreadsheetml/2006/main" count="710" uniqueCount="456">
  <si>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</si>
  <si>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</si>
  <si>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</si>
  <si>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</si>
  <si>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</si>
  <si>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</si>
  <si>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</si>
  <si>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</si>
  <si>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</si>
  <si>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</si>
  <si>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</si>
  <si>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</si>
  <si>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</si>
  <si>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</si>
  <si>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</si>
  <si>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</si>
  <si>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</si>
  <si>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</si>
  <si>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</si>
  <si>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</si>
  <si>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</si>
  <si>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</si>
  <si>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</si>
  <si>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</si>
  <si>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</si>
  <si>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</si>
  <si>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</si>
  <si>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</si>
  <si>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</si>
  <si>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</si>
  <si>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</si>
  <si>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</si>
  <si>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</si>
  <si>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</si>
  <si>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</si>
  <si>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</si>
  <si>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</si>
  <si>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</si>
  <si>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</si>
  <si>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</si>
  <si>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</si>
  <si>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</si>
  <si>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</si>
  <si>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</si>
  <si>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</si>
  <si>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</si>
  <si>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</si>
  <si>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</si>
  <si>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</si>
  <si>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</si>
  <si>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</si>
  <si>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</si>
  <si>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</si>
  <si>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</si>
  <si>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</si>
  <si>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</si>
  <si>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</si>
  <si>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</si>
  <si>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</si>
  <si>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</si>
  <si>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</si>
  <si>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</si>
  <si>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</si>
  <si>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</si>
  <si>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</si>
  <si>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</si>
  <si>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</si>
  <si>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</si>
  <si>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</si>
  <si>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</si>
  <si>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</si>
  <si>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</si>
  <si>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</si>
  <si>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</si>
  <si>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</si>
  <si>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</si>
  <si>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</si>
  <si>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</si>
  <si>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</si>
  <si>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</si>
  <si>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</si>
  <si>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</si>
  <si>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</si>
  <si>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</si>
  <si>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</si>
  <si>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</si>
  <si>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</si>
  <si>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</si>
  <si>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</si>
  <si>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</si>
  <si>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</si>
  <si>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</si>
  <si>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</si>
  <si>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</si>
  <si>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</si>
  <si>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</si>
  <si>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</si>
  <si>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</si>
  <si>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</si>
  <si>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</si>
  <si>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</si>
  <si>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</si>
  <si>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</si>
  <si>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</si>
  <si>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</si>
  <si>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</si>
  <si>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</si>
  <si>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</si>
  <si>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</si>
  <si>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</si>
  <si>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</si>
  <si>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</si>
  <si>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</si>
  <si>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</si>
  <si>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</si>
  <si>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</si>
  <si>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</si>
  <si>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</si>
  <si>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</si>
  <si>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</si>
  <si>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</si>
  <si>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</si>
  <si>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</si>
  <si>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</si>
  <si>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</si>
  <si>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</si>
  <si>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</si>
  <si>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</si>
  <si>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</si>
  <si>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</si>
  <si>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</si>
  <si>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</si>
  <si>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</si>
  <si>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</si>
  <si>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</si>
  <si>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</si>
  <si>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</si>
  <si>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</si>
  <si>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</si>
  <si>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</si>
  <si>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</si>
  <si>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</si>
  <si>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Audit Period</t>
  </si>
  <si>
    <t>AuditYr</t>
  </si>
  <si>
    <t>PriorYr</t>
  </si>
  <si>
    <t>Prior Period</t>
  </si>
  <si>
    <t>Date Submitted</t>
  </si>
  <si>
    <t>Report Due Date:</t>
  </si>
  <si>
    <t>Prior Period:</t>
  </si>
  <si>
    <t>x_AuditYr</t>
  </si>
  <si>
    <t>Charter School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</si>
  <si>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</si>
  <si>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</si>
  <si>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</si>
  <si>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</si>
  <si>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</si>
  <si>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</si>
  <si>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</si>
  <si>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</si>
  <si>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</si>
  <si>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</si>
  <si>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</si>
  <si>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</si>
  <si>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</si>
  <si>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</si>
  <si>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</si>
  <si>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</si>
  <si>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</si>
  <si>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</si>
  <si>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</si>
  <si>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</si>
  <si>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</si>
  <si>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</si>
  <si>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</si>
  <si>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</si>
  <si>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</si>
  <si>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</si>
  <si>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</si>
  <si>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</si>
  <si>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</si>
  <si>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</si>
  <si>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</si>
  <si>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</si>
  <si>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</si>
  <si>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</si>
  <si>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</si>
  <si>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</si>
  <si>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</si>
  <si>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</si>
  <si>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</si>
  <si>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</si>
  <si>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</si>
  <si>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</si>
  <si>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</si>
  <si>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</si>
  <si>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</si>
  <si>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</si>
  <si>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</si>
  <si>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</si>
  <si>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</si>
  <si>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</si>
  <si>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</si>
  <si>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</si>
  <si>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</si>
  <si>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</si>
  <si>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</si>
  <si>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</si>
  <si>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</si>
  <si>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</si>
  <si>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</si>
  <si>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</si>
  <si>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</si>
  <si>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</si>
  <si>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</si>
  <si>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</si>
  <si>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</si>
  <si>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</si>
  <si>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</si>
  <si>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</si>
  <si>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</si>
  <si>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</si>
  <si>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</si>
  <si>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</si>
  <si>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</si>
  <si>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</si>
  <si>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</si>
  <si>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</si>
  <si>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</si>
  <si>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</si>
  <si>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</si>
  <si>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</si>
  <si>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</si>
  <si>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</si>
  <si>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</si>
  <si>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</si>
  <si>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</si>
  <si>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</si>
  <si>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</si>
  <si>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</si>
  <si>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</si>
  <si>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</si>
  <si>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</si>
  <si>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</si>
  <si>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</si>
  <si>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</si>
  <si>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</si>
  <si>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</si>
  <si>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</si>
  <si>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</si>
  <si>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</si>
  <si>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</si>
  <si>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</si>
  <si>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</si>
  <si>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</si>
  <si>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</si>
  <si>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</si>
  <si>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</si>
  <si>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</si>
  <si>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</si>
  <si>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</si>
  <si>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</si>
  <si>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</si>
  <si>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</si>
  <si>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</si>
  <si>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</si>
  <si>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</si>
  <si>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</si>
  <si>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</si>
  <si>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</si>
  <si>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</si>
  <si>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</si>
  <si>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</si>
  <si>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</si>
  <si>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</si>
  <si>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</si>
  <si>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</si>
  <si>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</si>
  <si>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</si>
  <si>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</si>
  <si>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</si>
  <si>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</si>
  <si>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</si>
  <si>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</si>
  <si>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</si>
  <si>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</si>
  <si>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</si>
  <si>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</si>
  <si>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</si>
  <si>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</si>
  <si>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</si>
  <si>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</si>
  <si>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</si>
  <si>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</si>
  <si>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</si>
  <si>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</si>
  <si>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</si>
  <si>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</si>
  <si>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</si>
  <si>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</si>
  <si>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</si>
  <si>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</si>
  <si>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</si>
  <si>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</si>
  <si>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</si>
  <si>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</si>
  <si>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</si>
  <si>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</si>
  <si>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</si>
  <si>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</si>
  <si>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</si>
  <si>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</si>
  <si>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</si>
  <si>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</si>
  <si>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</si>
  <si>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</si>
  <si>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</si>
  <si>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</si>
  <si>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</si>
  <si>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</si>
  <si>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</si>
  <si>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</si>
  <si>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</si>
  <si>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</si>
  <si>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</si>
  <si>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</si>
  <si>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</si>
  <si>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</si>
  <si>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</si>
  <si>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</si>
  <si>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</si>
  <si>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</si>
  <si>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</si>
  <si>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</si>
  <si>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</si>
  <si>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</si>
  <si>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</si>
  <si>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</si>
  <si>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</si>
  <si>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</si>
  <si>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</si>
  <si>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</si>
  <si>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</si>
  <si>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</si>
  <si>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</si>
  <si>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</si>
  <si>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</si>
  <si>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</si>
  <si>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</si>
  <si>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</si>
  <si>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</si>
  <si>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</si>
  <si>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</si>
  <si>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</si>
  <si>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</si>
  <si>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</si>
  <si>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</si>
  <si>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</si>
  <si>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</si>
  <si>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</si>
  <si>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</si>
  <si>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</si>
  <si>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</si>
  <si>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</si>
  <si>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</si>
  <si>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</si>
  <si>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</si>
  <si>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</si>
  <si>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</si>
  <si>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</si>
  <si>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</si>
  <si>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</si>
  <si>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</si>
  <si>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</si>
  <si>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</si>
  <si>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</si>
  <si>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</si>
  <si>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</si>
  <si>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</si>
  <si>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</si>
  <si>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</si>
  <si>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</si>
  <si>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</si>
  <si>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</si>
  <si>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</si>
  <si>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</si>
  <si>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</si>
  <si>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</si>
  <si>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</si>
  <si>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</si>
  <si>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</si>
  <si>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</si>
  <si>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</si>
  <si>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</si>
  <si>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</si>
  <si>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</si>
  <si>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</si>
  <si>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</si>
  <si>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</si>
  <si>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</si>
  <si>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</si>
  <si>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</si>
  <si>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</si>
  <si>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</si>
  <si>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</si>
  <si>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r>
      <t xml:space="preserve">Select from drop-down list </t>
    </r>
    <r>
      <rPr>
        <sz val="10"/>
        <rFont val="Calibri"/>
        <family val="2"/>
      </rPr>
      <t>→</t>
    </r>
  </si>
  <si>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</si>
  <si>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</si>
  <si>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</si>
  <si>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</si>
  <si>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</si>
  <si>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</si>
  <si>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</si>
  <si>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</si>
  <si>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</si>
  <si>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</si>
  <si>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</si>
  <si>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</si>
  <si>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</si>
  <si>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</si>
  <si>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</si>
  <si>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</si>
  <si>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</si>
  <si>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</si>
  <si>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</si>
  <si>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</si>
  <si>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</si>
  <si>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Public Preparatory Charter School Academies (Combined)</t>
  </si>
  <si>
    <t>KIPP NYC Public Charter Schools II (Combined)</t>
  </si>
  <si>
    <t>Yes</t>
  </si>
  <si>
    <t>No</t>
  </si>
  <si>
    <t>Without Donor Restrictions</t>
  </si>
  <si>
    <t>With Donor Ristrictions</t>
  </si>
  <si>
    <t>With Donor Restrictions</t>
  </si>
  <si>
    <t>MergeID? (&gt;0 is a merged school, =0 is not merged)</t>
  </si>
  <si>
    <t>https://my.epicenternow.org/</t>
  </si>
  <si>
    <t>Zeta Charter School - Mount Eden</t>
  </si>
  <si>
    <t>Zeta Charter School - Tremont Park</t>
  </si>
  <si>
    <t>Brooklyn Prospect Charter School - CSD 13.2</t>
  </si>
  <si>
    <t>Achievement First Legacy Charter School</t>
  </si>
  <si>
    <t>Amber Charter School Inwood</t>
  </si>
  <si>
    <t>KIPP Beyond Charter School</t>
  </si>
  <si>
    <t>Earl Monroe New Renaissance Basketball Charter School</t>
  </si>
  <si>
    <t>v20220707</t>
  </si>
  <si>
    <t>KIPP Albany Community Charter School</t>
  </si>
  <si>
    <t>KIPP: Albany Community Public Charter Schools (Combined)</t>
  </si>
  <si>
    <t>2021-22</t>
  </si>
  <si>
    <t>2020-21</t>
  </si>
  <si>
    <t>Alwayne Burke</t>
  </si>
  <si>
    <t>aburke@academycharterschool.org</t>
  </si>
  <si>
    <t>516-408-2200</t>
  </si>
  <si>
    <t>Ncheng, LLP</t>
  </si>
  <si>
    <t>Miaoling Lin</t>
  </si>
  <si>
    <t>Mlin@ncheng.com</t>
  </si>
  <si>
    <t>212-785-0100</t>
  </si>
  <si>
    <t>N/A</t>
  </si>
  <si>
    <t>On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</si>
</sst>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 numFmtId="171" formatCode="_(* #,##0_);_(* \(#,##0\);_(* &quot;-&quot;??_);_(@_)"/>
  </numFmts>
  <fonts count="5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name val="Calibri"/>
      <family val="2"/>
    </font>
    <font>
      <sz val="10"/>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cellStyleXfs>
  <cellXfs count="289">
    <xf numFmtId="0" fontId="0" fillId="0" borderId="0" xfId="0"/>
    <xf numFmtId="41" fontId="41" fillId="28" borderId="10" xfId="0" applyNumberFormat="1" applyFont="1" applyFill="1" applyBorder="1" applyAlignment="1">
      <alignment horizontal="right"/>
    </xf>
    <xf numFmtId="41" fontId="39" fillId="28" borderId="0" xfId="0" applyNumberFormat="1" applyFont="1" applyFill="1" applyAlignment="1">
      <alignment wrapText="1"/>
    </xf>
    <xf numFmtId="41" fontId="43" fillId="28" borderId="0" xfId="0" applyNumberFormat="1" applyFont="1" applyFill="1" applyAlignment="1">
      <alignment wrapText="1"/>
    </xf>
    <xf numFmtId="0" fontId="39" fillId="28" borderId="0" xfId="0" applyFont="1" applyFill="1"/>
    <xf numFmtId="0" fontId="44" fillId="29" borderId="21" xfId="0" applyFont="1" applyFill="1" applyBorder="1" applyAlignment="1">
      <alignment horizontal="center"/>
    </xf>
    <xf numFmtId="0" fontId="44" fillId="29" borderId="26" xfId="0" applyFont="1" applyFill="1" applyBorder="1" applyAlignment="1">
      <alignment horizontal="center"/>
    </xf>
    <xf numFmtId="41" fontId="41" fillId="28" borderId="10" xfId="0" applyNumberFormat="1" applyFont="1" applyFill="1" applyBorder="1"/>
    <xf numFmtId="41" fontId="41" fillId="28" borderId="10" xfId="0" applyNumberFormat="1" applyFont="1" applyFill="1" applyBorder="1" applyAlignment="1">
      <alignment horizontal="left"/>
    </xf>
    <xf numFmtId="41" fontId="41" fillId="28" borderId="12" xfId="0" applyNumberFormat="1" applyFont="1" applyFill="1" applyBorder="1" applyAlignment="1">
      <alignment horizontal="center"/>
    </xf>
    <xf numFmtId="41" fontId="39" fillId="28" borderId="0" xfId="0" applyNumberFormat="1" applyFont="1" applyFill="1"/>
    <xf numFmtId="41" fontId="41" fillId="28" borderId="13" xfId="0" applyNumberFormat="1" applyFont="1" applyFill="1" applyBorder="1" applyAlignment="1">
      <alignment horizontal="center" wrapText="1"/>
    </xf>
    <xf numFmtId="41" fontId="41" fillId="28" borderId="0" xfId="0" applyNumberFormat="1" applyFont="1" applyFill="1" applyAlignment="1">
      <alignment horizontal="center" wrapText="1"/>
    </xf>
    <xf numFmtId="42" fontId="39" fillId="28" borderId="11" xfId="0" applyNumberFormat="1" applyFont="1" applyFill="1" applyBorder="1" applyAlignment="1">
      <alignment wrapText="1"/>
    </xf>
    <xf numFmtId="42" fontId="39" fillId="28" borderId="0" xfId="0" applyNumberFormat="1" applyFont="1" applyFill="1" applyAlignment="1">
      <alignment wrapText="1"/>
    </xf>
    <xf numFmtId="0" fontId="39" fillId="28" borderId="0" xfId="0" applyFont="1" applyFill="1" applyAlignment="1">
      <alignment vertical="top" wrapText="1"/>
    </xf>
    <xf numFmtId="42" fontId="39" fillId="28" borderId="0" xfId="0" applyNumberFormat="1" applyFont="1" applyFill="1"/>
    <xf numFmtId="0" fontId="41" fillId="28" borderId="0" xfId="0" applyFont="1" applyFill="1" applyAlignment="1">
      <alignment horizontal="center"/>
    </xf>
    <xf numFmtId="41" fontId="39" fillId="28" borderId="0" xfId="0" applyNumberFormat="1" applyFont="1" applyFill="1" applyAlignment="1">
      <alignment vertical="top" wrapText="1"/>
    </xf>
    <xf numFmtId="42" fontId="39" fillId="28" borderId="10" xfId="0" applyNumberFormat="1" applyFont="1" applyFill="1" applyBorder="1" applyAlignment="1">
      <alignment vertical="top" wrapText="1"/>
    </xf>
    <xf numFmtId="42" fontId="39" fillId="28" borderId="0" xfId="0" applyNumberFormat="1" applyFont="1" applyFill="1" applyAlignment="1">
      <alignment vertical="top" wrapText="1"/>
    </xf>
    <xf numFmtId="41" fontId="41" fillId="28" borderId="0" xfId="0" applyNumberFormat="1" applyFont="1" applyFill="1" applyAlignment="1">
      <alignment horizontal="center" vertical="center"/>
    </xf>
    <xf numFmtId="0" fontId="39" fillId="28" borderId="12" xfId="0" applyFont="1" applyFill="1" applyBorder="1" applyAlignment="1">
      <alignment horizontal="center" vertical="top" wrapText="1"/>
    </xf>
    <xf numFmtId="0" fontId="39" fillId="28" borderId="0" xfId="0" applyFont="1" applyFill="1" applyAlignment="1">
      <alignment horizontal="center" vertical="top" wrapText="1"/>
    </xf>
    <xf numFmtId="0" fontId="39" fillId="28" borderId="10" xfId="0" applyFont="1" applyFill="1" applyBorder="1" applyAlignment="1">
      <alignment vertical="top" wrapText="1"/>
    </xf>
    <xf numFmtId="0" fontId="39" fillId="28" borderId="0" xfId="0" applyFont="1" applyFill="1" applyAlignment="1">
      <alignment horizontal="center" vertical="center" wrapText="1"/>
    </xf>
    <xf numFmtId="0" fontId="39" fillId="28" borderId="10" xfId="0" applyFont="1" applyFill="1" applyBorder="1" applyAlignment="1">
      <alignment horizontal="center" wrapText="1"/>
    </xf>
    <xf numFmtId="0" fontId="39" fillId="28" borderId="0" xfId="0" applyFont="1" applyFill="1" applyAlignment="1">
      <alignment horizontal="center" wrapText="1"/>
    </xf>
    <xf numFmtId="0" fontId="39" fillId="28" borderId="13" xfId="0" applyFont="1" applyFill="1" applyBorder="1" applyAlignment="1">
      <alignment horizontal="center" wrapText="1"/>
    </xf>
    <xf numFmtId="0" fontId="39" fillId="28" borderId="0" xfId="0" applyFont="1" applyFill="1" applyAlignment="1">
      <alignment horizontal="left" vertical="center"/>
    </xf>
    <xf numFmtId="43" fontId="39" fillId="28" borderId="0" xfId="0" applyNumberFormat="1" applyFont="1" applyFill="1" applyAlignment="1">
      <alignment horizontal="left" vertical="center"/>
    </xf>
    <xf numFmtId="0" fontId="39" fillId="0" borderId="0" xfId="0" applyFont="1" applyAlignment="1">
      <alignment horizontal="left" vertical="center"/>
    </xf>
    <xf numFmtId="3" fontId="39" fillId="28" borderId="0" xfId="0" applyNumberFormat="1" applyFont="1" applyFill="1"/>
    <xf numFmtId="0" fontId="39" fillId="28" borderId="0" xfId="0" applyFont="1" applyFill="1" applyAlignment="1">
      <alignment vertical="top"/>
    </xf>
    <xf numFmtId="1" fontId="41" fillId="28" borderId="13" xfId="0" applyNumberFormat="1" applyFont="1" applyFill="1" applyBorder="1" applyAlignment="1" applyProtection="1">
      <alignment horizontal="center"/>
      <protection hidden="1"/>
    </xf>
    <xf numFmtId="0" fontId="39" fillId="0" borderId="0" xfId="0" applyFont="1"/>
    <xf numFmtId="0" fontId="39" fillId="0" borderId="21" xfId="0" applyFont="1" applyBorder="1" applyAlignment="1">
      <alignment horizontal="center"/>
    </xf>
    <xf numFmtId="166" fontId="39" fillId="0" borderId="0" xfId="0" applyNumberFormat="1" applyFont="1"/>
    <xf numFmtId="166" fontId="39" fillId="0" borderId="21" xfId="0" applyNumberFormat="1" applyFont="1" applyBorder="1" applyAlignment="1">
      <alignment horizontal="center"/>
    </xf>
    <xf numFmtId="1" fontId="39" fillId="0" borderId="21" xfId="0" applyNumberFormat="1" applyFont="1" applyBorder="1" applyAlignment="1">
      <alignment horizontal="center"/>
    </xf>
    <xf numFmtId="0" fontId="39" fillId="0" borderId="21" xfId="0" applyFont="1" applyBorder="1" applyAlignment="1">
      <alignment horizontal="center" vertical="top"/>
    </xf>
    <xf numFmtId="0" fontId="28" fillId="0" borderId="21" xfId="0" applyFont="1" applyBorder="1" applyAlignment="1">
      <alignment horizontal="center" vertical="center"/>
    </xf>
    <xf numFmtId="0" fontId="0" fillId="0" borderId="21" xfId="0" applyBorder="1"/>
    <xf numFmtId="0" fontId="44" fillId="29" borderId="26" xfId="0" applyFont="1" applyFill="1" applyBorder="1" applyAlignment="1">
      <alignment horizontal="centerContinuous"/>
    </xf>
    <xf numFmtId="0" fontId="39" fillId="0" borderId="0" xfId="0" applyFont="1" applyAlignment="1">
      <alignment horizontal="center"/>
    </xf>
    <xf numFmtId="0" fontId="39" fillId="0" borderId="21" xfId="0" applyFont="1" applyBorder="1"/>
    <xf numFmtId="1" fontId="39" fillId="30" borderId="21" xfId="0" applyNumberFormat="1" applyFont="1" applyFill="1" applyBorder="1" applyAlignment="1">
      <alignment horizontal="center"/>
    </xf>
    <xf numFmtId="0" fontId="45" fillId="30" borderId="21" xfId="0" applyFont="1" applyFill="1" applyBorder="1" applyAlignment="1">
      <alignment horizontal="center"/>
    </xf>
    <xf numFmtId="0" fontId="51" fillId="30" borderId="0" xfId="0" applyFont="1" applyFill="1"/>
    <xf numFmtId="0" fontId="49" fillId="31" borderId="0" xfId="0" applyFont="1" applyFill="1" applyAlignment="1">
      <alignment horizontal="right"/>
    </xf>
    <xf numFmtId="0" fontId="49" fillId="31" borderId="28" xfId="0" applyFont="1" applyFill="1" applyBorder="1" applyAlignment="1">
      <alignment vertical="top"/>
    </xf>
    <xf numFmtId="0" fontId="52" fillId="0" borderId="0" xfId="0" applyFont="1"/>
    <xf numFmtId="1" fontId="52" fillId="0" borderId="0" xfId="0" applyNumberFormat="1" applyFont="1" applyAlignment="1">
      <alignment horizontal="center"/>
    </xf>
    <xf numFmtId="0" fontId="52" fillId="0" borderId="0" xfId="0" applyFont="1" applyAlignment="1">
      <alignment horizontal="center"/>
    </xf>
    <xf numFmtId="0" fontId="28" fillId="0" borderId="0" xfId="0" applyFont="1"/>
    <xf numFmtId="0" fontId="51" fillId="0" borderId="0" xfId="0" applyFont="1"/>
    <xf numFmtId="0" fontId="28" fillId="0" borderId="21" xfId="0" applyFont="1" applyBorder="1"/>
    <xf numFmtId="0" fontId="51" fillId="0" borderId="21" xfId="0" applyFont="1" applyBorder="1" applyAlignment="1">
      <alignment horizontal="center"/>
    </xf>
    <xf numFmtId="0" fontId="51" fillId="0" borderId="21" xfId="0" applyFont="1" applyBorder="1"/>
    <xf numFmtId="0" fontId="51" fillId="0" borderId="0" xfId="0" applyFont="1" applyAlignment="1">
      <alignment horizontal="center"/>
    </xf>
    <xf numFmtId="0" fontId="44" fillId="29" borderId="29" xfId="0" applyFont="1" applyFill="1" applyBorder="1" applyAlignment="1">
      <alignment horizontal="centerContinuous"/>
    </xf>
    <xf numFmtId="0" fontId="0" fillId="0" borderId="30" xfId="0" applyBorder="1"/>
    <xf numFmtId="0" fontId="0" fillId="0" borderId="32" xfId="0" applyBorder="1"/>
    <xf numFmtId="0" fontId="19" fillId="0" borderId="21" xfId="0" quotePrefix="1" applyFont="1" applyBorder="1" applyAlignment="1">
      <alignment horizontal="left"/>
    </xf>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Border="1"/>
    <xf numFmtId="0" fontId="44" fillId="29" borderId="21" xfId="0" applyFont="1" applyFill="1" applyBorder="1" applyAlignment="1">
      <alignment horizontal="centerContinuous"/>
    </xf>
    <xf numFmtId="0" fontId="51" fillId="0" borderId="33" xfId="0" applyFont="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0" fontId="39" fillId="33" borderId="0" xfId="0" applyFont="1" applyFill="1"/>
    <xf numFmtId="41" fontId="39" fillId="33" borderId="0" xfId="0" applyNumberFormat="1" applyFont="1" applyFill="1"/>
    <xf numFmtId="0" fontId="41" fillId="33" borderId="0" xfId="0" applyFont="1" applyFill="1"/>
    <xf numFmtId="0" fontId="41" fillId="33" borderId="0" xfId="0" applyFont="1" applyFill="1" applyAlignment="1">
      <alignment horizontal="center"/>
    </xf>
    <xf numFmtId="0" fontId="37" fillId="33" borderId="0" xfId="0" applyFont="1" applyFill="1" applyAlignment="1" applyProtection="1">
      <alignment horizontal="centerContinuous" wrapText="1"/>
      <protection hidden="1"/>
    </xf>
    <xf numFmtId="0" fontId="37" fillId="33" borderId="0" xfId="0" applyFont="1" applyFill="1" applyAlignment="1" applyProtection="1">
      <alignment horizontal="centerContinuous"/>
      <protection hidden="1"/>
    </xf>
    <xf numFmtId="0" fontId="39" fillId="33" borderId="0" xfId="0" applyFont="1" applyFill="1" applyAlignment="1">
      <alignment horizontal="center"/>
    </xf>
    <xf numFmtId="41" fontId="41" fillId="33" borderId="0" xfId="0" applyNumberFormat="1" applyFont="1" applyFill="1" applyAlignment="1">
      <alignment horizontal="center"/>
    </xf>
    <xf numFmtId="0" fontId="41" fillId="33" borderId="0" xfId="0" applyFont="1" applyFill="1" applyAlignment="1">
      <alignment horizontal="center" wrapText="1"/>
    </xf>
    <xf numFmtId="41" fontId="39" fillId="33" borderId="0" xfId="0" applyNumberFormat="1" applyFont="1" applyFill="1" applyAlignment="1">
      <alignment wrapText="1"/>
    </xf>
    <xf numFmtId="0" fontId="39" fillId="33" borderId="0" xfId="0" applyFont="1" applyFill="1" applyAlignment="1">
      <alignment wrapText="1"/>
    </xf>
    <xf numFmtId="42" fontId="39" fillId="33" borderId="0" xfId="0" applyNumberFormat="1" applyFont="1" applyFill="1" applyAlignment="1">
      <alignment wrapText="1"/>
    </xf>
    <xf numFmtId="41" fontId="43" fillId="33" borderId="0" xfId="0" applyNumberFormat="1" applyFont="1" applyFill="1" applyAlignment="1">
      <alignment wrapText="1"/>
    </xf>
    <xf numFmtId="41" fontId="41" fillId="33" borderId="0" xfId="0" applyNumberFormat="1" applyFont="1" applyFill="1"/>
    <xf numFmtId="41" fontId="41" fillId="33" borderId="0" xfId="0" applyNumberFormat="1" applyFont="1" applyFill="1" applyAlignment="1">
      <alignment wrapText="1"/>
    </xf>
    <xf numFmtId="0" fontId="37" fillId="33" borderId="0" xfId="0" applyFont="1" applyFill="1" applyAlignment="1" applyProtection="1">
      <alignment wrapText="1"/>
      <protection hidden="1"/>
    </xf>
    <xf numFmtId="0" fontId="37" fillId="34" borderId="0" xfId="0" applyFont="1" applyFill="1" applyAlignment="1" applyProtection="1">
      <alignment horizontal="centerContinuous" wrapText="1"/>
      <protection hidden="1"/>
    </xf>
    <xf numFmtId="0" fontId="37" fillId="34" borderId="0" xfId="0" applyFont="1" applyFill="1" applyAlignment="1" applyProtection="1">
      <alignment horizontal="centerContinuous"/>
      <protection hidden="1"/>
    </xf>
    <xf numFmtId="0" fontId="39" fillId="34" borderId="0" xfId="0" applyFont="1" applyFill="1"/>
    <xf numFmtId="41" fontId="41" fillId="34" borderId="10" xfId="0" applyNumberFormat="1" applyFont="1" applyFill="1" applyBorder="1" applyAlignment="1">
      <alignment horizontal="right"/>
    </xf>
    <xf numFmtId="1" fontId="41" fillId="34" borderId="10" xfId="0" applyNumberFormat="1" applyFont="1" applyFill="1" applyBorder="1" applyAlignment="1" applyProtection="1">
      <alignment horizontal="center" wrapText="1"/>
      <protection hidden="1"/>
    </xf>
    <xf numFmtId="0" fontId="41" fillId="34" borderId="0" xfId="0" applyFont="1" applyFill="1" applyAlignment="1">
      <alignment horizontal="center" wrapText="1"/>
    </xf>
    <xf numFmtId="0" fontId="42" fillId="34" borderId="0" xfId="0" applyFont="1" applyFill="1" applyAlignment="1">
      <alignment horizontal="left"/>
    </xf>
    <xf numFmtId="0" fontId="42" fillId="34" borderId="0" xfId="0" applyFont="1" applyFill="1" applyAlignment="1">
      <alignment wrapText="1"/>
    </xf>
    <xf numFmtId="0" fontId="42" fillId="34" borderId="0" xfId="0" applyFont="1" applyFill="1" applyAlignment="1">
      <alignment horizontal="center" wrapText="1"/>
    </xf>
    <xf numFmtId="41" fontId="41" fillId="34" borderId="0" xfId="0" applyNumberFormat="1" applyFont="1" applyFill="1" applyAlignment="1">
      <alignment wrapText="1"/>
    </xf>
    <xf numFmtId="41" fontId="39" fillId="34" borderId="0" xfId="0" applyNumberFormat="1" applyFont="1" applyFill="1" applyAlignment="1">
      <alignment wrapText="1"/>
    </xf>
    <xf numFmtId="0" fontId="39" fillId="34" borderId="0" xfId="0" applyFont="1" applyFill="1" applyAlignment="1">
      <alignment wrapText="1"/>
    </xf>
    <xf numFmtId="42" fontId="39" fillId="34" borderId="0" xfId="0" applyNumberFormat="1" applyFont="1" applyFill="1" applyAlignment="1">
      <alignment wrapText="1"/>
    </xf>
    <xf numFmtId="41" fontId="39" fillId="34" borderId="0" xfId="0" applyNumberFormat="1" applyFont="1" applyFill="1"/>
    <xf numFmtId="0" fontId="41" fillId="34" borderId="0" xfId="0" applyFont="1" applyFill="1" applyAlignment="1">
      <alignment horizontal="left" wrapText="1"/>
    </xf>
    <xf numFmtId="0" fontId="42" fillId="34" borderId="0" xfId="0" applyFont="1" applyFill="1"/>
    <xf numFmtId="0" fontId="41" fillId="34" borderId="0" xfId="0" applyFont="1" applyFill="1" applyAlignment="1">
      <alignment horizontal="left"/>
    </xf>
    <xf numFmtId="41" fontId="41" fillId="34" borderId="11" xfId="0" applyNumberFormat="1" applyFont="1" applyFill="1" applyBorder="1"/>
    <xf numFmtId="0" fontId="41" fillId="34" borderId="0" xfId="0" applyFont="1" applyFill="1" applyAlignment="1">
      <alignment wrapText="1"/>
    </xf>
    <xf numFmtId="41" fontId="43" fillId="34" borderId="0" xfId="0" applyNumberFormat="1" applyFont="1" applyFill="1" applyAlignment="1">
      <alignment wrapText="1"/>
    </xf>
    <xf numFmtId="0" fontId="41" fillId="34" borderId="0" xfId="0" applyFont="1" applyFill="1"/>
    <xf numFmtId="41" fontId="41" fillId="34" borderId="11" xfId="0" applyNumberFormat="1" applyFont="1" applyFill="1" applyBorder="1" applyAlignment="1">
      <alignment wrapText="1"/>
    </xf>
    <xf numFmtId="0" fontId="39" fillId="34" borderId="0" xfId="0" applyFont="1" applyFill="1" applyAlignment="1">
      <alignment horizontal="right"/>
    </xf>
    <xf numFmtId="0" fontId="39" fillId="34" borderId="10" xfId="0" applyFont="1" applyFill="1" applyBorder="1"/>
    <xf numFmtId="0" fontId="39" fillId="34" borderId="16" xfId="0" applyFont="1" applyFill="1" applyBorder="1" applyAlignment="1" applyProtection="1">
      <alignment horizontal="left" wrapText="1"/>
      <protection locked="0"/>
    </xf>
    <xf numFmtId="0" fontId="41" fillId="34" borderId="14" xfId="0" applyFont="1" applyFill="1" applyBorder="1" applyAlignment="1">
      <alignment horizontal="left"/>
    </xf>
    <xf numFmtId="0" fontId="41" fillId="34" borderId="17" xfId="0" applyFont="1" applyFill="1" applyBorder="1" applyAlignment="1">
      <alignment horizontal="left"/>
    </xf>
    <xf numFmtId="0" fontId="41" fillId="34" borderId="15" xfId="0" applyFont="1" applyFill="1" applyBorder="1" applyAlignment="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xf numFmtId="167" fontId="39" fillId="34" borderId="18" xfId="0" applyNumberFormat="1" applyFont="1" applyFill="1" applyBorder="1" applyAlignment="1" applyProtection="1">
      <alignment horizontal="left"/>
      <protection locked="0"/>
    </xf>
    <xf numFmtId="167" fontId="39" fillId="34" borderId="19" xfId="0" applyNumberFormat="1" applyFont="1" applyFill="1" applyBorder="1" applyAlignment="1" applyProtection="1">
      <alignment horizontal="left"/>
      <protection locked="0"/>
    </xf>
    <xf numFmtId="0" fontId="53" fillId="34" borderId="0" xfId="0" applyFont="1" applyFill="1"/>
    <xf numFmtId="0" fontId="50" fillId="33" borderId="0" xfId="0" applyFont="1" applyFill="1" applyAlignment="1">
      <alignment horizontal="right"/>
    </xf>
    <xf numFmtId="166" fontId="39" fillId="33" borderId="0" xfId="0" applyNumberFormat="1" applyFont="1" applyFill="1"/>
    <xf numFmtId="0" fontId="39" fillId="34" borderId="35" xfId="0" applyFont="1" applyFill="1" applyBorder="1"/>
    <xf numFmtId="0" fontId="39" fillId="34" borderId="36" xfId="0" applyFont="1" applyFill="1" applyBorder="1"/>
    <xf numFmtId="0" fontId="39" fillId="34" borderId="37" xfId="0" applyFont="1" applyFill="1" applyBorder="1"/>
    <xf numFmtId="0" fontId="39" fillId="34" borderId="38" xfId="0" applyFont="1" applyFill="1" applyBorder="1"/>
    <xf numFmtId="0" fontId="39" fillId="34" borderId="39" xfId="0" applyFont="1" applyFill="1" applyBorder="1"/>
    <xf numFmtId="0" fontId="45" fillId="28" borderId="43" xfId="0" applyFont="1" applyFill="1" applyBorder="1" applyAlignment="1">
      <alignment horizontal="center"/>
    </xf>
    <xf numFmtId="0" fontId="45" fillId="28" borderId="0" xfId="0" applyFont="1" applyFill="1" applyAlignment="1">
      <alignment horizontal="center"/>
    </xf>
    <xf numFmtId="41" fontId="41" fillId="28" borderId="45" xfId="0" applyNumberFormat="1" applyFont="1" applyFill="1" applyBorder="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xf numFmtId="41" fontId="41" fillId="28" borderId="46" xfId="0" applyNumberFormat="1" applyFont="1" applyFill="1" applyBorder="1" applyAlignment="1">
      <alignment horizontal="center" wrapText="1"/>
    </xf>
    <xf numFmtId="41" fontId="41" fillId="28" borderId="44" xfId="0" applyNumberFormat="1" applyFont="1" applyFill="1" applyBorder="1" applyAlignment="1">
      <alignment horizontal="center" wrapText="1"/>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lignment wrapText="1"/>
    </xf>
    <xf numFmtId="41" fontId="43" fillId="32" borderId="44" xfId="0" applyNumberFormat="1" applyFont="1" applyFill="1" applyBorder="1" applyAlignment="1" applyProtection="1">
      <alignment wrapText="1"/>
      <protection locked="0"/>
    </xf>
    <xf numFmtId="0" fontId="45" fillId="28" borderId="0" xfId="0" applyFont="1" applyFill="1"/>
    <xf numFmtId="0" fontId="45" fillId="28" borderId="44" xfId="0" applyFont="1" applyFill="1" applyBorder="1"/>
    <xf numFmtId="41" fontId="39" fillId="28" borderId="44" xfId="0" applyNumberFormat="1" applyFont="1" applyFill="1" applyBorder="1"/>
    <xf numFmtId="41" fontId="39" fillId="0" borderId="44" xfId="0" applyNumberFormat="1" applyFont="1" applyBorder="1" applyAlignment="1">
      <alignment wrapText="1"/>
    </xf>
    <xf numFmtId="42" fontId="39" fillId="28" borderId="47" xfId="0" applyNumberFormat="1" applyFont="1" applyFill="1" applyBorder="1" applyAlignment="1">
      <alignment wrapText="1"/>
    </xf>
    <xf numFmtId="41" fontId="39" fillId="28" borderId="49" xfId="0" applyNumberFormat="1" applyFont="1" applyFill="1" applyBorder="1"/>
    <xf numFmtId="41" fontId="39" fillId="28" borderId="50" xfId="0" applyNumberFormat="1" applyFont="1" applyFill="1" applyBorder="1"/>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Alignment="1" applyProtection="1">
      <alignment vertical="top" wrapText="1"/>
      <protection locked="0"/>
    </xf>
    <xf numFmtId="0" fontId="37" fillId="28" borderId="54" xfId="0" applyFont="1" applyFill="1" applyBorder="1" applyProtection="1">
      <protection hidden="1"/>
    </xf>
    <xf numFmtId="0" fontId="45" fillId="28" borderId="54" xfId="0" applyFont="1" applyFill="1" applyBorder="1" applyAlignment="1">
      <alignment horizontal="center"/>
    </xf>
    <xf numFmtId="41" fontId="41" fillId="28" borderId="56" xfId="0" applyNumberFormat="1" applyFont="1" applyFill="1" applyBorder="1"/>
    <xf numFmtId="1" fontId="41" fillId="28" borderId="57" xfId="0" applyNumberFormat="1" applyFont="1" applyFill="1" applyBorder="1" applyAlignment="1" applyProtection="1">
      <alignment horizontal="center"/>
      <protection hidden="1"/>
    </xf>
    <xf numFmtId="0" fontId="41" fillId="28" borderId="55" xfId="0" applyFont="1" applyFill="1" applyBorder="1" applyAlignment="1">
      <alignment horizontal="center"/>
    </xf>
    <xf numFmtId="0" fontId="41" fillId="28" borderId="54" xfId="0" applyFont="1" applyFill="1" applyBorder="1" applyAlignment="1">
      <alignment vertical="top"/>
    </xf>
    <xf numFmtId="0" fontId="39" fillId="28" borderId="55" xfId="0" applyFont="1" applyFill="1" applyBorder="1"/>
    <xf numFmtId="0" fontId="39" fillId="28" borderId="54" xfId="0" applyFont="1" applyFill="1" applyBorder="1"/>
    <xf numFmtId="42" fontId="39" fillId="32" borderId="0" xfId="0" applyNumberFormat="1" applyFont="1" applyFill="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Alignment="1">
      <alignment horizontal="center" vertical="top" wrapText="1"/>
    </xf>
    <xf numFmtId="42" fontId="39" fillId="28" borderId="55" xfId="0" applyNumberFormat="1" applyFont="1" applyFill="1" applyBorder="1" applyAlignment="1">
      <alignment horizontal="center" vertical="top" wrapText="1"/>
    </xf>
    <xf numFmtId="0" fontId="39" fillId="28" borderId="54" xfId="0" applyFont="1" applyFill="1" applyBorder="1" applyAlignment="1">
      <alignment horizontal="left" vertical="top"/>
    </xf>
    <xf numFmtId="0" fontId="39" fillId="28" borderId="0" xfId="0" applyFont="1" applyFill="1" applyAlignment="1">
      <alignment horizontal="left" vertical="top" wrapText="1" indent="8"/>
    </xf>
    <xf numFmtId="42" fontId="39" fillId="28" borderId="55" xfId="0" applyNumberFormat="1" applyFont="1" applyFill="1" applyBorder="1" applyAlignment="1">
      <alignment vertical="top" wrapText="1"/>
    </xf>
    <xf numFmtId="0" fontId="39" fillId="28" borderId="54" xfId="0" applyFont="1" applyFill="1" applyBorder="1" applyAlignment="1">
      <alignment vertical="top"/>
    </xf>
    <xf numFmtId="42" fontId="39" fillId="28" borderId="56" xfId="0" applyNumberFormat="1" applyFont="1" applyFill="1" applyBorder="1" applyAlignment="1">
      <alignment vertical="top" wrapText="1"/>
    </xf>
    <xf numFmtId="42" fontId="39" fillId="28" borderId="59" xfId="0" applyNumberFormat="1" applyFont="1" applyFill="1" applyBorder="1" applyAlignment="1">
      <alignment vertical="top" wrapText="1"/>
    </xf>
    <xf numFmtId="42" fontId="39" fillId="28" borderId="60" xfId="0" applyNumberFormat="1" applyFont="1" applyFill="1" applyBorder="1" applyAlignment="1">
      <alignment vertical="top" wrapText="1"/>
    </xf>
    <xf numFmtId="0" fontId="37" fillId="28" borderId="51" xfId="0" applyFont="1" applyFill="1" applyBorder="1" applyAlignment="1" applyProtection="1">
      <alignment horizontal="centerContinuous" wrapText="1"/>
      <protection hidden="1"/>
    </xf>
    <xf numFmtId="0" fontId="37" fillId="28" borderId="52" xfId="0" applyFont="1" applyFill="1" applyBorder="1" applyAlignment="1" applyProtection="1">
      <alignment horizontal="centerContinuous" wrapText="1"/>
      <protection hidden="1"/>
    </xf>
    <xf numFmtId="0" fontId="37" fillId="28" borderId="53" xfId="0" applyFont="1" applyFill="1" applyBorder="1" applyAlignment="1" applyProtection="1">
      <alignment horizontal="centerContinuous" wrapText="1"/>
      <protection hidden="1"/>
    </xf>
    <xf numFmtId="0" fontId="45" fillId="28" borderId="54" xfId="0" applyFont="1" applyFill="1" applyBorder="1" applyAlignment="1">
      <alignment horizontal="center" vertical="center"/>
    </xf>
    <xf numFmtId="0" fontId="45" fillId="28" borderId="0" xfId="0" applyFont="1" applyFill="1" applyAlignment="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lignment vertical="top" wrapText="1"/>
    </xf>
    <xf numFmtId="0" fontId="39" fillId="28" borderId="57" xfId="0" applyFont="1" applyFill="1" applyBorder="1"/>
    <xf numFmtId="0" fontId="39" fillId="28" borderId="54" xfId="0" applyFont="1" applyFill="1" applyBorder="1" applyAlignment="1">
      <alignment horizontal="left" vertical="center"/>
    </xf>
    <xf numFmtId="0" fontId="39" fillId="28" borderId="55" xfId="0" applyFont="1" applyFill="1" applyBorder="1" applyAlignment="1">
      <alignment vertical="top" wrapText="1"/>
    </xf>
    <xf numFmtId="41" fontId="39" fillId="28" borderId="55" xfId="0" applyNumberFormat="1" applyFont="1" applyFill="1" applyBorder="1" applyAlignment="1">
      <alignment vertical="top" wrapText="1"/>
    </xf>
    <xf numFmtId="3" fontId="39" fillId="28" borderId="54" xfId="0" applyNumberFormat="1" applyFont="1" applyFill="1" applyBorder="1"/>
    <xf numFmtId="41" fontId="43" fillId="32" borderId="0" xfId="0" applyNumberFormat="1" applyFont="1" applyFill="1" applyAlignment="1" applyProtection="1">
      <alignment vertical="top" wrapText="1"/>
      <protection locked="0"/>
    </xf>
    <xf numFmtId="41" fontId="43" fillId="28" borderId="0" xfId="0" applyNumberFormat="1" applyFont="1" applyFill="1" applyAlignment="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lignment vertical="top"/>
    </xf>
    <xf numFmtId="0" fontId="39" fillId="28" borderId="59" xfId="0" applyFont="1" applyFill="1" applyBorder="1" applyAlignment="1">
      <alignment vertical="top" wrapText="1"/>
    </xf>
    <xf numFmtId="0" fontId="39" fillId="28" borderId="59" xfId="0" applyFont="1" applyFill="1" applyBorder="1"/>
    <xf numFmtId="42" fontId="39" fillId="33" borderId="0" xfId="0" applyNumberFormat="1" applyFont="1" applyFill="1"/>
    <xf numFmtId="0" fontId="41" fillId="33" borderId="0" xfId="0" applyFont="1" applyFill="1" applyAlignment="1">
      <alignment horizontal="left"/>
    </xf>
    <xf numFmtId="0" fontId="41" fillId="33" borderId="0" xfId="0" applyFont="1" applyFill="1" applyAlignment="1">
      <alignment horizontal="right"/>
    </xf>
    <xf numFmtId="0" fontId="41" fillId="33" borderId="0" xfId="0" applyFont="1" applyFill="1" applyAlignment="1">
      <alignment vertical="top" wrapText="1"/>
    </xf>
    <xf numFmtId="0" fontId="39" fillId="33" borderId="0" xfId="0" applyFont="1" applyFill="1" applyAlignment="1">
      <alignment vertical="top" wrapText="1"/>
    </xf>
    <xf numFmtId="0" fontId="39" fillId="33" borderId="0" xfId="0" applyFont="1" applyFill="1" applyAlignment="1">
      <alignment horizontal="center" vertical="center"/>
    </xf>
    <xf numFmtId="41" fontId="43" fillId="34" borderId="0" xfId="0" applyNumberFormat="1" applyFont="1" applyFill="1" applyAlignment="1" applyProtection="1">
      <alignment wrapText="1"/>
      <protection locked="0"/>
    </xf>
    <xf numFmtId="0" fontId="41" fillId="34" borderId="0" xfId="0" applyFont="1" applyFill="1" applyAlignment="1">
      <alignment horizontal="left" vertical="center" wrapText="1"/>
    </xf>
    <xf numFmtId="41" fontId="39" fillId="34" borderId="11" xfId="0" applyNumberFormat="1" applyFont="1" applyFill="1" applyBorder="1" applyAlignment="1">
      <alignment vertical="center" wrapText="1"/>
    </xf>
    <xf numFmtId="41" fontId="39" fillId="34" borderId="0" xfId="0" applyNumberFormat="1" applyFont="1" applyFill="1" applyAlignment="1">
      <alignment vertical="center" wrapText="1"/>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41" fillId="34" borderId="0" xfId="0" applyFont="1" applyFill="1" applyAlignment="1">
      <alignment horizontal="left" wrapText="1" readingOrder="1"/>
    </xf>
    <xf numFmtId="0" fontId="39" fillId="34" borderId="38" xfId="0" applyFont="1" applyFill="1" applyBorder="1" applyAlignment="1">
      <alignment horizontal="right" vertical="top"/>
    </xf>
    <xf numFmtId="0" fontId="39" fillId="34" borderId="38" xfId="0" applyFont="1" applyFill="1" applyBorder="1" applyAlignment="1">
      <alignment horizontal="right"/>
    </xf>
    <xf numFmtId="0" fontId="41" fillId="34" borderId="38" xfId="0" applyFont="1" applyFill="1" applyBorder="1"/>
    <xf numFmtId="0" fontId="39" fillId="34" borderId="21" xfId="0" applyFont="1" applyFill="1" applyBorder="1" applyAlignment="1">
      <alignment vertical="top" wrapText="1"/>
    </xf>
    <xf numFmtId="0" fontId="39" fillId="34" borderId="62" xfId="0" applyFont="1" applyFill="1" applyBorder="1"/>
    <xf numFmtId="0" fontId="39" fillId="34" borderId="10" xfId="0" applyFont="1" applyFill="1" applyBorder="1" applyAlignment="1">
      <alignment horizontal="left" vertical="top" wrapText="1"/>
    </xf>
    <xf numFmtId="0" fontId="39" fillId="34" borderId="63" xfId="0" applyFont="1" applyFill="1" applyBorder="1"/>
    <xf numFmtId="41" fontId="41" fillId="28" borderId="43" xfId="0" applyNumberFormat="1" applyFont="1" applyFill="1" applyBorder="1"/>
    <xf numFmtId="41" fontId="41" fillId="28" borderId="0" xfId="0" applyNumberFormat="1" applyFont="1" applyFill="1" applyAlignment="1">
      <alignment wrapText="1"/>
    </xf>
    <xf numFmtId="0" fontId="45" fillId="28" borderId="43" xfId="0" applyFont="1" applyFill="1" applyBorder="1"/>
    <xf numFmtId="41" fontId="39" fillId="28" borderId="48" xfId="0" applyNumberFormat="1" applyFont="1" applyFill="1" applyBorder="1"/>
    <xf numFmtId="0" fontId="55" fillId="36" borderId="64" xfId="0" applyFont="1" applyFill="1" applyBorder="1"/>
    <xf numFmtId="0" fontId="55" fillId="35" borderId="64" xfId="0" applyFont="1" applyFill="1" applyBorder="1"/>
    <xf numFmtId="0" fontId="55" fillId="36" borderId="65" xfId="0" applyFont="1" applyFill="1" applyBorder="1"/>
    <xf numFmtId="0" fontId="55" fillId="35" borderId="65" xfId="0" applyFont="1" applyFill="1" applyBorder="1"/>
    <xf numFmtId="1" fontId="55" fillId="35" borderId="65" xfId="0" applyNumberFormat="1" applyFont="1" applyFill="1" applyBorder="1" applyAlignment="1">
      <alignment horizontal="center"/>
    </xf>
    <xf numFmtId="0" fontId="55" fillId="36" borderId="65" xfId="0" applyFont="1" applyFill="1" applyBorder="1" applyAlignment="1">
      <alignment horizontal="center"/>
    </xf>
    <xf numFmtId="0" fontId="11" fillId="34" borderId="0" xfId="39" applyFill="1" applyBorder="1" applyAlignment="1" applyProtection="1"/>
    <xf numFmtId="1" fontId="52" fillId="35" borderId="65" xfId="0" applyNumberFormat="1" applyFont="1" applyFill="1" applyBorder="1" applyAlignment="1">
      <alignment horizontal="center"/>
    </xf>
    <xf numFmtId="0" fontId="52" fillId="0" borderId="65" xfId="0" applyFont="1" applyBorder="1"/>
    <xf numFmtId="1" fontId="52" fillId="36" borderId="65" xfId="0" applyNumberFormat="1" applyFont="1" applyFill="1" applyBorder="1" applyAlignment="1">
      <alignment horizontal="center"/>
    </xf>
    <xf numFmtId="0" fontId="41" fillId="34" borderId="20" xfId="0" applyFont="1" applyFill="1" applyBorder="1" applyAlignment="1">
      <alignment horizontal="left"/>
    </xf>
    <xf numFmtId="0" fontId="41" fillId="34" borderId="21" xfId="0" applyFont="1" applyFill="1" applyBorder="1" applyAlignment="1">
      <alignment horizontal="left"/>
    </xf>
    <xf numFmtId="0" fontId="41" fillId="34" borderId="24" xfId="0" applyFont="1" applyFill="1" applyBorder="1" applyAlignment="1">
      <alignment horizontal="left"/>
    </xf>
    <xf numFmtId="0" fontId="41" fillId="34" borderId="25" xfId="0" applyFont="1" applyFill="1" applyBorder="1" applyAlignment="1">
      <alignment horizontal="left"/>
    </xf>
    <xf numFmtId="0" fontId="39" fillId="34" borderId="0" xfId="0" applyFont="1" applyFill="1" applyAlignment="1">
      <alignment horizontal="left" wrapText="1"/>
    </xf>
    <xf numFmtId="0" fontId="39" fillId="34" borderId="0" xfId="0" applyFont="1" applyFill="1" applyAlignment="1">
      <alignment horizontal="left"/>
    </xf>
    <xf numFmtId="0" fontId="41" fillId="34" borderId="38" xfId="0" applyFont="1" applyFill="1" applyBorder="1" applyAlignment="1">
      <alignment horizontal="center" vertical="center" wrapText="1"/>
    </xf>
    <xf numFmtId="0" fontId="41" fillId="34" borderId="0" xfId="0" applyFont="1" applyFill="1" applyAlignment="1">
      <alignment horizontal="center" vertical="center" wrapText="1"/>
    </xf>
    <xf numFmtId="0" fontId="41" fillId="34" borderId="39" xfId="0" applyFont="1" applyFill="1" applyBorder="1" applyAlignment="1">
      <alignment horizontal="center" vertical="center" wrapText="1"/>
    </xf>
    <xf numFmtId="0" fontId="39" fillId="0" borderId="21" xfId="0" applyFont="1" applyBorder="1" applyAlignment="1" applyProtection="1">
      <alignment horizontal="left" vertical="top"/>
      <protection locked="0"/>
    </xf>
    <xf numFmtId="0" fontId="39" fillId="34" borderId="21" xfId="0" applyFont="1" applyFill="1" applyBorder="1" applyAlignment="1" applyProtection="1">
      <alignment horizontal="left" vertical="top"/>
      <protection locked="0"/>
    </xf>
    <xf numFmtId="0" fontId="39" fillId="34" borderId="0" xfId="0" applyFont="1" applyFill="1" applyAlignment="1">
      <alignment horizontal="left" vertical="top" wrapText="1" readingOrder="1"/>
    </xf>
    <xf numFmtId="0" fontId="39" fillId="34" borderId="17" xfId="0" applyFont="1" applyFill="1" applyBorder="1" applyAlignment="1">
      <alignment horizontal="left" vertical="top" wrapText="1"/>
    </xf>
    <xf numFmtId="0" fontId="39" fillId="34" borderId="34" xfId="0" applyFont="1" applyFill="1" applyBorder="1" applyAlignment="1">
      <alignment horizontal="left" vertical="top" wrapText="1"/>
    </xf>
    <xf numFmtId="0" fontId="39" fillId="34" borderId="21" xfId="0" applyFont="1" applyFill="1" applyBorder="1" applyAlignment="1">
      <alignment horizontal="left" vertical="center" wrapText="1"/>
    </xf>
    <xf numFmtId="0" fontId="37" fillId="34" borderId="0" xfId="0" applyFont="1" applyFill="1" applyAlignment="1">
      <alignment horizontal="center"/>
    </xf>
    <xf numFmtId="0" fontId="38" fillId="34" borderId="0" xfId="0" applyFont="1" applyFill="1"/>
    <xf numFmtId="0" fontId="41" fillId="34" borderId="22" xfId="0" applyFont="1" applyFill="1" applyBorder="1" applyAlignment="1">
      <alignment horizontal="left"/>
    </xf>
    <xf numFmtId="0" fontId="41" fillId="34" borderId="23" xfId="0" applyFont="1" applyFill="1" applyBorder="1" applyAlignment="1">
      <alignment horizontal="left"/>
    </xf>
    <xf numFmtId="0" fontId="40" fillId="34" borderId="0" xfId="0" applyFont="1" applyFill="1" applyAlignment="1">
      <alignment horizontal="center"/>
    </xf>
    <xf numFmtId="0" fontId="39" fillId="34" borderId="38" xfId="0" applyFont="1" applyFill="1" applyBorder="1" applyAlignment="1">
      <alignment horizontal="right" vertical="center"/>
    </xf>
    <xf numFmtId="0" fontId="39" fillId="34" borderId="61" xfId="0" applyFont="1" applyFill="1" applyBorder="1" applyAlignment="1">
      <alignment horizontal="right" vertical="center"/>
    </xf>
    <xf numFmtId="0" fontId="37" fillId="34" borderId="0" xfId="0" applyFont="1" applyFill="1" applyAlignment="1" applyProtection="1">
      <alignment horizontal="center" wrapText="1"/>
      <protection hidden="1"/>
    </xf>
    <xf numFmtId="0" fontId="42" fillId="34" borderId="0" xfId="0" applyFont="1" applyFill="1" applyAlignment="1">
      <alignment horizontal="center" wrapText="1"/>
    </xf>
    <xf numFmtId="0" fontId="39" fillId="34" borderId="0" xfId="0" applyFont="1" applyFill="1" applyAlignment="1">
      <alignment horizontal="center"/>
    </xf>
    <xf numFmtId="165" fontId="41" fillId="34" borderId="10" xfId="0" applyNumberFormat="1" applyFont="1" applyFill="1" applyBorder="1" applyAlignment="1">
      <alignment horizontal="left"/>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37" fillId="28" borderId="43" xfId="0" applyFont="1" applyFill="1" applyBorder="1" applyAlignment="1" applyProtection="1">
      <alignment horizontal="center"/>
      <protection hidden="1"/>
    </xf>
    <xf numFmtId="0" fontId="37" fillId="28" borderId="0" xfId="0" applyFont="1" applyFill="1" applyAlignment="1" applyProtection="1">
      <alignment horizontal="center"/>
      <protection hidden="1"/>
    </xf>
    <xf numFmtId="0" fontId="37" fillId="28" borderId="44" xfId="0" applyFont="1" applyFill="1" applyBorder="1" applyAlignment="1" applyProtection="1">
      <alignment horizontal="center"/>
      <protection hidden="1"/>
    </xf>
    <xf numFmtId="41" fontId="41" fillId="33" borderId="0" xfId="0" applyNumberFormat="1" applyFont="1" applyFill="1" applyAlignment="1">
      <alignment horizontal="center"/>
    </xf>
    <xf numFmtId="1" fontId="41" fillId="28" borderId="12" xfId="0" applyNumberFormat="1" applyFont="1" applyFill="1" applyBorder="1" applyAlignment="1" applyProtection="1">
      <alignment horizontal="center"/>
      <protection hidden="1"/>
    </xf>
    <xf numFmtId="0" fontId="41" fillId="28" borderId="12" xfId="0" applyFont="1" applyFill="1" applyBorder="1" applyAlignment="1" applyProtection="1">
      <alignment horizontal="center"/>
      <protection hidden="1"/>
    </xf>
    <xf numFmtId="0" fontId="39" fillId="28" borderId="43" xfId="0" applyFont="1" applyFill="1" applyBorder="1" applyAlignment="1">
      <alignment horizontal="center"/>
    </xf>
    <xf numFmtId="0" fontId="39" fillId="28" borderId="0" xfId="0" applyFont="1" applyFill="1" applyAlignment="1">
      <alignment horizontal="center"/>
    </xf>
    <xf numFmtId="0" fontId="39" fillId="28" borderId="44" xfId="0" applyFont="1" applyFill="1" applyBorder="1" applyAlignment="1">
      <alignment horizontal="center"/>
    </xf>
    <xf numFmtId="0" fontId="37" fillId="28" borderId="40" xfId="0" applyFont="1" applyFill="1" applyBorder="1" applyAlignment="1" applyProtection="1">
      <alignment horizontal="center" wrapText="1"/>
      <protection hidden="1"/>
    </xf>
    <xf numFmtId="0" fontId="37" fillId="28" borderId="41" xfId="0" applyFont="1" applyFill="1" applyBorder="1" applyAlignment="1" applyProtection="1">
      <alignment horizontal="center" wrapText="1"/>
      <protection hidden="1"/>
    </xf>
    <xf numFmtId="0" fontId="37" fillId="28" borderId="42" xfId="0" applyFont="1" applyFill="1" applyBorder="1" applyAlignment="1" applyProtection="1">
      <alignment horizontal="center" wrapText="1"/>
      <protection hidden="1"/>
    </xf>
    <xf numFmtId="41" fontId="41" fillId="28" borderId="43" xfId="0" applyNumberFormat="1" applyFont="1" applyFill="1" applyBorder="1" applyAlignment="1">
      <alignment horizontal="right"/>
    </xf>
    <xf numFmtId="41" fontId="41" fillId="28" borderId="0" xfId="0" applyNumberFormat="1" applyFont="1" applyFill="1" applyAlignment="1">
      <alignment horizontal="right"/>
    </xf>
    <xf numFmtId="0" fontId="41" fillId="33" borderId="0" xfId="0" applyFont="1" applyFill="1" applyAlignment="1">
      <alignment vertical="top" wrapText="1"/>
    </xf>
    <xf numFmtId="0" fontId="41" fillId="28" borderId="54" xfId="0" applyFont="1" applyFill="1" applyBorder="1" applyAlignment="1">
      <alignment horizontal="center" vertical="top"/>
    </xf>
    <xf numFmtId="0" fontId="41" fillId="28" borderId="0" xfId="0" applyFont="1" applyFill="1" applyAlignment="1">
      <alignment horizontal="center" vertical="top"/>
    </xf>
    <xf numFmtId="0" fontId="41" fillId="28" borderId="58" xfId="0" applyFont="1" applyFill="1" applyBorder="1" applyAlignment="1">
      <alignment horizontal="center" vertical="top"/>
    </xf>
    <xf numFmtId="0" fontId="41" fillId="28" borderId="59" xfId="0" applyFont="1" applyFill="1" applyBorder="1" applyAlignment="1">
      <alignment horizontal="center" vertical="top"/>
    </xf>
    <xf numFmtId="0" fontId="37" fillId="28" borderId="54" xfId="0" applyFont="1" applyFill="1" applyBorder="1" applyAlignment="1" applyProtection="1">
      <alignment horizontal="center"/>
      <protection hidden="1"/>
    </xf>
    <xf numFmtId="0" fontId="37" fillId="28" borderId="55" xfId="0" applyFont="1" applyFill="1" applyBorder="1" applyAlignment="1" applyProtection="1">
      <alignment horizontal="center"/>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Font="1" applyFill="1" applyBorder="1" applyAlignment="1">
      <alignment horizontal="center"/>
    </xf>
    <xf numFmtId="0" fontId="39" fillId="28" borderId="55" xfId="0" applyFont="1" applyFill="1" applyBorder="1" applyAlignment="1">
      <alignment horizontal="center"/>
    </xf>
    <xf numFmtId="0" fontId="39" fillId="28" borderId="13" xfId="0" applyFont="1" applyFill="1" applyBorder="1" applyAlignment="1">
      <alignment horizontal="center" vertical="top" wrapText="1"/>
    </xf>
    <xf numFmtId="1" fontId="41" fillId="28" borderId="13" xfId="0" applyNumberFormat="1" applyFont="1" applyFill="1" applyBorder="1" applyAlignment="1" applyProtection="1">
      <alignment horizontal="center" vertical="center"/>
      <protection hidden="1"/>
    </xf>
    <xf numFmtId="0" fontId="41" fillId="28" borderId="13" xfId="0" applyFont="1" applyFill="1" applyBorder="1" applyAlignment="1" applyProtection="1">
      <alignment horizontal="center" vertical="center"/>
      <protection hidden="1"/>
    </xf>
    <xf numFmtId="41" fontId="41" fillId="28" borderId="10" xfId="0" applyNumberFormat="1" applyFont="1" applyFill="1" applyBorder="1" applyAlignment="1">
      <alignment horizontal="center"/>
    </xf>
    <xf numFmtId="41" fontId="41" fillId="28" borderId="56" xfId="0" applyNumberFormat="1" applyFont="1" applyFill="1" applyBorder="1" applyAlignment="1">
      <alignment horizontal="center"/>
    </xf>
    <xf numFmtId="0" fontId="11" fillId="34" borderId="18" xfId="39" applyFill="1" applyBorder="1" applyAlignment="1" applyProtection="1">
      <alignment horizontal="left"/>
      <protection locked="0"/>
    </xf>
    <xf numFmtId="171" fontId="39" fillId="32" borderId="0" xfId="0" applyNumberFormat="1" applyFont="1" applyFill="1" applyAlignment="1" applyProtection="1">
      <alignment horizontal="center" vertical="center"/>
      <protection locked="0"/>
    </xf>
    <xf numFmtId="171" fontId="39" fillId="28" borderId="0" xfId="0" applyNumberFormat="1" applyFont="1" applyFill="1" applyAlignment="1">
      <alignment horizontal="center" vertical="top" wrapText="1"/>
    </xf>
  </cellXfs>
  <cellStyles count="7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xr:uid="{00000000-0005-0000-0000-00001B000000}"/>
    <cellStyle name="ColumnAttributePrompt" xfId="29" xr:uid="{00000000-0005-0000-0000-00001C000000}"/>
    <cellStyle name="ColumnAttributeValue" xfId="30" xr:uid="{00000000-0005-0000-0000-00001D000000}"/>
    <cellStyle name="ColumnHeadingPrompt" xfId="31" xr:uid="{00000000-0005-0000-0000-00001E000000}"/>
    <cellStyle name="ColumnHeadingValue" xfId="32" xr:uid="{00000000-0005-0000-0000-00001F000000}"/>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xr:uid="{00000000-0005-0000-0000-000028000000}"/>
    <cellStyle name="LineItemValue" xfId="42" xr:uid="{00000000-0005-0000-0000-000029000000}"/>
    <cellStyle name="Linked Cell" xfId="43" builtinId="24" customBuiltin="1"/>
    <cellStyle name="Neutral" xfId="44" builtinId="28" customBuiltin="1"/>
    <cellStyle name="Normal" xfId="0" builtinId="0"/>
    <cellStyle name="Normal 2" xfId="45" xr:uid="{00000000-0005-0000-0000-00002D000000}"/>
    <cellStyle name="Note" xfId="46" builtinId="10" customBuiltin="1"/>
    <cellStyle name="Output" xfId="47" builtinId="21" customBuiltin="1"/>
    <cellStyle name="OUTPUT AMOUNTS" xfId="48" xr:uid="{00000000-0005-0000-0000-000030000000}"/>
    <cellStyle name="OUTPUT COLUMN HEADINGS" xfId="49" xr:uid="{00000000-0005-0000-0000-000031000000}"/>
    <cellStyle name="OUTPUT LINE ITEMS" xfId="50" xr:uid="{00000000-0005-0000-0000-000032000000}"/>
    <cellStyle name="OUTPUT REPORT HEADING" xfId="51" xr:uid="{00000000-0005-0000-0000-000033000000}"/>
    <cellStyle name="OUTPUT REPORT TITLE" xfId="52" xr:uid="{00000000-0005-0000-0000-000034000000}"/>
    <cellStyle name="ReportTitlePrompt" xfId="53" xr:uid="{00000000-0005-0000-0000-000035000000}"/>
    <cellStyle name="ReportTitleValue" xfId="54" xr:uid="{00000000-0005-0000-0000-000036000000}"/>
    <cellStyle name="RowAcctAbovePrompt" xfId="55" xr:uid="{00000000-0005-0000-0000-000037000000}"/>
    <cellStyle name="RowAcctSOBAbovePrompt" xfId="56" xr:uid="{00000000-0005-0000-0000-000038000000}"/>
    <cellStyle name="RowAcctSOBValue" xfId="57" xr:uid="{00000000-0005-0000-0000-000039000000}"/>
    <cellStyle name="RowAcctValue" xfId="58" xr:uid="{00000000-0005-0000-0000-00003A000000}"/>
    <cellStyle name="RowAttrAbovePrompt" xfId="59" xr:uid="{00000000-0005-0000-0000-00003B000000}"/>
    <cellStyle name="RowAttrValue" xfId="60" xr:uid="{00000000-0005-0000-0000-00003C000000}"/>
    <cellStyle name="RowColSetAbovePrompt" xfId="61" xr:uid="{00000000-0005-0000-0000-00003D000000}"/>
    <cellStyle name="RowColSetLeftPrompt" xfId="62" xr:uid="{00000000-0005-0000-0000-00003E000000}"/>
    <cellStyle name="RowColSetValue" xfId="63" xr:uid="{00000000-0005-0000-0000-00003F000000}"/>
    <cellStyle name="RowLeftPrompt" xfId="64" xr:uid="{00000000-0005-0000-0000-000040000000}"/>
    <cellStyle name="SampleUsingFormatMask" xfId="65" xr:uid="{00000000-0005-0000-0000-000041000000}"/>
    <cellStyle name="SampleWithNoFormatMask" xfId="66" xr:uid="{00000000-0005-0000-0000-000042000000}"/>
    <cellStyle name="Title" xfId="67" builtinId="15" customBuiltin="1"/>
    <cellStyle name="Total" xfId="68" builtinId="25" customBuiltin="1"/>
    <cellStyle name="UploadThisRowValue" xfId="69" xr:uid="{00000000-0005-0000-0000-000045000000}"/>
    <cellStyle name="Warning Text" xfId="70" builtinId="11" customBuiltin="1"/>
  </cellStyles>
  <dxfs count="92">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numFmt numFmtId="1" formatCode="0"/>
      <alignment horizontal="center" vertical="bottom" textRotation="0" wrapText="0" indent="0" justifyLastLine="0" shrinkToFit="0" readingOrder="0"/>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a:extLst>
            <a:ext uri="{FF2B5EF4-FFF2-40B4-BE49-F238E27FC236}">
              <a16:creationId xmlns:a16="http://schemas.microsoft.com/office/drawing/2014/main" id="{00000000-0008-0000-0100-000002000000}"/>
            </a:ext>
          </a:extLst>
        </xdr:cNvPr>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Please enter balance sheet data for the Ed Corp
Academy Charter School, The (Combined)
only on this template.
The balance sheet should include data for
all Charter schools operated by the Ed Corp.</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a:extLst>
            <a:ext uri="{FF2B5EF4-FFF2-40B4-BE49-F238E27FC236}">
              <a16:creationId xmlns:a16="http://schemas.microsoft.com/office/drawing/2014/main" id="{00000000-0008-0000-0300-000002000000}"/>
            </a:ext>
          </a:extLst>
        </xdr:cNvPr>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Please enter cash flow data for the Ed Corp
Academy Charter School, The (Combined)
only on this template.
The cash flow should include data for
all Charter schools operated by the Ed Corp.</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8:F226" totalsRowShown="0">
  <autoFilter ref="B28:F226" xr:uid="{00000000-0009-0000-0100-000002000000}"/>
  <sortState xmlns:xlrd2="http://schemas.microsoft.com/office/spreadsheetml/2017/richdata2" ref="B29:F206">
    <sortCondition ref="C29:C206"/>
  </sortState>
  <tableColumns count="5">
    <tableColumn id="1" xr3:uid="{00000000-0010-0000-0000-000001000000}" name="Number"/>
    <tableColumn id="2" xr3:uid="{00000000-0010-0000-0000-000002000000}" name="SCHOOLS"/>
    <tableColumn id="3" xr3:uid="{00000000-0010-0000-0000-000003000000}" name="BS&amp;CF"/>
    <tableColumn id="4" xr3:uid="{00000000-0010-0000-0000-000004000000}" name="MergeID" dataDxfId="3"/>
    <tableColumn id="5" xr3:uid="{00000000-0010-0000-0000-000005000000}" name="MergeName" dataDxfId="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27:C260" totalsRowShown="0">
  <autoFilter ref="B227:C260" xr:uid="{00000000-0009-0000-0100-000001000000}"/>
  <sortState xmlns:xlrd2="http://schemas.microsoft.com/office/spreadsheetml/2017/richdata2" ref="B203:C221">
    <sortCondition ref="B202:B221"/>
  </sortState>
  <tableColumns count="2">
    <tableColumn id="1" xr3:uid="{00000000-0010-0000-0100-000001000000}" name="MergeID" dataDxfId="1"/>
    <tableColumn id="2" xr3:uid="{00000000-0010-0000-0100-000002000000}"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lin@ncheng.com" TargetMode="External"/><Relationship Id="rId2" Type="http://schemas.openxmlformats.org/officeDocument/2006/relationships/hyperlink" Target="mailto:aburke@academycharterschool.org" TargetMode="External"/><Relationship Id="rId1" Type="http://schemas.openxmlformats.org/officeDocument/2006/relationships/hyperlink" Target="https://my.epicenternow.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8"/>
    <pageSetUpPr fitToPage="1"/>
  </sheetPr>
  <dimension ref="B1:F69"/>
  <sheetViews>
    <sheetView showGridLines="0" topLeftCell="A34" zoomScale="80" zoomScaleNormal="80" zoomScaleSheetLayoutView="100" workbookViewId="0">
      <selection activeCell="E49" sqref="E49"/>
    </sheetView>
  </sheetViews>
  <sheetFormatPr defaultColWidth="9.140625" defaultRowHeight="15" x14ac:dyDescent="0.25"/>
  <cols>
    <col min="1" max="2" width="3.7109375" style="75" customWidth="1"/>
    <col min="3" max="3" width="29.7109375" style="75" customWidth="1"/>
    <col min="4" max="4" width="5" style="75" customWidth="1"/>
    <col min="5" max="5" width="75.42578125" style="75" customWidth="1"/>
    <col min="6" max="6" width="3.7109375" style="75" customWidth="1"/>
    <col min="7" max="8" width="9.140625" style="75"/>
    <col min="9" max="12" width="9.140625" style="75" customWidth="1"/>
    <col min="13" max="16384" width="9.140625" style="75"/>
  </cols>
  <sheetData>
    <row r="1" spans="2:6" ht="9" customHeight="1" x14ac:dyDescent="0.25"/>
    <row r="2" spans="2:6" ht="8.25" customHeight="1" x14ac:dyDescent="0.25">
      <c r="B2" s="127"/>
      <c r="C2" s="128"/>
      <c r="D2" s="128"/>
      <c r="E2" s="128"/>
      <c r="F2" s="129"/>
    </row>
    <row r="3" spans="2:6" x14ac:dyDescent="0.25">
      <c r="B3" s="130"/>
      <c r="C3" s="93"/>
      <c r="D3" s="93"/>
      <c r="E3" s="93"/>
      <c r="F3" s="131"/>
    </row>
    <row r="4" spans="2:6" x14ac:dyDescent="0.25">
      <c r="B4" s="130"/>
      <c r="C4" s="93"/>
      <c r="D4" s="93"/>
      <c r="E4" s="93"/>
      <c r="F4" s="131"/>
    </row>
    <row r="5" spans="2:6" x14ac:dyDescent="0.25">
      <c r="B5" s="130"/>
      <c r="C5" s="93"/>
      <c r="D5" s="93"/>
      <c r="E5" s="93"/>
      <c r="F5" s="131"/>
    </row>
    <row r="6" spans="2:6" x14ac:dyDescent="0.25">
      <c r="B6" s="130"/>
      <c r="C6" s="93"/>
      <c r="D6" s="93"/>
      <c r="E6" s="93"/>
      <c r="F6" s="131"/>
    </row>
    <row r="7" spans="2:6" ht="15" customHeight="1" x14ac:dyDescent="0.25">
      <c r="B7" s="130"/>
      <c r="C7" s="93"/>
      <c r="D7" s="93"/>
      <c r="E7" s="93"/>
      <c r="F7" s="131"/>
    </row>
    <row r="8" spans="2:6" ht="6.6" customHeight="1" x14ac:dyDescent="0.25">
      <c r="B8" s="130"/>
      <c r="C8" s="93"/>
      <c r="D8" s="93"/>
      <c r="E8" s="93"/>
      <c r="F8" s="131"/>
    </row>
    <row r="9" spans="2:6" ht="18" customHeight="1" x14ac:dyDescent="0.3">
      <c r="B9" s="130"/>
      <c r="C9" s="242" t="s">
        <v>139</v>
      </c>
      <c r="D9" s="243"/>
      <c r="E9" s="243"/>
      <c r="F9" s="131"/>
    </row>
    <row r="10" spans="2:6" ht="18.75" x14ac:dyDescent="0.3">
      <c r="B10" s="130"/>
      <c r="C10" s="242" t="s">
        <v>131</v>
      </c>
      <c r="D10" s="243"/>
      <c r="E10" s="243"/>
      <c r="F10" s="131"/>
    </row>
    <row r="11" spans="2:6" ht="18.75" x14ac:dyDescent="0.3">
      <c r="B11" s="130"/>
      <c r="C11" s="246" t="s">
        <v>121</v>
      </c>
      <c r="D11" s="246"/>
      <c r="E11" s="246"/>
      <c r="F11" s="131"/>
    </row>
    <row r="12" spans="2:6" ht="8.25" customHeight="1" thickBot="1" x14ac:dyDescent="0.3">
      <c r="B12" s="130"/>
      <c r="C12" s="114"/>
      <c r="D12" s="114"/>
      <c r="E12" s="114"/>
      <c r="F12" s="131"/>
    </row>
    <row r="13" spans="2:6" x14ac:dyDescent="0.25">
      <c r="B13" s="130"/>
      <c r="C13" s="244" t="s">
        <v>150</v>
      </c>
      <c r="D13" s="245"/>
      <c r="E13" s="115" t="s">
        <v>161</v>
      </c>
      <c r="F13" s="131"/>
    </row>
    <row r="14" spans="2:6" ht="10.5" customHeight="1" x14ac:dyDescent="0.25">
      <c r="B14" s="130"/>
      <c r="C14" s="116"/>
      <c r="D14" s="117"/>
      <c r="E14" s="118"/>
      <c r="F14" s="131"/>
    </row>
    <row r="15" spans="2:6" ht="15" customHeight="1" x14ac:dyDescent="0.25">
      <c r="B15" s="130"/>
      <c r="C15" s="227" t="s">
        <v>132</v>
      </c>
      <c r="D15" s="228"/>
      <c r="E15" s="119" t="s">
        <v>445</v>
      </c>
      <c r="F15" s="131"/>
    </row>
    <row r="16" spans="2:6" ht="15" customHeight="1" x14ac:dyDescent="0.25">
      <c r="B16" s="130"/>
      <c r="C16" s="227" t="s">
        <v>148</v>
      </c>
      <c r="D16" s="228"/>
      <c r="E16" s="119" t="s">
        <v>446</v>
      </c>
      <c r="F16" s="131"/>
    </row>
    <row r="17" spans="2:6" ht="10.5" customHeight="1" x14ac:dyDescent="0.25">
      <c r="B17" s="130"/>
      <c r="C17" s="116"/>
      <c r="D17" s="117"/>
      <c r="E17" s="118"/>
      <c r="F17" s="131"/>
    </row>
    <row r="18" spans="2:6" x14ac:dyDescent="0.25">
      <c r="B18" s="130"/>
      <c r="C18" s="227" t="s">
        <v>147</v>
      </c>
      <c r="D18" s="228"/>
      <c r="E18" s="120">
        <v>44866</v>
      </c>
      <c r="F18" s="131"/>
    </row>
    <row r="19" spans="2:6" ht="10.5" customHeight="1" x14ac:dyDescent="0.25">
      <c r="B19" s="130"/>
      <c r="C19" s="116"/>
      <c r="D19" s="117"/>
      <c r="E19" s="121"/>
      <c r="F19" s="131"/>
    </row>
    <row r="20" spans="2:6" x14ac:dyDescent="0.25">
      <c r="B20" s="130"/>
      <c r="C20" s="227" t="s">
        <v>124</v>
      </c>
      <c r="D20" s="228"/>
      <c r="E20" s="119" t="s">
        <v>447</v>
      </c>
      <c r="F20" s="131"/>
    </row>
    <row r="21" spans="2:6" x14ac:dyDescent="0.25">
      <c r="B21" s="130"/>
      <c r="C21" s="227" t="s">
        <v>125</v>
      </c>
      <c r="D21" s="228"/>
      <c r="E21" s="286" t="s">
        <v>448</v>
      </c>
      <c r="F21" s="131"/>
    </row>
    <row r="22" spans="2:6" x14ac:dyDescent="0.25">
      <c r="B22" s="130"/>
      <c r="C22" s="227" t="s">
        <v>126</v>
      </c>
      <c r="D22" s="228"/>
      <c r="E22" s="122" t="s">
        <v>449</v>
      </c>
      <c r="F22" s="131"/>
    </row>
    <row r="23" spans="2:6" ht="10.5" customHeight="1" x14ac:dyDescent="0.25">
      <c r="B23" s="130"/>
      <c r="C23" s="116"/>
      <c r="D23" s="117"/>
      <c r="E23" s="121"/>
      <c r="F23" s="131"/>
    </row>
    <row r="24" spans="2:6" x14ac:dyDescent="0.25">
      <c r="B24" s="130"/>
      <c r="C24" s="227" t="s">
        <v>130</v>
      </c>
      <c r="D24" s="228"/>
      <c r="E24" s="119" t="s">
        <v>450</v>
      </c>
      <c r="F24" s="131"/>
    </row>
    <row r="25" spans="2:6" x14ac:dyDescent="0.25">
      <c r="B25" s="130"/>
      <c r="C25" s="227" t="s">
        <v>127</v>
      </c>
      <c r="D25" s="228"/>
      <c r="E25" s="119" t="s">
        <v>451</v>
      </c>
      <c r="F25" s="131"/>
    </row>
    <row r="26" spans="2:6" x14ac:dyDescent="0.25">
      <c r="B26" s="130"/>
      <c r="C26" s="227" t="s">
        <v>128</v>
      </c>
      <c r="D26" s="228"/>
      <c r="E26" s="286" t="s">
        <v>452</v>
      </c>
      <c r="F26" s="131"/>
    </row>
    <row r="27" spans="2:6" ht="15.75" thickBot="1" x14ac:dyDescent="0.3">
      <c r="B27" s="130"/>
      <c r="C27" s="229" t="s">
        <v>129</v>
      </c>
      <c r="D27" s="230"/>
      <c r="E27" s="123" t="s">
        <v>453</v>
      </c>
      <c r="F27" s="131"/>
    </row>
    <row r="28" spans="2:6" ht="22.9" customHeight="1" x14ac:dyDescent="0.25">
      <c r="B28" s="233"/>
      <c r="C28" s="234"/>
      <c r="D28" s="234"/>
      <c r="E28" s="234"/>
      <c r="F28" s="235"/>
    </row>
    <row r="29" spans="2:6" x14ac:dyDescent="0.25">
      <c r="B29" s="208" t="s">
        <v>369</v>
      </c>
      <c r="C29" s="93"/>
      <c r="D29" s="93"/>
      <c r="E29" s="93"/>
      <c r="F29" s="131"/>
    </row>
    <row r="30" spans="2:6" ht="17.25" x14ac:dyDescent="0.3">
      <c r="B30" s="130"/>
      <c r="C30" s="113" t="s">
        <v>159</v>
      </c>
      <c r="D30" s="124"/>
      <c r="E30" s="223" t="s">
        <v>434</v>
      </c>
      <c r="F30" s="131"/>
    </row>
    <row r="31" spans="2:6" x14ac:dyDescent="0.25">
      <c r="B31" s="208" t="s">
        <v>368</v>
      </c>
      <c r="C31" s="205"/>
      <c r="D31" s="93"/>
      <c r="E31" s="93"/>
      <c r="F31" s="131"/>
    </row>
    <row r="32" spans="2:6" ht="15" customHeight="1" x14ac:dyDescent="0.25">
      <c r="B32" s="207" t="s">
        <v>365</v>
      </c>
      <c r="C32" s="232" t="s">
        <v>361</v>
      </c>
      <c r="D32" s="232"/>
      <c r="E32" s="232"/>
      <c r="F32" s="131"/>
    </row>
    <row r="33" spans="2:6" ht="13.9" customHeight="1" x14ac:dyDescent="0.25">
      <c r="B33" s="207" t="s">
        <v>366</v>
      </c>
      <c r="C33" s="231" t="s">
        <v>362</v>
      </c>
      <c r="D33" s="231"/>
      <c r="E33" s="231"/>
      <c r="F33" s="131"/>
    </row>
    <row r="34" spans="2:6" x14ac:dyDescent="0.25">
      <c r="B34" s="207"/>
      <c r="C34" s="231"/>
      <c r="D34" s="231"/>
      <c r="E34" s="231"/>
      <c r="F34" s="131"/>
    </row>
    <row r="35" spans="2:6" x14ac:dyDescent="0.25">
      <c r="B35" s="206" t="s">
        <v>356</v>
      </c>
      <c r="C35" s="232" t="s">
        <v>363</v>
      </c>
      <c r="D35" s="232"/>
      <c r="E35" s="232"/>
      <c r="F35" s="131"/>
    </row>
    <row r="36" spans="2:6" ht="19.899999999999999" customHeight="1" x14ac:dyDescent="0.25">
      <c r="B36" s="130"/>
      <c r="C36" s="205" t="s">
        <v>158</v>
      </c>
      <c r="D36" s="93"/>
      <c r="E36" s="93"/>
      <c r="F36" s="131"/>
    </row>
    <row r="37" spans="2:6" ht="75.599999999999994" customHeight="1" x14ac:dyDescent="0.25">
      <c r="B37" s="130"/>
      <c r="C37" s="238" t="s">
        <v>367</v>
      </c>
      <c r="D37" s="238"/>
      <c r="E37" s="238"/>
      <c r="F37" s="131"/>
    </row>
    <row r="38" spans="2:6" ht="19.899999999999999" customHeight="1" x14ac:dyDescent="0.25">
      <c r="B38" s="130"/>
      <c r="C38" s="239"/>
      <c r="D38" s="240"/>
      <c r="E38" s="209" t="s">
        <v>157</v>
      </c>
      <c r="F38" s="131"/>
    </row>
    <row r="39" spans="2:6" ht="12" customHeight="1" x14ac:dyDescent="0.25">
      <c r="B39" s="247" t="s">
        <v>355</v>
      </c>
      <c r="C39" s="241" t="s">
        <v>133</v>
      </c>
      <c r="D39" s="241"/>
      <c r="E39" s="236" t="s">
        <v>454</v>
      </c>
      <c r="F39" s="131"/>
    </row>
    <row r="40" spans="2:6" ht="12" customHeight="1" x14ac:dyDescent="0.25">
      <c r="B40" s="247"/>
      <c r="C40" s="241"/>
      <c r="D40" s="241"/>
      <c r="E40" s="236"/>
      <c r="F40" s="131"/>
    </row>
    <row r="41" spans="2:6" ht="12" customHeight="1" x14ac:dyDescent="0.25">
      <c r="B41" s="247" t="s">
        <v>357</v>
      </c>
      <c r="C41" s="241" t="s">
        <v>135</v>
      </c>
      <c r="D41" s="241"/>
      <c r="E41" s="237" t="s">
        <v>454</v>
      </c>
      <c r="F41" s="131"/>
    </row>
    <row r="42" spans="2:6" ht="12" customHeight="1" x14ac:dyDescent="0.25">
      <c r="B42" s="247"/>
      <c r="C42" s="241"/>
      <c r="D42" s="241"/>
      <c r="E42" s="237"/>
      <c r="F42" s="131"/>
    </row>
    <row r="43" spans="2:6" ht="12" customHeight="1" x14ac:dyDescent="0.25">
      <c r="B43" s="247" t="s">
        <v>358</v>
      </c>
      <c r="C43" s="241" t="s">
        <v>350</v>
      </c>
      <c r="D43" s="241"/>
      <c r="E43" s="237" t="s">
        <v>455</v>
      </c>
      <c r="F43" s="131"/>
    </row>
    <row r="44" spans="2:6" ht="12" customHeight="1" x14ac:dyDescent="0.25">
      <c r="B44" s="247"/>
      <c r="C44" s="241"/>
      <c r="D44" s="241"/>
      <c r="E44" s="237"/>
      <c r="F44" s="131"/>
    </row>
    <row r="45" spans="2:6" ht="12" customHeight="1" x14ac:dyDescent="0.25">
      <c r="B45" s="247" t="s">
        <v>359</v>
      </c>
      <c r="C45" s="241" t="s">
        <v>364</v>
      </c>
      <c r="D45" s="241"/>
      <c r="E45" s="237" t="s">
        <v>428</v>
      </c>
      <c r="F45" s="131"/>
    </row>
    <row r="46" spans="2:6" ht="18.600000000000001" customHeight="1" x14ac:dyDescent="0.25">
      <c r="B46" s="247"/>
      <c r="C46" s="241"/>
      <c r="D46" s="241"/>
      <c r="E46" s="237"/>
      <c r="F46" s="131"/>
    </row>
    <row r="47" spans="2:6" ht="12" customHeight="1" x14ac:dyDescent="0.25">
      <c r="B47" s="248" t="s">
        <v>360</v>
      </c>
      <c r="C47" s="241" t="s">
        <v>134</v>
      </c>
      <c r="D47" s="241"/>
      <c r="E47" s="237" t="s">
        <v>454</v>
      </c>
      <c r="F47" s="131"/>
    </row>
    <row r="48" spans="2:6" ht="12" customHeight="1" x14ac:dyDescent="0.25">
      <c r="B48" s="248"/>
      <c r="C48" s="241"/>
      <c r="D48" s="241"/>
      <c r="E48" s="237"/>
      <c r="F48" s="131"/>
    </row>
    <row r="49" spans="2:6" ht="21" customHeight="1" thickBot="1" x14ac:dyDescent="0.3">
      <c r="B49" s="210"/>
      <c r="C49" s="114"/>
      <c r="D49" s="211"/>
      <c r="E49" s="211"/>
      <c r="F49" s="212"/>
    </row>
    <row r="50" spans="2:6" x14ac:dyDescent="0.25">
      <c r="F50" s="125" t="s">
        <v>442</v>
      </c>
    </row>
    <row r="64" spans="2:6" x14ac:dyDescent="0.25">
      <c r="E64" s="126"/>
    </row>
    <row r="65" spans="5:5" x14ac:dyDescent="0.25">
      <c r="E65" s="126"/>
    </row>
    <row r="66" spans="5:5" x14ac:dyDescent="0.25">
      <c r="E66" s="126"/>
    </row>
    <row r="67" spans="5:5" x14ac:dyDescent="0.25">
      <c r="E67" s="126"/>
    </row>
    <row r="68" spans="5:5" x14ac:dyDescent="0.25">
      <c r="E68" s="126"/>
    </row>
    <row r="69" spans="5:5" x14ac:dyDescent="0.25">
      <c r="E69" s="126"/>
    </row>
  </sheetData>
  <mergeCells count="35">
    <mergeCell ref="B39:B40"/>
    <mergeCell ref="B41:B42"/>
    <mergeCell ref="B43:B44"/>
    <mergeCell ref="B45:B46"/>
    <mergeCell ref="B47:B48"/>
    <mergeCell ref="C20:D20"/>
    <mergeCell ref="C21:D21"/>
    <mergeCell ref="C9:E9"/>
    <mergeCell ref="C13:D13"/>
    <mergeCell ref="C18:D18"/>
    <mergeCell ref="C11:E11"/>
    <mergeCell ref="C10:E10"/>
    <mergeCell ref="C15:D15"/>
    <mergeCell ref="C16:D16"/>
    <mergeCell ref="E47:E48"/>
    <mergeCell ref="C37:E37"/>
    <mergeCell ref="C38:D38"/>
    <mergeCell ref="C39:D40"/>
    <mergeCell ref="C43:D44"/>
    <mergeCell ref="C45:D46"/>
    <mergeCell ref="C41:D42"/>
    <mergeCell ref="C47:D48"/>
    <mergeCell ref="C35:E35"/>
    <mergeCell ref="E39:E40"/>
    <mergeCell ref="E41:E42"/>
    <mergeCell ref="E43:E44"/>
    <mergeCell ref="E45:E46"/>
    <mergeCell ref="C22:D22"/>
    <mergeCell ref="C27:D27"/>
    <mergeCell ref="C25:D25"/>
    <mergeCell ref="C26:D26"/>
    <mergeCell ref="C33:E34"/>
    <mergeCell ref="C32:E32"/>
    <mergeCell ref="C24:D24"/>
    <mergeCell ref="B28:F28"/>
  </mergeCells>
  <phoneticPr fontId="19" type="noConversion"/>
  <conditionalFormatting sqref="E20">
    <cfRule type="cellIs" dxfId="91" priority="18" operator="equal">
      <formula>"enter name"</formula>
    </cfRule>
  </conditionalFormatting>
  <conditionalFormatting sqref="E21">
    <cfRule type="cellIs" dxfId="90" priority="17" operator="equal">
      <formula>"enter email address"</formula>
    </cfRule>
  </conditionalFormatting>
  <conditionalFormatting sqref="E22">
    <cfRule type="cellIs" dxfId="89" priority="15" operator="equal">
      <formula>"enter phone number"</formula>
    </cfRule>
  </conditionalFormatting>
  <conditionalFormatting sqref="E24">
    <cfRule type="cellIs" dxfId="88" priority="9" operator="equal">
      <formula>"enter firm name"</formula>
    </cfRule>
  </conditionalFormatting>
  <conditionalFormatting sqref="E25">
    <cfRule type="cellIs" dxfId="87" priority="8" operator="equal">
      <formula>"enter name"</formula>
    </cfRule>
  </conditionalFormatting>
  <conditionalFormatting sqref="E26">
    <cfRule type="cellIs" dxfId="86" priority="7" operator="equal">
      <formula>"enter phone number"</formula>
    </cfRule>
  </conditionalFormatting>
  <conditionalFormatting sqref="E27">
    <cfRule type="cellIs" dxfId="85" priority="5" operator="equal">
      <formula>"enter phone number"</formula>
    </cfRule>
  </conditionalFormatting>
  <conditionalFormatting sqref="E26">
    <cfRule type="cellIs" dxfId="84" priority="4" operator="equal">
      <formula>"enter email address"</formula>
    </cfRule>
  </conditionalFormatting>
  <conditionalFormatting sqref="E39:E48">
    <cfRule type="containsBlanks" dxfId="83" priority="23">
      <formula>LEN(TRIM(E39))=0</formula>
    </cfRule>
  </conditionalFormatting>
  <dataValidations count="2">
    <dataValidation type="custom" allowBlank="1" showInputMessage="1" showErrorMessage="1" errorTitle="Invalid Email Address" error="Email address missing necessary element(s) (e.g. &quot;@&quot; or &quot;.com&quot;)_x000a__x000a_Please re-enter!" sqref="E26 E21" xr:uid="{00000000-0002-0000-0000-000000000000}">
      <formula1>AND( FIND(".",E21),FIND("@",E21))</formula1>
    </dataValidation>
    <dataValidation type="list" allowBlank="1" showInputMessage="1" showErrorMessage="1" sqref="E13" xr:uid="{00000000-0002-0000-0000-000001000000}">
      <formula1>schools</formula1>
    </dataValidation>
  </dataValidations>
  <hyperlinks>
    <hyperlink ref="E30" r:id="rId1" xr:uid="{00000000-0004-0000-0000-000000000000}"/>
    <hyperlink ref="E21" r:id="rId2" xr:uid="{00000000-0004-0000-0000-000001000000}"/>
    <hyperlink ref="E26" r:id="rId3" xr:uid="{00000000-0004-0000-0000-000002000000}"/>
  </hyperlinks>
  <printOptions horizontalCentered="1"/>
  <pageMargins left="0.25" right="0.25" top="0.28999999999999998" bottom="0.31" header="0.3" footer="0.3"/>
  <pageSetup scale="78" orientation="portrait" r:id="rId4"/>
  <headerFooter alignWithMargins="0"/>
  <drawing r:id="rId5"/>
  <extLst>
    <ext xmlns:x14="http://schemas.microsoft.com/office/spreadsheetml/2009/9/main" uri="{78C0D931-6437-407d-A8EE-F0AAD7539E65}">
      <x14:conditionalFormattings>
        <x14:conditionalFormatting xmlns:xm="http://schemas.microsoft.com/office/excel/2006/main">
          <x14:cfRule type="containsText" priority="12" operator="containsText" id="{60B13F4E-64FD-41BC-95C5-BA9EF6091ABB}">
            <xm:f>NOT(ISERROR(SEARCH(Control!$B$13,E15)))</xm:f>
            <xm:f>Control!$B$13</xm:f>
            <x14:dxf>
              <font>
                <b val="0"/>
                <i/>
              </font>
              <fill>
                <patternFill>
                  <bgColor theme="0" tint="-0.14996795556505021"/>
                </patternFill>
              </fill>
            </x14:dxf>
          </x14:cfRule>
          <xm:sqref>E15</xm:sqref>
        </x14:conditionalFormatting>
        <x14:conditionalFormatting xmlns:xm="http://schemas.microsoft.com/office/excel/2006/main">
          <x14:cfRule type="cellIs" priority="1" operator="equal" id="{6E3C996D-776C-4DA2-99D6-A49CA281DA1C}">
            <xm:f>Control!$C$13</xm:f>
            <x14:dxf>
              <font>
                <b val="0"/>
                <i/>
              </font>
              <fill>
                <patternFill>
                  <bgColor theme="0" tint="-0.14996795556505021"/>
                </patternFill>
              </fill>
            </x14:dxf>
          </x14:cfRule>
          <xm:sqref>E16</xm:sqref>
        </x14:conditionalFormatting>
        <x14:conditionalFormatting xmlns:xm="http://schemas.microsoft.com/office/excel/2006/main">
          <x14:cfRule type="cellIs" priority="22" operator="equal" id="{B82615B5-456A-4A4E-A62E-D2746E7B85FD}">
            <xm:f>Control!$C$29</xm:f>
            <x14:dxf>
              <font>
                <b val="0"/>
                <i/>
              </font>
              <fill>
                <patternFill>
                  <bgColor theme="0" tint="-0.14996795556505021"/>
                </patternFill>
              </fill>
            </x14:dxf>
          </x14:cfRule>
          <xm:sqref>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Control!$B$13:$B$15</xm:f>
          </x14:formula1>
          <xm:sqref>E15</xm:sqref>
        </x14:dataValidation>
        <x14:dataValidation type="list" allowBlank="1" showInputMessage="1" showErrorMessage="1" xr:uid="{00000000-0002-0000-0000-000003000000}">
          <x14:formula1>
            <xm:f>Control!C13:C15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7"/>
  </sheetPr>
  <dimension ref="B1:I50"/>
  <sheetViews>
    <sheetView topLeftCell="A34" zoomScaleNormal="100" zoomScaleSheetLayoutView="100" workbookViewId="0">
      <selection activeCell="E47" sqref="E47"/>
    </sheetView>
  </sheetViews>
  <sheetFormatPr defaultColWidth="9.140625" defaultRowHeight="15" x14ac:dyDescent="0.25"/>
  <cols>
    <col min="1" max="1" width="3.7109375" style="75" customWidth="1"/>
    <col min="2" max="2" width="2.7109375" style="75" customWidth="1"/>
    <col min="3" max="3" width="43.85546875" style="75" customWidth="1"/>
    <col min="4" max="4" width="28.85546875" style="75" customWidth="1"/>
    <col min="5" max="5" width="22.140625" style="76" bestFit="1" customWidth="1"/>
    <col min="6" max="6" width="1.7109375" style="76" customWidth="1"/>
    <col min="7" max="7" width="24" style="76" bestFit="1" customWidth="1"/>
    <col min="8" max="8" width="2.7109375" style="76" customWidth="1"/>
    <col min="9" max="9" width="44.5703125" style="75" hidden="1" customWidth="1"/>
    <col min="10" max="10" width="48.42578125" style="75" customWidth="1"/>
    <col min="11" max="16384" width="9.140625" style="75"/>
  </cols>
  <sheetData>
    <row r="1" spans="2:9" ht="7.5" customHeight="1" x14ac:dyDescent="0.25"/>
    <row r="2" spans="2:9" x14ac:dyDescent="0.25">
      <c r="B2" s="77" t="s">
        <v>30</v>
      </c>
      <c r="C2" s="77"/>
      <c r="D2" s="78" t="s">
        <v>138</v>
      </c>
    </row>
    <row r="3" spans="2:9" ht="18.75" x14ac:dyDescent="0.3">
      <c r="B3" s="91" t="str">
        <f>IF(SchoolName=Control!C29,"Enter Charter School Name on ""Transmittal Form &amp; School Info"" tab",UPPER(SchoolName))</f>
        <v>ACADEMY CHARTER SCHOOL, THE</v>
      </c>
      <c r="C3" s="91"/>
      <c r="D3" s="91"/>
      <c r="E3" s="91"/>
      <c r="F3" s="91"/>
      <c r="G3" s="91"/>
      <c r="H3" s="79"/>
      <c r="I3" s="77"/>
    </row>
    <row r="4" spans="2:9" ht="18.75" customHeight="1" x14ac:dyDescent="0.3">
      <c r="B4" s="249" t="s">
        <v>31</v>
      </c>
      <c r="C4" s="249"/>
      <c r="D4" s="249"/>
      <c r="E4" s="249"/>
      <c r="F4" s="249"/>
      <c r="G4" s="249"/>
      <c r="H4" s="90"/>
      <c r="I4" s="77"/>
    </row>
    <row r="5" spans="2:9" ht="18.75" x14ac:dyDescent="0.3">
      <c r="B5" s="92" t="str">
        <f>"as of June 30, "&amp;IF(x_AuditYr=1,"?",AuditYr)</f>
        <v>as of June 30, 2022</v>
      </c>
      <c r="C5" s="92"/>
      <c r="D5" s="92"/>
      <c r="E5" s="92"/>
      <c r="F5" s="92"/>
      <c r="G5" s="92"/>
      <c r="H5" s="80"/>
      <c r="I5" s="77"/>
    </row>
    <row r="6" spans="2:9" x14ac:dyDescent="0.25">
      <c r="B6" s="251" t="str">
        <f>Control!F6</f>
        <v/>
      </c>
      <c r="C6" s="251"/>
      <c r="D6" s="251"/>
      <c r="E6" s="251"/>
      <c r="F6" s="251"/>
      <c r="G6" s="251"/>
      <c r="H6" s="81"/>
    </row>
    <row r="7" spans="2:9" ht="15.75" thickBot="1" x14ac:dyDescent="0.3">
      <c r="B7" s="93"/>
      <c r="C7" s="93"/>
      <c r="D7" s="93"/>
      <c r="E7" s="94"/>
      <c r="F7" s="252"/>
      <c r="G7" s="252"/>
      <c r="H7" s="82"/>
    </row>
    <row r="8" spans="2:9" ht="18" customHeight="1" thickBot="1" x14ac:dyDescent="0.3">
      <c r="B8" s="250" t="s">
        <v>32</v>
      </c>
      <c r="C8" s="250"/>
      <c r="D8" s="250"/>
      <c r="E8" s="95" t="str">
        <f>IF(x_AuditYr=1,"?",AuditPeriod)</f>
        <v>2021-22</v>
      </c>
      <c r="F8" s="96"/>
      <c r="G8" s="95" t="str">
        <f>IF(x_PriorYr=1,"?",PriorPeriod)</f>
        <v>2020-21</v>
      </c>
      <c r="H8" s="83"/>
      <c r="I8" s="78" t="s">
        <v>122</v>
      </c>
    </row>
    <row r="9" spans="2:9" x14ac:dyDescent="0.25">
      <c r="B9" s="251"/>
      <c r="C9" s="251"/>
      <c r="D9" s="251"/>
      <c r="E9" s="251"/>
      <c r="F9" s="251"/>
      <c r="G9" s="251"/>
      <c r="H9" s="81"/>
      <c r="I9" s="81" t="s">
        <v>123</v>
      </c>
    </row>
    <row r="10" spans="2:9" x14ac:dyDescent="0.25">
      <c r="B10" s="97" t="s">
        <v>33</v>
      </c>
      <c r="C10" s="98"/>
      <c r="D10" s="99"/>
      <c r="E10" s="100"/>
      <c r="F10" s="100"/>
      <c r="G10" s="101"/>
      <c r="H10" s="84"/>
    </row>
    <row r="11" spans="2:9" x14ac:dyDescent="0.25">
      <c r="B11" s="93"/>
      <c r="C11" s="102" t="s">
        <v>34</v>
      </c>
      <c r="D11" s="102"/>
      <c r="E11" s="71">
        <v>9844337</v>
      </c>
      <c r="F11" s="103"/>
      <c r="G11" s="71">
        <v>9822477</v>
      </c>
      <c r="H11" s="86"/>
      <c r="I11" s="85"/>
    </row>
    <row r="12" spans="2:9" x14ac:dyDescent="0.25">
      <c r="B12" s="93"/>
      <c r="C12" s="93" t="s">
        <v>35</v>
      </c>
      <c r="D12" s="102"/>
      <c r="E12" s="72">
        <v>1304244</v>
      </c>
      <c r="F12" s="104"/>
      <c r="G12" s="72">
        <f>1248677</f>
        <v>1248677</v>
      </c>
      <c r="I12" s="85"/>
    </row>
    <row r="13" spans="2:9" x14ac:dyDescent="0.25">
      <c r="B13" s="93"/>
      <c r="C13" s="93" t="s">
        <v>140</v>
      </c>
      <c r="D13" s="102"/>
      <c r="E13" s="72">
        <f>3246936+250209</f>
        <v>3497145</v>
      </c>
      <c r="F13" s="104"/>
      <c r="G13" s="72">
        <v>656675</v>
      </c>
      <c r="I13" s="85"/>
    </row>
    <row r="14" spans="2:9" x14ac:dyDescent="0.25">
      <c r="B14" s="93"/>
      <c r="C14" s="93" t="s">
        <v>141</v>
      </c>
      <c r="D14" s="102"/>
      <c r="E14" s="73">
        <v>37334</v>
      </c>
      <c r="F14" s="101"/>
      <c r="G14" s="73">
        <v>48110</v>
      </c>
      <c r="H14" s="84"/>
      <c r="I14" s="85"/>
    </row>
    <row r="15" spans="2:9" ht="17.25" x14ac:dyDescent="0.4">
      <c r="B15" s="93"/>
      <c r="C15" s="93" t="s">
        <v>37</v>
      </c>
      <c r="D15" s="102"/>
      <c r="E15" s="74">
        <v>2259563</v>
      </c>
      <c r="F15" s="101"/>
      <c r="G15" s="74">
        <v>1611034</v>
      </c>
      <c r="H15" s="87"/>
      <c r="I15" s="85"/>
    </row>
    <row r="16" spans="2:9" x14ac:dyDescent="0.25">
      <c r="B16" s="93"/>
      <c r="C16" s="102"/>
      <c r="D16" s="105" t="s">
        <v>38</v>
      </c>
      <c r="E16" s="101">
        <f>SUM(E11:E15)</f>
        <v>16942623</v>
      </c>
      <c r="F16" s="101"/>
      <c r="G16" s="101">
        <f>SUM(G11:G15)</f>
        <v>13386973</v>
      </c>
      <c r="H16" s="84"/>
    </row>
    <row r="17" spans="2:9" x14ac:dyDescent="0.25">
      <c r="B17" s="93"/>
      <c r="C17" s="93"/>
      <c r="D17" s="93"/>
      <c r="E17" s="93"/>
      <c r="F17" s="93"/>
      <c r="G17" s="93"/>
      <c r="H17" s="75"/>
    </row>
    <row r="18" spans="2:9" ht="17.25" x14ac:dyDescent="0.4">
      <c r="B18" s="106" t="s">
        <v>39</v>
      </c>
      <c r="C18" s="102"/>
      <c r="D18" s="102"/>
      <c r="E18" s="74">
        <v>117277032</v>
      </c>
      <c r="F18" s="101"/>
      <c r="G18" s="74">
        <v>106898072</v>
      </c>
      <c r="H18" s="87"/>
      <c r="I18" s="85"/>
    </row>
    <row r="19" spans="2:9" x14ac:dyDescent="0.25">
      <c r="B19" s="93"/>
      <c r="C19" s="93"/>
      <c r="D19" s="93"/>
      <c r="E19" s="93"/>
      <c r="F19" s="93"/>
      <c r="G19" s="93"/>
      <c r="H19" s="75"/>
    </row>
    <row r="20" spans="2:9" ht="17.25" x14ac:dyDescent="0.4">
      <c r="B20" s="106" t="s">
        <v>40</v>
      </c>
      <c r="C20" s="102"/>
      <c r="D20" s="102"/>
      <c r="E20" s="74">
        <f>38857171+2911728+124657</f>
        <v>41893556</v>
      </c>
      <c r="F20" s="101"/>
      <c r="G20" s="74">
        <f>55725853+72090</f>
        <v>55797943</v>
      </c>
      <c r="H20" s="87"/>
      <c r="I20" s="85"/>
    </row>
    <row r="21" spans="2:9" x14ac:dyDescent="0.25">
      <c r="B21" s="93"/>
      <c r="C21" s="93"/>
      <c r="D21" s="93"/>
      <c r="E21" s="93"/>
      <c r="F21" s="93"/>
      <c r="G21" s="93"/>
      <c r="H21" s="75"/>
    </row>
    <row r="22" spans="2:9" ht="15.75" thickBot="1" x14ac:dyDescent="0.3">
      <c r="B22" s="93"/>
      <c r="C22" s="102"/>
      <c r="D22" s="107" t="s">
        <v>41</v>
      </c>
      <c r="E22" s="108">
        <f>E16+E18+E20</f>
        <v>176113211</v>
      </c>
      <c r="F22" s="104"/>
      <c r="G22" s="108">
        <f>G16+G18+G20</f>
        <v>176082988</v>
      </c>
      <c r="H22" s="88"/>
    </row>
    <row r="23" spans="2:9" ht="15.75" thickTop="1" x14ac:dyDescent="0.25">
      <c r="B23" s="93"/>
      <c r="C23" s="93"/>
      <c r="D23" s="93"/>
      <c r="E23" s="93"/>
      <c r="F23" s="93"/>
      <c r="G23" s="93"/>
      <c r="H23" s="75"/>
    </row>
    <row r="24" spans="2:9" x14ac:dyDescent="0.25">
      <c r="B24" s="250" t="s">
        <v>42</v>
      </c>
      <c r="C24" s="250"/>
      <c r="D24" s="250"/>
      <c r="E24" s="101"/>
      <c r="F24" s="101"/>
      <c r="G24" s="101"/>
      <c r="H24" s="84"/>
    </row>
    <row r="25" spans="2:9" x14ac:dyDescent="0.25">
      <c r="B25" s="93"/>
      <c r="C25" s="93"/>
      <c r="D25" s="93"/>
      <c r="E25" s="93"/>
      <c r="F25" s="93"/>
      <c r="G25" s="93"/>
      <c r="H25" s="75"/>
    </row>
    <row r="26" spans="2:9" x14ac:dyDescent="0.25">
      <c r="B26" s="97" t="s">
        <v>43</v>
      </c>
      <c r="C26" s="109"/>
      <c r="D26" s="109"/>
      <c r="E26" s="101"/>
      <c r="F26" s="101"/>
      <c r="G26" s="101"/>
      <c r="H26" s="84"/>
    </row>
    <row r="27" spans="2:9" x14ac:dyDescent="0.25">
      <c r="B27" s="93"/>
      <c r="C27" s="93" t="s">
        <v>44</v>
      </c>
      <c r="D27" s="102"/>
      <c r="E27" s="71">
        <f>2176686+1938943</f>
        <v>4115629</v>
      </c>
      <c r="F27" s="103"/>
      <c r="G27" s="71">
        <v>6179939</v>
      </c>
      <c r="H27" s="86"/>
      <c r="I27" s="85"/>
    </row>
    <row r="28" spans="2:9" x14ac:dyDescent="0.25">
      <c r="B28" s="93"/>
      <c r="C28" s="93" t="s">
        <v>45</v>
      </c>
      <c r="D28" s="102"/>
      <c r="E28" s="73">
        <f>5271537</f>
        <v>5271537</v>
      </c>
      <c r="F28" s="101"/>
      <c r="G28" s="73">
        <v>3434749</v>
      </c>
      <c r="H28" s="84"/>
      <c r="I28" s="85"/>
    </row>
    <row r="29" spans="2:9" x14ac:dyDescent="0.25">
      <c r="B29" s="93"/>
      <c r="C29" s="93" t="s">
        <v>96</v>
      </c>
      <c r="D29" s="102"/>
      <c r="E29" s="73">
        <v>0</v>
      </c>
      <c r="F29" s="101"/>
      <c r="G29" s="73">
        <v>60355</v>
      </c>
      <c r="H29" s="84"/>
      <c r="I29" s="85"/>
    </row>
    <row r="30" spans="2:9" x14ac:dyDescent="0.25">
      <c r="B30" s="93"/>
      <c r="C30" s="93" t="s">
        <v>46</v>
      </c>
      <c r="D30" s="102"/>
      <c r="E30" s="73">
        <v>1590000</v>
      </c>
      <c r="F30" s="101"/>
      <c r="G30" s="73">
        <v>1495000</v>
      </c>
      <c r="H30" s="84"/>
      <c r="I30" s="85"/>
    </row>
    <row r="31" spans="2:9" x14ac:dyDescent="0.25">
      <c r="B31" s="93"/>
      <c r="C31" s="93" t="s">
        <v>47</v>
      </c>
      <c r="D31" s="102"/>
      <c r="E31" s="73">
        <v>0</v>
      </c>
      <c r="F31" s="101"/>
      <c r="G31" s="73">
        <v>0</v>
      </c>
      <c r="H31" s="84"/>
      <c r="I31" s="85"/>
    </row>
    <row r="32" spans="2:9" ht="17.25" x14ac:dyDescent="0.4">
      <c r="B32" s="93"/>
      <c r="C32" s="93" t="s">
        <v>3</v>
      </c>
      <c r="D32" s="93"/>
      <c r="E32" s="74">
        <v>2500000</v>
      </c>
      <c r="F32" s="101"/>
      <c r="G32" s="74">
        <v>0</v>
      </c>
      <c r="H32" s="87"/>
      <c r="I32" s="85"/>
    </row>
    <row r="33" spans="2:9" x14ac:dyDescent="0.25">
      <c r="B33" s="93"/>
      <c r="C33" s="93"/>
      <c r="D33" s="105" t="s">
        <v>48</v>
      </c>
      <c r="E33" s="101">
        <f>SUM(E27:E32)</f>
        <v>13477166</v>
      </c>
      <c r="F33" s="101"/>
      <c r="G33" s="101">
        <f>SUM(G27:G32)</f>
        <v>11170043</v>
      </c>
      <c r="H33" s="84"/>
    </row>
    <row r="34" spans="2:9" x14ac:dyDescent="0.25">
      <c r="B34" s="93"/>
      <c r="C34" s="93"/>
      <c r="D34" s="93"/>
      <c r="E34" s="93"/>
      <c r="F34" s="93"/>
      <c r="G34" s="93"/>
      <c r="H34" s="75"/>
    </row>
    <row r="35" spans="2:9" ht="17.25" x14ac:dyDescent="0.4">
      <c r="B35" s="97" t="s">
        <v>351</v>
      </c>
      <c r="C35" s="93"/>
      <c r="D35" s="102"/>
      <c r="E35" s="199"/>
      <c r="F35" s="101"/>
      <c r="G35" s="199"/>
      <c r="H35" s="87"/>
      <c r="I35" s="85"/>
    </row>
    <row r="36" spans="2:9" x14ac:dyDescent="0.25">
      <c r="B36" s="93"/>
      <c r="C36" s="93" t="s">
        <v>352</v>
      </c>
      <c r="D36" s="93"/>
      <c r="E36" s="73">
        <v>0</v>
      </c>
      <c r="F36" s="93"/>
      <c r="G36" s="73">
        <v>0</v>
      </c>
      <c r="H36" s="75"/>
    </row>
    <row r="37" spans="2:9" ht="17.25" x14ac:dyDescent="0.4">
      <c r="B37" s="93"/>
      <c r="C37" s="93" t="s">
        <v>353</v>
      </c>
      <c r="D37" s="93"/>
      <c r="E37" s="74">
        <v>155502704</v>
      </c>
      <c r="F37" s="93"/>
      <c r="G37" s="74">
        <v>156903343</v>
      </c>
      <c r="H37" s="75"/>
    </row>
    <row r="38" spans="2:9" ht="17.25" x14ac:dyDescent="0.4">
      <c r="B38" s="93"/>
      <c r="C38" s="93"/>
      <c r="D38" s="105" t="s">
        <v>354</v>
      </c>
      <c r="E38" s="110">
        <f>SUM(E36:E37)</f>
        <v>155502704</v>
      </c>
      <c r="F38" s="93"/>
      <c r="G38" s="110">
        <f>SUM(G36:G37)</f>
        <v>156903343</v>
      </c>
      <c r="H38" s="75"/>
    </row>
    <row r="39" spans="2:9" ht="17.25" x14ac:dyDescent="0.4">
      <c r="B39" s="93"/>
      <c r="C39" s="93"/>
      <c r="D39" s="93"/>
      <c r="E39" s="199"/>
      <c r="F39" s="93"/>
      <c r="G39" s="199"/>
      <c r="H39" s="75"/>
    </row>
    <row r="40" spans="2:9" ht="18" thickBot="1" x14ac:dyDescent="0.45">
      <c r="B40" s="93"/>
      <c r="C40" s="93"/>
      <c r="D40" s="200" t="s">
        <v>49</v>
      </c>
      <c r="E40" s="201">
        <f>E33+E38</f>
        <v>168979870</v>
      </c>
      <c r="F40" s="202"/>
      <c r="G40" s="201">
        <f>G33+G38</f>
        <v>168073386</v>
      </c>
      <c r="H40" s="87"/>
    </row>
    <row r="41" spans="2:9" ht="15.75" thickTop="1" x14ac:dyDescent="0.25">
      <c r="B41" s="93"/>
      <c r="C41" s="93"/>
      <c r="D41" s="93"/>
      <c r="E41" s="93"/>
      <c r="F41" s="93"/>
      <c r="G41" s="93"/>
      <c r="H41" s="75"/>
    </row>
    <row r="42" spans="2:9" x14ac:dyDescent="0.25">
      <c r="B42" s="97" t="s">
        <v>50</v>
      </c>
      <c r="C42" s="109"/>
      <c r="D42" s="109"/>
      <c r="E42" s="101"/>
      <c r="F42" s="101"/>
      <c r="G42" s="101"/>
      <c r="H42" s="84"/>
    </row>
    <row r="43" spans="2:9" x14ac:dyDescent="0.25">
      <c r="B43" s="111"/>
      <c r="C43" s="93" t="s">
        <v>430</v>
      </c>
      <c r="D43" s="109"/>
      <c r="E43" s="73">
        <v>7133341</v>
      </c>
      <c r="F43" s="101"/>
      <c r="G43" s="73">
        <v>8009602</v>
      </c>
      <c r="H43" s="84"/>
      <c r="I43" s="85"/>
    </row>
    <row r="44" spans="2:9" ht="17.25" x14ac:dyDescent="0.4">
      <c r="B44" s="93"/>
      <c r="C44" s="93" t="s">
        <v>431</v>
      </c>
      <c r="D44" s="109"/>
      <c r="E44" s="74">
        <v>0</v>
      </c>
      <c r="F44" s="101"/>
      <c r="G44" s="74">
        <v>0</v>
      </c>
      <c r="H44" s="87"/>
      <c r="I44" s="85"/>
    </row>
    <row r="45" spans="2:9" ht="20.25" customHeight="1" x14ac:dyDescent="0.4">
      <c r="B45" s="93"/>
      <c r="C45" s="102"/>
      <c r="D45" s="105" t="s">
        <v>51</v>
      </c>
      <c r="E45" s="110">
        <f>SUM(E43:E44)</f>
        <v>7133341</v>
      </c>
      <c r="F45" s="101"/>
      <c r="G45" s="110">
        <f>SUM(G43:G44)</f>
        <v>8009602</v>
      </c>
      <c r="H45" s="87"/>
    </row>
    <row r="46" spans="2:9" x14ac:dyDescent="0.25">
      <c r="B46" s="93"/>
      <c r="C46" s="93"/>
      <c r="D46" s="93"/>
      <c r="E46" s="93"/>
      <c r="F46" s="93"/>
      <c r="G46" s="93"/>
      <c r="H46" s="75"/>
    </row>
    <row r="47" spans="2:9" ht="33" customHeight="1" thickBot="1" x14ac:dyDescent="0.3">
      <c r="B47" s="93"/>
      <c r="C47" s="102"/>
      <c r="D47" s="105" t="s">
        <v>52</v>
      </c>
      <c r="E47" s="112">
        <f>E40+E45</f>
        <v>176113211</v>
      </c>
      <c r="F47" s="101"/>
      <c r="G47" s="112">
        <f>G40+G45</f>
        <v>176082988</v>
      </c>
      <c r="H47" s="89"/>
    </row>
    <row r="48" spans="2:9" ht="15.75" thickTop="1" x14ac:dyDescent="0.25">
      <c r="B48" s="93"/>
      <c r="C48" s="102"/>
      <c r="D48" s="109"/>
      <c r="E48" s="101"/>
      <c r="F48" s="101"/>
      <c r="G48" s="101"/>
      <c r="H48" s="84"/>
    </row>
    <row r="49" spans="2:8" x14ac:dyDescent="0.25">
      <c r="B49" s="93"/>
      <c r="C49" s="102"/>
      <c r="D49" s="109"/>
      <c r="E49" s="101"/>
      <c r="F49" s="101"/>
      <c r="G49" s="101"/>
      <c r="H49" s="84"/>
    </row>
    <row r="50" spans="2:8" x14ac:dyDescent="0.25">
      <c r="B50" s="93"/>
      <c r="C50" s="93"/>
      <c r="D50" s="113" t="s">
        <v>137</v>
      </c>
      <c r="E50" s="104">
        <f>E22-E47</f>
        <v>0</v>
      </c>
      <c r="F50" s="104"/>
      <c r="G50" s="104">
        <f>G22-G47</f>
        <v>0</v>
      </c>
    </row>
  </sheetData>
  <mergeCells count="6">
    <mergeCell ref="B4:G4"/>
    <mergeCell ref="B24:D24"/>
    <mergeCell ref="B8:D8"/>
    <mergeCell ref="B9:G9"/>
    <mergeCell ref="F7:G7"/>
    <mergeCell ref="B6:G6"/>
  </mergeCells>
  <phoneticPr fontId="19" type="noConversion"/>
  <conditionalFormatting sqref="E20 E18 E11:E15">
    <cfRule type="expression" dxfId="79" priority="9" stopIfTrue="1">
      <formula>IF($E$22&gt;0,$E$22,IF($E$22&lt;0,$E$22,IF($E$22=0,$E$22,0)))</formula>
    </cfRule>
  </conditionalFormatting>
  <conditionalFormatting sqref="E35 E27:E32 E37:E39">
    <cfRule type="expression" dxfId="78" priority="10" stopIfTrue="1">
      <formula>IF($E$40&gt;0,$E$40,IF($E$40&lt;0,$E$40,IF($E$40=0,$E$40,0)))</formula>
    </cfRule>
  </conditionalFormatting>
  <conditionalFormatting sqref="E43:E44">
    <cfRule type="expression" dxfId="77" priority="11" stopIfTrue="1">
      <formula>IF($E$45&gt;0,$E$45,IF($E$45&lt;0,$E$45,IF($E$45=0,$E$45,0)))</formula>
    </cfRule>
  </conditionalFormatting>
  <conditionalFormatting sqref="G20 G18 G11:G15">
    <cfRule type="expression" dxfId="76" priority="12" stopIfTrue="1">
      <formula>IF($G$22&gt;0,$G$22,IF($G$22&lt;0,$G$22,IF($G$22=0,$G$22,0)))</formula>
    </cfRule>
  </conditionalFormatting>
  <conditionalFormatting sqref="G35 G27:G32 G37:G39">
    <cfRule type="expression" dxfId="75" priority="13" stopIfTrue="1">
      <formula>IF($G$40&gt;0,$G$40,IF($G$40&lt;0,$G$40,IF($G$40=0,$G$40,0)))</formula>
    </cfRule>
  </conditionalFormatting>
  <conditionalFormatting sqref="G43:G44">
    <cfRule type="expression" dxfId="74" priority="14" stopIfTrue="1">
      <formula>IF($G$45&gt;0,$G$45,IF($G$45&lt;0,$G$45,IF($G$45=0,$G$45,0)))</formula>
    </cfRule>
  </conditionalFormatting>
  <conditionalFormatting sqref="F50">
    <cfRule type="cellIs" dxfId="73" priority="15" stopIfTrue="1" operator="greaterThan">
      <formula>0</formula>
    </cfRule>
    <cfRule type="cellIs" priority="16" stopIfTrue="1" operator="lessThan">
      <formula>0</formula>
    </cfRule>
  </conditionalFormatting>
  <conditionalFormatting sqref="E50 G50">
    <cfRule type="cellIs" dxfId="72" priority="17" stopIfTrue="1" operator="greaterThan">
      <formula>0</formula>
    </cfRule>
    <cfRule type="cellIs" dxfId="71" priority="18" stopIfTrue="1" operator="lessThan">
      <formula>0</formula>
    </cfRule>
  </conditionalFormatting>
  <conditionalFormatting sqref="B6">
    <cfRule type="notContainsBlanks" dxfId="70" priority="19">
      <formula>LEN(TRIM(B6))&gt;0</formula>
    </cfRule>
  </conditionalFormatting>
  <conditionalFormatting sqref="B3:G3">
    <cfRule type="expression" dxfId="69" priority="7">
      <formula>$B$3="Enter Charter School Name on ""Transmittal Form &amp; School Info"" tab"</formula>
    </cfRule>
  </conditionalFormatting>
  <conditionalFormatting sqref="E11:G47">
    <cfRule type="expression" dxfId="68" priority="6">
      <formula>Need_BS_CF&lt;&gt;"YES"</formula>
    </cfRule>
  </conditionalFormatting>
  <conditionalFormatting sqref="E36">
    <cfRule type="expression" dxfId="67" priority="3" stopIfTrue="1">
      <formula>IF($E$40&gt;0,$E$40,IF($E$40&lt;0,$E$40,IF($E$40=0,$E$40,0)))</formula>
    </cfRule>
  </conditionalFormatting>
  <conditionalFormatting sqref="G36">
    <cfRule type="expression" dxfId="66" priority="2" stopIfTrue="1">
      <formula>IF($G$40&gt;0,$G$40,IF($G$40&lt;0,$G$40,IF($G$40=0,$G$40,0)))</formula>
    </cfRule>
  </conditionalFormatting>
  <conditionalFormatting sqref="G38">
    <cfRule type="expression" dxfId="65"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xr:uid="{00000000-0002-0000-0100-000000000000}">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xr:uid="{00000000-0002-0000-0100-000001000000}">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7"/>
    <pageSetUpPr fitToPage="1"/>
  </sheetPr>
  <dimension ref="B1:H53"/>
  <sheetViews>
    <sheetView topLeftCell="A34" zoomScaleNormal="100" zoomScaleSheetLayoutView="100" workbookViewId="0">
      <selection activeCell="D38" sqref="D38"/>
    </sheetView>
  </sheetViews>
  <sheetFormatPr defaultColWidth="9.140625" defaultRowHeight="15" x14ac:dyDescent="0.25"/>
  <cols>
    <col min="1" max="1" width="3.7109375" style="76" customWidth="1"/>
    <col min="2" max="2" width="2.5703125" style="76" customWidth="1"/>
    <col min="3" max="3" width="52.28515625" style="76" customWidth="1"/>
    <col min="4" max="6" width="17.5703125" style="76" customWidth="1"/>
    <col min="7" max="7" width="1.85546875" style="76" customWidth="1"/>
    <col min="8" max="8" width="24" style="76" bestFit="1" customWidth="1"/>
    <col min="9" max="16384" width="9.140625" style="76"/>
  </cols>
  <sheetData>
    <row r="1" spans="2:8" ht="6.75" customHeight="1" x14ac:dyDescent="0.25">
      <c r="B1" s="82"/>
      <c r="C1" s="82"/>
    </row>
    <row r="2" spans="2:8" x14ac:dyDescent="0.25">
      <c r="B2" s="88" t="s">
        <v>53</v>
      </c>
      <c r="C2" s="88"/>
      <c r="D2" s="258" t="s">
        <v>138</v>
      </c>
      <c r="E2" s="258"/>
    </row>
    <row r="3" spans="2:8" ht="18" customHeight="1" x14ac:dyDescent="0.3">
      <c r="B3" s="264" t="str">
        <f>'Financial Position'!B3</f>
        <v>ACADEMY CHARTER SCHOOL, THE</v>
      </c>
      <c r="C3" s="265"/>
      <c r="D3" s="265"/>
      <c r="E3" s="265"/>
      <c r="F3" s="265"/>
      <c r="G3" s="265"/>
      <c r="H3" s="266"/>
    </row>
    <row r="4" spans="2:8" ht="21" customHeight="1" x14ac:dyDescent="0.3">
      <c r="B4" s="255" t="s">
        <v>54</v>
      </c>
      <c r="C4" s="256"/>
      <c r="D4" s="256"/>
      <c r="E4" s="256"/>
      <c r="F4" s="256"/>
      <c r="G4" s="256"/>
      <c r="H4" s="257"/>
    </row>
    <row r="5" spans="2:8" ht="21" customHeight="1" x14ac:dyDescent="0.3">
      <c r="B5" s="255" t="str">
        <f>'Financial Position'!B5</f>
        <v>as of June 30, 2022</v>
      </c>
      <c r="C5" s="256"/>
      <c r="D5" s="256"/>
      <c r="E5" s="256"/>
      <c r="F5" s="256"/>
      <c r="G5" s="256"/>
      <c r="H5" s="257"/>
    </row>
    <row r="6" spans="2:8" ht="15.75" customHeight="1" x14ac:dyDescent="0.25">
      <c r="B6" s="261" t="str">
        <f>'Financial Position'!B6</f>
        <v/>
      </c>
      <c r="C6" s="262"/>
      <c r="D6" s="262"/>
      <c r="E6" s="262"/>
      <c r="F6" s="262"/>
      <c r="G6" s="262"/>
      <c r="H6" s="263"/>
    </row>
    <row r="7" spans="2:8" ht="15.75" customHeight="1" thickBot="1" x14ac:dyDescent="0.3">
      <c r="B7" s="132"/>
      <c r="C7" s="133"/>
      <c r="D7" s="7"/>
      <c r="E7" s="7"/>
      <c r="F7" s="8"/>
      <c r="G7" s="7"/>
      <c r="H7" s="134"/>
    </row>
    <row r="8" spans="2:8" ht="18" customHeight="1" thickBot="1" x14ac:dyDescent="0.3">
      <c r="B8" s="132"/>
      <c r="C8" s="133"/>
      <c r="D8" s="259" t="str">
        <f>'Financial Position'!E8</f>
        <v>2021-22</v>
      </c>
      <c r="E8" s="260"/>
      <c r="F8" s="260"/>
      <c r="G8" s="9"/>
      <c r="H8" s="135" t="str">
        <f>'Financial Position'!G8</f>
        <v>2020-21</v>
      </c>
    </row>
    <row r="9" spans="2:8" ht="30" customHeight="1" thickBot="1" x14ac:dyDescent="0.3">
      <c r="B9" s="136"/>
      <c r="C9" s="2"/>
      <c r="D9" s="11" t="s">
        <v>430</v>
      </c>
      <c r="E9" s="11" t="s">
        <v>432</v>
      </c>
      <c r="F9" s="11" t="s">
        <v>1</v>
      </c>
      <c r="G9" s="12"/>
      <c r="H9" s="137" t="s">
        <v>1</v>
      </c>
    </row>
    <row r="10" spans="2:8" ht="15.75" customHeight="1" x14ac:dyDescent="0.25">
      <c r="B10" s="136"/>
      <c r="C10" s="2"/>
      <c r="D10" s="12"/>
      <c r="E10" s="12"/>
      <c r="F10" s="12"/>
      <c r="G10" s="12"/>
      <c r="H10" s="138"/>
    </row>
    <row r="11" spans="2:8" ht="15.75" customHeight="1" x14ac:dyDescent="0.25">
      <c r="B11" s="213" t="s">
        <v>55</v>
      </c>
      <c r="C11" s="214"/>
      <c r="D11" s="253"/>
      <c r="E11" s="253"/>
      <c r="F11" s="253"/>
      <c r="G11" s="253"/>
      <c r="H11" s="254"/>
    </row>
    <row r="12" spans="2:8" ht="15.75" customHeight="1" x14ac:dyDescent="0.25">
      <c r="B12" s="136" t="s">
        <v>56</v>
      </c>
      <c r="C12" s="214"/>
      <c r="D12" s="203"/>
      <c r="E12" s="203"/>
      <c r="F12" s="203"/>
      <c r="G12" s="203"/>
      <c r="H12" s="204"/>
    </row>
    <row r="13" spans="2:8" x14ac:dyDescent="0.25">
      <c r="B13" s="136"/>
      <c r="C13" s="2" t="s">
        <v>57</v>
      </c>
      <c r="D13" s="71">
        <v>38869632</v>
      </c>
      <c r="E13" s="71">
        <v>0</v>
      </c>
      <c r="F13" s="14">
        <f>SUM(D13:E13)</f>
        <v>38869632</v>
      </c>
      <c r="G13" s="2"/>
      <c r="H13" s="139">
        <v>34824352</v>
      </c>
    </row>
    <row r="14" spans="2:8" x14ac:dyDescent="0.25">
      <c r="B14" s="136"/>
      <c r="C14" s="2" t="s">
        <v>58</v>
      </c>
      <c r="D14" s="73">
        <v>679806</v>
      </c>
      <c r="E14" s="73">
        <v>0</v>
      </c>
      <c r="F14" s="2">
        <f>SUM(D14:E14)</f>
        <v>679806</v>
      </c>
      <c r="G14" s="2"/>
      <c r="H14" s="140">
        <v>552932</v>
      </c>
    </row>
    <row r="15" spans="2:8" x14ac:dyDescent="0.25">
      <c r="B15" s="136" t="s">
        <v>59</v>
      </c>
      <c r="C15" s="2"/>
      <c r="D15" s="2"/>
      <c r="E15" s="2"/>
      <c r="F15" s="2"/>
      <c r="G15" s="2"/>
      <c r="H15" s="141"/>
    </row>
    <row r="16" spans="2:8" x14ac:dyDescent="0.25">
      <c r="B16" s="136"/>
      <c r="C16" s="2" t="s">
        <v>60</v>
      </c>
      <c r="D16" s="73">
        <v>0</v>
      </c>
      <c r="E16" s="73">
        <v>0</v>
      </c>
      <c r="F16" s="2">
        <f t="shared" ref="F16:F21" si="0">SUM(D16:E16)</f>
        <v>0</v>
      </c>
      <c r="G16" s="2"/>
      <c r="H16" s="140">
        <v>0</v>
      </c>
    </row>
    <row r="17" spans="2:8" x14ac:dyDescent="0.25">
      <c r="B17" s="136"/>
      <c r="C17" s="2" t="s">
        <v>61</v>
      </c>
      <c r="D17" s="73">
        <v>5619980</v>
      </c>
      <c r="E17" s="73">
        <v>0</v>
      </c>
      <c r="F17" s="2">
        <f t="shared" si="0"/>
        <v>5619980</v>
      </c>
      <c r="G17" s="2"/>
      <c r="H17" s="140">
        <v>6642016</v>
      </c>
    </row>
    <row r="18" spans="2:8" x14ac:dyDescent="0.25">
      <c r="B18" s="136"/>
      <c r="C18" s="2" t="s">
        <v>62</v>
      </c>
      <c r="D18" s="73">
        <v>0</v>
      </c>
      <c r="E18" s="73">
        <v>0</v>
      </c>
      <c r="F18" s="2">
        <f t="shared" si="0"/>
        <v>0</v>
      </c>
      <c r="G18" s="2"/>
      <c r="H18" s="140">
        <v>0</v>
      </c>
    </row>
    <row r="19" spans="2:8" x14ac:dyDescent="0.25">
      <c r="B19" s="136"/>
      <c r="C19" s="2" t="s">
        <v>2</v>
      </c>
      <c r="D19" s="73">
        <v>0</v>
      </c>
      <c r="E19" s="73">
        <v>0</v>
      </c>
      <c r="F19" s="2">
        <f t="shared" si="0"/>
        <v>0</v>
      </c>
      <c r="G19" s="2"/>
      <c r="H19" s="140">
        <v>0</v>
      </c>
    </row>
    <row r="20" spans="2:8" x14ac:dyDescent="0.25">
      <c r="B20" s="136" t="s">
        <v>286</v>
      </c>
      <c r="C20" s="2"/>
      <c r="D20" s="73">
        <v>0</v>
      </c>
      <c r="E20" s="73">
        <v>0</v>
      </c>
      <c r="F20" s="2">
        <f t="shared" si="0"/>
        <v>0</v>
      </c>
      <c r="G20" s="2"/>
      <c r="H20" s="140">
        <v>0</v>
      </c>
    </row>
    <row r="21" spans="2:8" ht="17.25" x14ac:dyDescent="0.4">
      <c r="B21" s="136" t="s">
        <v>63</v>
      </c>
      <c r="C21" s="2"/>
      <c r="D21" s="74">
        <v>0</v>
      </c>
      <c r="E21" s="74">
        <v>0</v>
      </c>
      <c r="F21" s="3">
        <f t="shared" si="0"/>
        <v>0</v>
      </c>
      <c r="G21" s="2"/>
      <c r="H21" s="142">
        <v>0</v>
      </c>
    </row>
    <row r="22" spans="2:8" ht="18.75" customHeight="1" x14ac:dyDescent="0.25">
      <c r="B22" s="267" t="s">
        <v>64</v>
      </c>
      <c r="C22" s="268"/>
      <c r="D22" s="2">
        <f>SUM(D13:D21)</f>
        <v>45169418</v>
      </c>
      <c r="E22" s="2">
        <f>SUM(E13:E21)</f>
        <v>0</v>
      </c>
      <c r="F22" s="2">
        <f>SUM(F13:F21)</f>
        <v>45169418</v>
      </c>
      <c r="G22" s="2"/>
      <c r="H22" s="141">
        <f>SUM(H13:H21)</f>
        <v>42019300</v>
      </c>
    </row>
    <row r="23" spans="2:8" ht="15" customHeight="1" x14ac:dyDescent="0.25">
      <c r="B23" s="215"/>
      <c r="C23" s="143"/>
      <c r="D23" s="143"/>
      <c r="E23" s="143"/>
      <c r="F23" s="143"/>
      <c r="G23" s="143"/>
      <c r="H23" s="144"/>
    </row>
    <row r="24" spans="2:8" x14ac:dyDescent="0.25">
      <c r="B24" s="213" t="s">
        <v>5</v>
      </c>
      <c r="C24" s="214"/>
      <c r="D24" s="10"/>
      <c r="E24" s="10"/>
      <c r="F24" s="10"/>
      <c r="G24" s="10"/>
      <c r="H24" s="145"/>
    </row>
    <row r="25" spans="2:8" x14ac:dyDescent="0.25">
      <c r="B25" s="136" t="s">
        <v>6</v>
      </c>
      <c r="C25" s="2"/>
      <c r="D25" s="2"/>
      <c r="E25" s="2"/>
      <c r="F25" s="2"/>
      <c r="G25" s="2"/>
      <c r="H25" s="141"/>
    </row>
    <row r="26" spans="2:8" x14ac:dyDescent="0.25">
      <c r="B26" s="136"/>
      <c r="C26" s="2" t="s">
        <v>7</v>
      </c>
      <c r="D26" s="71">
        <v>31273041</v>
      </c>
      <c r="E26" s="71">
        <v>0</v>
      </c>
      <c r="F26" s="14">
        <f>SUM(D26:E26)</f>
        <v>31273041</v>
      </c>
      <c r="G26" s="2"/>
      <c r="H26" s="139">
        <v>29573453</v>
      </c>
    </row>
    <row r="27" spans="2:8" x14ac:dyDescent="0.25">
      <c r="B27" s="136"/>
      <c r="C27" s="2" t="s">
        <v>13</v>
      </c>
      <c r="D27" s="73">
        <v>1098704</v>
      </c>
      <c r="E27" s="73">
        <v>0</v>
      </c>
      <c r="F27" s="2">
        <f>SUM(D27:E27)</f>
        <v>1098704</v>
      </c>
      <c r="G27" s="2"/>
      <c r="H27" s="140">
        <v>1620686</v>
      </c>
    </row>
    <row r="28" spans="2:8" x14ac:dyDescent="0.25">
      <c r="B28" s="136"/>
      <c r="C28" s="2" t="s">
        <v>65</v>
      </c>
      <c r="D28" s="73">
        <v>2603015</v>
      </c>
      <c r="E28" s="73">
        <v>0</v>
      </c>
      <c r="F28" s="2">
        <f>SUM(D28:E28)</f>
        <v>2603015</v>
      </c>
      <c r="G28" s="2"/>
      <c r="H28" s="140">
        <v>1703510</v>
      </c>
    </row>
    <row r="29" spans="2:8" x14ac:dyDescent="0.25">
      <c r="B29" s="136" t="s">
        <v>136</v>
      </c>
      <c r="C29" s="2"/>
      <c r="D29" s="2">
        <f>SUM(D26:D28)</f>
        <v>34974760</v>
      </c>
      <c r="E29" s="2">
        <f>SUM(E26:E28)</f>
        <v>0</v>
      </c>
      <c r="F29" s="2">
        <f>SUM(F26:F28)</f>
        <v>34974760</v>
      </c>
      <c r="G29" s="2"/>
      <c r="H29" s="146">
        <f>SUM(H26:H28)</f>
        <v>32897649</v>
      </c>
    </row>
    <row r="30" spans="2:8" x14ac:dyDescent="0.25">
      <c r="B30" s="136" t="s">
        <v>66</v>
      </c>
      <c r="C30" s="2"/>
      <c r="D30" s="73">
        <v>9012904</v>
      </c>
      <c r="E30" s="73">
        <v>0</v>
      </c>
      <c r="F30" s="2">
        <f>SUM(D30:E30)</f>
        <v>9012904</v>
      </c>
      <c r="G30" s="2"/>
      <c r="H30" s="140">
        <v>7527861</v>
      </c>
    </row>
    <row r="31" spans="2:8" ht="17.25" x14ac:dyDescent="0.4">
      <c r="B31" s="136" t="s">
        <v>14</v>
      </c>
      <c r="C31" s="2"/>
      <c r="D31" s="74">
        <v>0</v>
      </c>
      <c r="E31" s="74">
        <v>0</v>
      </c>
      <c r="F31" s="3">
        <f>SUM(D31:E31)</f>
        <v>0</v>
      </c>
      <c r="G31" s="2"/>
      <c r="H31" s="142">
        <v>0</v>
      </c>
    </row>
    <row r="32" spans="2:8" x14ac:dyDescent="0.25">
      <c r="B32" s="267" t="s">
        <v>67</v>
      </c>
      <c r="C32" s="268"/>
      <c r="D32" s="2">
        <f>SUM(D29:D31)</f>
        <v>43987664</v>
      </c>
      <c r="E32" s="2">
        <f>SUM(E29:E31)</f>
        <v>0</v>
      </c>
      <c r="F32" s="2">
        <f>SUM(F29:F31)</f>
        <v>43987664</v>
      </c>
      <c r="G32" s="2"/>
      <c r="H32" s="141">
        <f>SUM(H29:H31)</f>
        <v>40425510</v>
      </c>
    </row>
    <row r="33" spans="2:8" ht="15" customHeight="1" x14ac:dyDescent="0.25">
      <c r="B33" s="215"/>
      <c r="C33" s="143"/>
      <c r="D33" s="143"/>
      <c r="E33" s="143"/>
      <c r="F33" s="143"/>
      <c r="G33" s="143"/>
      <c r="H33" s="144"/>
    </row>
    <row r="34" spans="2:8" x14ac:dyDescent="0.25">
      <c r="B34" s="267" t="s">
        <v>68</v>
      </c>
      <c r="C34" s="268"/>
      <c r="D34" s="2">
        <f>D22-D32</f>
        <v>1181754</v>
      </c>
      <c r="E34" s="2">
        <f>E22-E32</f>
        <v>0</v>
      </c>
      <c r="F34" s="2">
        <f>F22-F32</f>
        <v>1181754</v>
      </c>
      <c r="G34" s="2"/>
      <c r="H34" s="141">
        <f>H22-H32</f>
        <v>1593790</v>
      </c>
    </row>
    <row r="35" spans="2:8" ht="15" customHeight="1" x14ac:dyDescent="0.25">
      <c r="B35" s="215"/>
      <c r="C35" s="143"/>
      <c r="D35" s="143"/>
      <c r="E35" s="143"/>
      <c r="F35" s="143"/>
      <c r="G35" s="143"/>
      <c r="H35" s="144"/>
    </row>
    <row r="36" spans="2:8" x14ac:dyDescent="0.25">
      <c r="B36" s="213" t="s">
        <v>69</v>
      </c>
      <c r="C36" s="2"/>
      <c r="D36" s="2"/>
      <c r="E36" s="2"/>
      <c r="F36" s="2"/>
      <c r="G36" s="2"/>
      <c r="H36" s="141"/>
    </row>
    <row r="37" spans="2:8" x14ac:dyDescent="0.25">
      <c r="B37" s="136" t="s">
        <v>70</v>
      </c>
      <c r="C37" s="2"/>
      <c r="D37" s="2"/>
      <c r="E37" s="2"/>
      <c r="F37" s="2"/>
      <c r="G37" s="2"/>
      <c r="H37" s="141"/>
    </row>
    <row r="38" spans="2:8" x14ac:dyDescent="0.25">
      <c r="B38" s="136"/>
      <c r="C38" s="2" t="s">
        <v>71</v>
      </c>
      <c r="D38" s="71">
        <v>102896</v>
      </c>
      <c r="E38" s="71">
        <v>0</v>
      </c>
      <c r="F38" s="14">
        <f t="shared" ref="F38:F44" si="1">SUM(D38:E38)</f>
        <v>102896</v>
      </c>
      <c r="G38" s="2"/>
      <c r="H38" s="139">
        <v>2086935</v>
      </c>
    </row>
    <row r="39" spans="2:8" x14ac:dyDescent="0.25">
      <c r="B39" s="136"/>
      <c r="C39" s="2" t="s">
        <v>72</v>
      </c>
      <c r="D39" s="73">
        <v>0</v>
      </c>
      <c r="E39" s="73">
        <v>0</v>
      </c>
      <c r="F39" s="2">
        <f t="shared" si="1"/>
        <v>0</v>
      </c>
      <c r="G39" s="2"/>
      <c r="H39" s="140">
        <v>0</v>
      </c>
    </row>
    <row r="40" spans="2:8" x14ac:dyDescent="0.25">
      <c r="B40" s="136"/>
      <c r="C40" s="2" t="s">
        <v>73</v>
      </c>
      <c r="D40" s="73">
        <v>0</v>
      </c>
      <c r="E40" s="73">
        <v>0</v>
      </c>
      <c r="F40" s="2">
        <f t="shared" si="1"/>
        <v>0</v>
      </c>
      <c r="G40" s="2"/>
      <c r="H40" s="140">
        <v>0</v>
      </c>
    </row>
    <row r="41" spans="2:8" x14ac:dyDescent="0.25">
      <c r="B41" s="136" t="s">
        <v>14</v>
      </c>
      <c r="C41" s="2"/>
      <c r="D41" s="73">
        <v>0</v>
      </c>
      <c r="E41" s="73">
        <v>0</v>
      </c>
      <c r="F41" s="2">
        <f t="shared" si="1"/>
        <v>0</v>
      </c>
      <c r="G41" s="2"/>
      <c r="H41" s="140">
        <v>0</v>
      </c>
    </row>
    <row r="42" spans="2:8" x14ac:dyDescent="0.25">
      <c r="B42" s="136" t="s">
        <v>74</v>
      </c>
      <c r="C42" s="2"/>
      <c r="D42" s="73">
        <v>66018</v>
      </c>
      <c r="E42" s="73">
        <v>0</v>
      </c>
      <c r="F42" s="2">
        <f t="shared" si="1"/>
        <v>66018</v>
      </c>
      <c r="G42" s="2"/>
      <c r="H42" s="140">
        <v>6782</v>
      </c>
    </row>
    <row r="43" spans="2:8" x14ac:dyDescent="0.25">
      <c r="B43" s="136" t="s">
        <v>75</v>
      </c>
      <c r="C43" s="2"/>
      <c r="D43" s="73">
        <v>0</v>
      </c>
      <c r="E43" s="73">
        <v>0</v>
      </c>
      <c r="F43" s="2">
        <f t="shared" si="1"/>
        <v>0</v>
      </c>
      <c r="G43" s="2"/>
      <c r="H43" s="140">
        <v>0</v>
      </c>
    </row>
    <row r="44" spans="2:8" ht="17.25" x14ac:dyDescent="0.4">
      <c r="B44" s="136" t="s">
        <v>76</v>
      </c>
      <c r="C44" s="2"/>
      <c r="D44" s="74">
        <v>0</v>
      </c>
      <c r="E44" s="74">
        <v>0</v>
      </c>
      <c r="F44" s="3">
        <f t="shared" si="1"/>
        <v>0</v>
      </c>
      <c r="G44" s="2"/>
      <c r="H44" s="142">
        <v>0</v>
      </c>
    </row>
    <row r="45" spans="2:8" x14ac:dyDescent="0.25">
      <c r="B45" s="267" t="s">
        <v>77</v>
      </c>
      <c r="C45" s="268"/>
      <c r="D45" s="2">
        <f>SUM(D38:D44)</f>
        <v>168914</v>
      </c>
      <c r="E45" s="2">
        <f>SUM(E38:E44)</f>
        <v>0</v>
      </c>
      <c r="F45" s="2">
        <f>SUM(F38:F44)</f>
        <v>168914</v>
      </c>
      <c r="G45" s="2"/>
      <c r="H45" s="141">
        <f>SUM(H38:H44)</f>
        <v>2093717</v>
      </c>
    </row>
    <row r="46" spans="2:8" ht="15" customHeight="1" x14ac:dyDescent="0.25">
      <c r="B46" s="215"/>
      <c r="C46" s="143"/>
      <c r="D46" s="143"/>
      <c r="E46" s="143"/>
      <c r="F46" s="143"/>
      <c r="G46" s="143"/>
      <c r="H46" s="144"/>
    </row>
    <row r="47" spans="2:8" x14ac:dyDescent="0.25">
      <c r="B47" s="267" t="s">
        <v>78</v>
      </c>
      <c r="C47" s="268"/>
      <c r="D47" s="2">
        <f>D34+D45</f>
        <v>1350668</v>
      </c>
      <c r="E47" s="2">
        <f>E34+E45</f>
        <v>0</v>
      </c>
      <c r="F47" s="2">
        <f>F34+F45</f>
        <v>1350668</v>
      </c>
      <c r="G47" s="2"/>
      <c r="H47" s="141">
        <f>H34+H45</f>
        <v>3687507</v>
      </c>
    </row>
    <row r="48" spans="2:8" ht="15" customHeight="1" x14ac:dyDescent="0.25">
      <c r="B48" s="215"/>
      <c r="C48" s="143"/>
      <c r="D48" s="143"/>
      <c r="E48" s="143"/>
      <c r="F48" s="143"/>
      <c r="G48" s="143"/>
      <c r="H48" s="144"/>
    </row>
    <row r="49" spans="2:8" x14ac:dyDescent="0.25">
      <c r="B49" s="136" t="s">
        <v>79</v>
      </c>
      <c r="C49" s="2"/>
      <c r="D49" s="73">
        <v>7287806</v>
      </c>
      <c r="E49" s="73">
        <v>0</v>
      </c>
      <c r="F49" s="2">
        <f>SUM(D49:E49)</f>
        <v>7287806</v>
      </c>
      <c r="G49" s="2"/>
      <c r="H49" s="140">
        <v>3600299</v>
      </c>
    </row>
    <row r="50" spans="2:8" ht="17.25" x14ac:dyDescent="0.4">
      <c r="B50" s="136" t="s">
        <v>120</v>
      </c>
      <c r="C50" s="2"/>
      <c r="D50" s="74">
        <v>0</v>
      </c>
      <c r="E50" s="74">
        <v>0</v>
      </c>
      <c r="F50" s="3">
        <f>SUM(D50:E50)</f>
        <v>0</v>
      </c>
      <c r="G50" s="2"/>
      <c r="H50" s="142">
        <v>0</v>
      </c>
    </row>
    <row r="51" spans="2:8" ht="15" customHeight="1" x14ac:dyDescent="0.25">
      <c r="B51" s="215"/>
      <c r="C51" s="143"/>
      <c r="D51" s="143"/>
      <c r="E51" s="143"/>
      <c r="F51" s="143"/>
      <c r="G51" s="143"/>
      <c r="H51" s="144"/>
    </row>
    <row r="52" spans="2:8" ht="15.75" thickBot="1" x14ac:dyDescent="0.3">
      <c r="B52" s="267" t="s">
        <v>80</v>
      </c>
      <c r="C52" s="268"/>
      <c r="D52" s="13">
        <f>D47+D49+D50</f>
        <v>8638474</v>
      </c>
      <c r="E52" s="13">
        <f>E47+E49+E50</f>
        <v>0</v>
      </c>
      <c r="F52" s="13">
        <f>F47+F49+F50</f>
        <v>8638474</v>
      </c>
      <c r="G52" s="14"/>
      <c r="H52" s="147">
        <f>H47+H49+H50</f>
        <v>7287806</v>
      </c>
    </row>
    <row r="53" spans="2:8" ht="15.75" thickTop="1" x14ac:dyDescent="0.25">
      <c r="B53" s="216"/>
      <c r="C53" s="148"/>
      <c r="D53" s="148"/>
      <c r="E53" s="148"/>
      <c r="F53" s="148"/>
      <c r="G53" s="148"/>
      <c r="H53" s="149"/>
    </row>
  </sheetData>
  <mergeCells count="13">
    <mergeCell ref="B52:C52"/>
    <mergeCell ref="B22:C22"/>
    <mergeCell ref="B32:C32"/>
    <mergeCell ref="B34:C34"/>
    <mergeCell ref="B47:C47"/>
    <mergeCell ref="B45:C45"/>
    <mergeCell ref="D11:H11"/>
    <mergeCell ref="B4:H4"/>
    <mergeCell ref="B5:H5"/>
    <mergeCell ref="D2:E2"/>
    <mergeCell ref="D8:F8"/>
    <mergeCell ref="B6:H6"/>
    <mergeCell ref="B3:H3"/>
  </mergeCells>
  <phoneticPr fontId="22" type="noConversion"/>
  <conditionalFormatting sqref="D13:E14 H13:H14 D16:E21 H16:H21">
    <cfRule type="expression" dxfId="64" priority="3" stopIfTrue="1">
      <formula>IF(D$22&gt;0,D$22,IF(D$22&lt;0,D$22,IF(D$22=0,D$22,0)))</formula>
    </cfRule>
  </conditionalFormatting>
  <conditionalFormatting sqref="D26:E28 D30:E31 H26:H28 H30:H31">
    <cfRule type="expression" dxfId="63" priority="4" stopIfTrue="1">
      <formula>IF(D$32&gt;0,D$32,IF(D$32&lt;0,D$32,IF(D$32=0,D$32,0)))</formula>
    </cfRule>
  </conditionalFormatting>
  <conditionalFormatting sqref="D38:E44 H38:H44">
    <cfRule type="expression" dxfId="62" priority="5" stopIfTrue="1">
      <formula>IF(D$45&gt;0,D$45,IF(D$45&lt;0,D$45,IF(D$45=0,D$45,0)))</formula>
    </cfRule>
  </conditionalFormatting>
  <conditionalFormatting sqref="D49:E50 H49:H50">
    <cfRule type="expression" dxfId="61" priority="6" stopIfTrue="1">
      <formula>IF(D$52&gt;0,D$52,IF(D$52&lt;0,D$52,IF(D$52=0,D$52,0)))</formula>
    </cfRule>
  </conditionalFormatting>
  <conditionalFormatting sqref="B6:H6">
    <cfRule type="notContainsBlanks" dxfId="60" priority="7">
      <formula>LEN(TRIM(B6))&gt;0</formula>
    </cfRule>
  </conditionalFormatting>
  <conditionalFormatting sqref="B3">
    <cfRule type="expression" dxfId="59"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7"/>
    <pageSetUpPr fitToPage="1"/>
  </sheetPr>
  <dimension ref="B1:G44"/>
  <sheetViews>
    <sheetView topLeftCell="A28" zoomScaleNormal="100" zoomScaleSheetLayoutView="100" workbookViewId="0">
      <selection activeCell="D38" sqref="D38"/>
    </sheetView>
  </sheetViews>
  <sheetFormatPr defaultColWidth="9.140625" defaultRowHeight="15" x14ac:dyDescent="0.25"/>
  <cols>
    <col min="1" max="1" width="3.7109375" style="75" customWidth="1"/>
    <col min="2" max="2" width="2.5703125" style="75" customWidth="1"/>
    <col min="3" max="3" width="68.28515625" style="75" customWidth="1"/>
    <col min="4" max="4" width="25.7109375" style="193" customWidth="1"/>
    <col min="5" max="5" width="1.85546875" style="193" customWidth="1"/>
    <col min="6" max="6" width="25.7109375" style="75" customWidth="1"/>
    <col min="7" max="16384" width="9.140625" style="75"/>
  </cols>
  <sheetData>
    <row r="1" spans="2:7" ht="7.5" customHeight="1" x14ac:dyDescent="0.25"/>
    <row r="2" spans="2:7" x14ac:dyDescent="0.25">
      <c r="B2" s="194" t="s">
        <v>81</v>
      </c>
      <c r="C2" s="195"/>
      <c r="D2" s="195" t="s">
        <v>138</v>
      </c>
    </row>
    <row r="3" spans="2:7" ht="18" customHeight="1" x14ac:dyDescent="0.3">
      <c r="B3" s="276" t="str">
        <f>'Financial Position'!B3</f>
        <v>ACADEMY CHARTER SCHOOL, THE</v>
      </c>
      <c r="C3" s="277"/>
      <c r="D3" s="277"/>
      <c r="E3" s="277"/>
      <c r="F3" s="278"/>
    </row>
    <row r="4" spans="2:7" ht="18.75" x14ac:dyDescent="0.3">
      <c r="B4" s="274" t="s">
        <v>82</v>
      </c>
      <c r="C4" s="256"/>
      <c r="D4" s="256"/>
      <c r="E4" s="256"/>
      <c r="F4" s="275"/>
    </row>
    <row r="5" spans="2:7" ht="18.75" x14ac:dyDescent="0.3">
      <c r="B5" s="152"/>
      <c r="C5" s="256" t="str">
        <f>'Financial Position'!B5</f>
        <v>as of June 30, 2022</v>
      </c>
      <c r="D5" s="256"/>
      <c r="E5" s="256"/>
      <c r="F5" s="275"/>
    </row>
    <row r="6" spans="2:7" ht="15" customHeight="1" x14ac:dyDescent="0.25">
      <c r="B6" s="279" t="str">
        <f>'Financial Position'!B6</f>
        <v/>
      </c>
      <c r="C6" s="262"/>
      <c r="D6" s="262"/>
      <c r="E6" s="262"/>
      <c r="F6" s="280"/>
    </row>
    <row r="7" spans="2:7" ht="15" customHeight="1" thickBot="1" x14ac:dyDescent="0.3">
      <c r="B7" s="153"/>
      <c r="C7" s="133"/>
      <c r="D7" s="1"/>
      <c r="E7" s="8"/>
      <c r="F7" s="154"/>
      <c r="G7" s="88"/>
    </row>
    <row r="8" spans="2:7" ht="18" customHeight="1" thickBot="1" x14ac:dyDescent="0.3">
      <c r="B8" s="153"/>
      <c r="C8" s="133"/>
      <c r="D8" s="34" t="str">
        <f>'Financial Position'!E8</f>
        <v>2021-22</v>
      </c>
      <c r="E8" s="16"/>
      <c r="F8" s="155" t="str">
        <f>'Financial Position'!G8</f>
        <v>2020-21</v>
      </c>
    </row>
    <row r="9" spans="2:7" ht="15" customHeight="1" x14ac:dyDescent="0.25">
      <c r="B9" s="153"/>
      <c r="C9" s="133"/>
      <c r="D9" s="17"/>
      <c r="E9" s="16"/>
      <c r="F9" s="156"/>
    </row>
    <row r="10" spans="2:7" x14ac:dyDescent="0.25">
      <c r="B10" s="157" t="s">
        <v>83</v>
      </c>
      <c r="C10" s="15"/>
      <c r="D10" s="16"/>
      <c r="E10" s="16"/>
      <c r="F10" s="158"/>
    </row>
    <row r="11" spans="2:7" x14ac:dyDescent="0.25">
      <c r="B11" s="159"/>
      <c r="C11" s="33" t="s">
        <v>84</v>
      </c>
      <c r="D11" s="160">
        <v>-876261</v>
      </c>
      <c r="E11" s="20"/>
      <c r="F11" s="161">
        <v>3387380</v>
      </c>
    </row>
    <row r="12" spans="2:7" x14ac:dyDescent="0.25">
      <c r="B12" s="159"/>
      <c r="C12" s="33" t="s">
        <v>85</v>
      </c>
      <c r="D12" s="72">
        <v>0</v>
      </c>
      <c r="E12" s="10"/>
      <c r="F12" s="162">
        <v>0</v>
      </c>
    </row>
    <row r="13" spans="2:7" x14ac:dyDescent="0.25">
      <c r="B13" s="159"/>
      <c r="C13" s="33" t="s">
        <v>86</v>
      </c>
      <c r="D13" s="72">
        <v>-55567</v>
      </c>
      <c r="E13" s="10"/>
      <c r="F13" s="162">
        <v>87716</v>
      </c>
    </row>
    <row r="14" spans="2:7" x14ac:dyDescent="0.25">
      <c r="B14" s="159"/>
      <c r="C14" s="33" t="s">
        <v>87</v>
      </c>
      <c r="D14" s="72">
        <v>0</v>
      </c>
      <c r="E14" s="10"/>
      <c r="F14" s="162">
        <v>0</v>
      </c>
    </row>
    <row r="15" spans="2:7" x14ac:dyDescent="0.25">
      <c r="B15" s="159"/>
      <c r="C15" s="33" t="s">
        <v>21</v>
      </c>
      <c r="D15" s="72">
        <f>4631970+189362</f>
        <v>4821332</v>
      </c>
      <c r="E15" s="10"/>
      <c r="F15" s="162">
        <v>4725570</v>
      </c>
    </row>
    <row r="16" spans="2:7" x14ac:dyDescent="0.25">
      <c r="B16" s="159"/>
      <c r="C16" s="33" t="s">
        <v>88</v>
      </c>
      <c r="D16" s="72">
        <v>-2590261</v>
      </c>
      <c r="E16" s="10"/>
      <c r="F16" s="162">
        <v>-20991</v>
      </c>
    </row>
    <row r="17" spans="2:6" x14ac:dyDescent="0.25">
      <c r="B17" s="159"/>
      <c r="C17" s="33" t="s">
        <v>89</v>
      </c>
      <c r="D17" s="72">
        <v>0</v>
      </c>
      <c r="E17" s="10"/>
      <c r="F17" s="162">
        <v>0</v>
      </c>
    </row>
    <row r="18" spans="2:6" x14ac:dyDescent="0.25">
      <c r="B18" s="159"/>
      <c r="C18" s="33" t="s">
        <v>90</v>
      </c>
      <c r="D18" s="72">
        <v>0</v>
      </c>
      <c r="E18" s="18"/>
      <c r="F18" s="163">
        <v>0</v>
      </c>
    </row>
    <row r="19" spans="2:6" x14ac:dyDescent="0.25">
      <c r="B19" s="159"/>
      <c r="C19" s="33" t="s">
        <v>36</v>
      </c>
      <c r="D19" s="151">
        <v>10776</v>
      </c>
      <c r="E19" s="18"/>
      <c r="F19" s="163">
        <v>-45643</v>
      </c>
    </row>
    <row r="20" spans="2:6" x14ac:dyDescent="0.25">
      <c r="B20" s="159"/>
      <c r="C20" s="33" t="s">
        <v>91</v>
      </c>
      <c r="D20" s="151">
        <v>-2031317</v>
      </c>
      <c r="E20" s="18"/>
      <c r="F20" s="163">
        <v>2657115</v>
      </c>
    </row>
    <row r="21" spans="2:6" x14ac:dyDescent="0.25">
      <c r="B21" s="159"/>
      <c r="C21" s="33" t="s">
        <v>92</v>
      </c>
      <c r="D21" s="151">
        <v>1836788</v>
      </c>
      <c r="E21" s="18"/>
      <c r="F21" s="163">
        <v>1027338</v>
      </c>
    </row>
    <row r="22" spans="2:6" x14ac:dyDescent="0.25">
      <c r="B22" s="159"/>
      <c r="C22" s="33" t="s">
        <v>93</v>
      </c>
      <c r="D22" s="151">
        <v>-32994</v>
      </c>
      <c r="E22" s="18"/>
      <c r="F22" s="163">
        <v>-399777</v>
      </c>
    </row>
    <row r="23" spans="2:6" x14ac:dyDescent="0.25">
      <c r="B23" s="159"/>
      <c r="C23" s="33" t="s">
        <v>94</v>
      </c>
      <c r="D23" s="151">
        <v>0</v>
      </c>
      <c r="E23" s="18"/>
      <c r="F23" s="163">
        <v>0</v>
      </c>
    </row>
    <row r="24" spans="2:6" x14ac:dyDescent="0.25">
      <c r="B24" s="159"/>
      <c r="C24" s="33" t="s">
        <v>95</v>
      </c>
      <c r="D24" s="151">
        <v>0</v>
      </c>
      <c r="E24" s="18"/>
      <c r="F24" s="163">
        <v>-4849550</v>
      </c>
    </row>
    <row r="25" spans="2:6" x14ac:dyDescent="0.25">
      <c r="B25" s="159"/>
      <c r="C25" s="33" t="s">
        <v>96</v>
      </c>
      <c r="D25" s="151">
        <v>-60355</v>
      </c>
      <c r="E25" s="18"/>
      <c r="F25" s="163">
        <v>-14326</v>
      </c>
    </row>
    <row r="26" spans="2:6" x14ac:dyDescent="0.25">
      <c r="B26" s="159"/>
      <c r="C26" s="33" t="s">
        <v>97</v>
      </c>
      <c r="D26" s="151">
        <v>0</v>
      </c>
      <c r="E26" s="18"/>
      <c r="F26" s="163">
        <v>0</v>
      </c>
    </row>
    <row r="27" spans="2:6" x14ac:dyDescent="0.25">
      <c r="B27" s="159"/>
      <c r="C27" s="164" t="s">
        <v>2</v>
      </c>
      <c r="D27" s="151">
        <v>-52567</v>
      </c>
      <c r="E27" s="18"/>
      <c r="F27" s="163">
        <v>120000</v>
      </c>
    </row>
    <row r="28" spans="2:6" ht="15.75" thickBot="1" x14ac:dyDescent="0.3">
      <c r="B28" s="159"/>
      <c r="C28" s="164" t="s">
        <v>2</v>
      </c>
      <c r="D28" s="150">
        <v>-3161937</v>
      </c>
      <c r="E28" s="18"/>
      <c r="F28" s="165">
        <v>0</v>
      </c>
    </row>
    <row r="29" spans="2:6" x14ac:dyDescent="0.25">
      <c r="B29" s="270" t="s">
        <v>98</v>
      </c>
      <c r="C29" s="271"/>
      <c r="D29" s="166">
        <f>SUM(D11:D28)</f>
        <v>-2192363</v>
      </c>
      <c r="E29" s="166"/>
      <c r="F29" s="167">
        <f>SUM(F11:F28)</f>
        <v>6674832</v>
      </c>
    </row>
    <row r="30" spans="2:6" ht="8.25" customHeight="1" x14ac:dyDescent="0.25">
      <c r="B30" s="168"/>
      <c r="C30" s="169"/>
      <c r="D30" s="20"/>
      <c r="E30" s="20"/>
      <c r="F30" s="170"/>
    </row>
    <row r="31" spans="2:6" x14ac:dyDescent="0.25">
      <c r="B31" s="157" t="s">
        <v>99</v>
      </c>
      <c r="C31" s="15"/>
      <c r="D31" s="20"/>
      <c r="E31" s="20"/>
      <c r="F31" s="170"/>
    </row>
    <row r="32" spans="2:6" x14ac:dyDescent="0.25">
      <c r="B32" s="171" t="s">
        <v>100</v>
      </c>
      <c r="C32" s="15"/>
      <c r="D32" s="151">
        <v>0</v>
      </c>
      <c r="E32" s="18"/>
      <c r="F32" s="163">
        <v>0</v>
      </c>
    </row>
    <row r="33" spans="2:6" ht="15.75" thickBot="1" x14ac:dyDescent="0.3">
      <c r="B33" s="171" t="s">
        <v>2</v>
      </c>
      <c r="C33" s="15"/>
      <c r="D33" s="150">
        <v>-15010930</v>
      </c>
      <c r="E33" s="18"/>
      <c r="F33" s="165">
        <v>-35854665</v>
      </c>
    </row>
    <row r="34" spans="2:6" x14ac:dyDescent="0.25">
      <c r="B34" s="270" t="s">
        <v>101</v>
      </c>
      <c r="C34" s="271"/>
      <c r="D34" s="20">
        <f>SUM(D32:D33)</f>
        <v>-15010930</v>
      </c>
      <c r="E34" s="20"/>
      <c r="F34" s="170">
        <f>SUM(F32:F33)</f>
        <v>-35854665</v>
      </c>
    </row>
    <row r="35" spans="2:6" ht="8.25" customHeight="1" x14ac:dyDescent="0.25">
      <c r="B35" s="168"/>
      <c r="C35" s="169"/>
      <c r="D35" s="20"/>
      <c r="E35" s="20"/>
      <c r="F35" s="170"/>
    </row>
    <row r="36" spans="2:6" x14ac:dyDescent="0.25">
      <c r="B36" s="157" t="s">
        <v>102</v>
      </c>
      <c r="C36" s="15"/>
      <c r="D36" s="20"/>
      <c r="E36" s="20"/>
      <c r="F36" s="170"/>
    </row>
    <row r="37" spans="2:6" x14ac:dyDescent="0.25">
      <c r="B37" s="171" t="s">
        <v>103</v>
      </c>
      <c r="C37" s="15"/>
      <c r="D37" s="151">
        <v>-1495000</v>
      </c>
      <c r="E37" s="18"/>
      <c r="F37" s="163">
        <v>-3225000</v>
      </c>
    </row>
    <row r="38" spans="2:6" ht="15.75" thickBot="1" x14ac:dyDescent="0.3">
      <c r="B38" s="171" t="s">
        <v>2</v>
      </c>
      <c r="C38" s="15"/>
      <c r="D38" s="150">
        <f>5200000-2700000</f>
        <v>2500000</v>
      </c>
      <c r="E38" s="18"/>
      <c r="F38" s="165">
        <v>80123557</v>
      </c>
    </row>
    <row r="39" spans="2:6" ht="15.75" thickBot="1" x14ac:dyDescent="0.3">
      <c r="B39" s="270" t="s">
        <v>104</v>
      </c>
      <c r="C39" s="271"/>
      <c r="D39" s="19">
        <f>SUM(D37:D38)</f>
        <v>1005000</v>
      </c>
      <c r="E39" s="20"/>
      <c r="F39" s="172">
        <f>SUM(F37:F38)</f>
        <v>76898557</v>
      </c>
    </row>
    <row r="40" spans="2:6" ht="8.25" customHeight="1" x14ac:dyDescent="0.25">
      <c r="B40" s="168"/>
      <c r="C40" s="169"/>
      <c r="D40" s="20"/>
      <c r="E40" s="20"/>
      <c r="F40" s="170"/>
    </row>
    <row r="41" spans="2:6" x14ac:dyDescent="0.25">
      <c r="B41" s="270" t="s">
        <v>105</v>
      </c>
      <c r="C41" s="271"/>
      <c r="D41" s="20">
        <f>D29+D34+D39</f>
        <v>-16198293</v>
      </c>
      <c r="E41" s="20"/>
      <c r="F41" s="20">
        <f>F29+F34+F39</f>
        <v>47718724</v>
      </c>
    </row>
    <row r="42" spans="2:6" ht="15.75" thickBot="1" x14ac:dyDescent="0.3">
      <c r="B42" s="171" t="s">
        <v>106</v>
      </c>
      <c r="C42" s="15"/>
      <c r="D42" s="150">
        <v>67159364</v>
      </c>
      <c r="E42" s="18"/>
      <c r="F42" s="165">
        <v>19440640</v>
      </c>
    </row>
    <row r="43" spans="2:6" x14ac:dyDescent="0.25">
      <c r="B43" s="272" t="s">
        <v>107</v>
      </c>
      <c r="C43" s="273"/>
      <c r="D43" s="173">
        <f>D41+D42</f>
        <v>50961071</v>
      </c>
      <c r="E43" s="173"/>
      <c r="F43" s="174">
        <f>F41+F42</f>
        <v>67159364</v>
      </c>
    </row>
    <row r="44" spans="2:6" x14ac:dyDescent="0.25">
      <c r="B44" s="269"/>
      <c r="C44" s="269"/>
      <c r="D44" s="269"/>
      <c r="E44" s="196"/>
      <c r="F44" s="197"/>
    </row>
  </sheetData>
  <mergeCells count="10">
    <mergeCell ref="B3:F3"/>
    <mergeCell ref="B6:F6"/>
    <mergeCell ref="B29:C29"/>
    <mergeCell ref="B34:C34"/>
    <mergeCell ref="C5:F5"/>
    <mergeCell ref="B44:D44"/>
    <mergeCell ref="B41:C41"/>
    <mergeCell ref="B43:C43"/>
    <mergeCell ref="B39:C39"/>
    <mergeCell ref="B4:F4"/>
  </mergeCells>
  <phoneticPr fontId="22" type="noConversion"/>
  <conditionalFormatting sqref="D32:D33 D37:D38 D42 F32:F33 F37:F38 F42">
    <cfRule type="expression" dxfId="58" priority="4" stopIfTrue="1">
      <formula>IF(D$43&gt;0,D$43,IF(D$43&lt;0,D$43,IF(D$43=0,D$43,0)))</formula>
    </cfRule>
  </conditionalFormatting>
  <conditionalFormatting sqref="F11:F28 D11:D28">
    <cfRule type="expression" dxfId="57" priority="5" stopIfTrue="1">
      <formula>IF(D$29&gt;0,D$29,IF(D$29&lt;0,D$29,IF(D$29=0,D$29,0)))</formula>
    </cfRule>
  </conditionalFormatting>
  <conditionalFormatting sqref="C27">
    <cfRule type="expression" dxfId="56" priority="6" stopIfTrue="1">
      <formula>IF(D$27&gt;0,D$27,IF(D$27&lt;0,D$27,IF(D$27=0,D$27,0)))</formula>
    </cfRule>
    <cfRule type="expression" dxfId="55" priority="7" stopIfTrue="1">
      <formula>IF(F$27&gt;0,F$27,IF(F$27&lt;0,F$27,IF(F$27=0,F$27,0)))</formula>
    </cfRule>
  </conditionalFormatting>
  <conditionalFormatting sqref="C28">
    <cfRule type="expression" dxfId="54" priority="8" stopIfTrue="1">
      <formula>IF(D$28&gt;0,D$28,IF(D$28&lt;0,D$28,IF(D$28=0,D$28,0)))</formula>
    </cfRule>
    <cfRule type="expression" dxfId="53" priority="9" stopIfTrue="1">
      <formula>IF(F$28&gt;0,F$28,IF(F$28&lt;0,F$28,IF(F$28=0,F$28,0)))</formula>
    </cfRule>
  </conditionalFormatting>
  <conditionalFormatting sqref="B6">
    <cfRule type="notContainsBlanks" dxfId="52" priority="10">
      <formula>LEN(TRIM(B6))&gt;0</formula>
    </cfRule>
  </conditionalFormatting>
  <conditionalFormatting sqref="B3 F3">
    <cfRule type="expression" dxfId="51" priority="2">
      <formula>$B$3="Enter Charter School Name on ""Transmittal Form &amp; School Info"" tab"</formula>
    </cfRule>
  </conditionalFormatting>
  <conditionalFormatting sqref="D11:F43">
    <cfRule type="expression" dxfId="50"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xr:uid="{00000000-0002-0000-0300-000000000000}">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7"/>
    <pageSetUpPr fitToPage="1"/>
  </sheetPr>
  <dimension ref="B1:Q36"/>
  <sheetViews>
    <sheetView tabSelected="1" topLeftCell="A12" zoomScale="80" zoomScaleNormal="80" zoomScaleSheetLayoutView="100" workbookViewId="0">
      <selection activeCell="O35" sqref="O35"/>
    </sheetView>
  </sheetViews>
  <sheetFormatPr defaultColWidth="9.140625" defaultRowHeight="15" x14ac:dyDescent="0.25"/>
  <cols>
    <col min="1" max="1" width="3.7109375" style="75" customWidth="1"/>
    <col min="2" max="2" width="2.5703125" style="75" customWidth="1"/>
    <col min="3" max="3" width="32.7109375" style="75" customWidth="1"/>
    <col min="4" max="4" width="14.28515625" style="75" customWidth="1"/>
    <col min="5" max="5" width="2.7109375" style="75" customWidth="1"/>
    <col min="6" max="9" width="15.7109375" style="75" customWidth="1"/>
    <col min="10" max="10" width="1.85546875" style="75" customWidth="1"/>
    <col min="11" max="13" width="15.7109375" style="75" customWidth="1"/>
    <col min="14" max="14" width="1.7109375" style="75" customWidth="1"/>
    <col min="15" max="15" width="15.7109375" style="75" customWidth="1"/>
    <col min="16" max="16" width="1.85546875" style="75" customWidth="1"/>
    <col min="17" max="17" width="15.7109375" style="75" customWidth="1"/>
    <col min="18" max="16384" width="9.140625" style="75"/>
  </cols>
  <sheetData>
    <row r="1" spans="2:17" ht="9" customHeight="1" x14ac:dyDescent="0.25"/>
    <row r="2" spans="2:17" x14ac:dyDescent="0.25">
      <c r="B2" s="77" t="s">
        <v>108</v>
      </c>
      <c r="C2" s="77"/>
      <c r="D2" s="77"/>
      <c r="E2" s="77"/>
      <c r="H2" s="77" t="s">
        <v>138</v>
      </c>
    </row>
    <row r="3" spans="2:17" ht="18.75" x14ac:dyDescent="0.3">
      <c r="B3" s="175" t="str">
        <f>'Financial Position'!B3</f>
        <v>ACADEMY CHARTER SCHOOL, THE</v>
      </c>
      <c r="C3" s="176"/>
      <c r="D3" s="176"/>
      <c r="E3" s="176"/>
      <c r="F3" s="176"/>
      <c r="G3" s="176"/>
      <c r="H3" s="176"/>
      <c r="I3" s="176"/>
      <c r="J3" s="176"/>
      <c r="K3" s="176"/>
      <c r="L3" s="176"/>
      <c r="M3" s="176"/>
      <c r="N3" s="176"/>
      <c r="O3" s="176"/>
      <c r="P3" s="176"/>
      <c r="Q3" s="177"/>
    </row>
    <row r="4" spans="2:17" ht="18.75" x14ac:dyDescent="0.3">
      <c r="B4" s="274" t="s">
        <v>109</v>
      </c>
      <c r="C4" s="256"/>
      <c r="D4" s="256"/>
      <c r="E4" s="256"/>
      <c r="F4" s="256"/>
      <c r="G4" s="256"/>
      <c r="H4" s="256"/>
      <c r="I4" s="256"/>
      <c r="J4" s="256"/>
      <c r="K4" s="256"/>
      <c r="L4" s="256"/>
      <c r="M4" s="256"/>
      <c r="N4" s="256"/>
      <c r="O4" s="256"/>
      <c r="P4" s="256"/>
      <c r="Q4" s="275"/>
    </row>
    <row r="5" spans="2:17" ht="18.75" x14ac:dyDescent="0.3">
      <c r="B5" s="274" t="str">
        <f>'Financial Position'!B5</f>
        <v>as of June 30, 2022</v>
      </c>
      <c r="C5" s="256"/>
      <c r="D5" s="256"/>
      <c r="E5" s="256"/>
      <c r="F5" s="256"/>
      <c r="G5" s="256"/>
      <c r="H5" s="256"/>
      <c r="I5" s="256"/>
      <c r="J5" s="256"/>
      <c r="K5" s="256"/>
      <c r="L5" s="256"/>
      <c r="M5" s="256"/>
      <c r="N5" s="256"/>
      <c r="O5" s="256"/>
      <c r="P5" s="256"/>
      <c r="Q5" s="275"/>
    </row>
    <row r="6" spans="2:17" x14ac:dyDescent="0.25">
      <c r="B6" s="279" t="str">
        <f>'Financial Position'!B6</f>
        <v/>
      </c>
      <c r="C6" s="262"/>
      <c r="D6" s="262"/>
      <c r="E6" s="262"/>
      <c r="F6" s="262"/>
      <c r="G6" s="262"/>
      <c r="H6" s="262"/>
      <c r="I6" s="262"/>
      <c r="J6" s="262"/>
      <c r="K6" s="262"/>
      <c r="L6" s="262"/>
      <c r="M6" s="262"/>
      <c r="N6" s="262"/>
      <c r="O6" s="262"/>
      <c r="P6" s="262"/>
      <c r="Q6" s="280"/>
    </row>
    <row r="7" spans="2:17" ht="5.25" customHeight="1" thickBot="1" x14ac:dyDescent="0.3">
      <c r="B7" s="153"/>
      <c r="C7" s="133"/>
      <c r="D7" s="133"/>
      <c r="E7" s="133"/>
      <c r="F7" s="284"/>
      <c r="G7" s="284"/>
      <c r="H7" s="284"/>
      <c r="I7" s="284"/>
      <c r="J7" s="284"/>
      <c r="K7" s="284"/>
      <c r="L7" s="284"/>
      <c r="M7" s="284"/>
      <c r="N7" s="284"/>
      <c r="O7" s="284"/>
      <c r="P7" s="284"/>
      <c r="Q7" s="285"/>
    </row>
    <row r="8" spans="2:17" s="198" customFormat="1" ht="15.75" thickBot="1" x14ac:dyDescent="0.25">
      <c r="B8" s="178"/>
      <c r="C8" s="179"/>
      <c r="D8" s="179"/>
      <c r="E8" s="179"/>
      <c r="F8" s="282" t="str">
        <f>'Financial Position'!E8</f>
        <v>2021-22</v>
      </c>
      <c r="G8" s="283"/>
      <c r="H8" s="283"/>
      <c r="I8" s="283"/>
      <c r="J8" s="283"/>
      <c r="K8" s="283"/>
      <c r="L8" s="283"/>
      <c r="M8" s="283"/>
      <c r="N8" s="283"/>
      <c r="O8" s="283"/>
      <c r="P8" s="21"/>
      <c r="Q8" s="180" t="str">
        <f>'Financial Position'!G8</f>
        <v>2020-21</v>
      </c>
    </row>
    <row r="9" spans="2:17" ht="15.75" customHeight="1" thickBot="1" x14ac:dyDescent="0.3">
      <c r="B9" s="181"/>
      <c r="C9" s="15"/>
      <c r="D9" s="15"/>
      <c r="E9" s="15"/>
      <c r="F9" s="281" t="s">
        <v>6</v>
      </c>
      <c r="G9" s="281"/>
      <c r="H9" s="281"/>
      <c r="I9" s="281"/>
      <c r="J9" s="22"/>
      <c r="K9" s="281" t="s">
        <v>110</v>
      </c>
      <c r="L9" s="281"/>
      <c r="M9" s="281"/>
      <c r="N9" s="23"/>
      <c r="O9" s="24"/>
      <c r="P9" s="4"/>
      <c r="Q9" s="158"/>
    </row>
    <row r="10" spans="2:17" ht="30.75" thickBot="1" x14ac:dyDescent="0.3">
      <c r="B10" s="181"/>
      <c r="C10" s="15"/>
      <c r="D10" s="25" t="s">
        <v>16</v>
      </c>
      <c r="E10" s="15"/>
      <c r="F10" s="26" t="s">
        <v>7</v>
      </c>
      <c r="G10" s="26" t="s">
        <v>13</v>
      </c>
      <c r="H10" s="26" t="s">
        <v>111</v>
      </c>
      <c r="I10" s="26" t="s">
        <v>1</v>
      </c>
      <c r="J10" s="27"/>
      <c r="K10" s="28" t="s">
        <v>112</v>
      </c>
      <c r="L10" s="28" t="s">
        <v>113</v>
      </c>
      <c r="M10" s="26" t="s">
        <v>1</v>
      </c>
      <c r="N10" s="27"/>
      <c r="O10" s="28" t="s">
        <v>114</v>
      </c>
      <c r="P10" s="4"/>
      <c r="Q10" s="182"/>
    </row>
    <row r="11" spans="2:17" ht="14.25" customHeight="1" x14ac:dyDescent="0.25">
      <c r="B11" s="183" t="s">
        <v>116</v>
      </c>
      <c r="C11" s="29"/>
      <c r="D11" s="4"/>
      <c r="E11" s="29"/>
      <c r="F11" s="15" t="s">
        <v>115</v>
      </c>
      <c r="G11" s="15" t="s">
        <v>115</v>
      </c>
      <c r="H11" s="15" t="s">
        <v>115</v>
      </c>
      <c r="I11" s="15" t="s">
        <v>115</v>
      </c>
      <c r="J11" s="15"/>
      <c r="K11" s="15" t="s">
        <v>115</v>
      </c>
      <c r="L11" s="15" t="s">
        <v>115</v>
      </c>
      <c r="M11" s="15" t="s">
        <v>115</v>
      </c>
      <c r="N11" s="15"/>
      <c r="O11" s="15" t="s">
        <v>115</v>
      </c>
      <c r="P11" s="4"/>
      <c r="Q11" s="184" t="s">
        <v>115</v>
      </c>
    </row>
    <row r="12" spans="2:17" ht="14.25" customHeight="1" x14ac:dyDescent="0.25">
      <c r="B12" s="183"/>
      <c r="C12" s="29" t="s">
        <v>117</v>
      </c>
      <c r="D12" s="287">
        <v>34.33</v>
      </c>
      <c r="E12" s="30"/>
      <c r="F12" s="151">
        <v>1836750</v>
      </c>
      <c r="G12" s="151">
        <v>163541</v>
      </c>
      <c r="H12" s="151">
        <v>0</v>
      </c>
      <c r="I12" s="18">
        <f>SUM(F12:H12)</f>
        <v>2000291</v>
      </c>
      <c r="J12" s="18"/>
      <c r="K12" s="151">
        <v>0</v>
      </c>
      <c r="L12" s="151">
        <v>2101602</v>
      </c>
      <c r="M12" s="18">
        <f>SUM(K12:L12)</f>
        <v>2101602</v>
      </c>
      <c r="N12" s="18"/>
      <c r="O12" s="18">
        <f>I12+M12</f>
        <v>4101893</v>
      </c>
      <c r="P12" s="10"/>
      <c r="Q12" s="163">
        <v>5657063</v>
      </c>
    </row>
    <row r="13" spans="2:17" x14ac:dyDescent="0.25">
      <c r="B13" s="183"/>
      <c r="C13" s="29" t="s">
        <v>118</v>
      </c>
      <c r="D13" s="287">
        <v>170.51</v>
      </c>
      <c r="E13" s="30"/>
      <c r="F13" s="151">
        <v>13494886</v>
      </c>
      <c r="G13" s="151">
        <v>383355</v>
      </c>
      <c r="H13" s="151">
        <v>0</v>
      </c>
      <c r="I13" s="18">
        <f t="shared" ref="I13:I34" si="0">SUM(F13:H13)</f>
        <v>13878241</v>
      </c>
      <c r="J13" s="18"/>
      <c r="K13" s="151">
        <v>0</v>
      </c>
      <c r="L13" s="151">
        <v>0</v>
      </c>
      <c r="M13" s="18">
        <f t="shared" ref="M13:M34" si="1">SUM(K13:L13)</f>
        <v>0</v>
      </c>
      <c r="N13" s="18"/>
      <c r="O13" s="18">
        <f t="shared" ref="O13:O34" si="2">I13+M13</f>
        <v>13878241</v>
      </c>
      <c r="P13" s="10"/>
      <c r="Q13" s="163">
        <v>11300714</v>
      </c>
    </row>
    <row r="14" spans="2:17" x14ac:dyDescent="0.25">
      <c r="B14" s="183"/>
      <c r="C14" s="29" t="s">
        <v>119</v>
      </c>
      <c r="D14" s="287">
        <v>105.12</v>
      </c>
      <c r="E14" s="30"/>
      <c r="F14" s="151">
        <v>189609</v>
      </c>
      <c r="G14" s="151">
        <v>0</v>
      </c>
      <c r="H14" s="151">
        <v>631869</v>
      </c>
      <c r="I14" s="18">
        <f t="shared" si="0"/>
        <v>821478</v>
      </c>
      <c r="J14" s="18"/>
      <c r="K14" s="151">
        <v>0</v>
      </c>
      <c r="L14" s="151">
        <v>3262953</v>
      </c>
      <c r="M14" s="18">
        <f t="shared" si="1"/>
        <v>3262953</v>
      </c>
      <c r="N14" s="18"/>
      <c r="O14" s="18">
        <f t="shared" si="2"/>
        <v>4084431</v>
      </c>
      <c r="P14" s="10"/>
      <c r="Q14" s="163">
        <v>2996505</v>
      </c>
    </row>
    <row r="15" spans="2:17" x14ac:dyDescent="0.25">
      <c r="B15" s="159"/>
      <c r="C15" s="31" t="s">
        <v>28</v>
      </c>
      <c r="D15" s="288">
        <f>SUM(D12:D14)</f>
        <v>309.95999999999998</v>
      </c>
      <c r="E15" s="29"/>
      <c r="F15" s="18">
        <f>SUM(F12:F14)</f>
        <v>15521245</v>
      </c>
      <c r="G15" s="18">
        <f>SUM(G12:G14)</f>
        <v>546896</v>
      </c>
      <c r="H15" s="18">
        <f>SUM(H12:H14)</f>
        <v>631869</v>
      </c>
      <c r="I15" s="18">
        <f>SUM(I12:I14)</f>
        <v>16700010</v>
      </c>
      <c r="J15" s="18"/>
      <c r="K15" s="18">
        <f>SUM(K12:K14)</f>
        <v>0</v>
      </c>
      <c r="L15" s="18">
        <f>SUM(L12:L14)</f>
        <v>5364555</v>
      </c>
      <c r="M15" s="18">
        <f>SUM(M12:M14)</f>
        <v>5364555</v>
      </c>
      <c r="N15" s="18"/>
      <c r="O15" s="18">
        <f>SUM(O12:O14)</f>
        <v>22064565</v>
      </c>
      <c r="P15" s="18"/>
      <c r="Q15" s="185">
        <f>SUM(Q12:Q14)</f>
        <v>19954282</v>
      </c>
    </row>
    <row r="16" spans="2:17" x14ac:dyDescent="0.25">
      <c r="B16" s="183" t="s">
        <v>22</v>
      </c>
      <c r="C16" s="29"/>
      <c r="D16" s="29"/>
      <c r="E16" s="29"/>
      <c r="F16" s="151">
        <v>3942337</v>
      </c>
      <c r="G16" s="151">
        <v>138909</v>
      </c>
      <c r="H16" s="151">
        <v>160492</v>
      </c>
      <c r="I16" s="18">
        <f t="shared" si="0"/>
        <v>4241738</v>
      </c>
      <c r="J16" s="18"/>
      <c r="K16" s="151">
        <v>0</v>
      </c>
      <c r="L16" s="151">
        <v>608918</v>
      </c>
      <c r="M16" s="18">
        <f t="shared" si="1"/>
        <v>608918</v>
      </c>
      <c r="N16" s="18"/>
      <c r="O16" s="18">
        <f t="shared" si="2"/>
        <v>4850656</v>
      </c>
      <c r="P16" s="10"/>
      <c r="Q16" s="163">
        <v>4253298</v>
      </c>
    </row>
    <row r="17" spans="2:17" x14ac:dyDescent="0.25">
      <c r="B17" s="183" t="s">
        <v>8</v>
      </c>
      <c r="C17" s="29"/>
      <c r="D17" s="29"/>
      <c r="E17" s="29"/>
      <c r="F17" s="151">
        <v>401120</v>
      </c>
      <c r="G17" s="151">
        <v>0</v>
      </c>
      <c r="H17" s="151">
        <v>0</v>
      </c>
      <c r="I17" s="18">
        <f t="shared" si="0"/>
        <v>401120</v>
      </c>
      <c r="J17" s="18"/>
      <c r="K17" s="151">
        <v>0</v>
      </c>
      <c r="L17" s="151">
        <v>58777</v>
      </c>
      <c r="M17" s="18">
        <f t="shared" si="1"/>
        <v>58777</v>
      </c>
      <c r="N17" s="18"/>
      <c r="O17" s="18">
        <f t="shared" si="2"/>
        <v>459897</v>
      </c>
      <c r="P17" s="10"/>
      <c r="Q17" s="163">
        <v>424899</v>
      </c>
    </row>
    <row r="18" spans="2:17" x14ac:dyDescent="0.25">
      <c r="B18" s="186" t="s">
        <v>19</v>
      </c>
      <c r="C18" s="32"/>
      <c r="D18" s="32"/>
      <c r="E18" s="32"/>
      <c r="F18" s="151">
        <v>0</v>
      </c>
      <c r="G18" s="151">
        <v>0</v>
      </c>
      <c r="H18" s="151">
        <v>0</v>
      </c>
      <c r="I18" s="18">
        <f t="shared" si="0"/>
        <v>0</v>
      </c>
      <c r="J18" s="18"/>
      <c r="K18" s="151">
        <v>0</v>
      </c>
      <c r="L18" s="151">
        <f>439707-63653.93</f>
        <v>376053.07</v>
      </c>
      <c r="M18" s="18">
        <f t="shared" si="1"/>
        <v>376053.07</v>
      </c>
      <c r="N18" s="18"/>
      <c r="O18" s="18">
        <f t="shared" si="2"/>
        <v>376053.07</v>
      </c>
      <c r="P18" s="10"/>
      <c r="Q18" s="163">
        <v>503687</v>
      </c>
    </row>
    <row r="19" spans="2:17" x14ac:dyDescent="0.25">
      <c r="B19" s="186" t="s">
        <v>17</v>
      </c>
      <c r="C19" s="32"/>
      <c r="D19" s="32"/>
      <c r="E19" s="32"/>
      <c r="F19" s="151">
        <v>296934.93</v>
      </c>
      <c r="G19" s="151">
        <v>10462.59</v>
      </c>
      <c r="H19" s="151">
        <v>12088.21</v>
      </c>
      <c r="I19" s="18">
        <f t="shared" si="0"/>
        <v>319485.73000000004</v>
      </c>
      <c r="J19" s="18"/>
      <c r="K19" s="151">
        <v>0</v>
      </c>
      <c r="L19" s="151">
        <v>102628.6</v>
      </c>
      <c r="M19" s="18">
        <f t="shared" si="1"/>
        <v>102628.6</v>
      </c>
      <c r="N19" s="18"/>
      <c r="O19" s="18">
        <f t="shared" si="2"/>
        <v>422114.33000000007</v>
      </c>
      <c r="P19" s="10"/>
      <c r="Q19" s="163">
        <v>242178</v>
      </c>
    </row>
    <row r="20" spans="2:17" x14ac:dyDescent="0.25">
      <c r="B20" s="186" t="s">
        <v>18</v>
      </c>
      <c r="C20" s="32"/>
      <c r="D20" s="32"/>
      <c r="E20" s="32"/>
      <c r="F20" s="151">
        <v>0</v>
      </c>
      <c r="G20" s="151">
        <v>0</v>
      </c>
      <c r="H20" s="151">
        <v>0</v>
      </c>
      <c r="I20" s="18">
        <f t="shared" si="0"/>
        <v>0</v>
      </c>
      <c r="J20" s="18"/>
      <c r="K20" s="151">
        <v>0</v>
      </c>
      <c r="L20" s="151">
        <v>63653.93</v>
      </c>
      <c r="M20" s="18">
        <f t="shared" si="1"/>
        <v>63653.93</v>
      </c>
      <c r="N20" s="18"/>
      <c r="O20" s="18">
        <f t="shared" si="2"/>
        <v>63653.93</v>
      </c>
      <c r="P20" s="10"/>
      <c r="Q20" s="163">
        <v>77000</v>
      </c>
    </row>
    <row r="21" spans="2:17" x14ac:dyDescent="0.25">
      <c r="B21" s="186" t="s">
        <v>29</v>
      </c>
      <c r="C21" s="32"/>
      <c r="D21" s="32"/>
      <c r="E21" s="32"/>
      <c r="F21" s="151">
        <f>623243-296934.93</f>
        <v>326308.07</v>
      </c>
      <c r="G21" s="151">
        <f>14826-10462.59</f>
        <v>4363.41</v>
      </c>
      <c r="H21" s="151">
        <f>44272-12088.21</f>
        <v>32183.79</v>
      </c>
      <c r="I21" s="18">
        <f t="shared" si="0"/>
        <v>362855.26999999996</v>
      </c>
      <c r="J21" s="18"/>
      <c r="K21" s="151">
        <v>0</v>
      </c>
      <c r="L21" s="151">
        <f>145430-102628.6</f>
        <v>42801.399999999994</v>
      </c>
      <c r="M21" s="18">
        <f t="shared" si="1"/>
        <v>42801.399999999994</v>
      </c>
      <c r="N21" s="18"/>
      <c r="O21" s="18">
        <f t="shared" si="2"/>
        <v>405656.66999999993</v>
      </c>
      <c r="P21" s="10"/>
      <c r="Q21" s="163">
        <v>817878</v>
      </c>
    </row>
    <row r="22" spans="2:17" x14ac:dyDescent="0.25">
      <c r="B22" s="186" t="s">
        <v>156</v>
      </c>
      <c r="C22" s="32"/>
      <c r="D22" s="32"/>
      <c r="E22" s="32"/>
      <c r="F22" s="151">
        <f>3016452+8573</f>
        <v>3025025</v>
      </c>
      <c r="G22" s="151">
        <f>106286+302</f>
        <v>106588</v>
      </c>
      <c r="H22" s="151">
        <f>122800+349</f>
        <v>123149</v>
      </c>
      <c r="I22" s="18">
        <f t="shared" si="0"/>
        <v>3254762</v>
      </c>
      <c r="J22" s="18"/>
      <c r="K22" s="151">
        <v>0</v>
      </c>
      <c r="L22" s="151">
        <f>1042565+2963</f>
        <v>1045528</v>
      </c>
      <c r="M22" s="18">
        <f t="shared" si="1"/>
        <v>1045528</v>
      </c>
      <c r="N22" s="18"/>
      <c r="O22" s="18">
        <f t="shared" si="2"/>
        <v>4300290</v>
      </c>
      <c r="P22" s="10"/>
      <c r="Q22" s="163">
        <v>3813981</v>
      </c>
    </row>
    <row r="23" spans="2:17" x14ac:dyDescent="0.25">
      <c r="B23" s="186" t="s">
        <v>12</v>
      </c>
      <c r="C23" s="32"/>
      <c r="D23" s="32"/>
      <c r="E23" s="32"/>
      <c r="F23" s="151">
        <v>1234970</v>
      </c>
      <c r="G23" s="151">
        <v>53714</v>
      </c>
      <c r="H23" s="151">
        <v>339755</v>
      </c>
      <c r="I23" s="18">
        <f t="shared" si="0"/>
        <v>1628439</v>
      </c>
      <c r="J23" s="18"/>
      <c r="K23" s="151">
        <v>0</v>
      </c>
      <c r="L23" s="151">
        <v>13168</v>
      </c>
      <c r="M23" s="18">
        <f t="shared" si="1"/>
        <v>13168</v>
      </c>
      <c r="N23" s="18"/>
      <c r="O23" s="18">
        <f t="shared" si="2"/>
        <v>1641607</v>
      </c>
      <c r="P23" s="10"/>
      <c r="Q23" s="163">
        <v>962827</v>
      </c>
    </row>
    <row r="24" spans="2:17" x14ac:dyDescent="0.25">
      <c r="B24" s="186" t="s">
        <v>10</v>
      </c>
      <c r="C24" s="32"/>
      <c r="D24" s="32"/>
      <c r="E24" s="32"/>
      <c r="F24" s="151">
        <v>172181</v>
      </c>
      <c r="G24" s="151">
        <v>6067</v>
      </c>
      <c r="H24" s="151">
        <v>7009</v>
      </c>
      <c r="I24" s="18">
        <f t="shared" si="0"/>
        <v>185257</v>
      </c>
      <c r="J24" s="18"/>
      <c r="K24" s="151">
        <v>0</v>
      </c>
      <c r="L24" s="151">
        <v>66662</v>
      </c>
      <c r="M24" s="18">
        <f t="shared" si="1"/>
        <v>66662</v>
      </c>
      <c r="N24" s="18"/>
      <c r="O24" s="18">
        <f t="shared" si="2"/>
        <v>251919</v>
      </c>
      <c r="P24" s="10"/>
      <c r="Q24" s="163">
        <v>827563</v>
      </c>
    </row>
    <row r="25" spans="2:17" x14ac:dyDescent="0.25">
      <c r="B25" s="186" t="s">
        <v>11</v>
      </c>
      <c r="C25" s="32"/>
      <c r="D25" s="32"/>
      <c r="E25" s="32"/>
      <c r="F25" s="151">
        <v>244981</v>
      </c>
      <c r="G25" s="151">
        <v>10616</v>
      </c>
      <c r="H25" s="151">
        <v>68582</v>
      </c>
      <c r="I25" s="18">
        <f t="shared" si="0"/>
        <v>324179</v>
      </c>
      <c r="J25" s="18"/>
      <c r="K25" s="151">
        <v>0</v>
      </c>
      <c r="L25" s="151">
        <f>104136</f>
        <v>104136</v>
      </c>
      <c r="M25" s="18">
        <f t="shared" si="1"/>
        <v>104136</v>
      </c>
      <c r="N25" s="18"/>
      <c r="O25" s="18">
        <f t="shared" si="2"/>
        <v>428315</v>
      </c>
      <c r="P25" s="10"/>
      <c r="Q25" s="163">
        <v>346787</v>
      </c>
    </row>
    <row r="26" spans="2:17" x14ac:dyDescent="0.25">
      <c r="B26" s="186" t="s">
        <v>25</v>
      </c>
      <c r="C26" s="32"/>
      <c r="D26" s="32"/>
      <c r="E26" s="32"/>
      <c r="F26" s="151">
        <v>721903</v>
      </c>
      <c r="G26" s="151">
        <v>25436</v>
      </c>
      <c r="H26" s="151">
        <v>0</v>
      </c>
      <c r="I26" s="18">
        <f t="shared" si="0"/>
        <v>747339</v>
      </c>
      <c r="J26" s="18"/>
      <c r="K26" s="151">
        <v>0</v>
      </c>
      <c r="L26" s="151">
        <v>0</v>
      </c>
      <c r="M26" s="18">
        <f t="shared" si="1"/>
        <v>0</v>
      </c>
      <c r="N26" s="18"/>
      <c r="O26" s="18">
        <f t="shared" si="2"/>
        <v>747339</v>
      </c>
      <c r="P26" s="10"/>
      <c r="Q26" s="163">
        <v>629391</v>
      </c>
    </row>
    <row r="27" spans="2:17" x14ac:dyDescent="0.25">
      <c r="B27" s="186" t="s">
        <v>20</v>
      </c>
      <c r="C27" s="32"/>
      <c r="D27" s="32"/>
      <c r="E27" s="32"/>
      <c r="F27" s="151">
        <v>740720</v>
      </c>
      <c r="G27" s="151">
        <v>27283</v>
      </c>
      <c r="H27" s="151">
        <v>50430</v>
      </c>
      <c r="I27" s="18">
        <f t="shared" si="0"/>
        <v>818433</v>
      </c>
      <c r="J27" s="18"/>
      <c r="K27" s="151">
        <v>0</v>
      </c>
      <c r="L27" s="151">
        <v>150884</v>
      </c>
      <c r="M27" s="18">
        <f t="shared" si="1"/>
        <v>150884</v>
      </c>
      <c r="N27" s="18"/>
      <c r="O27" s="18">
        <f t="shared" si="2"/>
        <v>969317</v>
      </c>
      <c r="P27" s="10"/>
      <c r="Q27" s="163">
        <v>1114620</v>
      </c>
    </row>
    <row r="28" spans="2:17" x14ac:dyDescent="0.25">
      <c r="B28" s="186" t="s">
        <v>23</v>
      </c>
      <c r="C28" s="32"/>
      <c r="D28" s="32"/>
      <c r="E28" s="32"/>
      <c r="F28" s="151">
        <v>499900</v>
      </c>
      <c r="G28" s="151">
        <v>17614</v>
      </c>
      <c r="H28" s="151">
        <v>0</v>
      </c>
      <c r="I28" s="18">
        <f t="shared" si="0"/>
        <v>517514</v>
      </c>
      <c r="J28" s="18"/>
      <c r="K28" s="151">
        <v>0</v>
      </c>
      <c r="L28" s="151">
        <v>114913</v>
      </c>
      <c r="M28" s="18">
        <f t="shared" si="1"/>
        <v>114913</v>
      </c>
      <c r="N28" s="18"/>
      <c r="O28" s="18">
        <f t="shared" si="2"/>
        <v>632427</v>
      </c>
      <c r="P28" s="10"/>
      <c r="Q28" s="163">
        <v>413727</v>
      </c>
    </row>
    <row r="29" spans="2:17" x14ac:dyDescent="0.25">
      <c r="B29" s="186" t="s">
        <v>24</v>
      </c>
      <c r="C29" s="32"/>
      <c r="D29" s="32"/>
      <c r="E29" s="32"/>
      <c r="F29" s="151">
        <v>171567</v>
      </c>
      <c r="G29" s="151">
        <v>6045</v>
      </c>
      <c r="H29" s="151">
        <v>0</v>
      </c>
      <c r="I29" s="18">
        <f t="shared" si="0"/>
        <v>177612</v>
      </c>
      <c r="J29" s="18"/>
      <c r="K29" s="151">
        <v>0</v>
      </c>
      <c r="L29" s="151">
        <v>0</v>
      </c>
      <c r="M29" s="18">
        <f t="shared" si="1"/>
        <v>0</v>
      </c>
      <c r="N29" s="18"/>
      <c r="O29" s="18">
        <f t="shared" si="2"/>
        <v>177612</v>
      </c>
      <c r="P29" s="10"/>
      <c r="Q29" s="163">
        <v>154108</v>
      </c>
    </row>
    <row r="30" spans="2:17" x14ac:dyDescent="0.25">
      <c r="B30" s="186" t="s">
        <v>9</v>
      </c>
      <c r="C30" s="32"/>
      <c r="D30" s="32"/>
      <c r="E30" s="32"/>
      <c r="F30" s="151">
        <v>298874</v>
      </c>
      <c r="G30" s="151">
        <v>10531</v>
      </c>
      <c r="H30" s="151">
        <v>11074</v>
      </c>
      <c r="I30" s="18">
        <f t="shared" si="0"/>
        <v>320479</v>
      </c>
      <c r="J30" s="18"/>
      <c r="K30" s="151">
        <v>0</v>
      </c>
      <c r="L30" s="151">
        <v>97310</v>
      </c>
      <c r="M30" s="18">
        <f t="shared" si="1"/>
        <v>97310</v>
      </c>
      <c r="N30" s="18"/>
      <c r="O30" s="18">
        <f t="shared" si="2"/>
        <v>417789</v>
      </c>
      <c r="P30" s="10"/>
      <c r="Q30" s="163">
        <v>413590</v>
      </c>
    </row>
    <row r="31" spans="2:17" x14ac:dyDescent="0.25">
      <c r="B31" s="186" t="s">
        <v>26</v>
      </c>
      <c r="C31" s="32"/>
      <c r="D31" s="32"/>
      <c r="E31" s="32"/>
      <c r="F31" s="151">
        <v>145728</v>
      </c>
      <c r="G31" s="151">
        <v>0</v>
      </c>
      <c r="H31" s="151">
        <v>1081298</v>
      </c>
      <c r="I31" s="18">
        <f t="shared" si="0"/>
        <v>1227026</v>
      </c>
      <c r="J31" s="18"/>
      <c r="K31" s="151">
        <v>0</v>
      </c>
      <c r="L31" s="151">
        <v>64929</v>
      </c>
      <c r="M31" s="18">
        <f t="shared" si="1"/>
        <v>64929</v>
      </c>
      <c r="N31" s="18"/>
      <c r="O31" s="18">
        <f t="shared" si="2"/>
        <v>1291955</v>
      </c>
      <c r="P31" s="10"/>
      <c r="Q31" s="163">
        <v>788207</v>
      </c>
    </row>
    <row r="32" spans="2:17" x14ac:dyDescent="0.25">
      <c r="B32" s="186" t="s">
        <v>27</v>
      </c>
      <c r="C32" s="32"/>
      <c r="D32" s="32"/>
      <c r="E32" s="32"/>
      <c r="F32" s="151">
        <v>1271038</v>
      </c>
      <c r="G32" s="151">
        <v>58585</v>
      </c>
      <c r="H32" s="151">
        <v>0</v>
      </c>
      <c r="I32" s="18">
        <f t="shared" si="0"/>
        <v>1329623</v>
      </c>
      <c r="J32" s="18"/>
      <c r="K32" s="151">
        <v>0</v>
      </c>
      <c r="L32" s="151">
        <v>0</v>
      </c>
      <c r="M32" s="18">
        <f t="shared" si="1"/>
        <v>0</v>
      </c>
      <c r="N32" s="18"/>
      <c r="O32" s="18">
        <f t="shared" si="2"/>
        <v>1329623</v>
      </c>
      <c r="P32" s="10"/>
      <c r="Q32" s="163">
        <v>374685</v>
      </c>
    </row>
    <row r="33" spans="2:17" x14ac:dyDescent="0.25">
      <c r="B33" s="186" t="s">
        <v>15</v>
      </c>
      <c r="C33" s="32"/>
      <c r="D33" s="32"/>
      <c r="E33" s="32"/>
      <c r="F33" s="151">
        <v>128013</v>
      </c>
      <c r="G33" s="151">
        <v>2477</v>
      </c>
      <c r="H33" s="151">
        <v>2862</v>
      </c>
      <c r="I33" s="18">
        <f t="shared" si="0"/>
        <v>133352</v>
      </c>
      <c r="J33" s="18"/>
      <c r="K33" s="151">
        <v>0</v>
      </c>
      <c r="L33" s="151">
        <v>29096</v>
      </c>
      <c r="M33" s="18">
        <f t="shared" si="1"/>
        <v>29096</v>
      </c>
      <c r="N33" s="18"/>
      <c r="O33" s="18">
        <f t="shared" si="2"/>
        <v>162448</v>
      </c>
      <c r="P33" s="10"/>
      <c r="Q33" s="163">
        <v>152834</v>
      </c>
    </row>
    <row r="34" spans="2:17" x14ac:dyDescent="0.25">
      <c r="B34" s="186" t="s">
        <v>21</v>
      </c>
      <c r="C34" s="32"/>
      <c r="D34" s="32"/>
      <c r="E34" s="32"/>
      <c r="F34" s="151">
        <f>1952425+56771</f>
        <v>2009196</v>
      </c>
      <c r="G34" s="151">
        <f>68794+2000</f>
        <v>70794</v>
      </c>
      <c r="H34" s="151">
        <f>79483+2311</f>
        <v>81794</v>
      </c>
      <c r="I34" s="18">
        <f t="shared" si="0"/>
        <v>2161784</v>
      </c>
      <c r="J34" s="18"/>
      <c r="K34" s="151">
        <v>0</v>
      </c>
      <c r="L34" s="151">
        <f>674811+19622</f>
        <v>694433</v>
      </c>
      <c r="M34" s="18">
        <f t="shared" si="1"/>
        <v>694433</v>
      </c>
      <c r="N34" s="18"/>
      <c r="O34" s="18">
        <f t="shared" si="2"/>
        <v>2856217</v>
      </c>
      <c r="P34" s="10"/>
      <c r="Q34" s="163">
        <v>3829327</v>
      </c>
    </row>
    <row r="35" spans="2:17" ht="17.25" x14ac:dyDescent="0.25">
      <c r="B35" s="186" t="s">
        <v>4</v>
      </c>
      <c r="C35" s="32"/>
      <c r="D35" s="32"/>
      <c r="E35" s="32"/>
      <c r="F35" s="187">
        <v>121000</v>
      </c>
      <c r="G35" s="187">
        <v>2323</v>
      </c>
      <c r="H35" s="187">
        <v>429</v>
      </c>
      <c r="I35" s="188">
        <f>SUM(F35:H35)</f>
        <v>123752</v>
      </c>
      <c r="J35" s="18"/>
      <c r="K35" s="187">
        <v>0</v>
      </c>
      <c r="L35" s="187">
        <v>14458</v>
      </c>
      <c r="M35" s="188">
        <f>SUM(K35:L35)</f>
        <v>14458</v>
      </c>
      <c r="N35" s="188"/>
      <c r="O35" s="188">
        <f>I35+M35</f>
        <v>138210</v>
      </c>
      <c r="P35" s="10"/>
      <c r="Q35" s="189">
        <v>330641</v>
      </c>
    </row>
    <row r="36" spans="2:17" x14ac:dyDescent="0.25">
      <c r="B36" s="190" t="s">
        <v>0</v>
      </c>
      <c r="C36" s="191"/>
      <c r="D36" s="191"/>
      <c r="E36" s="191"/>
      <c r="F36" s="173">
        <f>SUM(F15:F35)</f>
        <v>31273041</v>
      </c>
      <c r="G36" s="173">
        <f>SUM(G15:G35)</f>
        <v>1098704</v>
      </c>
      <c r="H36" s="173">
        <f>SUM(H15:H35)</f>
        <v>2603015</v>
      </c>
      <c r="I36" s="173">
        <f>SUM(I15:I35)</f>
        <v>34974760</v>
      </c>
      <c r="J36" s="191"/>
      <c r="K36" s="173">
        <f>SUM(K15:K35)</f>
        <v>0</v>
      </c>
      <c r="L36" s="173">
        <f>SUM(L15:L35)</f>
        <v>9012904</v>
      </c>
      <c r="M36" s="173">
        <f>SUM(M15:M35)</f>
        <v>9012904</v>
      </c>
      <c r="N36" s="173"/>
      <c r="O36" s="173">
        <f>SUM(O15:O35)</f>
        <v>43987664</v>
      </c>
      <c r="P36" s="192"/>
      <c r="Q36" s="174">
        <f>SUM(Q15:Q35)</f>
        <v>40425510</v>
      </c>
    </row>
  </sheetData>
  <mergeCells count="7">
    <mergeCell ref="F9:I9"/>
    <mergeCell ref="K9:M9"/>
    <mergeCell ref="B4:Q4"/>
    <mergeCell ref="F8:O8"/>
    <mergeCell ref="B5:Q5"/>
    <mergeCell ref="F7:Q7"/>
    <mergeCell ref="B6:Q6"/>
  </mergeCells>
  <phoneticPr fontId="22" type="noConversion"/>
  <conditionalFormatting sqref="D12:D14">
    <cfRule type="cellIs" dxfId="49" priority="3" stopIfTrue="1" operator="greaterThan">
      <formula>0</formula>
    </cfRule>
  </conditionalFormatting>
  <conditionalFormatting sqref="Q12:Q14 Q16:Q35 F12:H14 K12:L14 F16:H35 K16:L35">
    <cfRule type="expression" dxfId="48" priority="4" stopIfTrue="1">
      <formula>IF(F$36&gt;0,F$36,IF(F$36&lt;0,F$36,IF(F$36=0,F$36,0)))</formula>
    </cfRule>
  </conditionalFormatting>
  <conditionalFormatting sqref="B6">
    <cfRule type="notContainsBlanks" dxfId="47" priority="5">
      <formula>LEN(TRIM(B6))&gt;0</formula>
    </cfRule>
  </conditionalFormatting>
  <conditionalFormatting sqref="B3:Q3">
    <cfRule type="expression" dxfId="46" priority="1">
      <formula>$B$3="Enter Charter School Name on ""Transmittal Form &amp; School Info"" tab"</formula>
    </cfRule>
  </conditionalFormatting>
  <dataValidations count="1">
    <dataValidation type="custom" errorStyle="information" allowBlank="1" showInputMessage="1" showErrorMessage="1" errorTitle="No. of Positions Required" error="Please enter number of positions in cells D12, D13 and D14." sqref="K12:L14 F12:H14" xr:uid="{00000000-0002-0000-0400-000000000000}">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sheetPr>
  <dimension ref="A2:R270"/>
  <sheetViews>
    <sheetView workbookViewId="0"/>
  </sheetViews>
  <sheetFormatPr defaultRowHeight="12.75" x14ac:dyDescent="0.2"/>
  <cols>
    <col min="1" max="1" width="6.5703125" customWidth="1"/>
    <col min="2" max="2" width="26.28515625" customWidth="1"/>
    <col min="3" max="3" width="56.140625" bestFit="1" customWidth="1"/>
    <col min="4" max="4" width="12.140625" customWidth="1"/>
    <col min="5" max="5" width="8.7109375" customWidth="1"/>
    <col min="6" max="6" width="65.140625" bestFit="1" customWidth="1"/>
    <col min="8" max="8" width="11.85546875" customWidth="1"/>
    <col min="20" max="20" width="12.28515625" customWidth="1"/>
  </cols>
  <sheetData>
    <row r="2" spans="1:8" ht="15" x14ac:dyDescent="0.25">
      <c r="C2" s="41" t="s">
        <v>271</v>
      </c>
      <c r="E2" s="43" t="s">
        <v>155</v>
      </c>
      <c r="F2" s="43"/>
    </row>
    <row r="3" spans="1:8" ht="15" x14ac:dyDescent="0.25">
      <c r="B3" s="5" t="s">
        <v>146</v>
      </c>
      <c r="C3" s="38">
        <f ca="1">TODAY()</f>
        <v>44866</v>
      </c>
      <c r="D3" s="35"/>
      <c r="E3" s="45">
        <v>1</v>
      </c>
      <c r="F3" s="42" t="s">
        <v>152</v>
      </c>
    </row>
    <row r="4" spans="1:8" ht="15" x14ac:dyDescent="0.25">
      <c r="B4" s="35"/>
      <c r="C4" s="35"/>
      <c r="D4" s="35"/>
      <c r="E4" s="45">
        <v>2</v>
      </c>
      <c r="F4" s="42" t="s">
        <v>153</v>
      </c>
    </row>
    <row r="5" spans="1:8" ht="15" x14ac:dyDescent="0.25">
      <c r="B5" s="37"/>
      <c r="C5" s="47" t="s">
        <v>272</v>
      </c>
      <c r="D5" s="35"/>
      <c r="E5" s="45">
        <v>3</v>
      </c>
      <c r="F5" s="42" t="s">
        <v>154</v>
      </c>
    </row>
    <row r="6" spans="1:8" ht="15" x14ac:dyDescent="0.25">
      <c r="B6" s="6" t="s">
        <v>143</v>
      </c>
      <c r="C6" s="46">
        <v>2022</v>
      </c>
      <c r="E6" s="45">
        <v>4</v>
      </c>
      <c r="F6" s="42" t="str">
        <f>IF(AND(x_AuditYr=1,x_PriorYr=1),F5,IF(x_AuditYr=1,F3,IF(x_PriorYr=1,F4,"")))</f>
        <v/>
      </c>
    </row>
    <row r="7" spans="1:8" ht="15" x14ac:dyDescent="0.25">
      <c r="B7" s="6" t="s">
        <v>144</v>
      </c>
      <c r="C7" s="39">
        <f>AuditYr-1</f>
        <v>2021</v>
      </c>
    </row>
    <row r="8" spans="1:8" ht="15" x14ac:dyDescent="0.25">
      <c r="B8" s="6" t="s">
        <v>149</v>
      </c>
      <c r="C8" s="40">
        <f>IF('Transmittal Form &amp; School Info'!E15=B13,1,2)</f>
        <v>2</v>
      </c>
      <c r="E8" s="43"/>
      <c r="F8" s="43" t="s">
        <v>314</v>
      </c>
      <c r="H8" s="69" t="s">
        <v>349</v>
      </c>
    </row>
    <row r="9" spans="1:8" ht="15" x14ac:dyDescent="0.25">
      <c r="B9" s="5" t="s">
        <v>151</v>
      </c>
      <c r="C9" s="36">
        <f>IF('Transmittal Form &amp; School Info'!E16=C13,1,2)</f>
        <v>2</v>
      </c>
      <c r="E9" s="57">
        <f>INDEX(Table2[Number],MATCH(SchoolName,Table2[SCHOOLS],0))</f>
        <v>1</v>
      </c>
      <c r="F9" s="58" t="str">
        <f>SchoolName</f>
        <v>Academy Charter School, The</v>
      </c>
      <c r="H9" s="70" t="str">
        <f>INDEX(Table2[BS&amp;CF],MATCH(E9,Table2[Number],0))</f>
        <v>Yes</v>
      </c>
    </row>
    <row r="10" spans="1:8" ht="15" x14ac:dyDescent="0.25">
      <c r="B10" s="37"/>
      <c r="C10" s="44"/>
      <c r="E10" s="57">
        <f>INDEX(Table2[[#All],[MergeID]],MATCH(F9,Table2[[#All],[SCHOOLS]],0))</f>
        <v>521</v>
      </c>
      <c r="F10" s="56" t="s">
        <v>433</v>
      </c>
    </row>
    <row r="11" spans="1:8" ht="15" x14ac:dyDescent="0.25">
      <c r="D11" s="35"/>
      <c r="E11" s="58" t="b">
        <f>F9=F15</f>
        <v>1</v>
      </c>
      <c r="F11" s="56" t="s">
        <v>313</v>
      </c>
    </row>
    <row r="12" spans="1:8" ht="15" x14ac:dyDescent="0.25">
      <c r="B12" s="5" t="s">
        <v>142</v>
      </c>
      <c r="C12" s="5" t="s">
        <v>145</v>
      </c>
      <c r="D12" s="35"/>
    </row>
    <row r="13" spans="1:8" ht="15" x14ac:dyDescent="0.25">
      <c r="A13">
        <v>1</v>
      </c>
      <c r="B13" s="36" t="s">
        <v>271</v>
      </c>
      <c r="C13" s="36" t="s">
        <v>271</v>
      </c>
      <c r="D13" s="35"/>
      <c r="E13" s="43"/>
      <c r="F13" s="43" t="s">
        <v>312</v>
      </c>
    </row>
    <row r="14" spans="1:8" ht="15" x14ac:dyDescent="0.25">
      <c r="A14">
        <v>2</v>
      </c>
      <c r="B14" s="36" t="str">
        <f>"Planning Year + "&amp;B15</f>
        <v>Planning Year + 2021-22</v>
      </c>
      <c r="C14" s="36" t="str">
        <f>"Planning Year + "&amp;C15</f>
        <v>Planning Year + 2020-21</v>
      </c>
      <c r="D14" s="35"/>
      <c r="E14" s="56" t="s">
        <v>340</v>
      </c>
      <c r="F14" s="42" t="str">
        <f>INDEX(Table1[[#All],[EdCorp_SurvivingSchool]],MATCH(E10,Table1[[#All],[MergeID]],0))</f>
        <v>Academy Charter School, The (Combined)</v>
      </c>
    </row>
    <row r="15" spans="1:8" ht="15" x14ac:dyDescent="0.25">
      <c r="A15">
        <v>3</v>
      </c>
      <c r="B15" s="36" t="str">
        <f>PriorYr&amp;"-"&amp;RIGHT(AuditYr,2)</f>
        <v>2021-22</v>
      </c>
      <c r="C15" s="36" t="str">
        <f>PriorYr-1&amp;"-"&amp;RIGHT(PriorYr,2)</f>
        <v>2020-21</v>
      </c>
      <c r="D15" s="35"/>
      <c r="E15" s="56" t="s">
        <v>339</v>
      </c>
      <c r="F15" s="42" t="str">
        <f>INDEX(Table2[SCHOOLS],MATCH(F14,Table2[MergeName],0))</f>
        <v>Academy Charter School, The</v>
      </c>
    </row>
    <row r="16" spans="1:8" ht="15" x14ac:dyDescent="0.25">
      <c r="A16">
        <v>4</v>
      </c>
      <c r="B16" s="36" t="str">
        <f>AuditYr&amp;"-"&amp;RIGHT(AuditYr+1,2)</f>
        <v>2022-23</v>
      </c>
      <c r="C16" s="36" t="str">
        <f>"Planning Year + "&amp;C17</f>
        <v>Planning Year + 2020-21</v>
      </c>
      <c r="D16" s="35"/>
    </row>
    <row r="17" spans="1:18" ht="15" x14ac:dyDescent="0.25">
      <c r="A17">
        <v>5</v>
      </c>
      <c r="B17" s="36" t="str">
        <f>AuditYr+1&amp;"-"&amp;RIGHT(AuditYr+2,2)</f>
        <v>2023-24</v>
      </c>
      <c r="C17" s="36" t="str">
        <f>PriorYr-1&amp;"-"&amp;RIGHT(PriorYr,2)</f>
        <v>2020-21</v>
      </c>
      <c r="D17" s="35"/>
      <c r="E17" s="60"/>
      <c r="F17" s="60" t="s">
        <v>341</v>
      </c>
    </row>
    <row r="18" spans="1:18" ht="15" x14ac:dyDescent="0.25">
      <c r="A18">
        <v>6</v>
      </c>
      <c r="B18" s="36" t="str">
        <f>AuditYr+2&amp;"-"&amp;RIGHT(AuditYr+3,2)</f>
        <v>2024-25</v>
      </c>
      <c r="D18" s="35"/>
      <c r="E18" s="56" t="s">
        <v>345</v>
      </c>
      <c r="F18" s="64" t="str">
        <f>"Please enter balance sheet data for the Ed Corp
"&amp;F14&amp;"
only on this template.
The balance sheet should include data for
all Charter schools operated by the Ed Corp."</f>
        <v>Please enter balance sheet data for the Ed Corp
Academy Charter School, The (Combined)
only on this template.
The balance sheet should include data for
all Charter schools operated by the Ed Corp.</v>
      </c>
      <c r="G18" s="62"/>
      <c r="H18" s="62"/>
      <c r="I18" s="62"/>
      <c r="J18" s="62"/>
      <c r="K18" s="62"/>
      <c r="L18" s="62"/>
      <c r="M18" s="62"/>
      <c r="N18" s="62"/>
      <c r="O18" s="62"/>
      <c r="P18" s="62"/>
      <c r="Q18" s="62"/>
      <c r="R18" s="68"/>
    </row>
    <row r="19" spans="1:18" ht="15" x14ac:dyDescent="0.25">
      <c r="A19">
        <v>7</v>
      </c>
      <c r="B19" s="36" t="str">
        <f>AuditYr+3&amp;"-"&amp;RIGHT(AuditYr+4,2)</f>
        <v>2025-26</v>
      </c>
      <c r="C19" s="35"/>
      <c r="D19" s="35"/>
      <c r="E19" s="56" t="s">
        <v>346</v>
      </c>
      <c r="F19" s="64" t="str">
        <f>"DO NOT ENTER BALANCE SHEET DATA ON THIS TEMPLATE
Balance sheet data should for the Ed Corp:
"&amp;F14&amp;"
should be entered on the template for
"&amp;F15&amp;"."</f>
        <v>DO NOT ENTER BALANCE SHEET DATA ON THIS TEMPLATE
Balance sheet data should for the Ed Corp:
Academy Charter School, The (Combined)
should be entered on the template for
Academy Charter School, The.</v>
      </c>
      <c r="G19" s="62"/>
      <c r="H19" s="62"/>
      <c r="I19" s="62"/>
      <c r="J19" s="62"/>
      <c r="K19" s="62"/>
      <c r="L19" s="62"/>
      <c r="M19" s="62"/>
      <c r="N19" s="62"/>
      <c r="O19" s="62"/>
      <c r="P19" s="62"/>
      <c r="Q19" s="62"/>
      <c r="R19" s="68"/>
    </row>
    <row r="20" spans="1:18" ht="15" x14ac:dyDescent="0.25">
      <c r="A20">
        <v>8</v>
      </c>
      <c r="B20" s="36" t="str">
        <f>AuditYr+4&amp;"-"&amp;RIGHT(AuditYr+5,2)</f>
        <v>2026-27</v>
      </c>
      <c r="C20" s="35"/>
      <c r="E20" s="56" t="s">
        <v>347</v>
      </c>
      <c r="F20" s="64" t="str">
        <f>"Please enter cash flow data for the Ed Corp
"&amp;F14&amp;"
only on this template.
The cash flow should include data for
all Charter schools operated by the Ed Corp."</f>
        <v>Please enter cash flow data for the Ed Corp
Academy Charter School, The (Combined)
only on this template.
The cash flow should include data for
all Charter schools operated by the Ed Corp.</v>
      </c>
      <c r="G20" s="62"/>
      <c r="H20" s="62"/>
      <c r="I20" s="62"/>
      <c r="J20" s="62"/>
      <c r="K20" s="62"/>
      <c r="L20" s="62"/>
      <c r="M20" s="62"/>
      <c r="N20" s="62"/>
      <c r="O20" s="62"/>
      <c r="P20" s="62"/>
      <c r="Q20" s="62"/>
      <c r="R20" s="68"/>
    </row>
    <row r="21" spans="1:18" x14ac:dyDescent="0.2">
      <c r="E21" s="56" t="s">
        <v>348</v>
      </c>
      <c r="F21" s="64" t="str">
        <f>"DO NOT ENTER CASH FLOW DATA ON THIS TEMPLATE
Cash flow data should for the Ed Corp:
"&amp;F14&amp;"
should be entered on the template for
"&amp;F15&amp;"."</f>
        <v>DO NOT ENTER CASH FLOW DATA ON THIS TEMPLATE
Cash flow data should for the Ed Corp:
Academy Charter School, The (Combined)
should be entered on the template for
Academy Charter School, The.</v>
      </c>
      <c r="G21" s="62"/>
      <c r="H21" s="62"/>
      <c r="I21" s="62"/>
      <c r="J21" s="62"/>
      <c r="K21" s="62"/>
      <c r="L21" s="62"/>
      <c r="M21" s="62"/>
      <c r="N21" s="62"/>
      <c r="O21" s="62"/>
      <c r="P21" s="62"/>
      <c r="Q21" s="62"/>
      <c r="R21" s="68"/>
    </row>
    <row r="23" spans="1:18" ht="15" x14ac:dyDescent="0.25">
      <c r="E23" s="60"/>
      <c r="F23" s="60" t="s">
        <v>342</v>
      </c>
    </row>
    <row r="24" spans="1:18" x14ac:dyDescent="0.2">
      <c r="E24" s="56" t="s">
        <v>343</v>
      </c>
      <c r="F24" s="63" t="str">
        <f>IF(E10=0,"",IF(E11=TRUE,BS_1,BS_2))</f>
        <v>Please enter balance sheet data for the Ed Corp
Academy Charter School, The (Combined)
only on this template.
The balance sheet should include data for
all Charter schools operated by the Ed Corp.</v>
      </c>
      <c r="G24" s="62"/>
      <c r="H24" s="62"/>
      <c r="I24" s="62"/>
      <c r="J24" s="62"/>
      <c r="K24" s="62"/>
      <c r="L24" s="62"/>
      <c r="M24" s="62"/>
      <c r="N24" s="62"/>
      <c r="O24" s="62"/>
      <c r="P24" s="62"/>
      <c r="Q24" s="67"/>
    </row>
    <row r="25" spans="1:18" x14ac:dyDescent="0.2">
      <c r="E25" s="56" t="s">
        <v>344</v>
      </c>
      <c r="F25" s="66" t="str">
        <f>IF(E10=0,"",IF(E11=TRUE,CF_1,CF_2))</f>
        <v>Please enter cash flow data for the Ed Corp
Academy Charter School, The (Combined)
only on this template.
The cash flow should include data for
all Charter schools operated by the Ed Corp.</v>
      </c>
      <c r="G25" s="61"/>
      <c r="H25" s="61"/>
      <c r="I25" s="61"/>
      <c r="J25" s="61"/>
      <c r="K25" s="61"/>
      <c r="L25" s="61"/>
      <c r="M25" s="61"/>
      <c r="N25" s="61"/>
      <c r="O25" s="61"/>
      <c r="P25" s="61"/>
      <c r="Q25" s="65"/>
    </row>
    <row r="27" spans="1:18" x14ac:dyDescent="0.2">
      <c r="C27" s="48" t="str">
        <f>"Updated List for "&amp;B15</f>
        <v>Updated List for 2021-22</v>
      </c>
    </row>
    <row r="28" spans="1:18" x14ac:dyDescent="0.2">
      <c r="B28" s="49" t="s">
        <v>273</v>
      </c>
      <c r="C28" s="50" t="s">
        <v>160</v>
      </c>
      <c r="D28" s="54" t="s">
        <v>309</v>
      </c>
      <c r="E28" s="54" t="s">
        <v>310</v>
      </c>
      <c r="F28" s="54" t="s">
        <v>315</v>
      </c>
    </row>
    <row r="29" spans="1:18" x14ac:dyDescent="0.2">
      <c r="B29">
        <v>0</v>
      </c>
      <c r="C29" t="s">
        <v>404</v>
      </c>
      <c r="F29" t="s">
        <v>338</v>
      </c>
    </row>
    <row r="30" spans="1:18" x14ac:dyDescent="0.2">
      <c r="B30" s="51">
        <v>190</v>
      </c>
      <c r="C30" s="217" t="s">
        <v>287</v>
      </c>
      <c r="D30" t="s">
        <v>428</v>
      </c>
      <c r="E30" s="222"/>
      <c r="F30" s="219"/>
    </row>
    <row r="31" spans="1:18" x14ac:dyDescent="0.2">
      <c r="B31" s="51">
        <v>196</v>
      </c>
      <c r="C31" s="218" t="s">
        <v>388</v>
      </c>
      <c r="D31" t="s">
        <v>429</v>
      </c>
      <c r="E31" s="221">
        <v>521</v>
      </c>
      <c r="F31" s="220"/>
    </row>
    <row r="32" spans="1:18" x14ac:dyDescent="0.2">
      <c r="B32" s="51">
        <v>1</v>
      </c>
      <c r="C32" s="217" t="s">
        <v>161</v>
      </c>
      <c r="D32" t="s">
        <v>428</v>
      </c>
      <c r="E32" s="222">
        <v>521</v>
      </c>
      <c r="F32" s="219" t="s">
        <v>316</v>
      </c>
    </row>
    <row r="33" spans="2:6" x14ac:dyDescent="0.2">
      <c r="B33" s="51">
        <v>75</v>
      </c>
      <c r="C33" s="218" t="s">
        <v>162</v>
      </c>
      <c r="D33" t="s">
        <v>428</v>
      </c>
      <c r="E33" s="221"/>
      <c r="F33" s="220"/>
    </row>
    <row r="34" spans="2:6" x14ac:dyDescent="0.2">
      <c r="B34" s="51">
        <v>5</v>
      </c>
      <c r="C34" s="217" t="s">
        <v>163</v>
      </c>
      <c r="D34" t="s">
        <v>429</v>
      </c>
      <c r="E34" s="222">
        <v>511</v>
      </c>
      <c r="F34" s="219"/>
    </row>
    <row r="35" spans="2:6" x14ac:dyDescent="0.2">
      <c r="B35" s="51">
        <v>86</v>
      </c>
      <c r="C35" s="218" t="s">
        <v>164</v>
      </c>
      <c r="D35" t="s">
        <v>429</v>
      </c>
      <c r="E35" s="221">
        <v>511</v>
      </c>
      <c r="F35" s="220"/>
    </row>
    <row r="36" spans="2:6" x14ac:dyDescent="0.2">
      <c r="B36" s="51">
        <v>3</v>
      </c>
      <c r="C36" s="217" t="s">
        <v>165</v>
      </c>
      <c r="D36" t="s">
        <v>429</v>
      </c>
      <c r="E36" s="222">
        <v>511</v>
      </c>
      <c r="F36" s="219"/>
    </row>
    <row r="37" spans="2:6" x14ac:dyDescent="0.2">
      <c r="B37" s="51">
        <v>4</v>
      </c>
      <c r="C37" s="218" t="s">
        <v>166</v>
      </c>
      <c r="D37" t="s">
        <v>428</v>
      </c>
      <c r="E37" s="221">
        <v>511</v>
      </c>
      <c r="F37" s="220" t="s">
        <v>317</v>
      </c>
    </row>
    <row r="38" spans="2:6" x14ac:dyDescent="0.2">
      <c r="B38" s="51">
        <v>158</v>
      </c>
      <c r="C38" s="217" t="s">
        <v>274</v>
      </c>
      <c r="D38" t="s">
        <v>429</v>
      </c>
      <c r="E38" s="222">
        <v>511</v>
      </c>
      <c r="F38" s="219"/>
    </row>
    <row r="39" spans="2:6" x14ac:dyDescent="0.2">
      <c r="B39" s="51">
        <v>159</v>
      </c>
      <c r="C39" s="218" t="s">
        <v>275</v>
      </c>
      <c r="D39" t="s">
        <v>429</v>
      </c>
      <c r="E39" s="221">
        <v>511</v>
      </c>
      <c r="F39" s="220"/>
    </row>
    <row r="40" spans="2:6" x14ac:dyDescent="0.2">
      <c r="B40" s="51">
        <v>160</v>
      </c>
      <c r="C40" s="217" t="s">
        <v>276</v>
      </c>
      <c r="D40" t="s">
        <v>429</v>
      </c>
      <c r="E40" s="222">
        <v>511</v>
      </c>
      <c r="F40" s="219"/>
    </row>
    <row r="41" spans="2:6" x14ac:dyDescent="0.2">
      <c r="B41" s="51">
        <v>136</v>
      </c>
      <c r="C41" s="217" t="s">
        <v>438</v>
      </c>
      <c r="D41" s="54" t="s">
        <v>429</v>
      </c>
      <c r="E41" s="226">
        <v>511</v>
      </c>
      <c r="F41" s="225"/>
    </row>
    <row r="42" spans="2:6" x14ac:dyDescent="0.2">
      <c r="B42" s="51">
        <v>121</v>
      </c>
      <c r="C42" s="218" t="s">
        <v>167</v>
      </c>
      <c r="D42" t="s">
        <v>429</v>
      </c>
      <c r="E42" s="221">
        <v>511</v>
      </c>
      <c r="F42" s="220"/>
    </row>
    <row r="43" spans="2:6" x14ac:dyDescent="0.2">
      <c r="B43" s="51">
        <v>115</v>
      </c>
      <c r="C43" s="217" t="s">
        <v>168</v>
      </c>
      <c r="D43" t="s">
        <v>429</v>
      </c>
      <c r="E43" s="222">
        <v>511</v>
      </c>
      <c r="F43" s="219"/>
    </row>
    <row r="44" spans="2:6" x14ac:dyDescent="0.2">
      <c r="B44" s="51">
        <v>138</v>
      </c>
      <c r="C44" s="218" t="s">
        <v>277</v>
      </c>
      <c r="D44" t="s">
        <v>429</v>
      </c>
      <c r="E44" s="221">
        <v>511</v>
      </c>
      <c r="F44" s="220"/>
    </row>
    <row r="45" spans="2:6" x14ac:dyDescent="0.2">
      <c r="B45" s="51">
        <v>7</v>
      </c>
      <c r="C45" s="218" t="s">
        <v>169</v>
      </c>
      <c r="D45" t="s">
        <v>428</v>
      </c>
      <c r="E45" s="221"/>
      <c r="F45" s="220"/>
    </row>
    <row r="46" spans="2:6" x14ac:dyDescent="0.2">
      <c r="B46" s="51">
        <v>9</v>
      </c>
      <c r="C46" s="217" t="s">
        <v>288</v>
      </c>
      <c r="D46" t="s">
        <v>428</v>
      </c>
      <c r="E46" s="222">
        <v>522</v>
      </c>
      <c r="F46" s="219" t="s">
        <v>318</v>
      </c>
    </row>
    <row r="47" spans="2:6" x14ac:dyDescent="0.2">
      <c r="B47" s="51">
        <v>216</v>
      </c>
      <c r="C47" s="217" t="s">
        <v>439</v>
      </c>
      <c r="D47" s="54" t="s">
        <v>429</v>
      </c>
      <c r="E47" s="226">
        <v>522</v>
      </c>
      <c r="F47" s="225"/>
    </row>
    <row r="48" spans="2:6" x14ac:dyDescent="0.2">
      <c r="B48" s="51">
        <v>129</v>
      </c>
      <c r="C48" s="218" t="s">
        <v>289</v>
      </c>
      <c r="D48" t="s">
        <v>429</v>
      </c>
      <c r="E48" s="221">
        <v>522</v>
      </c>
      <c r="F48" s="220"/>
    </row>
    <row r="49" spans="2:6" x14ac:dyDescent="0.2">
      <c r="B49" s="51">
        <v>130</v>
      </c>
      <c r="C49" s="217" t="s">
        <v>170</v>
      </c>
      <c r="D49" t="s">
        <v>428</v>
      </c>
      <c r="E49" s="222"/>
      <c r="F49" s="219"/>
    </row>
    <row r="50" spans="2:6" x14ac:dyDescent="0.2">
      <c r="B50" s="51">
        <v>11</v>
      </c>
      <c r="C50" s="218" t="s">
        <v>171</v>
      </c>
      <c r="D50" t="s">
        <v>429</v>
      </c>
      <c r="E50" s="221">
        <v>509</v>
      </c>
      <c r="F50" s="220"/>
    </row>
    <row r="51" spans="2:6" x14ac:dyDescent="0.2">
      <c r="B51" s="51">
        <v>87</v>
      </c>
      <c r="C51" s="217" t="s">
        <v>172</v>
      </c>
      <c r="D51" t="s">
        <v>429</v>
      </c>
      <c r="E51" s="222">
        <v>504</v>
      </c>
      <c r="F51" s="219"/>
    </row>
    <row r="52" spans="2:6" x14ac:dyDescent="0.2">
      <c r="B52" s="51">
        <v>103</v>
      </c>
      <c r="C52" s="218" t="s">
        <v>173</v>
      </c>
      <c r="D52" t="s">
        <v>429</v>
      </c>
      <c r="E52" s="221">
        <v>506</v>
      </c>
      <c r="F52" s="220"/>
    </row>
    <row r="53" spans="2:6" x14ac:dyDescent="0.2">
      <c r="B53" s="51">
        <v>201</v>
      </c>
      <c r="C53" s="217" t="s">
        <v>405</v>
      </c>
      <c r="D53" t="s">
        <v>429</v>
      </c>
      <c r="E53" s="222">
        <v>514</v>
      </c>
      <c r="F53" s="219"/>
    </row>
    <row r="54" spans="2:6" x14ac:dyDescent="0.2">
      <c r="B54" s="51">
        <v>177</v>
      </c>
      <c r="C54" s="218" t="s">
        <v>290</v>
      </c>
      <c r="D54" s="54" t="s">
        <v>428</v>
      </c>
      <c r="E54" s="221">
        <v>514</v>
      </c>
      <c r="F54" s="220" t="s">
        <v>320</v>
      </c>
    </row>
    <row r="55" spans="2:6" x14ac:dyDescent="0.2">
      <c r="B55" s="51">
        <v>202</v>
      </c>
      <c r="C55" s="217" t="s">
        <v>406</v>
      </c>
      <c r="D55" t="s">
        <v>429</v>
      </c>
      <c r="E55" s="222">
        <v>514</v>
      </c>
      <c r="F55" s="219"/>
    </row>
    <row r="56" spans="2:6" x14ac:dyDescent="0.2">
      <c r="B56" s="51">
        <v>165</v>
      </c>
      <c r="C56" s="218" t="s">
        <v>375</v>
      </c>
      <c r="D56" s="54" t="s">
        <v>429</v>
      </c>
      <c r="E56" s="221">
        <v>514</v>
      </c>
      <c r="F56" s="220"/>
    </row>
    <row r="57" spans="2:6" ht="13.9" customHeight="1" x14ac:dyDescent="0.2">
      <c r="B57" s="51">
        <v>14</v>
      </c>
      <c r="C57" s="217" t="s">
        <v>174</v>
      </c>
      <c r="D57" t="s">
        <v>428</v>
      </c>
      <c r="E57" s="222">
        <v>517</v>
      </c>
      <c r="F57" s="219" t="s">
        <v>337</v>
      </c>
    </row>
    <row r="58" spans="2:6" x14ac:dyDescent="0.2">
      <c r="B58" s="51">
        <v>131</v>
      </c>
      <c r="C58" s="218" t="s">
        <v>175</v>
      </c>
      <c r="D58" t="s">
        <v>429</v>
      </c>
      <c r="E58" s="221">
        <v>517</v>
      </c>
      <c r="F58" s="220"/>
    </row>
    <row r="59" spans="2:6" x14ac:dyDescent="0.2">
      <c r="B59" s="51">
        <v>15</v>
      </c>
      <c r="C59" s="217" t="s">
        <v>176</v>
      </c>
      <c r="D59" t="s">
        <v>428</v>
      </c>
      <c r="E59" s="222">
        <v>510</v>
      </c>
      <c r="F59" s="219" t="s">
        <v>321</v>
      </c>
    </row>
    <row r="60" spans="2:6" ht="13.15" customHeight="1" x14ac:dyDescent="0.2">
      <c r="B60" s="51">
        <v>157</v>
      </c>
      <c r="C60" s="218" t="s">
        <v>278</v>
      </c>
      <c r="D60" t="s">
        <v>429</v>
      </c>
      <c r="E60" s="221">
        <v>510</v>
      </c>
      <c r="F60" s="220"/>
    </row>
    <row r="61" spans="2:6" x14ac:dyDescent="0.2">
      <c r="B61" s="51">
        <v>169</v>
      </c>
      <c r="C61" s="217" t="s">
        <v>291</v>
      </c>
      <c r="D61" t="s">
        <v>429</v>
      </c>
      <c r="E61" s="222">
        <v>510</v>
      </c>
      <c r="F61" s="219"/>
    </row>
    <row r="62" spans="2:6" x14ac:dyDescent="0.2">
      <c r="B62" s="51">
        <v>170</v>
      </c>
      <c r="C62" s="218" t="s">
        <v>378</v>
      </c>
      <c r="D62" t="s">
        <v>429</v>
      </c>
      <c r="E62" s="221">
        <v>510</v>
      </c>
      <c r="F62" s="220"/>
    </row>
    <row r="63" spans="2:6" x14ac:dyDescent="0.2">
      <c r="B63" s="51">
        <v>171</v>
      </c>
      <c r="C63" s="217" t="s">
        <v>407</v>
      </c>
      <c r="D63" t="s">
        <v>429</v>
      </c>
      <c r="E63" s="222">
        <v>510</v>
      </c>
      <c r="F63" s="219"/>
    </row>
    <row r="64" spans="2:6" x14ac:dyDescent="0.2">
      <c r="B64" s="51">
        <v>16</v>
      </c>
      <c r="C64" s="218" t="s">
        <v>177</v>
      </c>
      <c r="D64" t="s">
        <v>428</v>
      </c>
      <c r="E64" s="221">
        <v>520</v>
      </c>
      <c r="F64" s="220" t="s">
        <v>324</v>
      </c>
    </row>
    <row r="65" spans="2:6" x14ac:dyDescent="0.2">
      <c r="B65" s="51">
        <v>161</v>
      </c>
      <c r="C65" s="217" t="s">
        <v>178</v>
      </c>
      <c r="D65" t="s">
        <v>429</v>
      </c>
      <c r="E65" s="222">
        <v>512</v>
      </c>
      <c r="F65" s="219"/>
    </row>
    <row r="66" spans="2:6" x14ac:dyDescent="0.2">
      <c r="B66" s="51">
        <v>17</v>
      </c>
      <c r="C66" s="218" t="s">
        <v>179</v>
      </c>
      <c r="D66" t="s">
        <v>428</v>
      </c>
      <c r="E66" s="221"/>
      <c r="F66" s="220"/>
    </row>
    <row r="67" spans="2:6" x14ac:dyDescent="0.2">
      <c r="B67" s="51">
        <v>25</v>
      </c>
      <c r="C67" s="217" t="s">
        <v>180</v>
      </c>
      <c r="D67" t="s">
        <v>429</v>
      </c>
      <c r="E67" s="222">
        <v>509</v>
      </c>
      <c r="F67" s="219"/>
    </row>
    <row r="68" spans="2:6" x14ac:dyDescent="0.2">
      <c r="B68" s="51">
        <v>172</v>
      </c>
      <c r="C68" s="218" t="s">
        <v>292</v>
      </c>
      <c r="D68" t="s">
        <v>428</v>
      </c>
      <c r="E68" s="221"/>
      <c r="F68" s="220"/>
    </row>
    <row r="69" spans="2:6" x14ac:dyDescent="0.2">
      <c r="B69" s="51">
        <v>18</v>
      </c>
      <c r="C69" s="217" t="s">
        <v>181</v>
      </c>
      <c r="D69" t="s">
        <v>428</v>
      </c>
      <c r="E69" s="222"/>
      <c r="F69" s="219"/>
    </row>
    <row r="70" spans="2:6" x14ac:dyDescent="0.2">
      <c r="B70" s="51">
        <v>132</v>
      </c>
      <c r="C70" s="218" t="s">
        <v>293</v>
      </c>
      <c r="D70" t="s">
        <v>429</v>
      </c>
      <c r="E70" s="221">
        <v>523</v>
      </c>
      <c r="F70" s="220"/>
    </row>
    <row r="71" spans="2:6" x14ac:dyDescent="0.2">
      <c r="B71" s="51">
        <v>134</v>
      </c>
      <c r="C71" s="218" t="s">
        <v>437</v>
      </c>
      <c r="D71" s="54" t="s">
        <v>429</v>
      </c>
      <c r="E71" s="224">
        <v>523</v>
      </c>
      <c r="F71" s="225"/>
    </row>
    <row r="72" spans="2:6" x14ac:dyDescent="0.2">
      <c r="B72" s="51">
        <v>19</v>
      </c>
      <c r="C72" s="217" t="s">
        <v>294</v>
      </c>
      <c r="D72" t="s">
        <v>428</v>
      </c>
      <c r="E72" s="222">
        <v>523</v>
      </c>
      <c r="F72" s="219" t="s">
        <v>322</v>
      </c>
    </row>
    <row r="73" spans="2:6" x14ac:dyDescent="0.2">
      <c r="B73" s="51">
        <v>203</v>
      </c>
      <c r="C73" s="218" t="s">
        <v>408</v>
      </c>
      <c r="D73" t="s">
        <v>429</v>
      </c>
      <c r="E73" s="221">
        <v>523</v>
      </c>
      <c r="F73" s="220"/>
    </row>
    <row r="74" spans="2:6" x14ac:dyDescent="0.2">
      <c r="B74" s="51">
        <v>77</v>
      </c>
      <c r="C74" s="217" t="s">
        <v>182</v>
      </c>
      <c r="D74" t="s">
        <v>428</v>
      </c>
      <c r="E74" s="222"/>
      <c r="F74" s="219"/>
    </row>
    <row r="75" spans="2:6" x14ac:dyDescent="0.2">
      <c r="B75" s="51">
        <v>162</v>
      </c>
      <c r="C75" s="218" t="s">
        <v>183</v>
      </c>
      <c r="D75" t="s">
        <v>429</v>
      </c>
      <c r="E75" s="221">
        <v>512</v>
      </c>
      <c r="F75" s="220"/>
    </row>
    <row r="76" spans="2:6" x14ac:dyDescent="0.2">
      <c r="B76" s="51">
        <v>20</v>
      </c>
      <c r="C76" s="217" t="s">
        <v>184</v>
      </c>
      <c r="D76" t="s">
        <v>429</v>
      </c>
      <c r="E76" s="222">
        <v>509</v>
      </c>
      <c r="F76" s="219"/>
    </row>
    <row r="77" spans="2:6" x14ac:dyDescent="0.2">
      <c r="B77" s="51">
        <v>182</v>
      </c>
      <c r="C77" s="218" t="s">
        <v>382</v>
      </c>
      <c r="D77" t="s">
        <v>428</v>
      </c>
      <c r="E77" s="221"/>
      <c r="F77" s="220"/>
    </row>
    <row r="78" spans="2:6" x14ac:dyDescent="0.2">
      <c r="B78" s="51">
        <v>229</v>
      </c>
      <c r="C78" s="217" t="s">
        <v>409</v>
      </c>
      <c r="D78" t="s">
        <v>428</v>
      </c>
      <c r="E78" s="222"/>
      <c r="F78" s="219"/>
    </row>
    <row r="79" spans="2:6" x14ac:dyDescent="0.2">
      <c r="B79" s="51">
        <v>21</v>
      </c>
      <c r="C79" s="218" t="s">
        <v>185</v>
      </c>
      <c r="D79" t="s">
        <v>428</v>
      </c>
      <c r="E79" s="221"/>
      <c r="F79" s="220"/>
    </row>
    <row r="80" spans="2:6" x14ac:dyDescent="0.2">
      <c r="B80" s="51">
        <v>163</v>
      </c>
      <c r="C80" s="217" t="s">
        <v>186</v>
      </c>
      <c r="D80" t="s">
        <v>429</v>
      </c>
      <c r="E80" s="222">
        <v>512</v>
      </c>
      <c r="F80" s="219"/>
    </row>
    <row r="81" spans="2:6" x14ac:dyDescent="0.2">
      <c r="B81" s="51">
        <v>91</v>
      </c>
      <c r="C81" s="218" t="s">
        <v>187</v>
      </c>
      <c r="D81" t="s">
        <v>428</v>
      </c>
      <c r="E81" s="221">
        <v>512</v>
      </c>
      <c r="F81" s="220" t="s">
        <v>319</v>
      </c>
    </row>
    <row r="82" spans="2:6" x14ac:dyDescent="0.2">
      <c r="B82" s="51">
        <v>204</v>
      </c>
      <c r="C82" s="217" t="s">
        <v>410</v>
      </c>
      <c r="D82" t="s">
        <v>428</v>
      </c>
      <c r="E82" s="222">
        <v>531</v>
      </c>
      <c r="F82" s="219" t="s">
        <v>402</v>
      </c>
    </row>
    <row r="83" spans="2:6" x14ac:dyDescent="0.2">
      <c r="B83" s="51">
        <v>228</v>
      </c>
      <c r="C83" s="218" t="s">
        <v>394</v>
      </c>
      <c r="D83" t="s">
        <v>429</v>
      </c>
      <c r="E83" s="221">
        <v>531</v>
      </c>
      <c r="F83" s="220"/>
    </row>
    <row r="84" spans="2:6" x14ac:dyDescent="0.2">
      <c r="B84" s="51">
        <v>184</v>
      </c>
      <c r="C84" s="217" t="s">
        <v>411</v>
      </c>
      <c r="D84" t="s">
        <v>428</v>
      </c>
      <c r="E84" s="222"/>
      <c r="F84" s="219"/>
    </row>
    <row r="85" spans="2:6" x14ac:dyDescent="0.2">
      <c r="B85" s="51">
        <v>117</v>
      </c>
      <c r="C85" s="218" t="s">
        <v>188</v>
      </c>
      <c r="D85" t="s">
        <v>429</v>
      </c>
      <c r="E85" s="221">
        <v>512</v>
      </c>
      <c r="F85" s="220"/>
    </row>
    <row r="86" spans="2:6" x14ac:dyDescent="0.2">
      <c r="B86" s="51">
        <v>92</v>
      </c>
      <c r="C86" s="217" t="s">
        <v>189</v>
      </c>
      <c r="D86" t="s">
        <v>428</v>
      </c>
      <c r="E86" s="222"/>
      <c r="F86" s="219"/>
    </row>
    <row r="87" spans="2:6" x14ac:dyDescent="0.2">
      <c r="B87" s="51">
        <v>93</v>
      </c>
      <c r="C87" s="218" t="s">
        <v>190</v>
      </c>
      <c r="D87" t="s">
        <v>428</v>
      </c>
      <c r="E87" s="221"/>
      <c r="F87" s="220"/>
    </row>
    <row r="88" spans="2:6" x14ac:dyDescent="0.2">
      <c r="B88" s="51">
        <v>23</v>
      </c>
      <c r="C88" s="217" t="s">
        <v>191</v>
      </c>
      <c r="D88" t="s">
        <v>428</v>
      </c>
      <c r="E88" s="222">
        <v>504</v>
      </c>
      <c r="F88" s="51" t="s">
        <v>323</v>
      </c>
    </row>
    <row r="89" spans="2:6" x14ac:dyDescent="0.2">
      <c r="B89" s="51">
        <v>191</v>
      </c>
      <c r="C89" s="218" t="s">
        <v>295</v>
      </c>
      <c r="D89" t="s">
        <v>428</v>
      </c>
      <c r="E89" s="221"/>
      <c r="F89" s="220"/>
    </row>
    <row r="90" spans="2:6" x14ac:dyDescent="0.2">
      <c r="B90" s="51">
        <v>185</v>
      </c>
      <c r="C90" s="217" t="s">
        <v>384</v>
      </c>
      <c r="D90" t="s">
        <v>429</v>
      </c>
      <c r="E90" s="222">
        <v>512</v>
      </c>
      <c r="F90" s="219"/>
    </row>
    <row r="91" spans="2:6" x14ac:dyDescent="0.2">
      <c r="B91" s="51">
        <v>227</v>
      </c>
      <c r="C91" s="218" t="s">
        <v>393</v>
      </c>
      <c r="D91" t="s">
        <v>429</v>
      </c>
      <c r="E91" s="221">
        <v>520</v>
      </c>
      <c r="F91" s="220"/>
    </row>
    <row r="92" spans="2:6" x14ac:dyDescent="0.2">
      <c r="B92" s="51">
        <v>179</v>
      </c>
      <c r="C92" s="217" t="s">
        <v>380</v>
      </c>
      <c r="D92" t="s">
        <v>429</v>
      </c>
      <c r="E92" s="222">
        <v>520</v>
      </c>
      <c r="F92" s="219"/>
    </row>
    <row r="93" spans="2:6" x14ac:dyDescent="0.2">
      <c r="B93" s="51">
        <v>178</v>
      </c>
      <c r="C93" s="218" t="s">
        <v>296</v>
      </c>
      <c r="D93" t="s">
        <v>429</v>
      </c>
      <c r="E93" s="221">
        <v>520</v>
      </c>
      <c r="F93" s="220"/>
    </row>
    <row r="94" spans="2:6" x14ac:dyDescent="0.2">
      <c r="B94" s="51">
        <v>188</v>
      </c>
      <c r="C94" s="217" t="s">
        <v>297</v>
      </c>
      <c r="D94" t="s">
        <v>428</v>
      </c>
      <c r="E94" s="222">
        <v>527</v>
      </c>
      <c r="F94" s="219" t="s">
        <v>398</v>
      </c>
    </row>
    <row r="95" spans="2:6" x14ac:dyDescent="0.2">
      <c r="B95" s="51">
        <v>208</v>
      </c>
      <c r="C95" s="218" t="s">
        <v>412</v>
      </c>
      <c r="D95" t="s">
        <v>429</v>
      </c>
      <c r="E95" s="221">
        <v>527</v>
      </c>
      <c r="F95" s="220"/>
    </row>
    <row r="96" spans="2:6" x14ac:dyDescent="0.2">
      <c r="B96" s="51">
        <v>209</v>
      </c>
      <c r="C96" s="218" t="s">
        <v>441</v>
      </c>
      <c r="D96" s="54" t="s">
        <v>428</v>
      </c>
      <c r="E96" s="224"/>
      <c r="F96" s="225"/>
    </row>
    <row r="97" spans="2:6" x14ac:dyDescent="0.2">
      <c r="B97" s="51">
        <v>186</v>
      </c>
      <c r="C97" s="217" t="s">
        <v>413</v>
      </c>
      <c r="D97" t="s">
        <v>429</v>
      </c>
      <c r="E97" s="222">
        <v>512</v>
      </c>
      <c r="F97" s="219"/>
    </row>
    <row r="98" spans="2:6" x14ac:dyDescent="0.2">
      <c r="B98" s="51">
        <v>206</v>
      </c>
      <c r="C98" s="218" t="s">
        <v>414</v>
      </c>
      <c r="D98" t="s">
        <v>429</v>
      </c>
      <c r="E98" s="221">
        <v>512</v>
      </c>
      <c r="F98" s="220"/>
    </row>
    <row r="99" spans="2:6" x14ac:dyDescent="0.2">
      <c r="B99" s="51">
        <v>78</v>
      </c>
      <c r="C99" s="217" t="s">
        <v>192</v>
      </c>
      <c r="D99" t="s">
        <v>428</v>
      </c>
      <c r="E99" s="222">
        <v>508</v>
      </c>
      <c r="F99" s="219" t="s">
        <v>325</v>
      </c>
    </row>
    <row r="100" spans="2:6" x14ac:dyDescent="0.2">
      <c r="B100" s="51">
        <v>114</v>
      </c>
      <c r="C100" s="218" t="s">
        <v>193</v>
      </c>
      <c r="D100" t="s">
        <v>429</v>
      </c>
      <c r="E100" s="221">
        <v>508</v>
      </c>
      <c r="F100" s="220"/>
    </row>
    <row r="101" spans="2:6" x14ac:dyDescent="0.2">
      <c r="B101" s="51">
        <v>187</v>
      </c>
      <c r="C101" s="217" t="s">
        <v>385</v>
      </c>
      <c r="D101" t="s">
        <v>428</v>
      </c>
      <c r="E101" s="222"/>
      <c r="F101" s="219"/>
    </row>
    <row r="102" spans="2:6" x14ac:dyDescent="0.2">
      <c r="B102" s="51">
        <v>180</v>
      </c>
      <c r="C102" s="218" t="s">
        <v>298</v>
      </c>
      <c r="D102" t="s">
        <v>429</v>
      </c>
      <c r="E102" s="221">
        <v>515</v>
      </c>
      <c r="F102" s="220"/>
    </row>
    <row r="103" spans="2:6" x14ac:dyDescent="0.2">
      <c r="B103" s="51">
        <v>166</v>
      </c>
      <c r="C103" s="217" t="s">
        <v>299</v>
      </c>
      <c r="D103" t="s">
        <v>428</v>
      </c>
      <c r="E103" s="222">
        <v>515</v>
      </c>
      <c r="F103" s="219" t="s">
        <v>335</v>
      </c>
    </row>
    <row r="104" spans="2:6" x14ac:dyDescent="0.2">
      <c r="B104" s="51">
        <v>26</v>
      </c>
      <c r="C104" s="218" t="s">
        <v>194</v>
      </c>
      <c r="D104" t="s">
        <v>428</v>
      </c>
      <c r="E104" s="221"/>
      <c r="F104" s="220"/>
    </row>
    <row r="105" spans="2:6" x14ac:dyDescent="0.2">
      <c r="B105" s="51">
        <v>27</v>
      </c>
      <c r="C105" s="217" t="s">
        <v>195</v>
      </c>
      <c r="D105" t="s">
        <v>429</v>
      </c>
      <c r="E105" s="222">
        <v>509</v>
      </c>
      <c r="F105" s="219"/>
    </row>
    <row r="106" spans="2:6" x14ac:dyDescent="0.2">
      <c r="B106" s="51">
        <v>28</v>
      </c>
      <c r="C106" s="218" t="s">
        <v>196</v>
      </c>
      <c r="D106" t="s">
        <v>429</v>
      </c>
      <c r="E106" s="221">
        <v>509</v>
      </c>
      <c r="F106" s="220"/>
    </row>
    <row r="107" spans="2:6" x14ac:dyDescent="0.2">
      <c r="B107" s="51">
        <v>153</v>
      </c>
      <c r="C107" s="217" t="s">
        <v>197</v>
      </c>
      <c r="D107" t="s">
        <v>429</v>
      </c>
      <c r="E107" s="222">
        <v>507</v>
      </c>
      <c r="F107" s="219"/>
    </row>
    <row r="108" spans="2:6" x14ac:dyDescent="0.2">
      <c r="B108" s="51">
        <v>154</v>
      </c>
      <c r="C108" s="218" t="s">
        <v>198</v>
      </c>
      <c r="D108" t="s">
        <v>429</v>
      </c>
      <c r="E108" s="221">
        <v>507</v>
      </c>
      <c r="F108" s="220"/>
    </row>
    <row r="109" spans="2:6" x14ac:dyDescent="0.2">
      <c r="B109" s="51">
        <v>94</v>
      </c>
      <c r="C109" s="217" t="s">
        <v>199</v>
      </c>
      <c r="D109" t="s">
        <v>429</v>
      </c>
      <c r="E109" s="222">
        <v>507</v>
      </c>
      <c r="F109" s="219"/>
    </row>
    <row r="110" spans="2:6" x14ac:dyDescent="0.2">
      <c r="B110" s="51">
        <v>79</v>
      </c>
      <c r="C110" s="218" t="s">
        <v>200</v>
      </c>
      <c r="D110" t="s">
        <v>428</v>
      </c>
      <c r="E110" s="221">
        <v>507</v>
      </c>
      <c r="F110" s="220" t="s">
        <v>326</v>
      </c>
    </row>
    <row r="111" spans="2:6" x14ac:dyDescent="0.2">
      <c r="B111" s="51">
        <v>29</v>
      </c>
      <c r="C111" s="217" t="s">
        <v>201</v>
      </c>
      <c r="D111" t="s">
        <v>428</v>
      </c>
      <c r="E111" s="222">
        <v>503</v>
      </c>
      <c r="F111" s="219" t="s">
        <v>327</v>
      </c>
    </row>
    <row r="112" spans="2:6" x14ac:dyDescent="0.2">
      <c r="B112" s="51">
        <v>95</v>
      </c>
      <c r="C112" s="218" t="s">
        <v>202</v>
      </c>
      <c r="D112" t="s">
        <v>429</v>
      </c>
      <c r="E112" s="221">
        <v>503</v>
      </c>
      <c r="F112" s="220"/>
    </row>
    <row r="113" spans="2:6" x14ac:dyDescent="0.2">
      <c r="B113" s="51">
        <v>120</v>
      </c>
      <c r="C113" s="217" t="s">
        <v>203</v>
      </c>
      <c r="D113" t="s">
        <v>429</v>
      </c>
      <c r="E113" s="222">
        <v>503</v>
      </c>
      <c r="F113" s="219"/>
    </row>
    <row r="114" spans="2:6" x14ac:dyDescent="0.2">
      <c r="B114" s="51">
        <v>133</v>
      </c>
      <c r="C114" s="218" t="s">
        <v>204</v>
      </c>
      <c r="D114" t="s">
        <v>428</v>
      </c>
      <c r="E114" s="221"/>
      <c r="F114" s="220"/>
    </row>
    <row r="115" spans="2:6" x14ac:dyDescent="0.2">
      <c r="B115" s="51">
        <v>173</v>
      </c>
      <c r="C115" s="217" t="s">
        <v>300</v>
      </c>
      <c r="D115" t="s">
        <v>428</v>
      </c>
      <c r="E115" s="222"/>
      <c r="F115" s="219"/>
    </row>
    <row r="116" spans="2:6" x14ac:dyDescent="0.2">
      <c r="B116" s="51">
        <v>30</v>
      </c>
      <c r="C116" s="218" t="s">
        <v>205</v>
      </c>
      <c r="D116" t="s">
        <v>428</v>
      </c>
      <c r="E116" s="221">
        <v>506</v>
      </c>
      <c r="F116" s="220" t="s">
        <v>426</v>
      </c>
    </row>
    <row r="117" spans="2:6" x14ac:dyDescent="0.2">
      <c r="B117" s="51">
        <v>31</v>
      </c>
      <c r="C117" s="217" t="s">
        <v>206</v>
      </c>
      <c r="D117" t="s">
        <v>429</v>
      </c>
      <c r="E117" s="222">
        <v>506</v>
      </c>
      <c r="F117" s="219"/>
    </row>
    <row r="118" spans="2:6" x14ac:dyDescent="0.2">
      <c r="B118" s="51">
        <v>219</v>
      </c>
      <c r="C118" s="218" t="s">
        <v>415</v>
      </c>
      <c r="D118" t="s">
        <v>429</v>
      </c>
      <c r="E118" s="221">
        <v>506</v>
      </c>
      <c r="F118" s="220"/>
    </row>
    <row r="119" spans="2:6" x14ac:dyDescent="0.2">
      <c r="B119" s="51">
        <v>32</v>
      </c>
      <c r="C119" s="217" t="s">
        <v>207</v>
      </c>
      <c r="D119" t="s">
        <v>428</v>
      </c>
      <c r="E119" s="222"/>
      <c r="F119" s="219"/>
    </row>
    <row r="120" spans="2:6" x14ac:dyDescent="0.2">
      <c r="B120" s="51">
        <v>34</v>
      </c>
      <c r="C120" s="218" t="s">
        <v>371</v>
      </c>
      <c r="D120" t="s">
        <v>428</v>
      </c>
      <c r="E120" s="221"/>
      <c r="F120" s="220"/>
    </row>
    <row r="121" spans="2:6" x14ac:dyDescent="0.2">
      <c r="B121" s="51">
        <v>35</v>
      </c>
      <c r="C121" s="217" t="s">
        <v>208</v>
      </c>
      <c r="D121" t="s">
        <v>428</v>
      </c>
      <c r="E121" s="222"/>
      <c r="F121" s="219"/>
    </row>
    <row r="122" spans="2:6" x14ac:dyDescent="0.2">
      <c r="B122" s="51">
        <v>37</v>
      </c>
      <c r="C122" s="218" t="s">
        <v>209</v>
      </c>
      <c r="D122" t="s">
        <v>428</v>
      </c>
      <c r="E122" s="221"/>
      <c r="F122" s="220"/>
    </row>
    <row r="123" spans="2:6" x14ac:dyDescent="0.2">
      <c r="B123" s="51">
        <v>36</v>
      </c>
      <c r="C123" s="217" t="s">
        <v>210</v>
      </c>
      <c r="D123" t="s">
        <v>429</v>
      </c>
      <c r="E123" s="222">
        <v>520</v>
      </c>
      <c r="F123" s="219"/>
    </row>
    <row r="124" spans="2:6" x14ac:dyDescent="0.2">
      <c r="B124" s="51">
        <v>45</v>
      </c>
      <c r="C124" s="218" t="s">
        <v>301</v>
      </c>
      <c r="D124" t="s">
        <v>428</v>
      </c>
      <c r="E124" s="221"/>
      <c r="F124" s="220"/>
    </row>
    <row r="125" spans="2:6" ht="13.9" customHeight="1" x14ac:dyDescent="0.2">
      <c r="B125" s="51">
        <v>197</v>
      </c>
      <c r="C125" s="217" t="s">
        <v>416</v>
      </c>
      <c r="D125" t="s">
        <v>429</v>
      </c>
      <c r="E125" s="222">
        <v>530</v>
      </c>
      <c r="F125" s="219"/>
    </row>
    <row r="126" spans="2:6" x14ac:dyDescent="0.2">
      <c r="B126" s="51">
        <v>44</v>
      </c>
      <c r="C126" s="218" t="s">
        <v>302</v>
      </c>
      <c r="D126" t="s">
        <v>428</v>
      </c>
      <c r="E126" s="221">
        <v>530</v>
      </c>
      <c r="F126" s="220" t="s">
        <v>401</v>
      </c>
    </row>
    <row r="127" spans="2:6" x14ac:dyDescent="0.2">
      <c r="B127" s="51">
        <v>46</v>
      </c>
      <c r="C127" s="217" t="s">
        <v>211</v>
      </c>
      <c r="D127" t="s">
        <v>428</v>
      </c>
      <c r="E127" s="222"/>
      <c r="F127" s="219"/>
    </row>
    <row r="128" spans="2:6" x14ac:dyDescent="0.2">
      <c r="B128" s="51">
        <v>189</v>
      </c>
      <c r="C128" s="218" t="s">
        <v>303</v>
      </c>
      <c r="D128" t="s">
        <v>428</v>
      </c>
      <c r="E128" s="221"/>
      <c r="F128" s="220"/>
    </row>
    <row r="129" spans="2:6" x14ac:dyDescent="0.2">
      <c r="B129" s="51">
        <v>47</v>
      </c>
      <c r="C129" s="217" t="s">
        <v>212</v>
      </c>
      <c r="D129" t="s">
        <v>428</v>
      </c>
      <c r="E129" s="222"/>
      <c r="F129" s="219"/>
    </row>
    <row r="130" spans="2:6" x14ac:dyDescent="0.2">
      <c r="B130" s="51">
        <v>48</v>
      </c>
      <c r="C130" s="218" t="s">
        <v>213</v>
      </c>
      <c r="D130" t="s">
        <v>428</v>
      </c>
      <c r="E130" s="221"/>
      <c r="F130" s="220"/>
    </row>
    <row r="131" spans="2:6" x14ac:dyDescent="0.2">
      <c r="B131" s="51">
        <v>49</v>
      </c>
      <c r="C131" s="217" t="s">
        <v>214</v>
      </c>
      <c r="D131" t="s">
        <v>428</v>
      </c>
      <c r="E131" s="222"/>
      <c r="F131" s="219"/>
    </row>
    <row r="132" spans="2:6" x14ac:dyDescent="0.2">
      <c r="B132" s="51">
        <v>50</v>
      </c>
      <c r="C132" s="218" t="s">
        <v>215</v>
      </c>
      <c r="D132" t="s">
        <v>428</v>
      </c>
      <c r="E132" s="221"/>
      <c r="F132" s="220"/>
    </row>
    <row r="133" spans="2:6" x14ac:dyDescent="0.2">
      <c r="B133" s="51">
        <v>51</v>
      </c>
      <c r="C133" s="217" t="s">
        <v>216</v>
      </c>
      <c r="D133" t="s">
        <v>428</v>
      </c>
      <c r="E133" s="222"/>
      <c r="F133" s="219"/>
    </row>
    <row r="134" spans="2:6" x14ac:dyDescent="0.2">
      <c r="B134" s="51">
        <v>97</v>
      </c>
      <c r="C134" s="218" t="s">
        <v>217</v>
      </c>
      <c r="D134" t="s">
        <v>428</v>
      </c>
      <c r="E134" s="221"/>
      <c r="F134" s="220"/>
    </row>
    <row r="135" spans="2:6" x14ac:dyDescent="0.2">
      <c r="B135" s="51">
        <v>98</v>
      </c>
      <c r="C135" s="217" t="s">
        <v>218</v>
      </c>
      <c r="D135" t="s">
        <v>428</v>
      </c>
      <c r="E135" s="222"/>
      <c r="F135" s="219"/>
    </row>
    <row r="136" spans="2:6" x14ac:dyDescent="0.2">
      <c r="B136" s="51">
        <v>192</v>
      </c>
      <c r="C136" s="217" t="s">
        <v>304</v>
      </c>
      <c r="D136" t="s">
        <v>428</v>
      </c>
      <c r="E136" s="222"/>
      <c r="F136" s="219"/>
    </row>
    <row r="137" spans="2:6" x14ac:dyDescent="0.2">
      <c r="B137" s="51">
        <v>52</v>
      </c>
      <c r="C137" s="218" t="s">
        <v>219</v>
      </c>
      <c r="D137" t="s">
        <v>428</v>
      </c>
      <c r="E137" s="221"/>
      <c r="F137" s="220"/>
    </row>
    <row r="138" spans="2:6" x14ac:dyDescent="0.2">
      <c r="B138" s="51">
        <v>53</v>
      </c>
      <c r="C138" s="217" t="s">
        <v>220</v>
      </c>
      <c r="D138" t="s">
        <v>429</v>
      </c>
      <c r="E138" s="222">
        <v>509</v>
      </c>
      <c r="F138" s="219"/>
    </row>
    <row r="139" spans="2:6" x14ac:dyDescent="0.2">
      <c r="B139" s="51">
        <v>6</v>
      </c>
      <c r="C139" s="217" t="s">
        <v>443</v>
      </c>
      <c r="D139" s="54" t="s">
        <v>429</v>
      </c>
      <c r="E139" s="222">
        <v>532</v>
      </c>
      <c r="F139" s="219"/>
    </row>
    <row r="140" spans="2:6" x14ac:dyDescent="0.2">
      <c r="B140" s="51">
        <v>223</v>
      </c>
      <c r="C140" s="218" t="s">
        <v>389</v>
      </c>
      <c r="D140" t="s">
        <v>429</v>
      </c>
      <c r="E140" s="221">
        <v>526</v>
      </c>
      <c r="F140" s="220"/>
    </row>
    <row r="141" spans="2:6" x14ac:dyDescent="0.2">
      <c r="B141" s="51">
        <v>220</v>
      </c>
      <c r="C141" s="218" t="s">
        <v>440</v>
      </c>
      <c r="D141" s="54" t="s">
        <v>429</v>
      </c>
      <c r="E141" s="224">
        <v>526</v>
      </c>
      <c r="F141" s="225"/>
    </row>
    <row r="142" spans="2:6" x14ac:dyDescent="0.2">
      <c r="B142" s="51">
        <v>199</v>
      </c>
      <c r="C142" s="217" t="s">
        <v>417</v>
      </c>
      <c r="D142" t="s">
        <v>429</v>
      </c>
      <c r="E142" s="222">
        <v>526</v>
      </c>
      <c r="F142" s="219"/>
    </row>
    <row r="143" spans="2:6" x14ac:dyDescent="0.2">
      <c r="B143" s="51">
        <v>200</v>
      </c>
      <c r="C143" s="218" t="s">
        <v>418</v>
      </c>
      <c r="D143" t="s">
        <v>428</v>
      </c>
      <c r="E143" s="221">
        <v>526</v>
      </c>
      <c r="F143" s="220" t="s">
        <v>427</v>
      </c>
    </row>
    <row r="144" spans="2:6" x14ac:dyDescent="0.2">
      <c r="B144" s="51">
        <v>226</v>
      </c>
      <c r="C144" s="217" t="s">
        <v>392</v>
      </c>
      <c r="D144" t="s">
        <v>429</v>
      </c>
      <c r="E144" s="222">
        <v>526</v>
      </c>
      <c r="F144" s="219"/>
    </row>
    <row r="145" spans="2:6" x14ac:dyDescent="0.2">
      <c r="B145" s="51">
        <v>224</v>
      </c>
      <c r="C145" s="218" t="s">
        <v>390</v>
      </c>
      <c r="D145" t="s">
        <v>429</v>
      </c>
      <c r="E145" s="221">
        <v>526</v>
      </c>
      <c r="F145" s="220"/>
    </row>
    <row r="146" spans="2:6" x14ac:dyDescent="0.2">
      <c r="B146" s="51">
        <v>225</v>
      </c>
      <c r="C146" s="217" t="s">
        <v>391</v>
      </c>
      <c r="D146" t="s">
        <v>429</v>
      </c>
      <c r="E146" s="222">
        <v>526</v>
      </c>
      <c r="F146" s="219"/>
    </row>
    <row r="147" spans="2:6" x14ac:dyDescent="0.2">
      <c r="B147" s="51">
        <v>54</v>
      </c>
      <c r="C147" s="218" t="s">
        <v>372</v>
      </c>
      <c r="D147" t="s">
        <v>429</v>
      </c>
      <c r="E147" s="221">
        <v>526</v>
      </c>
      <c r="F147" s="220"/>
    </row>
    <row r="148" spans="2:6" x14ac:dyDescent="0.2">
      <c r="B148" s="51">
        <v>55</v>
      </c>
      <c r="C148" s="217" t="s">
        <v>221</v>
      </c>
      <c r="D148" t="s">
        <v>428</v>
      </c>
      <c r="E148" s="222">
        <v>532</v>
      </c>
      <c r="F148" s="51" t="s">
        <v>444</v>
      </c>
    </row>
    <row r="149" spans="2:6" x14ac:dyDescent="0.2">
      <c r="B149" s="51">
        <v>213</v>
      </c>
      <c r="C149" s="218" t="s">
        <v>419</v>
      </c>
      <c r="D149" t="s">
        <v>428</v>
      </c>
      <c r="E149" s="221"/>
      <c r="F149" s="220"/>
    </row>
    <row r="150" spans="2:6" x14ac:dyDescent="0.2">
      <c r="B150" s="51">
        <v>56</v>
      </c>
      <c r="C150" s="217" t="s">
        <v>222</v>
      </c>
      <c r="D150" t="s">
        <v>428</v>
      </c>
      <c r="E150" s="222">
        <v>509</v>
      </c>
      <c r="F150" s="219" t="s">
        <v>332</v>
      </c>
    </row>
    <row r="151" spans="2:6" x14ac:dyDescent="0.2">
      <c r="B151" s="51">
        <v>57</v>
      </c>
      <c r="C151" s="218" t="s">
        <v>223</v>
      </c>
      <c r="D151" t="s">
        <v>429</v>
      </c>
      <c r="E151" s="221">
        <v>509</v>
      </c>
      <c r="F151" s="220"/>
    </row>
    <row r="152" spans="2:6" x14ac:dyDescent="0.2">
      <c r="B152" s="51">
        <v>59</v>
      </c>
      <c r="C152" s="217" t="s">
        <v>224</v>
      </c>
      <c r="D152" t="s">
        <v>429</v>
      </c>
      <c r="E152" s="222">
        <v>509</v>
      </c>
      <c r="F152" s="219"/>
    </row>
    <row r="153" spans="2:6" x14ac:dyDescent="0.2">
      <c r="B153" s="51">
        <v>58</v>
      </c>
      <c r="C153" s="218" t="s">
        <v>225</v>
      </c>
      <c r="D153" t="s">
        <v>429</v>
      </c>
      <c r="E153" s="221">
        <v>509</v>
      </c>
      <c r="F153" s="220"/>
    </row>
    <row r="154" spans="2:6" x14ac:dyDescent="0.2">
      <c r="B154" s="51">
        <v>205</v>
      </c>
      <c r="C154" s="217" t="s">
        <v>420</v>
      </c>
      <c r="D154" t="s">
        <v>429</v>
      </c>
      <c r="E154" s="222">
        <v>512</v>
      </c>
      <c r="F154" s="219"/>
    </row>
    <row r="155" spans="2:6" x14ac:dyDescent="0.2">
      <c r="B155" s="51">
        <v>174</v>
      </c>
      <c r="C155" s="218" t="s">
        <v>305</v>
      </c>
      <c r="D155" t="s">
        <v>428</v>
      </c>
      <c r="E155" s="221"/>
      <c r="F155" s="220"/>
    </row>
    <row r="156" spans="2:6" x14ac:dyDescent="0.2">
      <c r="B156" s="51">
        <v>164</v>
      </c>
      <c r="C156" s="217" t="s">
        <v>226</v>
      </c>
      <c r="D156" t="s">
        <v>429</v>
      </c>
      <c r="E156" s="222">
        <v>513</v>
      </c>
      <c r="F156" s="219"/>
    </row>
    <row r="157" spans="2:6" x14ac:dyDescent="0.2">
      <c r="B157" s="51">
        <v>99</v>
      </c>
      <c r="C157" s="218" t="s">
        <v>227</v>
      </c>
      <c r="D157" t="s">
        <v>428</v>
      </c>
      <c r="E157" s="221">
        <v>513</v>
      </c>
      <c r="F157" s="220" t="s">
        <v>328</v>
      </c>
    </row>
    <row r="158" spans="2:6" x14ac:dyDescent="0.2">
      <c r="B158" s="51">
        <v>60</v>
      </c>
      <c r="C158" s="217" t="s">
        <v>228</v>
      </c>
      <c r="D158" t="s">
        <v>428</v>
      </c>
      <c r="E158" s="222"/>
      <c r="F158" s="219"/>
    </row>
    <row r="159" spans="2:6" x14ac:dyDescent="0.2">
      <c r="B159" s="51">
        <v>118</v>
      </c>
      <c r="C159" s="218" t="s">
        <v>229</v>
      </c>
      <c r="D159" t="s">
        <v>428</v>
      </c>
      <c r="E159" s="221"/>
      <c r="F159" s="220"/>
    </row>
    <row r="160" spans="2:6" x14ac:dyDescent="0.2">
      <c r="B160" s="51">
        <v>63</v>
      </c>
      <c r="C160" s="217" t="s">
        <v>230</v>
      </c>
      <c r="D160" t="s">
        <v>428</v>
      </c>
      <c r="E160" s="222"/>
      <c r="F160" s="219"/>
    </row>
    <row r="161" spans="2:6" x14ac:dyDescent="0.2">
      <c r="B161" s="51">
        <v>100</v>
      </c>
      <c r="C161" s="218" t="s">
        <v>373</v>
      </c>
      <c r="D161" t="s">
        <v>428</v>
      </c>
      <c r="E161" s="221"/>
      <c r="F161" s="220"/>
    </row>
    <row r="162" spans="2:6" x14ac:dyDescent="0.2">
      <c r="B162" s="51">
        <v>101</v>
      </c>
      <c r="C162" s="217" t="s">
        <v>374</v>
      </c>
      <c r="D162" t="s">
        <v>428</v>
      </c>
      <c r="E162" s="222"/>
      <c r="F162" s="219"/>
    </row>
    <row r="163" spans="2:6" x14ac:dyDescent="0.2">
      <c r="B163" s="51">
        <v>82</v>
      </c>
      <c r="C163" s="218" t="s">
        <v>231</v>
      </c>
      <c r="D163" t="s">
        <v>428</v>
      </c>
      <c r="E163" s="221"/>
      <c r="F163" s="220"/>
    </row>
    <row r="164" spans="2:6" x14ac:dyDescent="0.2">
      <c r="B164" s="51">
        <v>83</v>
      </c>
      <c r="C164" s="217" t="s">
        <v>232</v>
      </c>
      <c r="D164" t="s">
        <v>428</v>
      </c>
      <c r="E164" s="222"/>
      <c r="F164" s="219"/>
    </row>
    <row r="165" spans="2:6" x14ac:dyDescent="0.2">
      <c r="B165" s="51">
        <v>64</v>
      </c>
      <c r="C165" s="218" t="s">
        <v>233</v>
      </c>
      <c r="D165" t="s">
        <v>428</v>
      </c>
      <c r="E165" s="221"/>
      <c r="F165" s="220"/>
    </row>
    <row r="166" spans="2:6" x14ac:dyDescent="0.2">
      <c r="B166" s="51">
        <v>156</v>
      </c>
      <c r="C166" s="217" t="s">
        <v>279</v>
      </c>
      <c r="D166" t="s">
        <v>428</v>
      </c>
      <c r="E166" s="222"/>
      <c r="F166" s="219"/>
    </row>
    <row r="167" spans="2:6" x14ac:dyDescent="0.2">
      <c r="B167" s="51">
        <v>167</v>
      </c>
      <c r="C167" s="218" t="s">
        <v>376</v>
      </c>
      <c r="D167" t="s">
        <v>428</v>
      </c>
      <c r="E167" s="221">
        <v>516</v>
      </c>
      <c r="F167" s="220" t="s">
        <v>336</v>
      </c>
    </row>
    <row r="168" spans="2:6" x14ac:dyDescent="0.2">
      <c r="B168" s="51">
        <v>181</v>
      </c>
      <c r="C168" s="217" t="s">
        <v>381</v>
      </c>
      <c r="D168" t="s">
        <v>429</v>
      </c>
      <c r="E168" s="222">
        <v>516</v>
      </c>
      <c r="F168" s="219"/>
    </row>
    <row r="169" spans="2:6" x14ac:dyDescent="0.2">
      <c r="B169" s="51">
        <v>24</v>
      </c>
      <c r="C169" s="218" t="s">
        <v>234</v>
      </c>
      <c r="D169" t="s">
        <v>429</v>
      </c>
      <c r="E169" s="221">
        <v>509</v>
      </c>
      <c r="F169" s="220"/>
    </row>
    <row r="170" spans="2:6" x14ac:dyDescent="0.2">
      <c r="B170" s="51">
        <v>66</v>
      </c>
      <c r="C170" s="217" t="s">
        <v>235</v>
      </c>
      <c r="D170" t="s">
        <v>428</v>
      </c>
      <c r="E170" s="222">
        <v>524</v>
      </c>
      <c r="F170" s="219" t="s">
        <v>329</v>
      </c>
    </row>
    <row r="171" spans="2:6" x14ac:dyDescent="0.2">
      <c r="B171" s="51">
        <v>175</v>
      </c>
      <c r="C171" s="218" t="s">
        <v>379</v>
      </c>
      <c r="D171" t="s">
        <v>429</v>
      </c>
      <c r="E171" s="221">
        <v>524</v>
      </c>
      <c r="F171" s="220"/>
    </row>
    <row r="172" spans="2:6" x14ac:dyDescent="0.2">
      <c r="B172" s="51">
        <v>193</v>
      </c>
      <c r="C172" s="218" t="s">
        <v>306</v>
      </c>
      <c r="D172" t="s">
        <v>428</v>
      </c>
      <c r="E172" s="221"/>
      <c r="F172" s="220"/>
    </row>
    <row r="173" spans="2:6" x14ac:dyDescent="0.2">
      <c r="B173" s="51">
        <v>183</v>
      </c>
      <c r="C173" s="217" t="s">
        <v>383</v>
      </c>
      <c r="D173" t="s">
        <v>428</v>
      </c>
      <c r="E173" s="222"/>
      <c r="F173" s="219"/>
    </row>
    <row r="174" spans="2:6" x14ac:dyDescent="0.2">
      <c r="B174" s="51">
        <v>116</v>
      </c>
      <c r="C174" s="218" t="s">
        <v>280</v>
      </c>
      <c r="D174" t="s">
        <v>429</v>
      </c>
      <c r="E174" s="221">
        <v>502</v>
      </c>
      <c r="F174" s="220"/>
    </row>
    <row r="175" spans="2:6" x14ac:dyDescent="0.2">
      <c r="B175" s="51">
        <v>67</v>
      </c>
      <c r="C175" s="217" t="s">
        <v>236</v>
      </c>
      <c r="D175" t="s">
        <v>428</v>
      </c>
      <c r="E175" s="222"/>
      <c r="F175" s="219"/>
    </row>
    <row r="176" spans="2:6" x14ac:dyDescent="0.2">
      <c r="B176" s="51">
        <v>68</v>
      </c>
      <c r="C176" s="218" t="s">
        <v>237</v>
      </c>
      <c r="D176" t="s">
        <v>428</v>
      </c>
      <c r="E176" s="221"/>
      <c r="F176" s="220"/>
    </row>
    <row r="177" spans="2:6" x14ac:dyDescent="0.2">
      <c r="B177" s="51">
        <v>69</v>
      </c>
      <c r="C177" s="217" t="s">
        <v>238</v>
      </c>
      <c r="D177" t="s">
        <v>428</v>
      </c>
      <c r="E177" s="222"/>
      <c r="F177" s="219"/>
    </row>
    <row r="178" spans="2:6" x14ac:dyDescent="0.2">
      <c r="B178" s="51">
        <v>135</v>
      </c>
      <c r="C178" s="218" t="s">
        <v>239</v>
      </c>
      <c r="D178" t="s">
        <v>428</v>
      </c>
      <c r="E178" s="221">
        <v>529</v>
      </c>
      <c r="F178" s="220" t="s">
        <v>400</v>
      </c>
    </row>
    <row r="179" spans="2:6" x14ac:dyDescent="0.2">
      <c r="B179" s="51">
        <v>214</v>
      </c>
      <c r="C179" s="217" t="s">
        <v>421</v>
      </c>
      <c r="D179" t="s">
        <v>429</v>
      </c>
      <c r="E179" s="222">
        <v>529</v>
      </c>
      <c r="F179" s="219"/>
    </row>
    <row r="180" spans="2:6" x14ac:dyDescent="0.2">
      <c r="B180" s="51">
        <v>76</v>
      </c>
      <c r="C180" s="218" t="s">
        <v>240</v>
      </c>
      <c r="D180" t="s">
        <v>429</v>
      </c>
      <c r="E180" s="221">
        <v>500</v>
      </c>
      <c r="F180" s="220"/>
    </row>
    <row r="181" spans="2:6" x14ac:dyDescent="0.2">
      <c r="B181" s="51">
        <v>88</v>
      </c>
      <c r="C181" s="217" t="s">
        <v>241</v>
      </c>
      <c r="D181" t="s">
        <v>429</v>
      </c>
      <c r="E181" s="222">
        <v>500</v>
      </c>
      <c r="F181" s="219"/>
    </row>
    <row r="182" spans="2:6" x14ac:dyDescent="0.2">
      <c r="B182" s="51">
        <v>147</v>
      </c>
      <c r="C182" s="218" t="s">
        <v>281</v>
      </c>
      <c r="D182" t="s">
        <v>429</v>
      </c>
      <c r="E182" s="221">
        <v>500</v>
      </c>
      <c r="F182" s="220"/>
    </row>
    <row r="183" spans="2:6" x14ac:dyDescent="0.2">
      <c r="B183" s="51">
        <v>124</v>
      </c>
      <c r="C183" s="217" t="s">
        <v>242</v>
      </c>
      <c r="D183" t="s">
        <v>429</v>
      </c>
      <c r="E183" s="222">
        <v>500</v>
      </c>
      <c r="F183" s="219"/>
    </row>
    <row r="184" spans="2:6" x14ac:dyDescent="0.2">
      <c r="B184" s="51">
        <v>125</v>
      </c>
      <c r="C184" s="218" t="s">
        <v>243</v>
      </c>
      <c r="D184" t="s">
        <v>429</v>
      </c>
      <c r="E184" s="221">
        <v>500</v>
      </c>
      <c r="F184" s="220"/>
    </row>
    <row r="185" spans="2:6" x14ac:dyDescent="0.2">
      <c r="B185" s="51">
        <v>43</v>
      </c>
      <c r="C185" s="217" t="s">
        <v>244</v>
      </c>
      <c r="D185" t="s">
        <v>429</v>
      </c>
      <c r="E185" s="222">
        <v>500</v>
      </c>
      <c r="F185" s="219"/>
    </row>
    <row r="186" spans="2:6" x14ac:dyDescent="0.2">
      <c r="B186" s="51">
        <v>42</v>
      </c>
      <c r="C186" s="218" t="s">
        <v>245</v>
      </c>
      <c r="D186" t="s">
        <v>429</v>
      </c>
      <c r="E186" s="221">
        <v>500</v>
      </c>
      <c r="F186" s="220"/>
    </row>
    <row r="187" spans="2:6" x14ac:dyDescent="0.2">
      <c r="B187" s="51">
        <v>109</v>
      </c>
      <c r="C187" s="217" t="s">
        <v>246</v>
      </c>
      <c r="D187" t="s">
        <v>429</v>
      </c>
      <c r="E187" s="222">
        <v>500</v>
      </c>
      <c r="F187" s="219"/>
    </row>
    <row r="188" spans="2:6" x14ac:dyDescent="0.2">
      <c r="B188" s="51">
        <v>123</v>
      </c>
      <c r="C188" s="218" t="s">
        <v>247</v>
      </c>
      <c r="D188" t="s">
        <v>429</v>
      </c>
      <c r="E188" s="221">
        <v>500</v>
      </c>
      <c r="F188" s="220"/>
    </row>
    <row r="189" spans="2:6" x14ac:dyDescent="0.2">
      <c r="B189" s="51">
        <v>148</v>
      </c>
      <c r="C189" s="217" t="s">
        <v>282</v>
      </c>
      <c r="D189" t="s">
        <v>429</v>
      </c>
      <c r="E189" s="222">
        <v>500</v>
      </c>
      <c r="F189" s="219"/>
    </row>
    <row r="190" spans="2:6" x14ac:dyDescent="0.2">
      <c r="B190" s="51">
        <v>89</v>
      </c>
      <c r="C190" s="218" t="s">
        <v>248</v>
      </c>
      <c r="D190" t="s">
        <v>429</v>
      </c>
      <c r="E190" s="221">
        <v>500</v>
      </c>
      <c r="F190" s="220"/>
    </row>
    <row r="191" spans="2:6" x14ac:dyDescent="0.2">
      <c r="B191" s="51">
        <v>106</v>
      </c>
      <c r="C191" s="217" t="s">
        <v>249</v>
      </c>
      <c r="D191" t="s">
        <v>429</v>
      </c>
      <c r="E191" s="222">
        <v>500</v>
      </c>
      <c r="F191" s="219"/>
    </row>
    <row r="192" spans="2:6" x14ac:dyDescent="0.2">
      <c r="B192" s="51">
        <v>142</v>
      </c>
      <c r="C192" s="218" t="s">
        <v>283</v>
      </c>
      <c r="D192" t="s">
        <v>429</v>
      </c>
      <c r="E192" s="221">
        <v>500</v>
      </c>
      <c r="F192" s="220"/>
    </row>
    <row r="193" spans="2:6" x14ac:dyDescent="0.2">
      <c r="B193" s="51">
        <v>146</v>
      </c>
      <c r="C193" s="217" t="s">
        <v>284</v>
      </c>
      <c r="D193" t="s">
        <v>429</v>
      </c>
      <c r="E193" s="222">
        <v>500</v>
      </c>
      <c r="F193" s="219"/>
    </row>
    <row r="194" spans="2:6" x14ac:dyDescent="0.2">
      <c r="B194" s="51">
        <v>104</v>
      </c>
      <c r="C194" s="218" t="s">
        <v>250</v>
      </c>
      <c r="D194" t="s">
        <v>429</v>
      </c>
      <c r="E194" s="221">
        <v>500</v>
      </c>
      <c r="F194" s="220"/>
    </row>
    <row r="195" spans="2:6" x14ac:dyDescent="0.2">
      <c r="B195" s="51">
        <v>128</v>
      </c>
      <c r="C195" s="217" t="s">
        <v>251</v>
      </c>
      <c r="D195" t="s">
        <v>429</v>
      </c>
      <c r="E195" s="222">
        <v>500</v>
      </c>
      <c r="F195" s="219"/>
    </row>
    <row r="196" spans="2:6" x14ac:dyDescent="0.2">
      <c r="B196" s="51">
        <v>38</v>
      </c>
      <c r="C196" s="218" t="s">
        <v>252</v>
      </c>
      <c r="D196" t="s">
        <v>429</v>
      </c>
      <c r="E196" s="221">
        <v>500</v>
      </c>
      <c r="F196" s="220"/>
    </row>
    <row r="197" spans="2:6" x14ac:dyDescent="0.2">
      <c r="B197" s="51">
        <v>39</v>
      </c>
      <c r="C197" s="217" t="s">
        <v>253</v>
      </c>
      <c r="D197" t="s">
        <v>428</v>
      </c>
      <c r="E197" s="222">
        <v>500</v>
      </c>
      <c r="F197" s="219" t="s">
        <v>330</v>
      </c>
    </row>
    <row r="198" spans="2:6" x14ac:dyDescent="0.2">
      <c r="B198" s="51">
        <v>40</v>
      </c>
      <c r="C198" s="218" t="s">
        <v>254</v>
      </c>
      <c r="D198" t="s">
        <v>429</v>
      </c>
      <c r="E198" s="221">
        <v>500</v>
      </c>
      <c r="F198" s="220"/>
    </row>
    <row r="199" spans="2:6" x14ac:dyDescent="0.2">
      <c r="B199" s="51">
        <v>41</v>
      </c>
      <c r="C199" s="217" t="s">
        <v>255</v>
      </c>
      <c r="D199" t="s">
        <v>429</v>
      </c>
      <c r="E199" s="222">
        <v>500</v>
      </c>
      <c r="F199" s="219"/>
    </row>
    <row r="200" spans="2:6" x14ac:dyDescent="0.2">
      <c r="B200" s="51">
        <v>140</v>
      </c>
      <c r="C200" s="218" t="s">
        <v>307</v>
      </c>
      <c r="D200" t="s">
        <v>429</v>
      </c>
      <c r="E200" s="221">
        <v>500</v>
      </c>
      <c r="F200" s="220"/>
    </row>
    <row r="201" spans="2:6" x14ac:dyDescent="0.2">
      <c r="B201" s="51">
        <v>107</v>
      </c>
      <c r="C201" s="217" t="s">
        <v>256</v>
      </c>
      <c r="D201" t="s">
        <v>429</v>
      </c>
      <c r="E201" s="222">
        <v>500</v>
      </c>
      <c r="F201" s="219"/>
    </row>
    <row r="202" spans="2:6" x14ac:dyDescent="0.2">
      <c r="B202" s="51">
        <v>139</v>
      </c>
      <c r="C202" s="218" t="s">
        <v>308</v>
      </c>
      <c r="D202" t="s">
        <v>429</v>
      </c>
      <c r="E202" s="221">
        <v>500</v>
      </c>
      <c r="F202" s="220"/>
    </row>
    <row r="203" spans="2:6" x14ac:dyDescent="0.2">
      <c r="B203" s="51">
        <v>105</v>
      </c>
      <c r="C203" s="217" t="s">
        <v>257</v>
      </c>
      <c r="D203" t="s">
        <v>429</v>
      </c>
      <c r="E203" s="222">
        <v>500</v>
      </c>
      <c r="F203" s="219"/>
    </row>
    <row r="204" spans="2:6" x14ac:dyDescent="0.2">
      <c r="B204" s="51">
        <v>126</v>
      </c>
      <c r="C204" s="218" t="s">
        <v>258</v>
      </c>
      <c r="D204" t="s">
        <v>429</v>
      </c>
      <c r="E204" s="221">
        <v>500</v>
      </c>
      <c r="F204" s="220"/>
    </row>
    <row r="205" spans="2:6" x14ac:dyDescent="0.2">
      <c r="B205" s="51">
        <v>151</v>
      </c>
      <c r="C205" s="217" t="s">
        <v>285</v>
      </c>
      <c r="D205" t="s">
        <v>429</v>
      </c>
      <c r="E205" s="222">
        <v>500</v>
      </c>
      <c r="F205" s="219"/>
    </row>
    <row r="206" spans="2:6" x14ac:dyDescent="0.2">
      <c r="B206" s="51">
        <v>127</v>
      </c>
      <c r="C206" s="218" t="s">
        <v>259</v>
      </c>
      <c r="D206" t="s">
        <v>429</v>
      </c>
      <c r="E206" s="221">
        <v>500</v>
      </c>
      <c r="F206" s="220"/>
    </row>
    <row r="207" spans="2:6" x14ac:dyDescent="0.2">
      <c r="B207" s="51">
        <v>108</v>
      </c>
      <c r="C207" s="217" t="s">
        <v>260</v>
      </c>
      <c r="D207" t="s">
        <v>429</v>
      </c>
      <c r="E207" s="222">
        <v>500</v>
      </c>
      <c r="F207" s="219"/>
    </row>
    <row r="208" spans="2:6" x14ac:dyDescent="0.2">
      <c r="B208" s="51">
        <v>85</v>
      </c>
      <c r="C208" s="218" t="s">
        <v>261</v>
      </c>
      <c r="D208" t="s">
        <v>429</v>
      </c>
      <c r="E208" s="221">
        <v>500</v>
      </c>
      <c r="F208" s="220"/>
    </row>
    <row r="209" spans="2:6" x14ac:dyDescent="0.2">
      <c r="B209" s="51">
        <v>122</v>
      </c>
      <c r="C209" s="217" t="s">
        <v>262</v>
      </c>
      <c r="D209" t="s">
        <v>429</v>
      </c>
      <c r="E209" s="222">
        <v>500</v>
      </c>
      <c r="F209" s="219"/>
    </row>
    <row r="210" spans="2:6" x14ac:dyDescent="0.2">
      <c r="B210" s="51">
        <v>90</v>
      </c>
      <c r="C210" s="218" t="s">
        <v>263</v>
      </c>
      <c r="D210" t="s">
        <v>429</v>
      </c>
      <c r="E210" s="221">
        <v>500</v>
      </c>
      <c r="F210" s="220"/>
    </row>
    <row r="211" spans="2:6" x14ac:dyDescent="0.2">
      <c r="B211" s="51">
        <v>70</v>
      </c>
      <c r="C211" s="217" t="s">
        <v>264</v>
      </c>
      <c r="D211" t="s">
        <v>428</v>
      </c>
      <c r="E211" s="222"/>
      <c r="F211" s="219"/>
    </row>
    <row r="212" spans="2:6" x14ac:dyDescent="0.2">
      <c r="B212" s="51">
        <v>71</v>
      </c>
      <c r="C212" s="218" t="s">
        <v>265</v>
      </c>
      <c r="D212" t="s">
        <v>428</v>
      </c>
      <c r="E212" s="221">
        <v>502</v>
      </c>
      <c r="F212" s="220" t="s">
        <v>331</v>
      </c>
    </row>
    <row r="213" spans="2:6" x14ac:dyDescent="0.2">
      <c r="B213" s="51">
        <v>84</v>
      </c>
      <c r="C213" s="217" t="s">
        <v>266</v>
      </c>
      <c r="D213" t="s">
        <v>429</v>
      </c>
      <c r="E213" s="222">
        <v>502</v>
      </c>
      <c r="F213" s="219"/>
    </row>
    <row r="214" spans="2:6" x14ac:dyDescent="0.2">
      <c r="B214" s="51">
        <v>72</v>
      </c>
      <c r="C214" s="218" t="s">
        <v>267</v>
      </c>
      <c r="D214" t="s">
        <v>428</v>
      </c>
      <c r="E214" s="221"/>
      <c r="F214" s="220"/>
    </row>
    <row r="215" spans="2:6" x14ac:dyDescent="0.2">
      <c r="B215" s="51">
        <v>215</v>
      </c>
      <c r="C215" s="217" t="s">
        <v>422</v>
      </c>
      <c r="D215" t="s">
        <v>428</v>
      </c>
      <c r="E215" s="222"/>
      <c r="F215" s="219"/>
    </row>
    <row r="216" spans="2:6" x14ac:dyDescent="0.2">
      <c r="B216" s="51">
        <v>33</v>
      </c>
      <c r="C216" s="217" t="s">
        <v>268</v>
      </c>
      <c r="D216" t="s">
        <v>428</v>
      </c>
      <c r="E216" s="222">
        <v>528</v>
      </c>
      <c r="F216" s="219" t="s">
        <v>399</v>
      </c>
    </row>
    <row r="217" spans="2:6" x14ac:dyDescent="0.2">
      <c r="B217" s="51">
        <v>210</v>
      </c>
      <c r="C217" s="218" t="s">
        <v>423</v>
      </c>
      <c r="D217" t="s">
        <v>429</v>
      </c>
      <c r="E217" s="221">
        <v>528</v>
      </c>
      <c r="F217" s="220"/>
    </row>
    <row r="218" spans="2:6" x14ac:dyDescent="0.2">
      <c r="B218" s="51">
        <v>73</v>
      </c>
      <c r="C218" s="217" t="s">
        <v>269</v>
      </c>
      <c r="D218" t="s">
        <v>428</v>
      </c>
      <c r="E218" s="222"/>
      <c r="F218" s="219"/>
    </row>
    <row r="219" spans="2:6" x14ac:dyDescent="0.2">
      <c r="B219" s="51">
        <v>168</v>
      </c>
      <c r="C219" s="218" t="s">
        <v>377</v>
      </c>
      <c r="D219" t="s">
        <v>428</v>
      </c>
      <c r="E219" s="221"/>
      <c r="F219" s="220"/>
    </row>
    <row r="220" spans="2:6" x14ac:dyDescent="0.2">
      <c r="B220" s="51">
        <v>198</v>
      </c>
      <c r="C220" s="217" t="s">
        <v>424</v>
      </c>
      <c r="D220" t="s">
        <v>428</v>
      </c>
      <c r="E220" s="222"/>
      <c r="F220" s="219"/>
    </row>
    <row r="221" spans="2:6" x14ac:dyDescent="0.2">
      <c r="B221" s="51">
        <v>211</v>
      </c>
      <c r="C221" s="218" t="s">
        <v>425</v>
      </c>
      <c r="D221" t="s">
        <v>428</v>
      </c>
      <c r="E221" s="221"/>
      <c r="F221" s="220"/>
    </row>
    <row r="222" spans="2:6" x14ac:dyDescent="0.2">
      <c r="B222" s="51">
        <v>155</v>
      </c>
      <c r="C222" s="217" t="s">
        <v>270</v>
      </c>
      <c r="D222" t="s">
        <v>429</v>
      </c>
      <c r="E222" s="222">
        <v>509</v>
      </c>
      <c r="F222" s="219"/>
    </row>
    <row r="223" spans="2:6" x14ac:dyDescent="0.2">
      <c r="B223" s="51">
        <v>195</v>
      </c>
      <c r="C223" s="218" t="s">
        <v>387</v>
      </c>
      <c r="D223" t="s">
        <v>429</v>
      </c>
      <c r="E223" s="221">
        <v>525</v>
      </c>
      <c r="F223" s="220"/>
    </row>
    <row r="224" spans="2:6" x14ac:dyDescent="0.2">
      <c r="B224" s="51">
        <v>194</v>
      </c>
      <c r="C224" s="217" t="s">
        <v>386</v>
      </c>
      <c r="D224" t="s">
        <v>428</v>
      </c>
      <c r="E224" s="222">
        <v>525</v>
      </c>
      <c r="F224" s="219" t="s">
        <v>333</v>
      </c>
    </row>
    <row r="225" spans="2:6" x14ac:dyDescent="0.2">
      <c r="B225" s="51">
        <v>221</v>
      </c>
      <c r="C225" s="218" t="s">
        <v>435</v>
      </c>
      <c r="D225" t="s">
        <v>429</v>
      </c>
      <c r="E225" s="221">
        <v>525</v>
      </c>
      <c r="F225" s="220"/>
    </row>
    <row r="226" spans="2:6" x14ac:dyDescent="0.2">
      <c r="B226" s="51">
        <v>222</v>
      </c>
      <c r="C226" s="217" t="s">
        <v>436</v>
      </c>
      <c r="D226" t="s">
        <v>429</v>
      </c>
      <c r="E226" s="222">
        <v>525</v>
      </c>
      <c r="F226" s="219"/>
    </row>
    <row r="227" spans="2:6" x14ac:dyDescent="0.2">
      <c r="B227" s="59" t="s">
        <v>310</v>
      </c>
      <c r="C227" s="55" t="s">
        <v>311</v>
      </c>
    </row>
    <row r="228" spans="2:6" x14ac:dyDescent="0.2">
      <c r="B228">
        <v>500</v>
      </c>
      <c r="C228" t="s">
        <v>330</v>
      </c>
      <c r="E228" s="52"/>
    </row>
    <row r="229" spans="2:6" x14ac:dyDescent="0.2">
      <c r="B229">
        <v>501</v>
      </c>
      <c r="C229" t="s">
        <v>334</v>
      </c>
      <c r="E229" s="52"/>
    </row>
    <row r="230" spans="2:6" x14ac:dyDescent="0.2">
      <c r="B230">
        <v>502</v>
      </c>
      <c r="C230" t="s">
        <v>331</v>
      </c>
      <c r="E230" s="52"/>
    </row>
    <row r="231" spans="2:6" x14ac:dyDescent="0.2">
      <c r="B231">
        <v>503</v>
      </c>
      <c r="C231" t="s">
        <v>327</v>
      </c>
      <c r="E231" s="52"/>
    </row>
    <row r="232" spans="2:6" x14ac:dyDescent="0.2">
      <c r="B232">
        <v>504</v>
      </c>
      <c r="C232" t="s">
        <v>323</v>
      </c>
      <c r="E232" s="52"/>
    </row>
    <row r="233" spans="2:6" x14ac:dyDescent="0.2">
      <c r="B233">
        <v>505</v>
      </c>
      <c r="C233" t="s">
        <v>395</v>
      </c>
      <c r="E233" s="52"/>
    </row>
    <row r="234" spans="2:6" x14ac:dyDescent="0.2">
      <c r="B234">
        <v>506</v>
      </c>
      <c r="C234" t="s">
        <v>370</v>
      </c>
      <c r="E234" s="52"/>
    </row>
    <row r="235" spans="2:6" x14ac:dyDescent="0.2">
      <c r="B235">
        <v>507</v>
      </c>
      <c r="C235" t="s">
        <v>326</v>
      </c>
      <c r="E235" s="52"/>
    </row>
    <row r="236" spans="2:6" x14ac:dyDescent="0.2">
      <c r="B236">
        <v>508</v>
      </c>
      <c r="C236" t="s">
        <v>325</v>
      </c>
      <c r="E236" s="52"/>
    </row>
    <row r="237" spans="2:6" x14ac:dyDescent="0.2">
      <c r="B237">
        <v>509</v>
      </c>
      <c r="C237" t="s">
        <v>332</v>
      </c>
      <c r="E237" s="53"/>
    </row>
    <row r="238" spans="2:6" x14ac:dyDescent="0.2">
      <c r="B238">
        <v>510</v>
      </c>
      <c r="C238" t="s">
        <v>321</v>
      </c>
      <c r="E238" s="52"/>
    </row>
    <row r="239" spans="2:6" x14ac:dyDescent="0.2">
      <c r="B239">
        <v>511</v>
      </c>
      <c r="C239" t="s">
        <v>317</v>
      </c>
      <c r="E239" s="52"/>
    </row>
    <row r="240" spans="2:6" x14ac:dyDescent="0.2">
      <c r="B240">
        <v>512</v>
      </c>
      <c r="C240" t="s">
        <v>319</v>
      </c>
      <c r="E240" s="52"/>
    </row>
    <row r="241" spans="2:5" x14ac:dyDescent="0.2">
      <c r="B241">
        <v>513</v>
      </c>
      <c r="C241" t="s">
        <v>328</v>
      </c>
      <c r="E241" s="52"/>
    </row>
    <row r="242" spans="2:5" x14ac:dyDescent="0.2">
      <c r="B242">
        <v>514</v>
      </c>
      <c r="C242" t="s">
        <v>320</v>
      </c>
      <c r="E242" s="52"/>
    </row>
    <row r="243" spans="2:5" x14ac:dyDescent="0.2">
      <c r="B243">
        <v>515</v>
      </c>
      <c r="C243" t="s">
        <v>335</v>
      </c>
      <c r="E243" s="52"/>
    </row>
    <row r="244" spans="2:5" x14ac:dyDescent="0.2">
      <c r="B244">
        <v>516</v>
      </c>
      <c r="C244" t="s">
        <v>336</v>
      </c>
      <c r="E244" s="52"/>
    </row>
    <row r="245" spans="2:5" x14ac:dyDescent="0.2">
      <c r="B245">
        <v>517</v>
      </c>
      <c r="C245" t="s">
        <v>337</v>
      </c>
      <c r="E245" s="53"/>
    </row>
    <row r="246" spans="2:5" x14ac:dyDescent="0.2">
      <c r="B246">
        <v>518</v>
      </c>
      <c r="C246" t="s">
        <v>396</v>
      </c>
      <c r="E246" s="53"/>
    </row>
    <row r="247" spans="2:5" x14ac:dyDescent="0.2">
      <c r="B247">
        <v>519</v>
      </c>
      <c r="C247" t="s">
        <v>397</v>
      </c>
      <c r="E247" s="52"/>
    </row>
    <row r="248" spans="2:5" x14ac:dyDescent="0.2">
      <c r="B248">
        <v>520</v>
      </c>
      <c r="C248" t="s">
        <v>324</v>
      </c>
      <c r="E248" s="52"/>
    </row>
    <row r="249" spans="2:5" x14ac:dyDescent="0.2">
      <c r="B249">
        <v>521</v>
      </c>
      <c r="C249" t="s">
        <v>316</v>
      </c>
      <c r="E249" s="52"/>
    </row>
    <row r="250" spans="2:5" x14ac:dyDescent="0.2">
      <c r="B250">
        <v>522</v>
      </c>
      <c r="C250" t="s">
        <v>318</v>
      </c>
    </row>
    <row r="251" spans="2:5" x14ac:dyDescent="0.2">
      <c r="B251">
        <v>523</v>
      </c>
      <c r="C251" t="s">
        <v>322</v>
      </c>
    </row>
    <row r="252" spans="2:5" x14ac:dyDescent="0.2">
      <c r="B252">
        <v>524</v>
      </c>
      <c r="C252" t="s">
        <v>329</v>
      </c>
    </row>
    <row r="253" spans="2:5" x14ac:dyDescent="0.2">
      <c r="B253">
        <v>525</v>
      </c>
      <c r="C253" t="s">
        <v>333</v>
      </c>
    </row>
    <row r="254" spans="2:5" x14ac:dyDescent="0.2">
      <c r="B254">
        <v>526</v>
      </c>
      <c r="C254" t="s">
        <v>403</v>
      </c>
    </row>
    <row r="255" spans="2:5" x14ac:dyDescent="0.2">
      <c r="B255">
        <v>527</v>
      </c>
      <c r="C255" t="s">
        <v>398</v>
      </c>
    </row>
    <row r="256" spans="2:5" x14ac:dyDescent="0.2">
      <c r="B256">
        <v>528</v>
      </c>
      <c r="C256" t="s">
        <v>399</v>
      </c>
    </row>
    <row r="257" spans="2:3" x14ac:dyDescent="0.2">
      <c r="B257">
        <v>529</v>
      </c>
      <c r="C257" t="s">
        <v>400</v>
      </c>
    </row>
    <row r="258" spans="2:3" x14ac:dyDescent="0.2">
      <c r="B258">
        <v>530</v>
      </c>
      <c r="C258" t="s">
        <v>401</v>
      </c>
    </row>
    <row r="259" spans="2:3" x14ac:dyDescent="0.2">
      <c r="B259">
        <v>531</v>
      </c>
      <c r="C259" t="s">
        <v>402</v>
      </c>
    </row>
    <row r="260" spans="2:3" x14ac:dyDescent="0.2">
      <c r="B260">
        <v>532</v>
      </c>
      <c r="C260" s="51" t="s">
        <v>444</v>
      </c>
    </row>
    <row r="268" spans="2:3" x14ac:dyDescent="0.2">
      <c r="B268" s="51"/>
      <c r="C268" s="51"/>
    </row>
    <row r="269" spans="2:3" x14ac:dyDescent="0.2">
      <c r="B269" s="51"/>
      <c r="C269" s="51"/>
    </row>
    <row r="270" spans="2:3" x14ac:dyDescent="0.2">
      <c r="B270" s="51"/>
      <c r="C270" s="51"/>
    </row>
  </sheetData>
  <sortState xmlns:xlrd2="http://schemas.microsoft.com/office/spreadsheetml/2017/richdata2" ref="B229:C251">
    <sortCondition ref="B229:B251"/>
  </sortState>
  <conditionalFormatting sqref="E228:E249">
    <cfRule type="expression" dxfId="45" priority="69">
      <formula>OR(#REF!="Closed",#REF!="Transferred")</formula>
    </cfRule>
  </conditionalFormatting>
  <conditionalFormatting sqref="C273">
    <cfRule type="expression" dxfId="44" priority="68">
      <formula>OR($S250="Closed",$S250="Transferred")</formula>
    </cfRule>
  </conditionalFormatting>
  <conditionalFormatting sqref="B274:C276">
    <cfRule type="expression" dxfId="43" priority="67">
      <formula>OR($S251="Closed",$S251="Transferred")</formula>
    </cfRule>
  </conditionalFormatting>
  <conditionalFormatting sqref="C247">
    <cfRule type="expression" dxfId="42" priority="66">
      <formula>OR($S224="Closed",$S224="Transferred")</formula>
    </cfRule>
  </conditionalFormatting>
  <conditionalFormatting sqref="B248:C250">
    <cfRule type="expression" dxfId="41" priority="65">
      <formula>OR($S225="Closed",$S225="Transferred")</formula>
    </cfRule>
  </conditionalFormatting>
  <conditionalFormatting sqref="C30 B140:B226 B30:B138">
    <cfRule type="expression" dxfId="40" priority="64">
      <formula>OR($S30="Closed",$S30="Transferred")</formula>
    </cfRule>
  </conditionalFormatting>
  <conditionalFormatting sqref="C32 C34 C36 C38 C43 C46:C47 C49 C51 C53 C55 C57 C59 C61 C63 C65 C67 C69 C72 C74 C76 C78 C80 C82 C84 C86 C88 C90 C92 C94 C97 C99 C101 C103 C105 C107 C109 C111 C113 C115 C117 C119 C121 C123 C125 C127 C129 C131 C133 C135:C136 C138 C142 C144 C146 C148 C150 C152 C154 C156 C158 C160 C162 C164 C166 C168 C170 C173 C175 C177 C179 C181 C183 C185 C187 C189 C191 C193 C195 C197 C199 C201 C203 C205 C207 C209 C211 C213 C215:C216 C218 C220 C222 C224 C226 C40:C41">
    <cfRule type="expression" dxfId="39" priority="63">
      <formula>OR($S32="Closed",$S32="Transferred")</formula>
    </cfRule>
  </conditionalFormatting>
  <conditionalFormatting sqref="C31 C33 C35 C37 C39 C42 C44:C45 C48 C50 C52 C54 C56 C58 C60 C62 C64 C66 C68 C73 C75 C77 C79 C81 C83 C85 C87 C89 C91 C93 C95:C96 C98 C100 C102 C104 C106 C108 C110 C112 C114 C116 C118 C120 C122 C124 C126 C128 C130 C132 C134 C137 C140:C141 C143 C145 C147 C149 C151 C153 C155 C157 C159 C161 C163 C165 C167 C169 C171:C172 C174 C176 C178 C180 C182 C184 C186 C188 C190 C192 C194 C196 C198 C200 C202 C204 C206 C208 C210 C212 C214 C217 C219 C221 C223 C225 C70:C71">
    <cfRule type="expression" dxfId="38" priority="62">
      <formula>OR($S31="Closed",$S31="Transferred")</formula>
    </cfRule>
  </conditionalFormatting>
  <conditionalFormatting sqref="F30">
    <cfRule type="expression" dxfId="37" priority="58">
      <formula>$S30="Closed"</formula>
    </cfRule>
  </conditionalFormatting>
  <conditionalFormatting sqref="F30">
    <cfRule type="expression" dxfId="36" priority="57">
      <formula>$S30="Transferred"</formula>
    </cfRule>
  </conditionalFormatting>
  <conditionalFormatting sqref="F30">
    <cfRule type="expression" dxfId="35" priority="56">
      <formula>$S30="Closed"</formula>
    </cfRule>
  </conditionalFormatting>
  <conditionalFormatting sqref="F30">
    <cfRule type="expression" dxfId="34" priority="61">
      <formula>R30="Closed"</formula>
    </cfRule>
  </conditionalFormatting>
  <conditionalFormatting sqref="F30">
    <cfRule type="expression" dxfId="33" priority="60">
      <formula>$S30="Closed"</formula>
    </cfRule>
  </conditionalFormatting>
  <conditionalFormatting sqref="F30">
    <cfRule type="expression" dxfId="32" priority="59">
      <formula>$S30="Transferred"</formula>
    </cfRule>
  </conditionalFormatting>
  <conditionalFormatting sqref="F30">
    <cfRule type="expression" dxfId="31" priority="55">
      <formula>OR($T30="Closed",$T30="Transferred")</formula>
    </cfRule>
  </conditionalFormatting>
  <conditionalFormatting sqref="F30">
    <cfRule type="expression" dxfId="30" priority="54">
      <formula>OR(#REF!="Closed",#REF!="Transferred")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9" priority="50">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8" priority="49">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7" priority="48">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6" priority="53">
      <formula>R32="Closed"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5" priority="52">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4" priority="51">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3" priority="47">
      <formula>OR($T32="Closed",$T32="Transferred")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2" priority="46">
      <formula>OR(#REF!="Closed",#REF!="Transferred")</formula>
    </cfRule>
  </conditionalFormatting>
  <conditionalFormatting sqref="F31 F33 F35 F37 F39 F42 F44:F45 F48 F50 F52 F56 F58 F60 F62 F64 F66 F68 F70:F71 F73 F75 F77 F79 F81 F83 F85 F87 F89 F91 F93 F95:F96 F98 F100 F102 F104 F106 F108 F110 F112 F114 F116 F118 F120 F122 F124 F126 F128 F130 F132 F134 F137 F140:F141 F143 F145 F147 F149 F151 F153 F155 F157 F159 F161 F163 F165 F167 F169 F171:F172 F174 F176 F178 F180 F182 F184 F186 F188 F190 F192 F194 F196 F198 F200 F202 F204 F206 F208 F210 F212 F214 F217 F219 F221 F223 F225 F54">
    <cfRule type="expression" dxfId="21" priority="45">
      <formula>OR(#REF!="Closed",#REF!="Transferred")</formula>
    </cfRule>
  </conditionalFormatting>
  <conditionalFormatting sqref="E30">
    <cfRule type="expression" dxfId="20" priority="44">
      <formula>OR($S30="Closed",$S30="Transferred")</formula>
    </cfRule>
  </conditionalFormatting>
  <conditionalFormatting sqref="E32 E34 E36 E38 E40:E41 E43 E46:E47 E49 E51 E53 E55 E57 E59 E61 E63 E65 E67 E69 E72 E74 E76 E78 E80 E82 E84 E86 E88 E90 E92 E94 E97 E99 E101 E103 E105 E107 E109 E111 E113 E115 E117 E119 E121 E123 E125 E127 E129 E131 E133 E135:E136 E138 E142 E144 E146 E148 E150 E152 E154 E156 E158 E160 E162 E164 E166 E168 E170 E173 E175 E177 E179 E181 E183 E185 E187 E189 E191 E193 E195 E197 E199 E201 E203 E205 E207 E209 E211 E213 E215:E216 E218 E220 E222 E224 E226">
    <cfRule type="expression" dxfId="19" priority="43">
      <formula>OR($S32="Closed",$S32="Transferred")</formula>
    </cfRule>
  </conditionalFormatting>
  <conditionalFormatting sqref="E31 E33 E35 E37 E39 E42 E44:E45 E48 E50 E52 E54 E56 E58 E60 E62 E64 E66 E68 E70:E71 E73 E75 E77 E79 E81 E83 E85 E87 E89 E91 E93 E95:E96 E98 E100 E102 E104 E106 E108 E110 E112 E114 E116 E118 E120 E122 E124 E126 E128 E130 E132 E134 E137 E140:E141 E143 E145 E147 E149 E151 E153 E155 E157 E159 E161 E163 E165 E167 E169 E171:E172 E174 E176 E178 E180 E182 E184 E186 E188 E190 E192 E194 E196 E198 E200 E202 E204 E206 E208 E210 E212 E214 E217 E219 E221 E223 E225">
    <cfRule type="expression" dxfId="18" priority="42">
      <formula>OR($S31="Closed",$S31="Transferred")</formula>
    </cfRule>
  </conditionalFormatting>
  <conditionalFormatting sqref="F88">
    <cfRule type="expression" dxfId="17" priority="40">
      <formula>OR($S88="Closed",$S88="Transferred")</formula>
    </cfRule>
  </conditionalFormatting>
  <conditionalFormatting sqref="B139">
    <cfRule type="expression" dxfId="16" priority="38">
      <formula>OR($S139="Closed",$S139="Transferred")</formula>
    </cfRule>
  </conditionalFormatting>
  <conditionalFormatting sqref="C139">
    <cfRule type="expression" dxfId="15" priority="37">
      <formula>OR($S139="Closed",$S139="Transferred")</formula>
    </cfRule>
  </conditionalFormatting>
  <conditionalFormatting sqref="E139">
    <cfRule type="expression" dxfId="14" priority="28">
      <formula>OR($S139="Closed",$S139="Transferred")</formula>
    </cfRule>
  </conditionalFormatting>
  <conditionalFormatting sqref="F139">
    <cfRule type="expression" dxfId="13" priority="16">
      <formula>$S139="Closed"</formula>
    </cfRule>
  </conditionalFormatting>
  <conditionalFormatting sqref="F139">
    <cfRule type="expression" dxfId="12" priority="15">
      <formula>$S139="Transferred"</formula>
    </cfRule>
  </conditionalFormatting>
  <conditionalFormatting sqref="F139">
    <cfRule type="expression" dxfId="11" priority="14">
      <formula>$S139="Closed"</formula>
    </cfRule>
  </conditionalFormatting>
  <conditionalFormatting sqref="F139">
    <cfRule type="expression" dxfId="10" priority="19">
      <formula>R139="Closed"</formula>
    </cfRule>
  </conditionalFormatting>
  <conditionalFormatting sqref="F139">
    <cfRule type="expression" dxfId="9" priority="18">
      <formula>$S139="Closed"</formula>
    </cfRule>
  </conditionalFormatting>
  <conditionalFormatting sqref="F139">
    <cfRule type="expression" dxfId="8" priority="17">
      <formula>$S139="Transferred"</formula>
    </cfRule>
  </conditionalFormatting>
  <conditionalFormatting sqref="F139">
    <cfRule type="expression" dxfId="7" priority="13">
      <formula>OR($T139="Closed",$T139="Transferred")</formula>
    </cfRule>
  </conditionalFormatting>
  <conditionalFormatting sqref="F139">
    <cfRule type="expression" dxfId="6" priority="12">
      <formula>OR(#REF!="Closed",#REF!="Transferred")</formula>
    </cfRule>
  </conditionalFormatting>
  <conditionalFormatting sqref="F148">
    <cfRule type="expression" dxfId="5" priority="2">
      <formula>OR($S148="Closed",$S148="Transferred")</formula>
    </cfRule>
  </conditionalFormatting>
  <conditionalFormatting sqref="C260">
    <cfRule type="expression" dxfId="4" priority="1">
      <formula>OR($S260="Closed",$S260="Transferred")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Transmittal Form &amp; School Info</vt:lpstr>
      <vt:lpstr>Financial Position</vt:lpstr>
      <vt:lpstr>Statement of Activities</vt:lpstr>
      <vt:lpstr>Cash Flow</vt:lpstr>
      <vt:lpstr>Functional Expenses</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Ingrid Casio</cp:lastModifiedBy>
  <cp:lastPrinted>2019-09-19T15:49:26Z</cp:lastPrinted>
  <dcterms:created xsi:type="dcterms:W3CDTF">2009-11-18T14:37:23Z</dcterms:created>
  <dcterms:modified xsi:type="dcterms:W3CDTF">2022-11-01T17:35:56Z</dcterms:modified>
</cp:coreProperties>
</file>