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autoCompressPictures="0" defaultThemeVersion="124226"/>
  <mc:AlternateContent xmlns:mc="http://schemas.openxmlformats.org/markup-compatibility/2006">
    <mc:Choice Requires="x15">
      <x15ac:absPath xmlns:x15ac="http://schemas.microsoft.com/office/spreadsheetml/2010/11/ac" url="https://sunysysadmin-my.sharepoint.com/personal/chris_dutkiewicz_suny_edu/Documents/Desktop/Templates/2023-24 Templates/Done/Done Done/"/>
    </mc:Choice>
  </mc:AlternateContent>
  <xr:revisionPtr revIDLastSave="43" documentId="13_ncr:1_{748A4A00-29B9-4B2C-9F9E-243B4444D38A}" xr6:coauthVersionLast="47" xr6:coauthVersionMax="47" xr10:uidLastSave="{6C8CADAE-5F8C-4BB1-A6D5-35E870ED5C8A}"/>
  <workbookProtection workbookAlgorithmName="SHA-512" workbookHashValue="FHdjubtwQ6ZQ10x38EWj7axyFmMhjdfY3tucUErZ7JEN8hctXHEoAFj0qSlHNnUQCdlEAUPEHLxvvezgH1bYjQ==" workbookSaltValue="mrIMKF4XpBp58XVBZMQuHA==" workbookSpinCount="100000" lockStructure="1"/>
  <bookViews>
    <workbookView xWindow="31215" yWindow="1590" windowWidth="19185" windowHeight="10785" tabRatio="951" xr2:uid="{00000000-000D-0000-FFFF-FFFF00000000}"/>
  </bookViews>
  <sheets>
    <sheet name="INSTRUCTIONS" sheetId="1" r:id="rId1"/>
    <sheet name="Funding by District" sheetId="11" r:id="rId2"/>
    <sheet name="1.) Name of School" sheetId="3" r:id="rId3"/>
    <sheet name="2.) Enrollment" sheetId="21" r:id="rId4"/>
    <sheet name="3.) Staffing Plan" sheetId="14" r:id="rId5"/>
    <sheet name="4.) Yearly Budget" sheetId="18" r:id="rId6"/>
    <sheet name="5.) Balance Sheet" sheetId="17" r:id="rId7"/>
    <sheet name="6.) Quarterly Report" sheetId="20" r:id="rId8"/>
    <sheet name="7.) Annual Report Requirement" sheetId="19" state="veryHidden" r:id="rId9"/>
    <sheet name="CONTROL" sheetId="15" state="veryHidden" r:id="rId10"/>
  </sheets>
  <externalReferences>
    <externalReference r:id="rId11"/>
    <externalReference r:id="rId12"/>
  </externalReferences>
  <definedNames>
    <definedName name="_Fill" localSheetId="1" hidden="1">#REF!</definedName>
    <definedName name="_Fill" hidden="1">#REF!</definedName>
    <definedName name="_xlnm._FilterDatabase" localSheetId="9" hidden="1">CONTROL!$B$808:$G$1022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cadYr1">'1.) Name of School'!$D$18</definedName>
    <definedName name="BSNote">CONTROL!#REF!</definedName>
    <definedName name="BSNote1">CONTROL!$C$797</definedName>
    <definedName name="BSNote2">CONTROL!$C$798</definedName>
    <definedName name="BSNoteCode">CONTROL!$C$796</definedName>
    <definedName name="DATA_01" hidden="1">'[1]Bond Amortization1'!#REF!</definedName>
    <definedName name="DATA_08" hidden="1">'[1]Bond Amortization1'!#REF!</definedName>
    <definedName name="DistrictList">'Funding by District'!$D$6:$D$683</definedName>
    <definedName name="DVList_AcadYr">CONTROL!$B$15:$B$17</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CONTROL!$B$43:$B$45</definedName>
    <definedName name="List_GradeLevels">CONTROL!$B$43:$B$46</definedName>
    <definedName name="Mssg1">CONTROL!$B$38</definedName>
    <definedName name="Mssg2">CONTROL!$B$39</definedName>
    <definedName name="Mssg3">CONTROL!$B$40</definedName>
    <definedName name="mySchools">Table2[SCHOOLS]</definedName>
    <definedName name="Percentages">#REF!</definedName>
    <definedName name="PPR_Tbl_Date">CONTROL!$I$35</definedName>
    <definedName name="_xlnm.Print_Area" localSheetId="2">'1.) Name of School'!$C$2:$E$19</definedName>
    <definedName name="_xlnm.Print_Area" localSheetId="3">'2.) Enrollment'!$A$1:$T$71</definedName>
    <definedName name="_xlnm.Print_Area" localSheetId="4">'3.) Staffing Plan'!$B$2:$T$45</definedName>
    <definedName name="_xlnm.Print_Area" localSheetId="5">'4.) Yearly Budget'!$B$2:$AA$183,'4.) Yearly Budget'!$B$185:$AA$205</definedName>
    <definedName name="_xlnm.Print_Area" localSheetId="6">'5.) Balance Sheet'!$B$2:$J$49</definedName>
    <definedName name="_xlnm.Print_Area" localSheetId="7">'6.) Quarterly Report'!$B$2:$AE$183</definedName>
    <definedName name="_xlnm.Print_Area" localSheetId="1">'Funding by District'!$C$2:$F$3</definedName>
    <definedName name="_xlnm.Print_Area" localSheetId="0">INSTRUCTIONS!$B$2:$F$30</definedName>
    <definedName name="_xlnm.Print_Titles" localSheetId="3">'2.) Enrollment'!$19:$21</definedName>
    <definedName name="_xlnm.Print_Titles" localSheetId="4">'3.) Staffing Plan'!$A:$B,'3.) Staffing Plan'!$1:$2</definedName>
    <definedName name="_xlnm.Print_Titles" localSheetId="5">'4.) Yearly Budget'!$B:$H,'4.) Yearly Budget'!$2:$13</definedName>
    <definedName name="_xlnm.Print_Titles" localSheetId="7">'6.) Quarterly Report'!$B:$H,'6.) Quarterly Report'!$2:$13</definedName>
    <definedName name="_xlnm.Print_Titles" localSheetId="1">'Funding by District'!$1:$5</definedName>
    <definedName name="PriorPeriod">CONTROL!$I$22</definedName>
    <definedName name="QTR">CONTROL!$O$10</definedName>
    <definedName name="QTR_MSG">CONTROL!$M$12</definedName>
    <definedName name="School">CONTROL!$I$5</definedName>
    <definedName name="SCHOOLS">CONTROL!$B$808:$G$1022</definedName>
    <definedName name="UnusedDistrictList" comment="List of School Districts that have NOT been selected yet.  (Array Forumula Range...requires using F2 to modify and Ctrl-Shift-Enter to enter formula).">OFFSET(CONTROL!$B$109,0,0,COUNTA(CONTROL!$B$109:$B$788)-COUNTBLANK(CONTROL!$B$109:$B$788),1)</definedName>
    <definedName name="X_PositionsCategories">OFFSET([2]Assumptions!$AN$67,0,0,COUNTA([2]Assumptions!$AN:$AN)-1,1)</definedName>
    <definedName name="Year1">CONTROL!$I$16</definedName>
    <definedName name="Year2">CONTROL!$I$17</definedName>
    <definedName name="Year3">CONTROL!$I$18</definedName>
    <definedName name="Year4">CONTROL!$I$19</definedName>
    <definedName name="Year5">CONTROL!$I$20</definedName>
    <definedName name="Z_5E4DC421_887D_9843_8B54_CF861F76B668_.wvu.PrintArea" localSheetId="2" hidden="1">'1.) Name of School'!$C$2:$D$20</definedName>
    <definedName name="Z_5E4DC421_887D_9843_8B54_CF861F76B668_.wvu.PrintArea" localSheetId="0" hidden="1">INSTRUCTIONS!$C$2:$D$38</definedName>
    <definedName name="Z_7E5415B2_297C_4CDE_9A5E_CCA4F5662440_.wvu.PrintArea" localSheetId="2" hidden="1">'1.) Name of School'!$C$2:$D$20</definedName>
    <definedName name="Z_7E5415B2_297C_4CDE_9A5E_CCA4F5662440_.wvu.PrintArea" localSheetId="0" hidden="1">INSTRUCTIONS!$C$2:$D$38</definedName>
  </definedNames>
  <calcPr calcId="191029"/>
  <customWorkbookViews>
    <customWorkbookView name="Citizens  World - Personal View" guid="{5E4DC421-887D-9843-8B54-CF861F76B668}" mergeInterval="0" personalView="1" yWindow="54" windowWidth="1276" windowHeight="724" tabRatio="951" activeSheetId="1"/>
    <customWorkbookView name="DHruby - Personal View" guid="{7E5415B2-297C-4CDE-9A5E-CCA4F5662440}" mergeInterval="0" personalView="1" maximized="1" windowWidth="1916" windowHeight="825" tabRatio="951"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5" i="15" l="1"/>
  <c r="H835" i="15"/>
  <c r="G972" i="15"/>
  <c r="G957" i="15"/>
  <c r="H972" i="15"/>
  <c r="H957" i="15"/>
  <c r="G926" i="15" l="1"/>
  <c r="H926" i="15" s="1"/>
  <c r="G936" i="15"/>
  <c r="H936" i="15" s="1"/>
  <c r="G812" i="15"/>
  <c r="H812" i="15"/>
  <c r="G999" i="15"/>
  <c r="H999" i="15" s="1"/>
  <c r="G998" i="15"/>
  <c r="H998" i="15" s="1"/>
  <c r="G971" i="15"/>
  <c r="H971" i="15"/>
  <c r="G966" i="15"/>
  <c r="H966" i="15"/>
  <c r="G963" i="15"/>
  <c r="H963" i="15" s="1"/>
  <c r="G945" i="15"/>
  <c r="H945" i="15"/>
  <c r="G854" i="15"/>
  <c r="H854" i="15" s="1"/>
  <c r="G902" i="15"/>
  <c r="H902" i="15"/>
  <c r="G899" i="15"/>
  <c r="H899" i="15" s="1"/>
  <c r="G879" i="15"/>
  <c r="H879" i="15" s="1"/>
  <c r="G877" i="15"/>
  <c r="H877" i="15"/>
  <c r="G819" i="15"/>
  <c r="H819" i="15" s="1"/>
  <c r="H938" i="15"/>
  <c r="G938" i="15"/>
  <c r="G823" i="15"/>
  <c r="H823" i="15" s="1"/>
  <c r="G860" i="15" l="1"/>
  <c r="H860" i="15"/>
  <c r="G881" i="15"/>
  <c r="H881" i="15"/>
  <c r="G928" i="15"/>
  <c r="H928" i="15" s="1"/>
  <c r="G829" i="15"/>
  <c r="H829" i="15" s="1"/>
  <c r="B52" i="15" l="1"/>
  <c r="G969" i="15" l="1"/>
  <c r="H969" i="15"/>
  <c r="G813" i="15" l="1"/>
  <c r="G810" i="15"/>
  <c r="G811" i="15"/>
  <c r="G814" i="15"/>
  <c r="G815" i="15"/>
  <c r="G816" i="15"/>
  <c r="G817" i="15"/>
  <c r="G818" i="15"/>
  <c r="G820" i="15"/>
  <c r="G821" i="15"/>
  <c r="G822" i="15"/>
  <c r="G824" i="15"/>
  <c r="G825" i="15"/>
  <c r="G826" i="15"/>
  <c r="G827" i="15"/>
  <c r="G828" i="15"/>
  <c r="G830" i="15"/>
  <c r="G831" i="15"/>
  <c r="G832" i="15"/>
  <c r="G833" i="15"/>
  <c r="G834" i="15"/>
  <c r="G836" i="15"/>
  <c r="G837" i="15"/>
  <c r="G838" i="15"/>
  <c r="G839" i="15"/>
  <c r="G840" i="15"/>
  <c r="G841" i="15"/>
  <c r="G842" i="15"/>
  <c r="G843" i="15"/>
  <c r="G844" i="15"/>
  <c r="G845" i="15"/>
  <c r="G846" i="15"/>
  <c r="G847" i="15"/>
  <c r="G848" i="15"/>
  <c r="G849" i="15"/>
  <c r="G850" i="15"/>
  <c r="G851" i="15"/>
  <c r="G852" i="15"/>
  <c r="G853" i="15"/>
  <c r="G855" i="15"/>
  <c r="G856" i="15"/>
  <c r="G857" i="15"/>
  <c r="G858" i="15"/>
  <c r="G859" i="15"/>
  <c r="G861" i="15"/>
  <c r="G862" i="15"/>
  <c r="G863" i="15"/>
  <c r="G864" i="15"/>
  <c r="G865" i="15"/>
  <c r="G866" i="15"/>
  <c r="G867" i="15"/>
  <c r="G868" i="15"/>
  <c r="G869" i="15"/>
  <c r="G870" i="15"/>
  <c r="G871" i="15"/>
  <c r="G872" i="15"/>
  <c r="G873" i="15"/>
  <c r="G874" i="15"/>
  <c r="G875" i="15"/>
  <c r="G876" i="15"/>
  <c r="G878" i="15"/>
  <c r="G880" i="15"/>
  <c r="G882" i="15"/>
  <c r="G883" i="15"/>
  <c r="G884" i="15"/>
  <c r="G885" i="15"/>
  <c r="G886" i="15"/>
  <c r="G887" i="15"/>
  <c r="G888" i="15"/>
  <c r="G889" i="15"/>
  <c r="G890" i="15"/>
  <c r="G891" i="15"/>
  <c r="G892" i="15"/>
  <c r="G893" i="15"/>
  <c r="G894" i="15"/>
  <c r="G895" i="15"/>
  <c r="G896" i="15"/>
  <c r="G897" i="15"/>
  <c r="G898" i="15"/>
  <c r="G900" i="15"/>
  <c r="G901" i="15"/>
  <c r="G903" i="15"/>
  <c r="G904" i="15"/>
  <c r="G905" i="15"/>
  <c r="G906" i="15"/>
  <c r="G907" i="15"/>
  <c r="G908" i="15"/>
  <c r="G909" i="15"/>
  <c r="G910" i="15"/>
  <c r="G911" i="15"/>
  <c r="G912" i="15"/>
  <c r="G913" i="15"/>
  <c r="G914" i="15"/>
  <c r="G915" i="15"/>
  <c r="G916" i="15"/>
  <c r="G917" i="15"/>
  <c r="G918" i="15"/>
  <c r="G919" i="15"/>
  <c r="G920" i="15"/>
  <c r="G921" i="15"/>
  <c r="G922" i="15"/>
  <c r="G923" i="15"/>
  <c r="G924" i="15"/>
  <c r="G925" i="15"/>
  <c r="G927" i="15"/>
  <c r="G929" i="15"/>
  <c r="G930" i="15"/>
  <c r="G931" i="15"/>
  <c r="G932" i="15"/>
  <c r="G933" i="15"/>
  <c r="G934" i="15"/>
  <c r="G935" i="15"/>
  <c r="H935" i="15" s="1"/>
  <c r="G937" i="15"/>
  <c r="G939" i="15"/>
  <c r="G940" i="15"/>
  <c r="G941" i="15"/>
  <c r="G942" i="15"/>
  <c r="G943" i="15"/>
  <c r="G944" i="15"/>
  <c r="G946" i="15"/>
  <c r="G947" i="15"/>
  <c r="G948" i="15"/>
  <c r="G949" i="15"/>
  <c r="G950" i="15"/>
  <c r="G951" i="15"/>
  <c r="G952" i="15"/>
  <c r="G953" i="15"/>
  <c r="G954" i="15"/>
  <c r="G955" i="15"/>
  <c r="G956" i="15"/>
  <c r="G958" i="15"/>
  <c r="G959" i="15"/>
  <c r="G960" i="15"/>
  <c r="G961" i="15"/>
  <c r="G962" i="15"/>
  <c r="G964" i="15"/>
  <c r="G965" i="15"/>
  <c r="G967" i="15"/>
  <c r="G968" i="15"/>
  <c r="G970" i="15"/>
  <c r="G973" i="15"/>
  <c r="G974" i="15"/>
  <c r="G975" i="15"/>
  <c r="G976" i="15"/>
  <c r="G977" i="15"/>
  <c r="G978" i="15"/>
  <c r="G979" i="15"/>
  <c r="G980" i="15"/>
  <c r="G981" i="15"/>
  <c r="G982" i="15"/>
  <c r="G983" i="15"/>
  <c r="G984" i="15"/>
  <c r="G985" i="15"/>
  <c r="G986" i="15"/>
  <c r="G987" i="15"/>
  <c r="G988" i="15"/>
  <c r="G989" i="15"/>
  <c r="G990" i="15"/>
  <c r="G991" i="15"/>
  <c r="G992" i="15"/>
  <c r="G993" i="15"/>
  <c r="G994" i="15"/>
  <c r="G995" i="15"/>
  <c r="G996" i="15"/>
  <c r="G997" i="15"/>
  <c r="G1000" i="15"/>
  <c r="G1001" i="15"/>
  <c r="G1002" i="15"/>
  <c r="G1003" i="15"/>
  <c r="G1004" i="15"/>
  <c r="G1005" i="15"/>
  <c r="G1006" i="15"/>
  <c r="G1007" i="15"/>
  <c r="G1008" i="15"/>
  <c r="G1009" i="15"/>
  <c r="H1009" i="15" s="1"/>
  <c r="G1010" i="15"/>
  <c r="H1010" i="15" s="1"/>
  <c r="G1011" i="15"/>
  <c r="H1011" i="15" s="1"/>
  <c r="G1012" i="15"/>
  <c r="H1012" i="15" s="1"/>
  <c r="G1013" i="15"/>
  <c r="H1013" i="15" s="1"/>
  <c r="G1014" i="15"/>
  <c r="G1015" i="15"/>
  <c r="H1015" i="15" s="1"/>
  <c r="G1016" i="15"/>
  <c r="H1016" i="15" s="1"/>
  <c r="G1017" i="15"/>
  <c r="G1018" i="15"/>
  <c r="H1018" i="15" s="1"/>
  <c r="G1019" i="15"/>
  <c r="H1019" i="15" s="1"/>
  <c r="G1020" i="15"/>
  <c r="H1020" i="15" s="1"/>
  <c r="G1021" i="15"/>
  <c r="H1021" i="15" s="1"/>
  <c r="G1022" i="15"/>
  <c r="H1022" i="15" s="1"/>
  <c r="H1014" i="15"/>
  <c r="H1017" i="15"/>
  <c r="Z63" i="20" l="1"/>
  <c r="Z62" i="20"/>
  <c r="Z61" i="20"/>
  <c r="Z60" i="20"/>
  <c r="Z59" i="20"/>
  <c r="Z58" i="20"/>
  <c r="Z57" i="20"/>
  <c r="Z56" i="20"/>
  <c r="Z52" i="20"/>
  <c r="Z51" i="20"/>
  <c r="Z50" i="20"/>
  <c r="Z48" i="20"/>
  <c r="Z47" i="20"/>
  <c r="Z46" i="20"/>
  <c r="Z45" i="20"/>
  <c r="Z41" i="20"/>
  <c r="Z40" i="20"/>
  <c r="Z39" i="20"/>
  <c r="Z38" i="20"/>
  <c r="Z37" i="20"/>
  <c r="Z35" i="20"/>
  <c r="H810" i="15" l="1"/>
  <c r="H811" i="15"/>
  <c r="H814" i="15"/>
  <c r="H815" i="15"/>
  <c r="H816" i="15"/>
  <c r="H817" i="15"/>
  <c r="H818" i="15"/>
  <c r="H820" i="15"/>
  <c r="H821" i="15"/>
  <c r="H822" i="15"/>
  <c r="H824" i="15"/>
  <c r="H825" i="15"/>
  <c r="H826" i="15"/>
  <c r="H827" i="15"/>
  <c r="H828" i="15"/>
  <c r="H830" i="15"/>
  <c r="H831" i="15"/>
  <c r="H832" i="15"/>
  <c r="H833" i="15"/>
  <c r="H834" i="15"/>
  <c r="H836" i="15"/>
  <c r="H837" i="15"/>
  <c r="H838" i="15"/>
  <c r="H839" i="15"/>
  <c r="H840" i="15"/>
  <c r="H841" i="15"/>
  <c r="H842" i="15"/>
  <c r="H843" i="15"/>
  <c r="H844" i="15"/>
  <c r="H845" i="15"/>
  <c r="H846" i="15"/>
  <c r="H847" i="15"/>
  <c r="H848" i="15"/>
  <c r="H849" i="15"/>
  <c r="H850" i="15"/>
  <c r="H851" i="15"/>
  <c r="H852" i="15"/>
  <c r="H853" i="15"/>
  <c r="H855" i="15"/>
  <c r="H856" i="15"/>
  <c r="H857" i="15"/>
  <c r="H858" i="15"/>
  <c r="H859" i="15"/>
  <c r="H861" i="15"/>
  <c r="H862" i="15"/>
  <c r="H863" i="15"/>
  <c r="H864" i="15"/>
  <c r="H865" i="15"/>
  <c r="H866" i="15"/>
  <c r="H867" i="15"/>
  <c r="H868" i="15"/>
  <c r="H869" i="15"/>
  <c r="H870" i="15"/>
  <c r="H871" i="15"/>
  <c r="H872" i="15"/>
  <c r="H873" i="15"/>
  <c r="H874" i="15"/>
  <c r="H875" i="15"/>
  <c r="H876" i="15"/>
  <c r="H878" i="15"/>
  <c r="H880" i="15"/>
  <c r="H882" i="15"/>
  <c r="H883" i="15"/>
  <c r="H884" i="15"/>
  <c r="H885" i="15"/>
  <c r="H886" i="15"/>
  <c r="H887" i="15"/>
  <c r="H888" i="15"/>
  <c r="H889" i="15"/>
  <c r="H890" i="15"/>
  <c r="H891" i="15"/>
  <c r="H892" i="15"/>
  <c r="H893" i="15"/>
  <c r="H894" i="15"/>
  <c r="H895" i="15"/>
  <c r="H896" i="15"/>
  <c r="H897" i="15"/>
  <c r="H898" i="15"/>
  <c r="H900" i="15"/>
  <c r="H901" i="15"/>
  <c r="H903" i="15"/>
  <c r="H904" i="15"/>
  <c r="H905" i="15"/>
  <c r="H906" i="15"/>
  <c r="H907" i="15"/>
  <c r="H908" i="15"/>
  <c r="H909" i="15"/>
  <c r="H910" i="15"/>
  <c r="H911" i="15"/>
  <c r="H912" i="15"/>
  <c r="H913" i="15"/>
  <c r="H914" i="15"/>
  <c r="H915" i="15"/>
  <c r="H916" i="15"/>
  <c r="H917" i="15"/>
  <c r="H918" i="15"/>
  <c r="H919" i="15"/>
  <c r="H920" i="15"/>
  <c r="H921" i="15"/>
  <c r="H922" i="15"/>
  <c r="H923" i="15"/>
  <c r="H924" i="15"/>
  <c r="H925" i="15"/>
  <c r="H927" i="15"/>
  <c r="H929" i="15"/>
  <c r="H930" i="15"/>
  <c r="H931" i="15"/>
  <c r="H932" i="15"/>
  <c r="H933" i="15"/>
  <c r="H934" i="15"/>
  <c r="H937" i="15"/>
  <c r="H939" i="15"/>
  <c r="H940" i="15"/>
  <c r="H941" i="15"/>
  <c r="H942" i="15"/>
  <c r="H943" i="15"/>
  <c r="H944" i="15"/>
  <c r="H946" i="15"/>
  <c r="H947" i="15"/>
  <c r="H948" i="15"/>
  <c r="H949" i="15"/>
  <c r="H950" i="15"/>
  <c r="H951" i="15"/>
  <c r="H952" i="15"/>
  <c r="H953" i="15"/>
  <c r="H954" i="15"/>
  <c r="H955" i="15"/>
  <c r="H956" i="15"/>
  <c r="H958" i="15"/>
  <c r="H959" i="15"/>
  <c r="H960" i="15"/>
  <c r="H961" i="15"/>
  <c r="H962" i="15"/>
  <c r="H964" i="15"/>
  <c r="H965" i="15"/>
  <c r="H967" i="15"/>
  <c r="H968" i="15"/>
  <c r="H970" i="15"/>
  <c r="H973" i="15"/>
  <c r="H974" i="15"/>
  <c r="H975" i="15"/>
  <c r="H976" i="15"/>
  <c r="H977" i="15"/>
  <c r="H978" i="15"/>
  <c r="H979" i="15"/>
  <c r="H980" i="15"/>
  <c r="H981" i="15"/>
  <c r="H982" i="15"/>
  <c r="H983" i="15"/>
  <c r="H984" i="15"/>
  <c r="H985" i="15"/>
  <c r="H986" i="15"/>
  <c r="H987" i="15"/>
  <c r="H988" i="15"/>
  <c r="H989" i="15"/>
  <c r="H990" i="15"/>
  <c r="H991" i="15"/>
  <c r="H992" i="15"/>
  <c r="H993" i="15"/>
  <c r="H994" i="15"/>
  <c r="H995" i="15"/>
  <c r="H996" i="15"/>
  <c r="H997" i="15"/>
  <c r="H1000" i="15"/>
  <c r="H1001" i="15"/>
  <c r="H1002" i="15"/>
  <c r="H1003" i="15"/>
  <c r="H1004" i="15"/>
  <c r="H1005" i="15"/>
  <c r="H1006" i="15"/>
  <c r="H1007" i="15"/>
  <c r="H1008" i="15"/>
  <c r="Z155" i="20" l="1"/>
  <c r="V155" i="18"/>
  <c r="Y155" i="18" s="1"/>
  <c r="AB155" i="20" l="1"/>
  <c r="H813" i="15" l="1"/>
  <c r="V196" i="18" l="1"/>
  <c r="Y196" i="18" s="1"/>
  <c r="V195" i="18"/>
  <c r="Y195" i="18" s="1"/>
  <c r="V192" i="18"/>
  <c r="Y192" i="18" s="1"/>
  <c r="V191" i="18"/>
  <c r="Y191" i="18" s="1"/>
  <c r="V188" i="18"/>
  <c r="Y188" i="18" s="1"/>
  <c r="V187" i="18"/>
  <c r="Y187" i="18" s="1"/>
  <c r="T197" i="18"/>
  <c r="S197" i="18"/>
  <c r="Q197" i="18"/>
  <c r="P197" i="18"/>
  <c r="N197" i="18"/>
  <c r="M197" i="18"/>
  <c r="K197" i="18"/>
  <c r="J197" i="18"/>
  <c r="I197" i="18"/>
  <c r="T193" i="18"/>
  <c r="S193" i="18"/>
  <c r="Q193" i="18"/>
  <c r="P193" i="18"/>
  <c r="N193" i="18"/>
  <c r="M193" i="18"/>
  <c r="K193" i="18"/>
  <c r="J193" i="18"/>
  <c r="I193" i="18"/>
  <c r="T189" i="18"/>
  <c r="S189" i="18"/>
  <c r="Q189" i="18"/>
  <c r="P189" i="18"/>
  <c r="N189" i="18"/>
  <c r="M189" i="18"/>
  <c r="K189" i="18"/>
  <c r="J189" i="18"/>
  <c r="I189" i="18"/>
  <c r="Y193" i="18" l="1"/>
  <c r="N199" i="18"/>
  <c r="Y189" i="18"/>
  <c r="M199" i="18"/>
  <c r="T199" i="18"/>
  <c r="Q199" i="18"/>
  <c r="I199" i="18"/>
  <c r="Y197" i="18"/>
  <c r="P199" i="18"/>
  <c r="K199" i="18"/>
  <c r="J199" i="18"/>
  <c r="V189" i="18"/>
  <c r="S199" i="18"/>
  <c r="V197" i="18"/>
  <c r="V193" i="18"/>
  <c r="Y199" i="18" l="1"/>
  <c r="V199" i="18"/>
  <c r="B9" i="21" l="1"/>
  <c r="F43" i="15" l="1"/>
  <c r="E20" i="3" s="1"/>
  <c r="D40" i="20" l="1"/>
  <c r="V40" i="18"/>
  <c r="AB40" i="20" s="1"/>
  <c r="Y40" i="18" l="1"/>
  <c r="S17" i="18" l="1"/>
  <c r="W53" i="15" l="1"/>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52" i="15"/>
  <c r="V53" i="15"/>
  <c r="V54" i="15"/>
  <c r="V55" i="15"/>
  <c r="V56" i="15"/>
  <c r="V57" i="15"/>
  <c r="V58" i="15"/>
  <c r="V59" i="15"/>
  <c r="V60" i="15"/>
  <c r="V61" i="15"/>
  <c r="V62" i="15"/>
  <c r="V63" i="15"/>
  <c r="V64" i="15"/>
  <c r="V65" i="15"/>
  <c r="V66" i="15"/>
  <c r="V67" i="15"/>
  <c r="V68" i="15"/>
  <c r="V69" i="15"/>
  <c r="V70" i="15"/>
  <c r="V71" i="15"/>
  <c r="V72" i="15"/>
  <c r="V73" i="15"/>
  <c r="V74" i="15"/>
  <c r="V75" i="15"/>
  <c r="V76" i="15"/>
  <c r="V77" i="15"/>
  <c r="V78" i="15"/>
  <c r="V79" i="15"/>
  <c r="V80" i="15"/>
  <c r="V81" i="15"/>
  <c r="V82" i="15"/>
  <c r="V83" i="15"/>
  <c r="V84" i="15"/>
  <c r="V85" i="15"/>
  <c r="V86" i="15"/>
  <c r="V87" i="15"/>
  <c r="V88" i="15"/>
  <c r="V89" i="15"/>
  <c r="V90" i="15"/>
  <c r="V91" i="15"/>
  <c r="V92" i="15"/>
  <c r="V93" i="15"/>
  <c r="V94" i="15"/>
  <c r="V95" i="15"/>
  <c r="V96" i="15"/>
  <c r="V97" i="15"/>
  <c r="V98" i="15"/>
  <c r="V99" i="15"/>
  <c r="V100" i="15"/>
  <c r="V101" i="15"/>
  <c r="V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52" i="15"/>
  <c r="T17" i="18" l="1"/>
  <c r="C9" i="3" l="1"/>
  <c r="J163" i="18" l="1"/>
  <c r="K163" i="18"/>
  <c r="J164" i="18"/>
  <c r="K164" i="18"/>
  <c r="J165" i="18"/>
  <c r="K165" i="18"/>
  <c r="J166" i="18"/>
  <c r="K166" i="18"/>
  <c r="J167" i="18"/>
  <c r="K167" i="18"/>
  <c r="J168" i="18"/>
  <c r="K168" i="18"/>
  <c r="J169" i="18"/>
  <c r="K169" i="18"/>
  <c r="J170" i="18"/>
  <c r="K170" i="18"/>
  <c r="J171" i="18"/>
  <c r="K171" i="18"/>
  <c r="J172" i="18"/>
  <c r="K172" i="18"/>
  <c r="J173" i="18"/>
  <c r="K173" i="18"/>
  <c r="J174" i="18"/>
  <c r="K174" i="18"/>
  <c r="J175" i="18"/>
  <c r="K175" i="18"/>
  <c r="J176" i="18"/>
  <c r="K176" i="18"/>
  <c r="J177" i="18"/>
  <c r="K177"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M176" i="18"/>
  <c r="N176" i="18"/>
  <c r="M177" i="18"/>
  <c r="N177" i="18"/>
  <c r="P163" i="18"/>
  <c r="Q163" i="18"/>
  <c r="P164" i="18"/>
  <c r="Q164" i="18"/>
  <c r="P165" i="18"/>
  <c r="Q165" i="18"/>
  <c r="P166" i="18"/>
  <c r="Q166" i="18"/>
  <c r="P167" i="18"/>
  <c r="Q167" i="18"/>
  <c r="P168" i="18"/>
  <c r="Q168" i="18"/>
  <c r="P169" i="18"/>
  <c r="Q169" i="18"/>
  <c r="P170" i="18"/>
  <c r="Q170" i="18"/>
  <c r="P171" i="18"/>
  <c r="Q171" i="18"/>
  <c r="P172" i="18"/>
  <c r="Q172" i="18"/>
  <c r="P173" i="18"/>
  <c r="Q173" i="18"/>
  <c r="P174" i="18"/>
  <c r="Q174" i="18"/>
  <c r="P175" i="18"/>
  <c r="Q175" i="18"/>
  <c r="P176" i="18"/>
  <c r="Q176" i="18"/>
  <c r="P177" i="18"/>
  <c r="Q177" i="18"/>
  <c r="S163" i="18"/>
  <c r="T163" i="18"/>
  <c r="S164" i="18"/>
  <c r="T164" i="18"/>
  <c r="S165" i="18"/>
  <c r="T165" i="18"/>
  <c r="S166" i="18"/>
  <c r="T166" i="18"/>
  <c r="S167" i="18"/>
  <c r="T167" i="18"/>
  <c r="S168" i="18"/>
  <c r="T168" i="18"/>
  <c r="S169" i="18"/>
  <c r="T169" i="18"/>
  <c r="S170" i="18"/>
  <c r="T170" i="18"/>
  <c r="S171" i="18"/>
  <c r="T171" i="18"/>
  <c r="S172" i="18"/>
  <c r="T172" i="18"/>
  <c r="S173" i="18"/>
  <c r="T173" i="18"/>
  <c r="S174" i="18"/>
  <c r="T174" i="18"/>
  <c r="S175" i="18"/>
  <c r="T175" i="18"/>
  <c r="S176" i="18"/>
  <c r="T176" i="18"/>
  <c r="S177" i="18"/>
  <c r="T177" i="18"/>
  <c r="I34" i="18"/>
  <c r="I42" i="18" s="1"/>
  <c r="M32" i="14"/>
  <c r="L32" i="14"/>
  <c r="K32" i="14"/>
  <c r="J32" i="14"/>
  <c r="I32" i="14"/>
  <c r="H32" i="14"/>
  <c r="G32" i="14"/>
  <c r="F32" i="14"/>
  <c r="R178" i="20" l="1"/>
  <c r="O178" i="20"/>
  <c r="L178" i="20"/>
  <c r="R164" i="20"/>
  <c r="R165" i="20"/>
  <c r="R166" i="20"/>
  <c r="R167" i="20"/>
  <c r="R168" i="20"/>
  <c r="R169" i="20"/>
  <c r="R170" i="20"/>
  <c r="R171" i="20"/>
  <c r="R172" i="20"/>
  <c r="R173" i="20"/>
  <c r="R174" i="20"/>
  <c r="R175" i="20"/>
  <c r="R176" i="20"/>
  <c r="R177" i="20"/>
  <c r="O164" i="20"/>
  <c r="O165" i="20"/>
  <c r="O166" i="20"/>
  <c r="O167" i="20"/>
  <c r="O168" i="20"/>
  <c r="O169" i="20"/>
  <c r="O170" i="20"/>
  <c r="O171" i="20"/>
  <c r="O172" i="20"/>
  <c r="O173" i="20"/>
  <c r="O174" i="20"/>
  <c r="O175" i="20"/>
  <c r="O176" i="20"/>
  <c r="O177" i="20"/>
  <c r="R163" i="20"/>
  <c r="O163" i="20"/>
  <c r="L164" i="20"/>
  <c r="L165" i="20"/>
  <c r="L166" i="20"/>
  <c r="L167" i="20"/>
  <c r="L168" i="20"/>
  <c r="L169" i="20"/>
  <c r="L170" i="20"/>
  <c r="L171" i="20"/>
  <c r="L172" i="20"/>
  <c r="L173" i="20"/>
  <c r="L174" i="20"/>
  <c r="L175" i="20"/>
  <c r="L176" i="20"/>
  <c r="L177" i="20"/>
  <c r="L163" i="20"/>
  <c r="I178" i="20"/>
  <c r="I164" i="20"/>
  <c r="I165" i="20"/>
  <c r="I166" i="20"/>
  <c r="I167" i="20"/>
  <c r="I168" i="20"/>
  <c r="I169" i="20"/>
  <c r="I170" i="20"/>
  <c r="I171" i="20"/>
  <c r="I172" i="20"/>
  <c r="I173" i="20"/>
  <c r="I174" i="20"/>
  <c r="I175" i="20"/>
  <c r="I176" i="20"/>
  <c r="I177" i="20"/>
  <c r="I163" i="20"/>
  <c r="C42" i="20"/>
  <c r="D41" i="20"/>
  <c r="E39" i="20"/>
  <c r="E38" i="20"/>
  <c r="E37" i="20"/>
  <c r="D36" i="20"/>
  <c r="D35" i="20"/>
  <c r="D34" i="20"/>
  <c r="D17" i="20"/>
  <c r="R77" i="20" l="1"/>
  <c r="R96" i="20"/>
  <c r="L96" i="20"/>
  <c r="L88" i="20"/>
  <c r="O96" i="20"/>
  <c r="O88" i="20"/>
  <c r="R88" i="20"/>
  <c r="O77" i="20"/>
  <c r="L77" i="20"/>
  <c r="Z10" i="20"/>
  <c r="G92" i="18"/>
  <c r="G93" i="18"/>
  <c r="G94" i="18"/>
  <c r="G95" i="18"/>
  <c r="G91" i="18"/>
  <c r="G72" i="18"/>
  <c r="G73" i="18"/>
  <c r="G74" i="18"/>
  <c r="G75" i="18"/>
  <c r="G76" i="18"/>
  <c r="G71" i="18"/>
  <c r="R42" i="14"/>
  <c r="Q42" i="14"/>
  <c r="P42" i="14"/>
  <c r="O42" i="14"/>
  <c r="M42" i="14"/>
  <c r="L42" i="14"/>
  <c r="K42" i="14"/>
  <c r="J42" i="14"/>
  <c r="I42" i="14"/>
  <c r="H42" i="14"/>
  <c r="G42" i="14"/>
  <c r="F42" i="14"/>
  <c r="D42" i="14"/>
  <c r="R32" i="14"/>
  <c r="Q32" i="14"/>
  <c r="P32" i="14"/>
  <c r="O32" i="14"/>
  <c r="D32" i="14"/>
  <c r="G85" i="18"/>
  <c r="G84" i="18"/>
  <c r="G83" i="18"/>
  <c r="G82" i="18"/>
  <c r="R19" i="14"/>
  <c r="Q19" i="14"/>
  <c r="P19" i="14"/>
  <c r="O19" i="14"/>
  <c r="M19" i="14"/>
  <c r="L19" i="14"/>
  <c r="K19" i="14"/>
  <c r="J19" i="14"/>
  <c r="I19" i="14"/>
  <c r="H19" i="14"/>
  <c r="G19" i="14"/>
  <c r="F19" i="14"/>
  <c r="D19" i="14"/>
  <c r="L98" i="20" l="1"/>
  <c r="R98" i="20"/>
  <c r="Q44" i="14"/>
  <c r="P44" i="14"/>
  <c r="O44" i="14"/>
  <c r="D44" i="14"/>
  <c r="R44" i="14"/>
  <c r="O98" i="20"/>
  <c r="G81" i="18"/>
  <c r="G80" i="18"/>
  <c r="G86" i="18"/>
  <c r="L44" i="14"/>
  <c r="J44" i="14"/>
  <c r="M44" i="14"/>
  <c r="I44" i="14"/>
  <c r="K44" i="14"/>
  <c r="H44" i="14"/>
  <c r="F44" i="14"/>
  <c r="G87" i="18"/>
  <c r="G44" i="14"/>
  <c r="E16" i="21"/>
  <c r="I162" i="18" s="1"/>
  <c r="S16" i="21"/>
  <c r="R16" i="21"/>
  <c r="Q16" i="21"/>
  <c r="P16" i="21"/>
  <c r="H16" i="21"/>
  <c r="K162" i="18" s="1"/>
  <c r="I16" i="21"/>
  <c r="M162" i="18" s="1"/>
  <c r="J16" i="21"/>
  <c r="N162" i="18" s="1"/>
  <c r="K16" i="21"/>
  <c r="P162" i="18" s="1"/>
  <c r="L16" i="21"/>
  <c r="Q162" i="18" s="1"/>
  <c r="M16" i="21"/>
  <c r="S162" i="18" s="1"/>
  <c r="N16" i="21"/>
  <c r="T162" i="18" s="1"/>
  <c r="G16" i="21"/>
  <c r="J162" i="18" s="1"/>
  <c r="S17" i="21"/>
  <c r="R17" i="21"/>
  <c r="Q17" i="21"/>
  <c r="P17" i="21"/>
  <c r="N17" i="21"/>
  <c r="M17" i="21"/>
  <c r="L17" i="21"/>
  <c r="K17" i="21"/>
  <c r="J17" i="21"/>
  <c r="I17" i="21"/>
  <c r="H17" i="21"/>
  <c r="E17" i="21"/>
  <c r="G17" i="21"/>
  <c r="T178" i="18"/>
  <c r="S178" i="18"/>
  <c r="Z178" i="20" s="1"/>
  <c r="Q178" i="18"/>
  <c r="P178" i="18"/>
  <c r="N178" i="18"/>
  <c r="M178" i="18"/>
  <c r="Z164" i="20"/>
  <c r="Z165" i="20"/>
  <c r="Z166" i="20"/>
  <c r="Z167" i="20"/>
  <c r="Z168" i="20"/>
  <c r="Z169" i="20"/>
  <c r="Z170" i="20"/>
  <c r="Z171" i="20"/>
  <c r="Z172" i="20"/>
  <c r="Z173" i="20"/>
  <c r="Z174" i="20"/>
  <c r="Z175" i="20"/>
  <c r="Z176" i="20"/>
  <c r="Z177" i="20"/>
  <c r="Z163" i="20"/>
  <c r="J178" i="18"/>
  <c r="K178" i="18"/>
  <c r="I178" i="18"/>
  <c r="I164" i="18"/>
  <c r="I165" i="18"/>
  <c r="I166" i="18"/>
  <c r="I167" i="18"/>
  <c r="I168" i="18"/>
  <c r="I169" i="18"/>
  <c r="I170" i="18"/>
  <c r="I171" i="18"/>
  <c r="I172" i="18"/>
  <c r="I173" i="18"/>
  <c r="I174" i="18"/>
  <c r="I175" i="18"/>
  <c r="I176" i="18"/>
  <c r="I177" i="18"/>
  <c r="I163" i="18"/>
  <c r="G93" i="20" l="1"/>
  <c r="G91" i="20"/>
  <c r="G92" i="20"/>
  <c r="G94" i="20"/>
  <c r="G95" i="20"/>
  <c r="G84" i="20"/>
  <c r="G81" i="20"/>
  <c r="G85" i="20"/>
  <c r="G80" i="20"/>
  <c r="G83" i="20"/>
  <c r="G87" i="20"/>
  <c r="G82" i="20"/>
  <c r="G86" i="20"/>
  <c r="G75" i="20"/>
  <c r="G72" i="20"/>
  <c r="G76" i="20"/>
  <c r="G74" i="20"/>
  <c r="G73" i="20"/>
  <c r="G71" i="20"/>
  <c r="G69" i="20"/>
  <c r="E91" i="15"/>
  <c r="E83" i="15"/>
  <c r="E63" i="15"/>
  <c r="E55" i="15"/>
  <c r="E101" i="15"/>
  <c r="E97" i="15"/>
  <c r="E93" i="15"/>
  <c r="E89" i="15"/>
  <c r="E85" i="15"/>
  <c r="E81" i="15"/>
  <c r="E77" i="15"/>
  <c r="E73" i="15"/>
  <c r="E69" i="15"/>
  <c r="E65" i="15"/>
  <c r="E61" i="15"/>
  <c r="E57" i="15"/>
  <c r="E53" i="15"/>
  <c r="E64" i="15"/>
  <c r="E60" i="15"/>
  <c r="E56" i="15"/>
  <c r="E95" i="15"/>
  <c r="E87" i="15"/>
  <c r="E59" i="15"/>
  <c r="E52" i="15"/>
  <c r="E98" i="15"/>
  <c r="E94" i="15"/>
  <c r="E90" i="15"/>
  <c r="E86" i="15"/>
  <c r="E82" i="15"/>
  <c r="E78" i="15"/>
  <c r="E74" i="15"/>
  <c r="E70" i="15"/>
  <c r="E66" i="15"/>
  <c r="E62" i="15"/>
  <c r="E58" i="15"/>
  <c r="E54" i="15"/>
  <c r="E99" i="15"/>
  <c r="E100" i="15"/>
  <c r="E96" i="15"/>
  <c r="E92" i="15"/>
  <c r="E88" i="15"/>
  <c r="E84" i="15"/>
  <c r="E68" i="15"/>
  <c r="E76" i="15"/>
  <c r="E79" i="15"/>
  <c r="E75" i="15"/>
  <c r="E67" i="15"/>
  <c r="E80" i="15"/>
  <c r="E72" i="15"/>
  <c r="E71" i="15"/>
  <c r="R162" i="18"/>
  <c r="O162" i="18"/>
  <c r="U162" i="18"/>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A24" i="2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L162" i="18"/>
  <c r="R179" i="20"/>
  <c r="O179" i="20"/>
  <c r="L179" i="20"/>
  <c r="L9" i="20" s="1"/>
  <c r="I179" i="20"/>
  <c r="U178" i="20"/>
  <c r="U177" i="20"/>
  <c r="U176" i="20"/>
  <c r="AA176" i="20" s="1"/>
  <c r="U175" i="20"/>
  <c r="AA175" i="20" s="1"/>
  <c r="U174" i="20"/>
  <c r="U173" i="20"/>
  <c r="AA173" i="20" s="1"/>
  <c r="U172" i="20"/>
  <c r="AA172" i="20" s="1"/>
  <c r="U171" i="20"/>
  <c r="AA171" i="20" s="1"/>
  <c r="U170" i="20"/>
  <c r="U169" i="20"/>
  <c r="U168" i="20"/>
  <c r="AA168" i="20" s="1"/>
  <c r="U167" i="20"/>
  <c r="AA167" i="20" s="1"/>
  <c r="Z179" i="20"/>
  <c r="U166" i="20"/>
  <c r="U165" i="20"/>
  <c r="AA165" i="20" s="1"/>
  <c r="U164" i="20"/>
  <c r="AA164" i="20" s="1"/>
  <c r="U163" i="20"/>
  <c r="R151" i="20"/>
  <c r="O151" i="20"/>
  <c r="L151" i="20"/>
  <c r="I151" i="20"/>
  <c r="R141" i="20"/>
  <c r="O141" i="20"/>
  <c r="L141" i="20"/>
  <c r="I141" i="20"/>
  <c r="R118" i="20"/>
  <c r="O118" i="20"/>
  <c r="L118" i="20"/>
  <c r="I118" i="20"/>
  <c r="R104" i="20"/>
  <c r="O104" i="20"/>
  <c r="L104" i="20"/>
  <c r="I104" i="20"/>
  <c r="I96" i="20"/>
  <c r="I88" i="20"/>
  <c r="I77" i="20"/>
  <c r="R64" i="20"/>
  <c r="O64" i="20"/>
  <c r="L64" i="20"/>
  <c r="I64" i="20"/>
  <c r="R53" i="20"/>
  <c r="O53" i="20"/>
  <c r="L53" i="20"/>
  <c r="I53" i="20"/>
  <c r="V10" i="20"/>
  <c r="U10" i="20"/>
  <c r="A2" i="20"/>
  <c r="A3" i="20" s="1"/>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I106" i="15"/>
  <c r="I105" i="15"/>
  <c r="I104" i="15"/>
  <c r="I103" i="15"/>
  <c r="T179" i="18"/>
  <c r="S179" i="18"/>
  <c r="S9" i="18" s="1"/>
  <c r="Q179" i="18"/>
  <c r="P179" i="18"/>
  <c r="N179" i="18"/>
  <c r="M179" i="18"/>
  <c r="K179" i="18"/>
  <c r="J179" i="18"/>
  <c r="I179" i="18"/>
  <c r="U178" i="18"/>
  <c r="R178" i="18"/>
  <c r="O178" i="18"/>
  <c r="L178" i="18"/>
  <c r="G178" i="18"/>
  <c r="U177" i="18"/>
  <c r="R177" i="18"/>
  <c r="O177" i="18"/>
  <c r="L177" i="18"/>
  <c r="G177" i="18"/>
  <c r="U176" i="18"/>
  <c r="R176" i="18"/>
  <c r="O176" i="18"/>
  <c r="L176" i="18"/>
  <c r="G176" i="18"/>
  <c r="U175" i="18"/>
  <c r="R175" i="18"/>
  <c r="O175" i="18"/>
  <c r="L175" i="18"/>
  <c r="G175" i="18"/>
  <c r="U174" i="18"/>
  <c r="R174" i="18"/>
  <c r="O174" i="18"/>
  <c r="L174" i="18"/>
  <c r="G174" i="18"/>
  <c r="U173" i="18"/>
  <c r="R173" i="18"/>
  <c r="O173" i="18"/>
  <c r="L173" i="18"/>
  <c r="G173" i="18"/>
  <c r="U172" i="18"/>
  <c r="R172" i="18"/>
  <c r="O172" i="18"/>
  <c r="L172" i="18"/>
  <c r="G172" i="18"/>
  <c r="U171" i="18"/>
  <c r="R171" i="18"/>
  <c r="O171" i="18"/>
  <c r="L171" i="18"/>
  <c r="G171" i="18"/>
  <c r="U170" i="18"/>
  <c r="R170" i="18"/>
  <c r="O170" i="18"/>
  <c r="L170" i="18"/>
  <c r="G170" i="18"/>
  <c r="U169" i="18"/>
  <c r="R169" i="18"/>
  <c r="O169" i="18"/>
  <c r="L169" i="18"/>
  <c r="G169" i="18"/>
  <c r="U168" i="18"/>
  <c r="R168" i="18"/>
  <c r="O168" i="18"/>
  <c r="L168" i="18"/>
  <c r="G168" i="18"/>
  <c r="U167" i="18"/>
  <c r="R167" i="18"/>
  <c r="O167" i="18"/>
  <c r="L167" i="18"/>
  <c r="G167" i="18"/>
  <c r="U166" i="18"/>
  <c r="R166" i="18"/>
  <c r="O166" i="18"/>
  <c r="L166" i="18"/>
  <c r="G166" i="18"/>
  <c r="U165" i="18"/>
  <c r="R165" i="18"/>
  <c r="O165" i="18"/>
  <c r="L165" i="18"/>
  <c r="G165" i="18"/>
  <c r="U164" i="18"/>
  <c r="R164" i="18"/>
  <c r="O164" i="18"/>
  <c r="L164" i="18"/>
  <c r="G164" i="18"/>
  <c r="U163" i="18"/>
  <c r="R163" i="18"/>
  <c r="O163" i="18"/>
  <c r="L163" i="18"/>
  <c r="G163" i="18"/>
  <c r="V154" i="18"/>
  <c r="V153" i="18"/>
  <c r="AB153" i="20" s="1"/>
  <c r="T151" i="18"/>
  <c r="S151" i="18"/>
  <c r="Q151" i="18"/>
  <c r="P151" i="18"/>
  <c r="N151" i="18"/>
  <c r="M151" i="18"/>
  <c r="K151" i="18"/>
  <c r="J151" i="18"/>
  <c r="I151" i="18"/>
  <c r="V150" i="18"/>
  <c r="V149" i="18"/>
  <c r="AB149" i="20" s="1"/>
  <c r="V148" i="18"/>
  <c r="V147" i="18"/>
  <c r="AB147" i="20" s="1"/>
  <c r="V146" i="18"/>
  <c r="V145" i="18"/>
  <c r="AB145" i="20" s="1"/>
  <c r="V144" i="18"/>
  <c r="AB144" i="20" s="1"/>
  <c r="T141" i="18"/>
  <c r="S141" i="18"/>
  <c r="Q141" i="18"/>
  <c r="P141" i="18"/>
  <c r="N141" i="18"/>
  <c r="M141" i="18"/>
  <c r="K141" i="18"/>
  <c r="J141" i="18"/>
  <c r="I141" i="18"/>
  <c r="V140" i="18"/>
  <c r="V139" i="18"/>
  <c r="AB139" i="20" s="1"/>
  <c r="V138" i="18"/>
  <c r="V137" i="18"/>
  <c r="AB137" i="20" s="1"/>
  <c r="V136" i="18"/>
  <c r="V135" i="18"/>
  <c r="V134" i="18"/>
  <c r="V133" i="18"/>
  <c r="AB133" i="20" s="1"/>
  <c r="V132" i="18"/>
  <c r="V131" i="18"/>
  <c r="V130" i="18"/>
  <c r="V129" i="18"/>
  <c r="AB129" i="20" s="1"/>
  <c r="V128" i="18"/>
  <c r="V127" i="18"/>
  <c r="V126" i="18"/>
  <c r="V125" i="18"/>
  <c r="AB125" i="20" s="1"/>
  <c r="V124" i="18"/>
  <c r="V123" i="18"/>
  <c r="AB123" i="20" s="1"/>
  <c r="V122" i="18"/>
  <c r="AB122" i="20" s="1"/>
  <c r="V121" i="18"/>
  <c r="AB121" i="20" s="1"/>
  <c r="T118" i="18"/>
  <c r="Q118" i="18"/>
  <c r="N118" i="18"/>
  <c r="K118" i="18"/>
  <c r="I118" i="18"/>
  <c r="V117" i="18"/>
  <c r="V116" i="18"/>
  <c r="AB116" i="20" s="1"/>
  <c r="V115" i="18"/>
  <c r="V114" i="18"/>
  <c r="AB114" i="20" s="1"/>
  <c r="V113" i="18"/>
  <c r="V112" i="18"/>
  <c r="AB112" i="20" s="1"/>
  <c r="V110" i="18"/>
  <c r="AB110" i="20" s="1"/>
  <c r="V109" i="18"/>
  <c r="AB109" i="20" s="1"/>
  <c r="T104" i="18"/>
  <c r="Q104" i="18"/>
  <c r="N104" i="18"/>
  <c r="K104" i="18"/>
  <c r="I104" i="18"/>
  <c r="V103" i="18"/>
  <c r="V102" i="18"/>
  <c r="AB102" i="20" s="1"/>
  <c r="T96" i="18"/>
  <c r="S96" i="18"/>
  <c r="Q96" i="18"/>
  <c r="P96" i="18"/>
  <c r="N96" i="18"/>
  <c r="M96" i="18"/>
  <c r="K96" i="18"/>
  <c r="J96" i="18"/>
  <c r="I96" i="18"/>
  <c r="G96" i="18"/>
  <c r="V95" i="18"/>
  <c r="AB95" i="20" s="1"/>
  <c r="V94" i="18"/>
  <c r="V93" i="18"/>
  <c r="V92" i="18"/>
  <c r="V91" i="18"/>
  <c r="AB91" i="20" s="1"/>
  <c r="T88" i="18"/>
  <c r="S88" i="18"/>
  <c r="Q88" i="18"/>
  <c r="P88" i="18"/>
  <c r="N88" i="18"/>
  <c r="M88" i="18"/>
  <c r="K88" i="18"/>
  <c r="J88" i="18"/>
  <c r="I88" i="18"/>
  <c r="G88" i="18"/>
  <c r="V87" i="18"/>
  <c r="V86" i="18"/>
  <c r="V85" i="18"/>
  <c r="V84" i="18"/>
  <c r="V83" i="18"/>
  <c r="V82" i="18"/>
  <c r="V81" i="18"/>
  <c r="V80" i="18"/>
  <c r="T77" i="18"/>
  <c r="S77" i="18"/>
  <c r="Q77" i="18"/>
  <c r="P77" i="18"/>
  <c r="N77" i="18"/>
  <c r="M77" i="18"/>
  <c r="K77" i="18"/>
  <c r="J77" i="18"/>
  <c r="I77" i="18"/>
  <c r="G77" i="18"/>
  <c r="V76" i="18"/>
  <c r="V75" i="18"/>
  <c r="V74" i="18"/>
  <c r="V73" i="18"/>
  <c r="V72" i="18"/>
  <c r="V71" i="18"/>
  <c r="T64" i="18"/>
  <c r="S64" i="18"/>
  <c r="Q64" i="18"/>
  <c r="P64" i="18"/>
  <c r="N64" i="18"/>
  <c r="M64" i="18"/>
  <c r="K64" i="18"/>
  <c r="J64" i="18"/>
  <c r="I64" i="18"/>
  <c r="V63" i="18"/>
  <c r="AB63" i="20" s="1"/>
  <c r="V62" i="18"/>
  <c r="V61" i="18"/>
  <c r="AB61" i="20" s="1"/>
  <c r="V60" i="18"/>
  <c r="V59" i="18"/>
  <c r="AB59" i="20" s="1"/>
  <c r="V58" i="18"/>
  <c r="V57" i="18"/>
  <c r="AB57" i="20" s="1"/>
  <c r="V56" i="18"/>
  <c r="T53" i="18"/>
  <c r="S53" i="18"/>
  <c r="Q53" i="18"/>
  <c r="P53" i="18"/>
  <c r="N53" i="18"/>
  <c r="M53" i="18"/>
  <c r="K53" i="18"/>
  <c r="J53" i="18"/>
  <c r="I53" i="18"/>
  <c r="V52" i="18"/>
  <c r="V51" i="18"/>
  <c r="V50" i="18"/>
  <c r="V48" i="18"/>
  <c r="AB48" i="20" s="1"/>
  <c r="V47" i="18"/>
  <c r="V46" i="18"/>
  <c r="AB46" i="20" s="1"/>
  <c r="V45" i="18"/>
  <c r="AB45" i="20" s="1"/>
  <c r="V41" i="18"/>
  <c r="V39" i="18"/>
  <c r="V38" i="18"/>
  <c r="V37" i="18"/>
  <c r="AB37" i="20" s="1"/>
  <c r="V35" i="18"/>
  <c r="U10" i="18"/>
  <c r="R10" i="18"/>
  <c r="O10" i="18"/>
  <c r="L10" i="18"/>
  <c r="A2" i="18"/>
  <c r="A3" i="18" s="1"/>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J1" i="18"/>
  <c r="K1" i="18" s="1"/>
  <c r="L1" i="18" s="1"/>
  <c r="M1" i="18" s="1"/>
  <c r="N1" i="18" s="1"/>
  <c r="O1" i="18" s="1"/>
  <c r="P1" i="18" s="1"/>
  <c r="Q1" i="18" s="1"/>
  <c r="R1" i="18" s="1"/>
  <c r="S1" i="18" s="1"/>
  <c r="T1" i="18" s="1"/>
  <c r="U1" i="18" s="1"/>
  <c r="V1" i="18" s="1"/>
  <c r="W1" i="18" s="1"/>
  <c r="X1" i="18" s="1"/>
  <c r="Y1" i="18" s="1"/>
  <c r="Z1" i="18" s="1"/>
  <c r="AA1" i="18" s="1"/>
  <c r="J46" i="17"/>
  <c r="I46" i="17"/>
  <c r="H46" i="17"/>
  <c r="G46" i="17"/>
  <c r="E46" i="17"/>
  <c r="J36" i="17"/>
  <c r="J41" i="17" s="1"/>
  <c r="I36" i="17"/>
  <c r="I41" i="17" s="1"/>
  <c r="H36" i="17"/>
  <c r="H41" i="17" s="1"/>
  <c r="G36" i="17"/>
  <c r="G41" i="17" s="1"/>
  <c r="E36" i="17"/>
  <c r="E41" i="17" s="1"/>
  <c r="E48" i="17" s="1"/>
  <c r="J16" i="17"/>
  <c r="J24" i="17" s="1"/>
  <c r="I16" i="17"/>
  <c r="I24" i="17" s="1"/>
  <c r="H16" i="17"/>
  <c r="H24" i="17" s="1"/>
  <c r="G16" i="17"/>
  <c r="G24" i="17" s="1"/>
  <c r="E16" i="17"/>
  <c r="E24" i="17" s="1"/>
  <c r="J48" i="17" l="1"/>
  <c r="I48" i="17"/>
  <c r="G48" i="17"/>
  <c r="H48" i="17"/>
  <c r="H50" i="17" s="1"/>
  <c r="C110" i="15"/>
  <c r="C788" i="15"/>
  <c r="C789" i="15"/>
  <c r="U9" i="18"/>
  <c r="Y37" i="18"/>
  <c r="G50" i="17"/>
  <c r="Y56" i="18"/>
  <c r="AB56" i="20"/>
  <c r="Y35" i="18"/>
  <c r="AB35" i="20"/>
  <c r="Y47" i="18"/>
  <c r="AB47" i="20"/>
  <c r="Y62" i="18"/>
  <c r="AB62" i="20"/>
  <c r="Y60" i="18"/>
  <c r="AB60" i="20"/>
  <c r="Y38" i="18"/>
  <c r="AB38" i="20"/>
  <c r="I50" i="17"/>
  <c r="Y39" i="18"/>
  <c r="AB39" i="20"/>
  <c r="Y52" i="18"/>
  <c r="AB52" i="20"/>
  <c r="Y58" i="18"/>
  <c r="AB58" i="20"/>
  <c r="J50" i="17"/>
  <c r="Y50" i="18"/>
  <c r="AB50" i="20"/>
  <c r="Y154" i="18"/>
  <c r="AB154" i="20"/>
  <c r="Y146" i="18"/>
  <c r="AB146" i="20"/>
  <c r="Y150" i="18"/>
  <c r="AB150" i="20"/>
  <c r="Y148" i="18"/>
  <c r="AB148" i="20"/>
  <c r="Y121" i="18"/>
  <c r="Y137" i="18"/>
  <c r="Y129" i="18"/>
  <c r="Y128" i="18"/>
  <c r="AB128" i="20"/>
  <c r="Y131" i="18"/>
  <c r="AB131" i="20"/>
  <c r="Y134" i="18"/>
  <c r="AB134" i="20"/>
  <c r="Y124" i="18"/>
  <c r="AB124" i="20"/>
  <c r="Y127" i="18"/>
  <c r="AB127" i="20"/>
  <c r="Y130" i="18"/>
  <c r="AB130" i="20"/>
  <c r="Y140" i="18"/>
  <c r="AB140" i="20"/>
  <c r="Y133" i="18"/>
  <c r="Y126" i="18"/>
  <c r="AB126" i="20"/>
  <c r="Y136" i="18"/>
  <c r="AB136" i="20"/>
  <c r="Y132" i="18"/>
  <c r="AB132" i="20"/>
  <c r="Y135" i="18"/>
  <c r="AB135" i="20"/>
  <c r="Y138" i="18"/>
  <c r="AB138" i="20"/>
  <c r="Y125" i="18"/>
  <c r="Y115" i="18"/>
  <c r="AB115" i="20"/>
  <c r="Y113" i="18"/>
  <c r="AB113" i="20"/>
  <c r="Y117" i="18"/>
  <c r="AB117" i="20"/>
  <c r="Y103" i="18"/>
  <c r="AB103" i="20"/>
  <c r="Y51" i="18"/>
  <c r="AB51" i="20"/>
  <c r="Y41" i="18"/>
  <c r="AB41" i="20"/>
  <c r="E32" i="20"/>
  <c r="E177" i="20" s="1"/>
  <c r="E28" i="20"/>
  <c r="E173" i="20" s="1"/>
  <c r="E24" i="20"/>
  <c r="E169" i="20" s="1"/>
  <c r="E20" i="20"/>
  <c r="E165" i="20" s="1"/>
  <c r="E31" i="20"/>
  <c r="E176" i="20" s="1"/>
  <c r="E27" i="20"/>
  <c r="E172" i="20" s="1"/>
  <c r="E23" i="20"/>
  <c r="E168" i="20" s="1"/>
  <c r="E29" i="20"/>
  <c r="E174" i="20" s="1"/>
  <c r="E25" i="20"/>
  <c r="E170" i="20" s="1"/>
  <c r="E21" i="20"/>
  <c r="E166" i="20" s="1"/>
  <c r="E30" i="20"/>
  <c r="E175" i="20" s="1"/>
  <c r="E26" i="20"/>
  <c r="E171" i="20" s="1"/>
  <c r="E22" i="20"/>
  <c r="E167" i="20" s="1"/>
  <c r="G96" i="20"/>
  <c r="G77" i="20"/>
  <c r="G88" i="20"/>
  <c r="I98" i="20"/>
  <c r="I106" i="20" s="1"/>
  <c r="I157" i="20" s="1"/>
  <c r="I7" i="20" s="1"/>
  <c r="R106" i="20"/>
  <c r="R157" i="20" s="1"/>
  <c r="R7" i="20" s="1"/>
  <c r="E19" i="18"/>
  <c r="E164" i="18" s="1"/>
  <c r="E19" i="20"/>
  <c r="E164" i="20" s="1"/>
  <c r="O106" i="20"/>
  <c r="O157" i="20" s="1"/>
  <c r="O7" i="20" s="1"/>
  <c r="E18" i="18"/>
  <c r="E163" i="18" s="1"/>
  <c r="E18" i="20"/>
  <c r="E163" i="20" s="1"/>
  <c r="L106" i="20"/>
  <c r="L157" i="20" s="1"/>
  <c r="L7" i="20" s="1"/>
  <c r="Y74" i="18"/>
  <c r="AB74" i="20"/>
  <c r="Y87" i="18"/>
  <c r="AB87" i="20"/>
  <c r="Y73" i="18"/>
  <c r="AB73" i="20"/>
  <c r="Y86" i="18"/>
  <c r="AB86" i="20"/>
  <c r="Y72" i="18"/>
  <c r="AB72" i="20"/>
  <c r="Y76" i="18"/>
  <c r="AB76" i="20"/>
  <c r="Y81" i="18"/>
  <c r="AB81" i="20"/>
  <c r="Y85" i="18"/>
  <c r="AB85" i="20"/>
  <c r="Y94" i="18"/>
  <c r="AB94" i="20"/>
  <c r="Y83" i="18"/>
  <c r="AB83" i="20"/>
  <c r="Y92" i="18"/>
  <c r="AB92" i="20"/>
  <c r="Y82" i="18"/>
  <c r="AB82" i="20"/>
  <c r="Y71" i="18"/>
  <c r="AB71" i="20"/>
  <c r="Y75" i="18"/>
  <c r="AB75" i="20"/>
  <c r="Y80" i="18"/>
  <c r="AB80" i="20"/>
  <c r="Y84" i="18"/>
  <c r="AB84" i="20"/>
  <c r="Y93" i="18"/>
  <c r="AB93" i="20"/>
  <c r="O9" i="20"/>
  <c r="R9" i="20"/>
  <c r="I9" i="20"/>
  <c r="AD178" i="20"/>
  <c r="AE178" i="20" s="1"/>
  <c r="AD176" i="20"/>
  <c r="AE176" i="20" s="1"/>
  <c r="AD174" i="20"/>
  <c r="AE174" i="20" s="1"/>
  <c r="AD172" i="20"/>
  <c r="AE172" i="20" s="1"/>
  <c r="AD170" i="20"/>
  <c r="AE170" i="20" s="1"/>
  <c r="AD168" i="20"/>
  <c r="AE168" i="20" s="1"/>
  <c r="AD166" i="20"/>
  <c r="AE166" i="20" s="1"/>
  <c r="AD164" i="20"/>
  <c r="AE164" i="20" s="1"/>
  <c r="AD177" i="20"/>
  <c r="AE177" i="20" s="1"/>
  <c r="AD175" i="20"/>
  <c r="AE175" i="20" s="1"/>
  <c r="AD173" i="20"/>
  <c r="AE173" i="20" s="1"/>
  <c r="AD171" i="20"/>
  <c r="AE171" i="20" s="1"/>
  <c r="AD169" i="20"/>
  <c r="AE169" i="20" s="1"/>
  <c r="AD167" i="20"/>
  <c r="AE167" i="20" s="1"/>
  <c r="AD165" i="20"/>
  <c r="AD163" i="20"/>
  <c r="AE163" i="20" s="1"/>
  <c r="W10" i="20"/>
  <c r="V96" i="18"/>
  <c r="T98" i="18"/>
  <c r="T106" i="18" s="1"/>
  <c r="S98" i="18"/>
  <c r="K98" i="18"/>
  <c r="K106" i="18" s="1"/>
  <c r="P98" i="18"/>
  <c r="G98" i="18"/>
  <c r="G106" i="18" s="1"/>
  <c r="C104" i="15"/>
  <c r="E33" i="20" s="1"/>
  <c r="E178" i="20" s="1"/>
  <c r="I9" i="18"/>
  <c r="Q9" i="18"/>
  <c r="N9" i="18"/>
  <c r="Z9" i="20"/>
  <c r="AA10" i="20"/>
  <c r="AA169" i="20"/>
  <c r="AA177" i="20"/>
  <c r="AA166" i="20"/>
  <c r="AA170" i="20"/>
  <c r="AA174" i="20"/>
  <c r="AA178" i="20"/>
  <c r="U179" i="20"/>
  <c r="AA163" i="20"/>
  <c r="E32" i="18"/>
  <c r="E177" i="18" s="1"/>
  <c r="E31" i="18"/>
  <c r="E176" i="18" s="1"/>
  <c r="E30" i="18"/>
  <c r="E175" i="18" s="1"/>
  <c r="E29" i="18"/>
  <c r="E174" i="18" s="1"/>
  <c r="E28" i="18"/>
  <c r="E173" i="18" s="1"/>
  <c r="E27" i="18"/>
  <c r="E172" i="18" s="1"/>
  <c r="E26" i="18"/>
  <c r="E171" i="18" s="1"/>
  <c r="E25" i="18"/>
  <c r="E170" i="18" s="1"/>
  <c r="E24" i="18"/>
  <c r="E169" i="18" s="1"/>
  <c r="E23" i="18"/>
  <c r="E168" i="18" s="1"/>
  <c r="E22" i="18"/>
  <c r="E167" i="18" s="1"/>
  <c r="E21" i="18"/>
  <c r="E166" i="18" s="1"/>
  <c r="E20" i="18"/>
  <c r="E165" i="18" s="1"/>
  <c r="C105" i="15"/>
  <c r="I107" i="15"/>
  <c r="T9" i="18"/>
  <c r="K9" i="18"/>
  <c r="P9" i="18"/>
  <c r="R9" i="18" s="1"/>
  <c r="Y91" i="18"/>
  <c r="Y95" i="18"/>
  <c r="Y123" i="18"/>
  <c r="Y139" i="18"/>
  <c r="J98" i="18"/>
  <c r="V141" i="18"/>
  <c r="U179" i="18"/>
  <c r="R179" i="18"/>
  <c r="M9" i="18"/>
  <c r="O9" i="18" s="1"/>
  <c r="V53" i="18"/>
  <c r="N98" i="18"/>
  <c r="N106" i="18" s="1"/>
  <c r="Y110" i="18"/>
  <c r="Y114" i="18"/>
  <c r="Y46" i="18"/>
  <c r="Y63" i="18"/>
  <c r="Y147" i="18"/>
  <c r="Y48" i="18"/>
  <c r="V64" i="18"/>
  <c r="Y57" i="18"/>
  <c r="Y61" i="18"/>
  <c r="Y145" i="18"/>
  <c r="Y149" i="18"/>
  <c r="L179" i="18"/>
  <c r="M98" i="18"/>
  <c r="Q98" i="18"/>
  <c r="Q106" i="18" s="1"/>
  <c r="Y59" i="18"/>
  <c r="Y102" i="18"/>
  <c r="Y112" i="18"/>
  <c r="Y116" i="18"/>
  <c r="Y153" i="18"/>
  <c r="J9" i="18"/>
  <c r="L9" i="18" s="1"/>
  <c r="I66" i="18"/>
  <c r="I98" i="18"/>
  <c r="I106" i="18" s="1"/>
  <c r="V151" i="18"/>
  <c r="O179" i="18"/>
  <c r="Y45" i="18"/>
  <c r="V88" i="18"/>
  <c r="Y109" i="18"/>
  <c r="Y144" i="18"/>
  <c r="V77" i="18"/>
  <c r="Y122" i="18"/>
  <c r="I181" i="18" l="1"/>
  <c r="I6" i="18"/>
  <c r="K157" i="18"/>
  <c r="K183" i="18" s="1"/>
  <c r="I157" i="18"/>
  <c r="I7" i="18" s="1"/>
  <c r="Q157" i="18"/>
  <c r="Q183" i="18" s="1"/>
  <c r="T157" i="18"/>
  <c r="T183" i="18" s="1"/>
  <c r="N157" i="18"/>
  <c r="N183" i="18" s="1"/>
  <c r="E50" i="17"/>
  <c r="M104" i="18"/>
  <c r="M106" i="18" s="1"/>
  <c r="S104" i="18"/>
  <c r="S106" i="18" s="1"/>
  <c r="AB64" i="20"/>
  <c r="P104" i="18"/>
  <c r="P106" i="18" s="1"/>
  <c r="AB53" i="20"/>
  <c r="AB151" i="20"/>
  <c r="AB141" i="20"/>
  <c r="G98" i="20"/>
  <c r="G106" i="20" s="1"/>
  <c r="Y88" i="18"/>
  <c r="Y77" i="18"/>
  <c r="R183" i="20"/>
  <c r="O183" i="20"/>
  <c r="L183" i="20"/>
  <c r="I183" i="20"/>
  <c r="AB77" i="20"/>
  <c r="AB88" i="20"/>
  <c r="AB96" i="20"/>
  <c r="AD179" i="20"/>
  <c r="AD9" i="20" s="1"/>
  <c r="AD10" i="20" s="1"/>
  <c r="AA179" i="20"/>
  <c r="I183" i="18"/>
  <c r="V98" i="18"/>
  <c r="U9" i="20"/>
  <c r="AA9" i="20" s="1"/>
  <c r="AE165" i="20"/>
  <c r="AE179" i="20" s="1"/>
  <c r="Y151" i="18"/>
  <c r="Y96" i="18"/>
  <c r="Y141" i="18"/>
  <c r="Y64" i="18"/>
  <c r="Y53" i="18"/>
  <c r="I159" i="18" l="1"/>
  <c r="I201" i="18" s="1"/>
  <c r="I205" i="18" s="1"/>
  <c r="J203" i="18" s="1"/>
  <c r="I8" i="18"/>
  <c r="J104" i="18"/>
  <c r="J106" i="18" s="1"/>
  <c r="V101" i="18"/>
  <c r="Y98" i="18"/>
  <c r="AB98" i="20"/>
  <c r="E178" i="18"/>
  <c r="V203" i="18" l="1"/>
  <c r="Y203" i="18" s="1"/>
  <c r="K203" i="18"/>
  <c r="AB101" i="20"/>
  <c r="AB104" i="20" s="1"/>
  <c r="AB106" i="20" s="1"/>
  <c r="V104" i="18"/>
  <c r="V106" i="18" s="1"/>
  <c r="Y101" i="18"/>
  <c r="Y104" i="18" s="1"/>
  <c r="Y106" i="18" s="1"/>
  <c r="I35" i="15"/>
  <c r="G16" i="18" l="1"/>
  <c r="G16" i="20"/>
  <c r="C435" i="15"/>
  <c r="C643" i="15"/>
  <c r="C259" i="15"/>
  <c r="C659" i="15"/>
  <c r="C403" i="15"/>
  <c r="C147" i="15"/>
  <c r="C371" i="15"/>
  <c r="C579" i="15"/>
  <c r="C739" i="15"/>
  <c r="C483" i="15"/>
  <c r="C227" i="15"/>
  <c r="C727" i="15"/>
  <c r="C599" i="15"/>
  <c r="C471" i="15"/>
  <c r="C343" i="15"/>
  <c r="C231" i="15"/>
  <c r="C735" i="15"/>
  <c r="C671" i="15"/>
  <c r="C607" i="15"/>
  <c r="C543" i="15"/>
  <c r="C479" i="15"/>
  <c r="C415" i="15"/>
  <c r="C351" i="15"/>
  <c r="C287" i="15"/>
  <c r="C223" i="15"/>
  <c r="C159" i="15"/>
  <c r="C773" i="15"/>
  <c r="C647" i="15"/>
  <c r="C519" i="15"/>
  <c r="C375" i="15"/>
  <c r="C263" i="15"/>
  <c r="C135" i="15"/>
  <c r="C747" i="15"/>
  <c r="C683" i="15"/>
  <c r="C619" i="15"/>
  <c r="C555" i="15"/>
  <c r="C491" i="15"/>
  <c r="C427" i="15"/>
  <c r="C363" i="15"/>
  <c r="C299" i="15"/>
  <c r="C235" i="15"/>
  <c r="C171" i="15"/>
  <c r="C785" i="15"/>
  <c r="C753" i="15"/>
  <c r="C721" i="15"/>
  <c r="C689" i="15"/>
  <c r="C657" i="15"/>
  <c r="C625" i="15"/>
  <c r="C593" i="15"/>
  <c r="C561" i="15"/>
  <c r="C529" i="15"/>
  <c r="C497" i="15"/>
  <c r="C465" i="15"/>
  <c r="C433" i="15"/>
  <c r="C401" i="15"/>
  <c r="C369" i="15"/>
  <c r="C337" i="15"/>
  <c r="C305" i="15"/>
  <c r="C273" i="15"/>
  <c r="C241" i="15"/>
  <c r="C209" i="15"/>
  <c r="C177" i="15"/>
  <c r="C145" i="15"/>
  <c r="C113" i="15"/>
  <c r="C741" i="15"/>
  <c r="C709" i="15"/>
  <c r="C677" i="15"/>
  <c r="C645" i="15"/>
  <c r="C613" i="15"/>
  <c r="C581" i="15"/>
  <c r="C549" i="15"/>
  <c r="C517" i="15"/>
  <c r="C485" i="15"/>
  <c r="C453" i="15"/>
  <c r="C421" i="15"/>
  <c r="C389" i="15"/>
  <c r="C357" i="15"/>
  <c r="C325" i="15"/>
  <c r="C293" i="15"/>
  <c r="C261" i="15"/>
  <c r="C229" i="15"/>
  <c r="C197" i="15"/>
  <c r="C165" i="15"/>
  <c r="C133" i="15"/>
  <c r="C780" i="15"/>
  <c r="C764" i="15"/>
  <c r="C748" i="15"/>
  <c r="C732" i="15"/>
  <c r="C716" i="15"/>
  <c r="C700" i="15"/>
  <c r="C684" i="15"/>
  <c r="C668" i="15"/>
  <c r="C652" i="15"/>
  <c r="C636" i="15"/>
  <c r="C620" i="15"/>
  <c r="C604" i="15"/>
  <c r="C588" i="15"/>
  <c r="C572" i="15"/>
  <c r="C556" i="15"/>
  <c r="C540" i="15"/>
  <c r="C524" i="15"/>
  <c r="C508" i="15"/>
  <c r="C492" i="15"/>
  <c r="C476" i="15"/>
  <c r="C460" i="15"/>
  <c r="C444" i="15"/>
  <c r="C428" i="15"/>
  <c r="C412" i="15"/>
  <c r="C396" i="15"/>
  <c r="C380" i="15"/>
  <c r="C364" i="15"/>
  <c r="C348" i="15"/>
  <c r="C332" i="15"/>
  <c r="C316" i="15"/>
  <c r="C300" i="15"/>
  <c r="C284" i="15"/>
  <c r="C268" i="15"/>
  <c r="C252" i="15"/>
  <c r="C236" i="15"/>
  <c r="C220" i="15"/>
  <c r="C204" i="15"/>
  <c r="C188" i="15"/>
  <c r="C172" i="15"/>
  <c r="C156" i="15"/>
  <c r="C140" i="15"/>
  <c r="C124" i="15"/>
  <c r="C786" i="15"/>
  <c r="C770" i="15"/>
  <c r="C754" i="15"/>
  <c r="C738" i="15"/>
  <c r="C722" i="15"/>
  <c r="C706" i="15"/>
  <c r="C690" i="15"/>
  <c r="C674" i="15"/>
  <c r="C658" i="15"/>
  <c r="C642" i="15"/>
  <c r="C626" i="15"/>
  <c r="C610" i="15"/>
  <c r="C594" i="15"/>
  <c r="C578" i="15"/>
  <c r="C562" i="15"/>
  <c r="C546" i="15"/>
  <c r="C530" i="15"/>
  <c r="C514" i="15"/>
  <c r="C498" i="15"/>
  <c r="C482" i="15"/>
  <c r="C466" i="15"/>
  <c r="C450" i="15"/>
  <c r="C434" i="15"/>
  <c r="C418" i="15"/>
  <c r="C402" i="15"/>
  <c r="C386" i="15"/>
  <c r="C370" i="15"/>
  <c r="C354" i="15"/>
  <c r="C338" i="15"/>
  <c r="C322" i="15"/>
  <c r="C306" i="15"/>
  <c r="C290" i="15"/>
  <c r="C274" i="15"/>
  <c r="C258" i="15"/>
  <c r="C242" i="15"/>
  <c r="C226" i="15"/>
  <c r="C210" i="15"/>
  <c r="C194" i="15"/>
  <c r="C178" i="15"/>
  <c r="C162" i="15"/>
  <c r="C146" i="15"/>
  <c r="C130" i="15"/>
  <c r="C771" i="15"/>
  <c r="C467" i="15"/>
  <c r="C499" i="15"/>
  <c r="C114" i="15"/>
  <c r="C291" i="15"/>
  <c r="C631" i="15"/>
  <c r="C391" i="15"/>
  <c r="C119" i="15"/>
  <c r="C687" i="15"/>
  <c r="C559" i="15"/>
  <c r="C431" i="15"/>
  <c r="C303" i="15"/>
  <c r="C175" i="15"/>
  <c r="C679" i="15"/>
  <c r="C407" i="15"/>
  <c r="C151" i="15"/>
  <c r="C699" i="15"/>
  <c r="C571" i="15"/>
  <c r="C443" i="15"/>
  <c r="C315" i="15"/>
  <c r="C187" i="15"/>
  <c r="C761" i="15"/>
  <c r="C697" i="15"/>
  <c r="C633" i="15"/>
  <c r="C569" i="15"/>
  <c r="C505" i="15"/>
  <c r="C409" i="15"/>
  <c r="C345" i="15"/>
  <c r="C281" i="15"/>
  <c r="C217" i="15"/>
  <c r="C185" i="15"/>
  <c r="C121" i="15"/>
  <c r="C717" i="15"/>
  <c r="C621" i="15"/>
  <c r="C557" i="15"/>
  <c r="C525" i="15"/>
  <c r="C461" i="15"/>
  <c r="C397" i="15"/>
  <c r="C333" i="15"/>
  <c r="C269" i="15"/>
  <c r="C205" i="15"/>
  <c r="C141" i="15"/>
  <c r="C768" i="15"/>
  <c r="C736" i="15"/>
  <c r="C704" i="15"/>
  <c r="C672" i="15"/>
  <c r="C640" i="15"/>
  <c r="C608" i="15"/>
  <c r="C576" i="15"/>
  <c r="C544" i="15"/>
  <c r="C512" i="15"/>
  <c r="C480" i="15"/>
  <c r="C448" i="15"/>
  <c r="C416" i="15"/>
  <c r="C384" i="15"/>
  <c r="C352" i="15"/>
  <c r="C320" i="15"/>
  <c r="C288" i="15"/>
  <c r="C256" i="15"/>
  <c r="C224" i="15"/>
  <c r="C192" i="15"/>
  <c r="C160" i="15"/>
  <c r="C128" i="15"/>
  <c r="C774" i="15"/>
  <c r="C742" i="15"/>
  <c r="C710" i="15"/>
  <c r="C678" i="15"/>
  <c r="C646" i="15"/>
  <c r="C614" i="15"/>
  <c r="C582" i="15"/>
  <c r="C550" i="15"/>
  <c r="C518" i="15"/>
  <c r="C486" i="15"/>
  <c r="C454" i="15"/>
  <c r="C422" i="15"/>
  <c r="C390" i="15"/>
  <c r="C358" i="15"/>
  <c r="C326" i="15"/>
  <c r="C294" i="15"/>
  <c r="C278" i="15"/>
  <c r="C246" i="15"/>
  <c r="C214" i="15"/>
  <c r="C182" i="15"/>
  <c r="C150" i="15"/>
  <c r="C118" i="15"/>
  <c r="C691" i="15"/>
  <c r="C387" i="15"/>
  <c r="C117" i="15"/>
  <c r="C307" i="15"/>
  <c r="C515" i="15"/>
  <c r="C131" i="15"/>
  <c r="C595" i="15"/>
  <c r="C339" i="15"/>
  <c r="C755" i="15"/>
  <c r="C243" i="15"/>
  <c r="C451" i="15"/>
  <c r="C675" i="15"/>
  <c r="C419" i="15"/>
  <c r="C163" i="15"/>
  <c r="C695" i="15"/>
  <c r="C567" i="15"/>
  <c r="C439" i="15"/>
  <c r="C311" i="15"/>
  <c r="C199" i="15"/>
  <c r="C779" i="15"/>
  <c r="C719" i="15"/>
  <c r="C655" i="15"/>
  <c r="C591" i="15"/>
  <c r="C527" i="15"/>
  <c r="C463" i="15"/>
  <c r="C399" i="15"/>
  <c r="C335" i="15"/>
  <c r="C271" i="15"/>
  <c r="C207" i="15"/>
  <c r="C143" i="15"/>
  <c r="C743" i="15"/>
  <c r="C615" i="15"/>
  <c r="C487" i="15"/>
  <c r="C359" i="15"/>
  <c r="C215" i="15"/>
  <c r="C787" i="15"/>
  <c r="C731" i="15"/>
  <c r="C667" i="15"/>
  <c r="C603" i="15"/>
  <c r="C539" i="15"/>
  <c r="C475" i="15"/>
  <c r="C411" i="15"/>
  <c r="C347" i="15"/>
  <c r="C283" i="15"/>
  <c r="C219" i="15"/>
  <c r="C155" i="15"/>
  <c r="C777" i="15"/>
  <c r="C745" i="15"/>
  <c r="C713" i="15"/>
  <c r="C681" i="15"/>
  <c r="C649" i="15"/>
  <c r="C617" i="15"/>
  <c r="C585" i="15"/>
  <c r="C553" i="15"/>
  <c r="C521" i="15"/>
  <c r="C489" i="15"/>
  <c r="C457" i="15"/>
  <c r="C425" i="15"/>
  <c r="C393" i="15"/>
  <c r="C361" i="15"/>
  <c r="C329" i="15"/>
  <c r="C297" i="15"/>
  <c r="C265" i="15"/>
  <c r="C233" i="15"/>
  <c r="C201" i="15"/>
  <c r="C169" i="15"/>
  <c r="C137" i="15"/>
  <c r="C765" i="15"/>
  <c r="C733" i="15"/>
  <c r="C701" i="15"/>
  <c r="C669" i="15"/>
  <c r="C637" i="15"/>
  <c r="C605" i="15"/>
  <c r="C573" i="15"/>
  <c r="C541" i="15"/>
  <c r="C509" i="15"/>
  <c r="C477" i="15"/>
  <c r="C445" i="15"/>
  <c r="C413" i="15"/>
  <c r="C381" i="15"/>
  <c r="C349" i="15"/>
  <c r="C317" i="15"/>
  <c r="C285" i="15"/>
  <c r="C253" i="15"/>
  <c r="C221" i="15"/>
  <c r="C189" i="15"/>
  <c r="C157" i="15"/>
  <c r="C125" i="15"/>
  <c r="C776" i="15"/>
  <c r="C760" i="15"/>
  <c r="C744" i="15"/>
  <c r="C728" i="15"/>
  <c r="C712" i="15"/>
  <c r="C696" i="15"/>
  <c r="C680" i="15"/>
  <c r="C664" i="15"/>
  <c r="C648" i="15"/>
  <c r="C632" i="15"/>
  <c r="C616" i="15"/>
  <c r="C600" i="15"/>
  <c r="C584" i="15"/>
  <c r="C568" i="15"/>
  <c r="C552" i="15"/>
  <c r="C536" i="15"/>
  <c r="C520" i="15"/>
  <c r="C504" i="15"/>
  <c r="C488" i="15"/>
  <c r="C472" i="15"/>
  <c r="C456" i="15"/>
  <c r="C440" i="15"/>
  <c r="C424" i="15"/>
  <c r="C408" i="15"/>
  <c r="C392" i="15"/>
  <c r="C376" i="15"/>
  <c r="C360" i="15"/>
  <c r="C344" i="15"/>
  <c r="C328" i="15"/>
  <c r="C312" i="15"/>
  <c r="C296" i="15"/>
  <c r="C280" i="15"/>
  <c r="C264" i="15"/>
  <c r="C248" i="15"/>
  <c r="C232" i="15"/>
  <c r="C216" i="15"/>
  <c r="C200" i="15"/>
  <c r="C184" i="15"/>
  <c r="C168" i="15"/>
  <c r="C152" i="15"/>
  <c r="C136" i="15"/>
  <c r="C120" i="15"/>
  <c r="C782" i="15"/>
  <c r="C766" i="15"/>
  <c r="C750" i="15"/>
  <c r="C734" i="15"/>
  <c r="C718" i="15"/>
  <c r="C702" i="15"/>
  <c r="C686" i="15"/>
  <c r="C670" i="15"/>
  <c r="C654" i="15"/>
  <c r="C638" i="15"/>
  <c r="C622" i="15"/>
  <c r="C606" i="15"/>
  <c r="C590" i="15"/>
  <c r="C574" i="15"/>
  <c r="C558" i="15"/>
  <c r="C542" i="15"/>
  <c r="C526" i="15"/>
  <c r="C510" i="15"/>
  <c r="C494" i="15"/>
  <c r="C478" i="15"/>
  <c r="C462" i="15"/>
  <c r="C446" i="15"/>
  <c r="C430" i="15"/>
  <c r="C414" i="15"/>
  <c r="C398" i="15"/>
  <c r="C382" i="15"/>
  <c r="C366" i="15"/>
  <c r="C350" i="15"/>
  <c r="C334" i="15"/>
  <c r="C318" i="15"/>
  <c r="C302" i="15"/>
  <c r="C286" i="15"/>
  <c r="C270" i="15"/>
  <c r="C254" i="15"/>
  <c r="C238" i="15"/>
  <c r="C222" i="15"/>
  <c r="C206" i="15"/>
  <c r="C190" i="15"/>
  <c r="C174" i="15"/>
  <c r="C158" i="15"/>
  <c r="C142" i="15"/>
  <c r="C126" i="15"/>
  <c r="C563" i="15"/>
  <c r="C323" i="15"/>
  <c r="C723" i="15"/>
  <c r="C211" i="15"/>
  <c r="C707" i="15"/>
  <c r="C547" i="15"/>
  <c r="C759" i="15"/>
  <c r="C503" i="15"/>
  <c r="C247" i="15"/>
  <c r="C751" i="15"/>
  <c r="C623" i="15"/>
  <c r="C495" i="15"/>
  <c r="C367" i="15"/>
  <c r="C239" i="15"/>
  <c r="C111" i="15"/>
  <c r="C551" i="15"/>
  <c r="C295" i="15"/>
  <c r="C763" i="15"/>
  <c r="C635" i="15"/>
  <c r="C507" i="15"/>
  <c r="C379" i="15"/>
  <c r="C251" i="15"/>
  <c r="C123" i="15"/>
  <c r="C729" i="15"/>
  <c r="C665" i="15"/>
  <c r="C601" i="15"/>
  <c r="C537" i="15"/>
  <c r="C473" i="15"/>
  <c r="C441" i="15"/>
  <c r="C377" i="15"/>
  <c r="C313" i="15"/>
  <c r="C249" i="15"/>
  <c r="C153" i="15"/>
  <c r="C749" i="15"/>
  <c r="C685" i="15"/>
  <c r="C653" i="15"/>
  <c r="C589" i="15"/>
  <c r="C493" i="15"/>
  <c r="C429" i="15"/>
  <c r="C365" i="15"/>
  <c r="C301" i="15"/>
  <c r="C237" i="15"/>
  <c r="C173" i="15"/>
  <c r="C784" i="15"/>
  <c r="C752" i="15"/>
  <c r="C720" i="15"/>
  <c r="C688" i="15"/>
  <c r="C656" i="15"/>
  <c r="C624" i="15"/>
  <c r="C592" i="15"/>
  <c r="C560" i="15"/>
  <c r="C528" i="15"/>
  <c r="C496" i="15"/>
  <c r="C464" i="15"/>
  <c r="C432" i="15"/>
  <c r="C400" i="15"/>
  <c r="C368" i="15"/>
  <c r="C336" i="15"/>
  <c r="C304" i="15"/>
  <c r="C272" i="15"/>
  <c r="C240" i="15"/>
  <c r="C208" i="15"/>
  <c r="C176" i="15"/>
  <c r="C144" i="15"/>
  <c r="C112" i="15"/>
  <c r="C758" i="15"/>
  <c r="C726" i="15"/>
  <c r="C694" i="15"/>
  <c r="C662" i="15"/>
  <c r="C630" i="15"/>
  <c r="C598" i="15"/>
  <c r="C566" i="15"/>
  <c r="C534" i="15"/>
  <c r="C502" i="15"/>
  <c r="C470" i="15"/>
  <c r="C438" i="15"/>
  <c r="C406" i="15"/>
  <c r="C374" i="15"/>
  <c r="C342" i="15"/>
  <c r="C310" i="15"/>
  <c r="C262" i="15"/>
  <c r="C230" i="15"/>
  <c r="C198" i="15"/>
  <c r="C166" i="15"/>
  <c r="C134" i="15"/>
  <c r="C275" i="15"/>
  <c r="C611" i="15"/>
  <c r="C535" i="15"/>
  <c r="C767" i="15"/>
  <c r="C511" i="15"/>
  <c r="C255" i="15"/>
  <c r="C583" i="15"/>
  <c r="C775" i="15"/>
  <c r="C523" i="15"/>
  <c r="C267" i="15"/>
  <c r="C737" i="15"/>
  <c r="C609" i="15"/>
  <c r="C481" i="15"/>
  <c r="C353" i="15"/>
  <c r="C225" i="15"/>
  <c r="C757" i="15"/>
  <c r="C629" i="15"/>
  <c r="C501" i="15"/>
  <c r="C373" i="15"/>
  <c r="C245" i="15"/>
  <c r="C724" i="15"/>
  <c r="C660" i="15"/>
  <c r="C596" i="15"/>
  <c r="C532" i="15"/>
  <c r="C468" i="15"/>
  <c r="C404" i="15"/>
  <c r="C276" i="15"/>
  <c r="C212" i="15"/>
  <c r="C762" i="15"/>
  <c r="C634" i="15"/>
  <c r="C442" i="15"/>
  <c r="C314" i="15"/>
  <c r="C186" i="15"/>
  <c r="C195" i="15"/>
  <c r="C575" i="15"/>
  <c r="C711" i="15"/>
  <c r="C587" i="15"/>
  <c r="C769" i="15"/>
  <c r="C513" i="15"/>
  <c r="C257" i="15"/>
  <c r="C661" i="15"/>
  <c r="C405" i="15"/>
  <c r="C149" i="15"/>
  <c r="C676" i="15"/>
  <c r="C548" i="15"/>
  <c r="C420" i="15"/>
  <c r="C292" i="15"/>
  <c r="C164" i="15"/>
  <c r="C714" i="15"/>
  <c r="C586" i="15"/>
  <c r="C458" i="15"/>
  <c r="C330" i="15"/>
  <c r="C202" i="15"/>
  <c r="C383" i="15"/>
  <c r="C651" i="15"/>
  <c r="C139" i="15"/>
  <c r="C545" i="15"/>
  <c r="C289" i="15"/>
  <c r="C693" i="15"/>
  <c r="C437" i="15"/>
  <c r="C181" i="15"/>
  <c r="C692" i="15"/>
  <c r="C564" i="15"/>
  <c r="C436" i="15"/>
  <c r="C308" i="15"/>
  <c r="C180" i="15"/>
  <c r="C730" i="15"/>
  <c r="C538" i="15"/>
  <c r="C410" i="15"/>
  <c r="C282" i="15"/>
  <c r="C154" i="15"/>
  <c r="C179" i="15"/>
  <c r="C627" i="15"/>
  <c r="C355" i="15"/>
  <c r="C423" i="15"/>
  <c r="C703" i="15"/>
  <c r="C447" i="15"/>
  <c r="C191" i="15"/>
  <c r="C455" i="15"/>
  <c r="C715" i="15"/>
  <c r="C459" i="15"/>
  <c r="C203" i="15"/>
  <c r="C705" i="15"/>
  <c r="C577" i="15"/>
  <c r="C449" i="15"/>
  <c r="C321" i="15"/>
  <c r="C193" i="15"/>
  <c r="C725" i="15"/>
  <c r="C597" i="15"/>
  <c r="C469" i="15"/>
  <c r="C341" i="15"/>
  <c r="C213" i="15"/>
  <c r="C772" i="15"/>
  <c r="C708" i="15"/>
  <c r="C644" i="15"/>
  <c r="C580" i="15"/>
  <c r="C516" i="15"/>
  <c r="C452" i="15"/>
  <c r="C388" i="15"/>
  <c r="C324" i="15"/>
  <c r="C260" i="15"/>
  <c r="C196" i="15"/>
  <c r="C132" i="15"/>
  <c r="C746" i="15"/>
  <c r="C682" i="15"/>
  <c r="C618" i="15"/>
  <c r="C554" i="15"/>
  <c r="C490" i="15"/>
  <c r="C426" i="15"/>
  <c r="C362" i="15"/>
  <c r="C298" i="15"/>
  <c r="C234" i="15"/>
  <c r="C170" i="15"/>
  <c r="C340" i="15"/>
  <c r="C148" i="15"/>
  <c r="C698" i="15"/>
  <c r="C570" i="15"/>
  <c r="C506" i="15"/>
  <c r="C378" i="15"/>
  <c r="C250" i="15"/>
  <c r="C122" i="15"/>
  <c r="C531" i="15"/>
  <c r="C663" i="15"/>
  <c r="C167" i="15"/>
  <c r="C319" i="15"/>
  <c r="C183" i="15"/>
  <c r="C331" i="15"/>
  <c r="C641" i="15"/>
  <c r="C385" i="15"/>
  <c r="C129" i="15"/>
  <c r="C533" i="15"/>
  <c r="C277" i="15"/>
  <c r="C740" i="15"/>
  <c r="C612" i="15"/>
  <c r="C484" i="15"/>
  <c r="C356" i="15"/>
  <c r="C228" i="15"/>
  <c r="C778" i="15"/>
  <c r="C650" i="15"/>
  <c r="C522" i="15"/>
  <c r="C394" i="15"/>
  <c r="C266" i="15"/>
  <c r="C138" i="15"/>
  <c r="C781" i="15"/>
  <c r="C115" i="15"/>
  <c r="C783" i="15"/>
  <c r="C279" i="15"/>
  <c r="C639" i="15"/>
  <c r="C127" i="15"/>
  <c r="C327" i="15"/>
  <c r="C395" i="15"/>
  <c r="C673" i="15"/>
  <c r="C417" i="15"/>
  <c r="C161" i="15"/>
  <c r="C565" i="15"/>
  <c r="C309" i="15"/>
  <c r="C756" i="15"/>
  <c r="C628" i="15"/>
  <c r="C500" i="15"/>
  <c r="C372" i="15"/>
  <c r="C244" i="15"/>
  <c r="C116" i="15"/>
  <c r="C666" i="15"/>
  <c r="C602" i="15"/>
  <c r="C474" i="15"/>
  <c r="C346" i="15"/>
  <c r="C218" i="15"/>
  <c r="I7" i="15" l="1"/>
  <c r="J7" i="15" s="1"/>
  <c r="I8" i="15"/>
  <c r="J8" i="15" s="1"/>
  <c r="I9" i="15"/>
  <c r="J9" i="15" s="1"/>
  <c r="I6" i="15"/>
  <c r="J6" i="15" s="1"/>
  <c r="B110" i="15" a="1"/>
  <c r="O34" i="20" l="1"/>
  <c r="O42" i="20" s="1"/>
  <c r="O66" i="20" s="1"/>
  <c r="O6" i="20" s="1"/>
  <c r="R34" i="20"/>
  <c r="R42" i="20" s="1"/>
  <c r="R66" i="20" s="1"/>
  <c r="R6" i="20" s="1"/>
  <c r="L34" i="20"/>
  <c r="L42" i="20" s="1"/>
  <c r="L66" i="20" s="1"/>
  <c r="L6" i="20" s="1"/>
  <c r="Z153" i="20"/>
  <c r="Z149" i="20"/>
  <c r="Z147" i="20"/>
  <c r="Z145" i="20"/>
  <c r="Z140" i="20"/>
  <c r="Z138" i="20"/>
  <c r="Z136" i="20"/>
  <c r="Z134" i="20"/>
  <c r="Z132" i="20"/>
  <c r="Z130" i="20"/>
  <c r="Z128" i="20"/>
  <c r="Z126" i="20"/>
  <c r="Z124" i="20"/>
  <c r="Z122" i="20"/>
  <c r="Z117" i="20"/>
  <c r="Z115" i="20"/>
  <c r="Z113" i="20"/>
  <c r="Z109" i="20"/>
  <c r="Z102" i="20"/>
  <c r="Z93" i="20"/>
  <c r="Z85" i="20"/>
  <c r="Z76" i="20"/>
  <c r="Z71" i="20"/>
  <c r="Z31" i="20"/>
  <c r="Z26" i="20"/>
  <c r="Z21" i="20"/>
  <c r="Z94" i="20"/>
  <c r="Z81" i="20"/>
  <c r="Z33" i="20"/>
  <c r="Z22" i="20"/>
  <c r="Z95" i="20"/>
  <c r="Z150" i="20"/>
  <c r="Z148" i="20"/>
  <c r="Z144" i="20"/>
  <c r="Z137" i="20"/>
  <c r="Z133" i="20"/>
  <c r="Z129" i="20"/>
  <c r="Z127" i="20"/>
  <c r="Z123" i="20"/>
  <c r="Z116" i="20"/>
  <c r="Z112" i="20"/>
  <c r="Z103" i="20"/>
  <c r="Z87" i="20"/>
  <c r="Z82" i="20"/>
  <c r="Z29" i="20"/>
  <c r="Z92" i="20"/>
  <c r="Z83" i="20"/>
  <c r="Z75" i="20"/>
  <c r="Z30" i="20"/>
  <c r="Z25" i="20"/>
  <c r="Z19" i="20"/>
  <c r="Z86" i="20"/>
  <c r="Z72" i="20"/>
  <c r="Z27" i="20"/>
  <c r="Z154" i="20"/>
  <c r="Z146" i="20"/>
  <c r="Z139" i="20"/>
  <c r="Z135" i="20"/>
  <c r="Z131" i="20"/>
  <c r="Z125" i="20"/>
  <c r="Z121" i="20"/>
  <c r="Z114" i="20"/>
  <c r="Z110" i="20"/>
  <c r="Z101" i="20"/>
  <c r="Z74" i="20"/>
  <c r="Z23" i="20"/>
  <c r="Z24" i="20"/>
  <c r="Z91" i="20"/>
  <c r="Z20" i="20"/>
  <c r="Z84" i="20"/>
  <c r="Z32" i="20"/>
  <c r="Z80" i="20"/>
  <c r="Z28" i="20"/>
  <c r="Z73" i="20"/>
  <c r="U33" i="20"/>
  <c r="I34" i="20"/>
  <c r="I42" i="20" s="1"/>
  <c r="I66" i="20" s="1"/>
  <c r="I6" i="20" s="1"/>
  <c r="U27" i="20"/>
  <c r="U21" i="20"/>
  <c r="U32" i="20"/>
  <c r="U30" i="20"/>
  <c r="U28" i="20"/>
  <c r="U26" i="20"/>
  <c r="U24" i="20"/>
  <c r="U22" i="20"/>
  <c r="U20" i="20"/>
  <c r="U31" i="20"/>
  <c r="U29" i="20"/>
  <c r="U25" i="20"/>
  <c r="U23" i="20"/>
  <c r="U19" i="20"/>
  <c r="U18" i="20"/>
  <c r="AA25" i="20" l="1"/>
  <c r="AA27" i="20"/>
  <c r="AA29" i="20"/>
  <c r="AM18" i="20"/>
  <c r="U154" i="20"/>
  <c r="AC154" i="20" s="1"/>
  <c r="U148" i="20"/>
  <c r="AC148" i="20" s="1"/>
  <c r="U144" i="20"/>
  <c r="AA144" i="20" s="1"/>
  <c r="U137" i="20"/>
  <c r="AC137" i="20" s="1"/>
  <c r="U133" i="20"/>
  <c r="AA133" i="20" s="1"/>
  <c r="U129" i="20"/>
  <c r="AC129" i="20" s="1"/>
  <c r="U125" i="20"/>
  <c r="AC125" i="20" s="1"/>
  <c r="U121" i="20"/>
  <c r="AA121" i="20" s="1"/>
  <c r="U114" i="20"/>
  <c r="AC114" i="20" s="1"/>
  <c r="U110" i="20"/>
  <c r="AC110" i="20" s="1"/>
  <c r="U101" i="20"/>
  <c r="AA101" i="20" s="1"/>
  <c r="U92" i="20"/>
  <c r="AC92" i="20" s="1"/>
  <c r="U85" i="20"/>
  <c r="AC85" i="20" s="1"/>
  <c r="U81" i="20"/>
  <c r="AC81" i="20" s="1"/>
  <c r="U74" i="20"/>
  <c r="AC74" i="20" s="1"/>
  <c r="U63" i="20"/>
  <c r="AC63" i="20" s="1"/>
  <c r="U59" i="20"/>
  <c r="AC59" i="20" s="1"/>
  <c r="U52" i="20"/>
  <c r="AC52" i="20" s="1"/>
  <c r="U47" i="20"/>
  <c r="AC47" i="20" s="1"/>
  <c r="U40" i="20"/>
  <c r="U35" i="20"/>
  <c r="AC35" i="20" s="1"/>
  <c r="U150" i="20"/>
  <c r="AC150" i="20" s="1"/>
  <c r="U139" i="20"/>
  <c r="AA139" i="20" s="1"/>
  <c r="U131" i="20"/>
  <c r="AA131" i="20" s="1"/>
  <c r="U123" i="20"/>
  <c r="AA123" i="20" s="1"/>
  <c r="U112" i="20"/>
  <c r="AC112" i="20" s="1"/>
  <c r="U94" i="20"/>
  <c r="AA94" i="20" s="1"/>
  <c r="U83" i="20"/>
  <c r="AC83" i="20" s="1"/>
  <c r="U72" i="20"/>
  <c r="AC72" i="20" s="1"/>
  <c r="U57" i="20"/>
  <c r="AA57" i="20" s="1"/>
  <c r="U50" i="20"/>
  <c r="AC50" i="20" s="1"/>
  <c r="U38" i="20"/>
  <c r="AC38" i="20" s="1"/>
  <c r="U155" i="20"/>
  <c r="U145" i="20"/>
  <c r="AC145" i="20" s="1"/>
  <c r="U130" i="20"/>
  <c r="AA130" i="20" s="1"/>
  <c r="U122" i="20"/>
  <c r="AA122" i="20" s="1"/>
  <c r="U111" i="20"/>
  <c r="U93" i="20"/>
  <c r="AC93" i="20" s="1"/>
  <c r="U82" i="20"/>
  <c r="AC82" i="20" s="1"/>
  <c r="U71" i="20"/>
  <c r="AC71" i="20" s="1"/>
  <c r="U60" i="20"/>
  <c r="AA60" i="20" s="1"/>
  <c r="U48" i="20"/>
  <c r="AC48" i="20" s="1"/>
  <c r="U37" i="20"/>
  <c r="AC37" i="20" s="1"/>
  <c r="U153" i="20"/>
  <c r="AC153" i="20" s="1"/>
  <c r="U147" i="20"/>
  <c r="AC147" i="20" s="1"/>
  <c r="U140" i="20"/>
  <c r="AA140" i="20" s="1"/>
  <c r="U136" i="20"/>
  <c r="AA136" i="20" s="1"/>
  <c r="U132" i="20"/>
  <c r="AA132" i="20" s="1"/>
  <c r="U128" i="20"/>
  <c r="AC128" i="20" s="1"/>
  <c r="U124" i="20"/>
  <c r="AA124" i="20" s="1"/>
  <c r="U117" i="20"/>
  <c r="AC117" i="20" s="1"/>
  <c r="U113" i="20"/>
  <c r="AC113" i="20" s="1"/>
  <c r="U109" i="20"/>
  <c r="AA109" i="20" s="1"/>
  <c r="U95" i="20"/>
  <c r="AC95" i="20" s="1"/>
  <c r="U91" i="20"/>
  <c r="AC91" i="20" s="1"/>
  <c r="U84" i="20"/>
  <c r="AA84" i="20" s="1"/>
  <c r="U80" i="20"/>
  <c r="AC80" i="20" s="1"/>
  <c r="U73" i="20"/>
  <c r="AC73" i="20" s="1"/>
  <c r="U62" i="20"/>
  <c r="AC62" i="20" s="1"/>
  <c r="U58" i="20"/>
  <c r="AC58" i="20" s="1"/>
  <c r="U51" i="20"/>
  <c r="AA51" i="20" s="1"/>
  <c r="U46" i="20"/>
  <c r="AC46" i="20" s="1"/>
  <c r="U39" i="20"/>
  <c r="AA39" i="20" s="1"/>
  <c r="U146" i="20"/>
  <c r="AC146" i="20" s="1"/>
  <c r="U135" i="20"/>
  <c r="AA135" i="20" s="1"/>
  <c r="U127" i="20"/>
  <c r="AA127" i="20" s="1"/>
  <c r="U116" i="20"/>
  <c r="AC116" i="20" s="1"/>
  <c r="U103" i="20"/>
  <c r="AC103" i="20" s="1"/>
  <c r="U87" i="20"/>
  <c r="AA87" i="20" s="1"/>
  <c r="U76" i="20"/>
  <c r="AC76" i="20" s="1"/>
  <c r="U61" i="20"/>
  <c r="AA61" i="20" s="1"/>
  <c r="U45" i="20"/>
  <c r="AA45" i="20" s="1"/>
  <c r="U149" i="20"/>
  <c r="AC149" i="20" s="1"/>
  <c r="U138" i="20"/>
  <c r="AA138" i="20" s="1"/>
  <c r="U134" i="20"/>
  <c r="AC134" i="20" s="1"/>
  <c r="U126" i="20"/>
  <c r="AC126" i="20" s="1"/>
  <c r="U115" i="20"/>
  <c r="AC115" i="20" s="1"/>
  <c r="U102" i="20"/>
  <c r="AC102" i="20" s="1"/>
  <c r="U86" i="20"/>
  <c r="AC86" i="20" s="1"/>
  <c r="U75" i="20"/>
  <c r="AC75" i="20" s="1"/>
  <c r="U56" i="20"/>
  <c r="AA56" i="20" s="1"/>
  <c r="U41" i="20"/>
  <c r="AC41" i="20" s="1"/>
  <c r="AA33" i="20"/>
  <c r="AA24" i="20"/>
  <c r="AA31" i="20"/>
  <c r="AA22" i="20"/>
  <c r="AA20" i="20"/>
  <c r="AA26" i="20"/>
  <c r="AA19" i="20"/>
  <c r="I181" i="20"/>
  <c r="I159" i="20"/>
  <c r="Z88" i="20"/>
  <c r="Z77" i="20"/>
  <c r="O181" i="20"/>
  <c r="O159" i="20"/>
  <c r="Z64" i="20"/>
  <c r="AA28" i="20"/>
  <c r="AA23" i="20"/>
  <c r="AA32" i="20"/>
  <c r="Z141" i="20"/>
  <c r="AD33" i="20"/>
  <c r="AE33" i="20" s="1"/>
  <c r="AD29" i="20"/>
  <c r="AE29" i="20" s="1"/>
  <c r="AD25" i="20"/>
  <c r="AE25" i="20" s="1"/>
  <c r="AD21" i="20"/>
  <c r="AE21" i="20" s="1"/>
  <c r="AD30" i="20"/>
  <c r="AE30" i="20" s="1"/>
  <c r="AD22" i="20"/>
  <c r="AE22" i="20" s="1"/>
  <c r="AD32" i="20"/>
  <c r="AE32" i="20" s="1"/>
  <c r="AD28" i="20"/>
  <c r="AE28" i="20" s="1"/>
  <c r="AD24" i="20"/>
  <c r="AE24" i="20" s="1"/>
  <c r="AD20" i="20"/>
  <c r="AE20" i="20" s="1"/>
  <c r="U34" i="20"/>
  <c r="AD26" i="20"/>
  <c r="AE26" i="20" s="1"/>
  <c r="AD18" i="20"/>
  <c r="AE18" i="20" s="1"/>
  <c r="AD31" i="20"/>
  <c r="AE31" i="20" s="1"/>
  <c r="AD27" i="20"/>
  <c r="AE27" i="20" s="1"/>
  <c r="AD23" i="20"/>
  <c r="AE23" i="20" s="1"/>
  <c r="AD19" i="20"/>
  <c r="AE19" i="20" s="1"/>
  <c r="AA30" i="20"/>
  <c r="Z96" i="20"/>
  <c r="Z104" i="20"/>
  <c r="L159" i="20"/>
  <c r="L8" i="20" s="1"/>
  <c r="L181" i="20"/>
  <c r="R159" i="20"/>
  <c r="R181" i="20"/>
  <c r="AA21" i="20"/>
  <c r="Z53" i="20"/>
  <c r="Z151" i="20"/>
  <c r="AC57" i="20" l="1"/>
  <c r="AA37" i="20"/>
  <c r="AA85" i="20"/>
  <c r="AC144" i="20"/>
  <c r="AC151" i="20" s="1"/>
  <c r="AA134" i="20"/>
  <c r="AC87" i="20"/>
  <c r="AC109" i="20"/>
  <c r="AC61" i="20"/>
  <c r="AC51" i="20"/>
  <c r="AC123" i="20"/>
  <c r="AA149" i="20"/>
  <c r="AA128" i="20"/>
  <c r="AA115" i="20"/>
  <c r="AA147" i="20"/>
  <c r="AC133" i="20"/>
  <c r="AA117" i="20"/>
  <c r="AA125" i="20"/>
  <c r="AA47" i="20"/>
  <c r="AA145" i="20"/>
  <c r="AC39" i="20"/>
  <c r="AA62" i="20"/>
  <c r="AA82" i="20"/>
  <c r="AC101" i="20"/>
  <c r="AC104" i="20" s="1"/>
  <c r="AA137" i="20"/>
  <c r="AA114" i="20"/>
  <c r="AA35" i="20"/>
  <c r="AC60" i="20"/>
  <c r="AA72" i="20"/>
  <c r="AC135" i="20"/>
  <c r="AA80" i="20"/>
  <c r="AA59" i="20"/>
  <c r="AA154" i="20"/>
  <c r="AA81" i="20"/>
  <c r="AA52" i="20"/>
  <c r="AA41" i="20"/>
  <c r="AC124" i="20"/>
  <c r="AA129" i="20"/>
  <c r="AA93" i="20"/>
  <c r="AA48" i="20"/>
  <c r="AC138" i="20"/>
  <c r="AA95" i="20"/>
  <c r="AA112" i="20"/>
  <c r="AC140" i="20"/>
  <c r="AA46" i="20"/>
  <c r="AA102" i="20"/>
  <c r="AA73" i="20"/>
  <c r="AC127" i="20"/>
  <c r="AA110" i="20"/>
  <c r="AA76" i="20"/>
  <c r="AA150" i="20"/>
  <c r="AA148" i="20"/>
  <c r="AC121" i="20"/>
  <c r="AC84" i="20"/>
  <c r="AC94" i="20"/>
  <c r="AC130" i="20"/>
  <c r="AA74" i="20"/>
  <c r="AC136" i="20"/>
  <c r="AC139" i="20"/>
  <c r="U53" i="20"/>
  <c r="AA50" i="20"/>
  <c r="AA91" i="20"/>
  <c r="AA116" i="20"/>
  <c r="AC77" i="20"/>
  <c r="AA126" i="20"/>
  <c r="U77" i="20"/>
  <c r="U96" i="20"/>
  <c r="AC131" i="20"/>
  <c r="U42" i="20"/>
  <c r="AA92" i="20"/>
  <c r="AC45" i="20"/>
  <c r="U141" i="20"/>
  <c r="U88" i="20"/>
  <c r="AA75" i="20"/>
  <c r="AA146" i="20"/>
  <c r="U151" i="20"/>
  <c r="U104" i="20"/>
  <c r="AA38" i="20"/>
  <c r="AA63" i="20"/>
  <c r="AA153" i="20"/>
  <c r="U118" i="20"/>
  <c r="AA58" i="20"/>
  <c r="AC132" i="20"/>
  <c r="U64" i="20"/>
  <c r="AA40" i="20"/>
  <c r="AC40" i="20"/>
  <c r="AA103" i="20"/>
  <c r="AA71" i="20"/>
  <c r="AA83" i="20"/>
  <c r="AA86" i="20"/>
  <c r="AA113" i="20"/>
  <c r="AA155" i="20"/>
  <c r="AC155" i="20"/>
  <c r="R8" i="20"/>
  <c r="N9" i="15" s="1"/>
  <c r="O9" i="15" s="1"/>
  <c r="O8" i="20"/>
  <c r="N8" i="15" s="1"/>
  <c r="O8" i="15" s="1"/>
  <c r="I8" i="20"/>
  <c r="N6" i="15" s="1"/>
  <c r="O6" i="15" s="1"/>
  <c r="N7" i="15"/>
  <c r="O7" i="15" s="1"/>
  <c r="M118" i="18"/>
  <c r="J118" i="18"/>
  <c r="J157" i="18" s="1"/>
  <c r="V111" i="18"/>
  <c r="Z111" i="20"/>
  <c r="S118" i="18"/>
  <c r="S157" i="18" s="1"/>
  <c r="P118" i="18"/>
  <c r="P157" i="18" s="1"/>
  <c r="AC96" i="20"/>
  <c r="AE34" i="20"/>
  <c r="AD34" i="20"/>
  <c r="Z98" i="20"/>
  <c r="Z106" i="20" s="1"/>
  <c r="AA151" i="20" l="1"/>
  <c r="AC88" i="20"/>
  <c r="AC98" i="20" s="1"/>
  <c r="AC106" i="20" s="1"/>
  <c r="AA141" i="20"/>
  <c r="AC53" i="20"/>
  <c r="AA88" i="20"/>
  <c r="AC122" i="20"/>
  <c r="AC141" i="20" s="1"/>
  <c r="AC56" i="20"/>
  <c r="AC64" i="20" s="1"/>
  <c r="AA53" i="20"/>
  <c r="AA64" i="20"/>
  <c r="AA77" i="20"/>
  <c r="AA104" i="20"/>
  <c r="U98" i="20"/>
  <c r="U106" i="20" s="1"/>
  <c r="U157" i="20" s="1"/>
  <c r="AA96" i="20"/>
  <c r="U66" i="20"/>
  <c r="U6" i="20" s="1"/>
  <c r="O10" i="15"/>
  <c r="M12" i="15" s="1"/>
  <c r="E2" i="20" s="1"/>
  <c r="M157" i="18"/>
  <c r="M7" i="18" s="1"/>
  <c r="S7" i="18"/>
  <c r="S183" i="18"/>
  <c r="M183" i="18"/>
  <c r="J7" i="18"/>
  <c r="J183" i="18"/>
  <c r="Z118" i="20"/>
  <c r="Z157" i="20" s="1"/>
  <c r="AA111" i="20"/>
  <c r="AA118" i="20" s="1"/>
  <c r="P7" i="18"/>
  <c r="P183" i="18"/>
  <c r="V118" i="18"/>
  <c r="V157" i="18" s="1"/>
  <c r="AB111" i="20"/>
  <c r="Y111" i="18"/>
  <c r="Y118" i="18" s="1"/>
  <c r="U181" i="20"/>
  <c r="U183" i="20"/>
  <c r="C17" i="15"/>
  <c r="B16" i="15" s="1"/>
  <c r="D18" i="3" s="1"/>
  <c r="AA98" i="20" l="1"/>
  <c r="AA106" i="20" s="1"/>
  <c r="AA157" i="20" s="1"/>
  <c r="AA7" i="20" s="1"/>
  <c r="U159" i="20"/>
  <c r="U8" i="20" s="1"/>
  <c r="U7" i="20"/>
  <c r="AD155" i="20"/>
  <c r="AE155" i="20" s="1"/>
  <c r="AD149" i="20"/>
  <c r="AE149" i="20" s="1"/>
  <c r="AD145" i="20"/>
  <c r="AE145" i="20" s="1"/>
  <c r="AD138" i="20"/>
  <c r="AE138" i="20" s="1"/>
  <c r="AD134" i="20"/>
  <c r="AE134" i="20" s="1"/>
  <c r="AD130" i="20"/>
  <c r="AE130" i="20" s="1"/>
  <c r="AD126" i="20"/>
  <c r="AE126" i="20" s="1"/>
  <c r="AD122" i="20"/>
  <c r="AE122" i="20" s="1"/>
  <c r="AD115" i="20"/>
  <c r="AE115" i="20" s="1"/>
  <c r="AD111" i="20"/>
  <c r="AE111" i="20" s="1"/>
  <c r="AD102" i="20"/>
  <c r="AE102" i="20" s="1"/>
  <c r="AD93" i="20"/>
  <c r="AE93" i="20" s="1"/>
  <c r="AD86" i="20"/>
  <c r="AE86" i="20" s="1"/>
  <c r="AD82" i="20"/>
  <c r="AE82" i="20" s="1"/>
  <c r="AD75" i="20"/>
  <c r="AE75" i="20" s="1"/>
  <c r="AD71" i="20"/>
  <c r="AD60" i="20"/>
  <c r="AE60" i="20" s="1"/>
  <c r="AD56" i="20"/>
  <c r="AD48" i="20"/>
  <c r="AE48" i="20" s="1"/>
  <c r="AD41" i="20"/>
  <c r="AE41" i="20" s="1"/>
  <c r="AD37" i="20"/>
  <c r="AE37" i="20" s="1"/>
  <c r="AD147" i="20"/>
  <c r="AE147" i="20" s="1"/>
  <c r="AD136" i="20"/>
  <c r="AE136" i="20" s="1"/>
  <c r="AD128" i="20"/>
  <c r="AE128" i="20" s="1"/>
  <c r="AD124" i="20"/>
  <c r="AE124" i="20" s="1"/>
  <c r="AD113" i="20"/>
  <c r="AE113" i="20" s="1"/>
  <c r="AD95" i="20"/>
  <c r="AE95" i="20" s="1"/>
  <c r="AD84" i="20"/>
  <c r="AE84" i="20" s="1"/>
  <c r="AD73" i="20"/>
  <c r="AE73" i="20" s="1"/>
  <c r="AD58" i="20"/>
  <c r="AE58" i="20" s="1"/>
  <c r="AD46" i="20"/>
  <c r="AE46" i="20" s="1"/>
  <c r="AD146" i="20"/>
  <c r="AE146" i="20" s="1"/>
  <c r="AD135" i="20"/>
  <c r="AE135" i="20" s="1"/>
  <c r="AD127" i="20"/>
  <c r="AE127" i="20" s="1"/>
  <c r="AD123" i="20"/>
  <c r="AE123" i="20" s="1"/>
  <c r="AD103" i="20"/>
  <c r="AE103" i="20" s="1"/>
  <c r="AD87" i="20"/>
  <c r="AE87" i="20" s="1"/>
  <c r="AD76" i="20"/>
  <c r="AE76" i="20" s="1"/>
  <c r="AD61" i="20"/>
  <c r="AE61" i="20" s="1"/>
  <c r="AD50" i="20"/>
  <c r="AE50" i="20" s="1"/>
  <c r="AD154" i="20"/>
  <c r="AE154" i="20" s="1"/>
  <c r="AD148" i="20"/>
  <c r="AE148" i="20" s="1"/>
  <c r="AD144" i="20"/>
  <c r="AD137" i="20"/>
  <c r="AE137" i="20" s="1"/>
  <c r="AD133" i="20"/>
  <c r="AE133" i="20" s="1"/>
  <c r="AD129" i="20"/>
  <c r="AE129" i="20" s="1"/>
  <c r="AD125" i="20"/>
  <c r="AE125" i="20" s="1"/>
  <c r="AD121" i="20"/>
  <c r="AD114" i="20"/>
  <c r="AE114" i="20" s="1"/>
  <c r="AD110" i="20"/>
  <c r="AE110" i="20" s="1"/>
  <c r="AD101" i="20"/>
  <c r="AD92" i="20"/>
  <c r="AE92" i="20" s="1"/>
  <c r="AD85" i="20"/>
  <c r="AE85" i="20" s="1"/>
  <c r="AD81" i="20"/>
  <c r="AE81" i="20" s="1"/>
  <c r="AD74" i="20"/>
  <c r="AE74" i="20" s="1"/>
  <c r="AD63" i="20"/>
  <c r="AE63" i="20" s="1"/>
  <c r="AD59" i="20"/>
  <c r="AE59" i="20" s="1"/>
  <c r="AD52" i="20"/>
  <c r="AE52" i="20" s="1"/>
  <c r="AD47" i="20"/>
  <c r="AE47" i="20" s="1"/>
  <c r="AD40" i="20"/>
  <c r="AE40" i="20" s="1"/>
  <c r="AD35" i="20"/>
  <c r="AD153" i="20"/>
  <c r="AE153" i="20" s="1"/>
  <c r="AD140" i="20"/>
  <c r="AE140" i="20" s="1"/>
  <c r="AD132" i="20"/>
  <c r="AE132" i="20" s="1"/>
  <c r="AD117" i="20"/>
  <c r="AE117" i="20" s="1"/>
  <c r="AD109" i="20"/>
  <c r="AD91" i="20"/>
  <c r="AD80" i="20"/>
  <c r="AD62" i="20"/>
  <c r="AE62" i="20" s="1"/>
  <c r="AD51" i="20"/>
  <c r="AE51" i="20" s="1"/>
  <c r="AD39" i="20"/>
  <c r="AE39" i="20" s="1"/>
  <c r="AD150" i="20"/>
  <c r="AE150" i="20" s="1"/>
  <c r="AD139" i="20"/>
  <c r="AE139" i="20" s="1"/>
  <c r="AD131" i="20"/>
  <c r="AE131" i="20" s="1"/>
  <c r="AD116" i="20"/>
  <c r="AE116" i="20" s="1"/>
  <c r="AD112" i="20"/>
  <c r="AE112" i="20" s="1"/>
  <c r="AD94" i="20"/>
  <c r="AE94" i="20" s="1"/>
  <c r="AD83" i="20"/>
  <c r="AE83" i="20" s="1"/>
  <c r="AD72" i="20"/>
  <c r="AE72" i="20" s="1"/>
  <c r="AD57" i="20"/>
  <c r="AE57" i="20" s="1"/>
  <c r="AD45" i="20"/>
  <c r="AD38" i="20"/>
  <c r="AE38" i="20" s="1"/>
  <c r="Y157" i="18"/>
  <c r="Y7" i="18" s="1"/>
  <c r="I12" i="15"/>
  <c r="G16" i="15"/>
  <c r="Z7" i="20"/>
  <c r="Z183" i="20"/>
  <c r="AA183" i="20" s="1"/>
  <c r="V7" i="18"/>
  <c r="AB118" i="20"/>
  <c r="AB157" i="20" s="1"/>
  <c r="AC111" i="20"/>
  <c r="AC118" i="20" s="1"/>
  <c r="AD183" i="20"/>
  <c r="AE183" i="20" s="1"/>
  <c r="AD181" i="20"/>
  <c r="AE181" i="20" s="1"/>
  <c r="C18" i="15"/>
  <c r="AE80" i="20" l="1"/>
  <c r="AE88" i="20" s="1"/>
  <c r="AD88" i="20"/>
  <c r="AE91" i="20"/>
  <c r="AE96" i="20" s="1"/>
  <c r="AD96" i="20"/>
  <c r="AE101" i="20"/>
  <c r="AE104" i="20" s="1"/>
  <c r="AD104" i="20"/>
  <c r="AD151" i="20"/>
  <c r="AE144" i="20"/>
  <c r="AE151" i="20" s="1"/>
  <c r="AE109" i="20"/>
  <c r="AE118" i="20" s="1"/>
  <c r="AD118" i="20"/>
  <c r="AE56" i="20"/>
  <c r="AE64" i="20" s="1"/>
  <c r="AD64" i="20"/>
  <c r="AE121" i="20"/>
  <c r="AE141" i="20" s="1"/>
  <c r="AD141" i="20"/>
  <c r="AE71" i="20"/>
  <c r="AE77" i="20" s="1"/>
  <c r="AD77" i="20"/>
  <c r="AE45" i="20"/>
  <c r="AE53" i="20" s="1"/>
  <c r="AD53" i="20"/>
  <c r="AE35" i="20"/>
  <c r="AE42" i="20" s="1"/>
  <c r="AD42" i="20"/>
  <c r="AC157" i="20"/>
  <c r="AC7" i="20" s="1"/>
  <c r="I22" i="15"/>
  <c r="D19" i="3" s="1"/>
  <c r="J12" i="15"/>
  <c r="AB7" i="20"/>
  <c r="C19" i="15"/>
  <c r="B17" i="15"/>
  <c r="AE98" i="20" l="1"/>
  <c r="AE106" i="20" s="1"/>
  <c r="AE157" i="20" s="1"/>
  <c r="AE7" i="20" s="1"/>
  <c r="AD98" i="20"/>
  <c r="AD106" i="20" s="1"/>
  <c r="AD157" i="20" s="1"/>
  <c r="AD7" i="20" s="1"/>
  <c r="AD66" i="20"/>
  <c r="AE66" i="20"/>
  <c r="I4" i="20"/>
  <c r="U4" i="20" s="1"/>
  <c r="E3" i="21"/>
  <c r="B11" i="19"/>
  <c r="B4" i="17"/>
  <c r="I4" i="18"/>
  <c r="V4" i="18" s="1"/>
  <c r="B3" i="14"/>
  <c r="E20" i="21"/>
  <c r="D11" i="14"/>
  <c r="E7" i="17"/>
  <c r="I13" i="18"/>
  <c r="D35" i="14"/>
  <c r="D22" i="14"/>
  <c r="B18" i="15"/>
  <c r="C20" i="15"/>
  <c r="B19" i="15" s="1"/>
  <c r="AE6" i="20" l="1"/>
  <c r="AE159" i="20"/>
  <c r="AE8" i="20" s="1"/>
  <c r="AD6" i="20"/>
  <c r="AD159" i="20"/>
  <c r="AD8" i="20" s="1"/>
  <c r="C21" i="15"/>
  <c r="B20" i="15" s="1"/>
  <c r="F16" i="15" l="1"/>
  <c r="C22" i="15"/>
  <c r="B21" i="15" s="1"/>
  <c r="B294" i="15"/>
  <c r="B610" i="15"/>
  <c r="B509" i="15"/>
  <c r="B328" i="15"/>
  <c r="B720" i="15"/>
  <c r="B423" i="15"/>
  <c r="B743" i="15"/>
  <c r="B705" i="15"/>
  <c r="B239" i="15"/>
  <c r="B673" i="15"/>
  <c r="B498" i="15"/>
  <c r="B510" i="15"/>
  <c r="B435" i="15"/>
  <c r="B632" i="15"/>
  <c r="B337" i="15"/>
  <c r="B773" i="15"/>
  <c r="B688" i="15"/>
  <c r="B264" i="15"/>
  <c r="B617" i="15"/>
  <c r="B655" i="15"/>
  <c r="B204" i="15"/>
  <c r="B292" i="15"/>
  <c r="B430" i="15"/>
  <c r="B334" i="15"/>
  <c r="B339" i="15"/>
  <c r="B364" i="15"/>
  <c r="B387" i="15"/>
  <c r="B717" i="15"/>
  <c r="B517" i="15"/>
  <c r="B789" i="15"/>
  <c r="B606" i="15"/>
  <c r="B266" i="15"/>
  <c r="B309" i="15"/>
  <c r="B464" i="15"/>
  <c r="B345" i="15"/>
  <c r="B700" i="15"/>
  <c r="B540" i="15"/>
  <c r="B191" i="15"/>
  <c r="B484" i="15"/>
  <c r="B763" i="15"/>
  <c r="B132" i="15"/>
  <c r="B420" i="15"/>
  <c r="B647" i="15"/>
  <c r="B555" i="15"/>
  <c r="B556" i="15"/>
  <c r="B257" i="15"/>
  <c r="B406" i="15"/>
  <c r="B298" i="15"/>
  <c r="B582" i="15"/>
  <c r="B209" i="15"/>
  <c r="B153" i="15"/>
  <c r="B515" i="15"/>
  <c r="B727" i="15"/>
  <c r="B138" i="15"/>
  <c r="B551" i="15"/>
  <c r="B333" i="15"/>
  <c r="B659" i="15"/>
  <c r="B598" i="15"/>
  <c r="B578" i="15"/>
  <c r="B118" i="15"/>
  <c r="B639" i="15"/>
  <c r="B626" i="15"/>
  <c r="B373" i="15"/>
  <c r="B519" i="15"/>
  <c r="B160" i="15"/>
  <c r="B380" i="15"/>
  <c r="B158" i="15"/>
  <c r="B157" i="15"/>
  <c r="B451" i="15"/>
  <c r="B338" i="15"/>
  <c r="B237" i="15"/>
  <c r="B417" i="15"/>
  <c r="B524" i="15"/>
  <c r="B120" i="15"/>
  <c r="B369" i="15"/>
  <c r="B669" i="15"/>
  <c r="B295" i="15"/>
  <c r="B282" i="15"/>
  <c r="B676" i="15"/>
  <c r="B217" i="15"/>
  <c r="B348" i="15"/>
  <c r="B713" i="15"/>
  <c r="B522" i="15"/>
  <c r="B668" i="15"/>
  <c r="B330" i="15"/>
  <c r="B463" i="15"/>
  <c r="B487" i="15"/>
  <c r="B621" i="15"/>
  <c r="B648" i="15"/>
  <c r="B485" i="15"/>
  <c r="B680" i="15"/>
  <c r="B457" i="15"/>
  <c r="B751" i="15"/>
  <c r="B133" i="15"/>
  <c r="B533" i="15"/>
  <c r="B557" i="15"/>
  <c r="B476" i="15"/>
  <c r="B532" i="15"/>
  <c r="B602" i="15"/>
  <c r="B125" i="15"/>
  <c r="B530" i="15"/>
  <c r="B241" i="15"/>
  <c r="B747" i="15"/>
  <c r="B603" i="15"/>
  <c r="B768" i="15"/>
  <c r="B226" i="15"/>
  <c r="B442" i="15"/>
  <c r="B486" i="15"/>
  <c r="B635" i="15"/>
  <c r="B371" i="15"/>
  <c r="B631" i="15"/>
  <c r="B663" i="15"/>
  <c r="B397" i="15"/>
  <c r="B642" i="15"/>
  <c r="B784" i="15"/>
  <c r="B587" i="15"/>
  <c r="B480" i="15"/>
  <c r="B477" i="15"/>
  <c r="B536" i="15"/>
  <c r="B165" i="15"/>
  <c r="B181" i="15"/>
  <c r="B208" i="15"/>
  <c r="B232" i="15"/>
  <c r="B299" i="15"/>
  <c r="B310" i="15"/>
  <c r="B220" i="15"/>
  <c r="B458" i="15"/>
  <c r="B189" i="15"/>
  <c r="B354" i="15"/>
  <c r="B361" i="15"/>
  <c r="B781" i="15"/>
  <c r="B119" i="15"/>
  <c r="B278" i="15"/>
  <c r="B497" i="15"/>
  <c r="B116" i="15"/>
  <c r="B117" i="15"/>
  <c r="B782" i="15"/>
  <c r="B503" i="15"/>
  <c r="B650" i="15"/>
  <c r="B679" i="15"/>
  <c r="B539" i="15"/>
  <c r="B446" i="15"/>
  <c r="B724" i="15"/>
  <c r="B712" i="15"/>
  <c r="B155" i="15"/>
  <c r="B407" i="15"/>
  <c r="B625" i="15"/>
  <c r="B591" i="15"/>
  <c r="B570" i="15"/>
  <c r="B167" i="15"/>
  <c r="B437" i="15"/>
  <c r="B453" i="15"/>
  <c r="B321" i="15"/>
  <c r="B734" i="15"/>
  <c r="B684" i="15"/>
  <c r="B738" i="15"/>
  <c r="B168" i="15"/>
  <c r="B198" i="15"/>
  <c r="B508" i="15"/>
  <c r="B753" i="15"/>
  <c r="B771" i="15"/>
  <c r="B350" i="15"/>
  <c r="B571" i="15"/>
  <c r="B584" i="15"/>
  <c r="B678" i="15"/>
  <c r="B443" i="15"/>
  <c r="B660" i="15"/>
  <c r="B752" i="15"/>
  <c r="B491" i="15"/>
  <c r="B248" i="15"/>
  <c r="B496" i="15"/>
  <c r="B171" i="15"/>
  <c r="B222" i="15"/>
  <c r="B672" i="15"/>
  <c r="B161" i="15"/>
  <c r="B375" i="15"/>
  <c r="B454" i="15"/>
  <c r="B163" i="15"/>
  <c r="B428" i="15"/>
  <c r="B175" i="15"/>
  <c r="B136" i="15"/>
  <c r="B558" i="15"/>
  <c r="B590" i="15"/>
  <c r="B499" i="15"/>
  <c r="B748" i="15"/>
  <c r="B382" i="15"/>
  <c r="B280" i="15"/>
  <c r="B376" i="15"/>
  <c r="B450" i="15"/>
  <c r="B289" i="15"/>
  <c r="B199" i="15"/>
  <c r="B213" i="15"/>
  <c r="B636" i="15"/>
  <c r="B439" i="15"/>
  <c r="B246" i="15"/>
  <c r="B564" i="15"/>
  <c r="B355" i="15"/>
  <c r="B370" i="15"/>
  <c r="B284" i="15"/>
  <c r="B452" i="15"/>
  <c r="B596" i="15"/>
  <c r="B483" i="15"/>
  <c r="B652" i="15"/>
  <c r="B404" i="15"/>
  <c r="B353" i="15"/>
  <c r="B549" i="15"/>
  <c r="B592" i="15"/>
  <c r="B324" i="15"/>
  <c r="B586" i="15"/>
  <c r="B620" i="15"/>
  <c r="B434" i="15"/>
  <c r="B183" i="15"/>
  <c r="B424" i="15"/>
  <c r="B623" i="15"/>
  <c r="B693" i="15"/>
  <c r="B622" i="15"/>
  <c r="B140" i="15"/>
  <c r="B757" i="15"/>
  <c r="B694" i="15"/>
  <c r="B416" i="15"/>
  <c r="B488" i="15"/>
  <c r="B643" i="15"/>
  <c r="B154" i="15"/>
  <c r="B134" i="15"/>
  <c r="B638" i="15"/>
  <c r="B778" i="15"/>
  <c r="B683" i="15"/>
  <c r="B562" i="15"/>
  <c r="B545" i="15"/>
  <c r="B164" i="15"/>
  <c r="B283" i="15"/>
  <c r="B201" i="15"/>
  <c r="B492" i="15"/>
  <c r="B574" i="15"/>
  <c r="B377" i="15"/>
  <c r="B475" i="15"/>
  <c r="B665" i="15"/>
  <c r="B710" i="15"/>
  <c r="B516" i="15"/>
  <c r="B242" i="15"/>
  <c r="B644" i="15"/>
  <c r="B244" i="15"/>
  <c r="B150" i="15"/>
  <c r="B211" i="15"/>
  <c r="B729" i="15"/>
  <c r="B129" i="15"/>
  <c r="B455" i="15"/>
  <c r="B300" i="15"/>
  <c r="B489" i="15"/>
  <c r="B776" i="15"/>
  <c r="B396" i="15"/>
  <c r="B344" i="15"/>
  <c r="B398" i="15"/>
  <c r="B461" i="15"/>
  <c r="B148" i="15"/>
  <c r="B775" i="15"/>
  <c r="B374" i="15"/>
  <c r="B733" i="15"/>
  <c r="B664" i="15"/>
  <c r="B779" i="15"/>
  <c r="B422" i="15"/>
  <c r="B529" i="15"/>
  <c r="B259" i="15"/>
  <c r="B645" i="15"/>
  <c r="B589" i="15"/>
  <c r="B325" i="15"/>
  <c r="B563" i="15"/>
  <c r="B218" i="15"/>
  <c r="B362" i="15"/>
  <c r="B495" i="15"/>
  <c r="B174" i="15"/>
  <c r="B666" i="15"/>
  <c r="B335" i="15"/>
  <c r="B772" i="15"/>
  <c r="B304" i="15"/>
  <c r="B579" i="15"/>
  <c r="B572" i="15"/>
  <c r="B692" i="15"/>
  <c r="B576" i="15"/>
  <c r="B577" i="15"/>
  <c r="B327" i="15"/>
  <c r="B543" i="15"/>
  <c r="B255" i="15"/>
  <c r="B405" i="15"/>
  <c r="B206" i="15"/>
  <c r="B111" i="15"/>
  <c r="B741" i="15"/>
  <c r="B275" i="15"/>
  <c r="B514" i="15"/>
  <c r="B347" i="15"/>
  <c r="B702" i="15"/>
  <c r="B767" i="15"/>
  <c r="B541" i="15"/>
  <c r="B401" i="15"/>
  <c r="B262" i="15"/>
  <c r="B737" i="15"/>
  <c r="B612" i="15"/>
  <c r="B314" i="15"/>
  <c r="B726" i="15"/>
  <c r="B512" i="15"/>
  <c r="B182" i="15"/>
  <c r="B614" i="15"/>
  <c r="B432" i="15"/>
  <c r="B341" i="15"/>
  <c r="B472" i="15"/>
  <c r="B425" i="15"/>
  <c r="B306" i="15"/>
  <c r="B190" i="15"/>
  <c r="B231" i="15"/>
  <c r="B326" i="15"/>
  <c r="B479" i="15"/>
  <c r="B462" i="15"/>
  <c r="B265" i="15"/>
  <c r="B690" i="15"/>
  <c r="B285" i="15"/>
  <c r="B272" i="15"/>
  <c r="B141" i="15"/>
  <c r="B166" i="15"/>
  <c r="B465" i="15"/>
  <c r="B788" i="15"/>
  <c r="B188" i="15"/>
  <c r="B372" i="15"/>
  <c r="B725" i="15"/>
  <c r="B567" i="15"/>
  <c r="B193" i="15"/>
  <c r="B195" i="15"/>
  <c r="B145" i="15"/>
  <c r="B243" i="15"/>
  <c r="B332" i="15"/>
  <c r="B288" i="15"/>
  <c r="B323" i="15"/>
  <c r="B144" i="15"/>
  <c r="B657" i="15"/>
  <c r="B704" i="15"/>
  <c r="B619" i="15"/>
  <c r="B764" i="15"/>
  <c r="B716" i="15"/>
  <c r="B260" i="15"/>
  <c r="B482" i="15"/>
  <c r="B469" i="15"/>
  <c r="B400" i="15"/>
  <c r="B662" i="15"/>
  <c r="B538" i="15"/>
  <c r="B594" i="15"/>
  <c r="B467" i="15"/>
  <c r="B722" i="15"/>
  <c r="B274" i="15"/>
  <c r="B297" i="15"/>
  <c r="B252" i="15"/>
  <c r="B494" i="15"/>
  <c r="B429" i="15"/>
  <c r="B186" i="15"/>
  <c r="B390" i="15"/>
  <c r="B235" i="15"/>
  <c r="B502" i="15"/>
  <c r="B616" i="15"/>
  <c r="B393" i="15"/>
  <c r="B388" i="15"/>
  <c r="B535" i="15"/>
  <c r="B478" i="15"/>
  <c r="B449" i="15"/>
  <c r="B518" i="15"/>
  <c r="B216" i="15"/>
  <c r="B311" i="15"/>
  <c r="B547" i="15"/>
  <c r="B389" i="15"/>
  <c r="B553" i="15"/>
  <c r="B526" i="15"/>
  <c r="B658" i="15"/>
  <c r="B744" i="15"/>
  <c r="B504" i="15"/>
  <c r="B146" i="15"/>
  <c r="B554" i="15"/>
  <c r="B646" i="15"/>
  <c r="B203" i="15"/>
  <c r="B258" i="15"/>
  <c r="B223" i="15"/>
  <c r="B110" i="15"/>
  <c r="B728" i="15"/>
  <c r="B131" i="15"/>
  <c r="B394" i="15"/>
  <c r="B185" i="15"/>
  <c r="B249" i="15"/>
  <c r="B506" i="15"/>
  <c r="B114" i="15"/>
  <c r="B637" i="15"/>
  <c r="B359" i="15"/>
  <c r="B205" i="15"/>
  <c r="B312" i="15"/>
  <c r="B719" i="15"/>
  <c r="B569" i="15"/>
  <c r="B759" i="15"/>
  <c r="B385" i="15"/>
  <c r="B139" i="15"/>
  <c r="B630" i="15"/>
  <c r="B303" i="15"/>
  <c r="B276" i="15"/>
  <c r="B624" i="15"/>
  <c r="B754" i="15"/>
  <c r="B210" i="15"/>
  <c r="B254" i="15"/>
  <c r="B459" i="15"/>
  <c r="B560" i="15"/>
  <c r="B701" i="15"/>
  <c r="B357" i="15"/>
  <c r="B749" i="15"/>
  <c r="B746" i="15"/>
  <c r="B200" i="15"/>
  <c r="B317" i="15"/>
  <c r="B179" i="15"/>
  <c r="B279" i="15"/>
  <c r="B418" i="15"/>
  <c r="B707" i="15"/>
  <c r="B152" i="15"/>
  <c r="B511" i="15"/>
  <c r="B192" i="15"/>
  <c r="B112" i="15"/>
  <c r="B170" i="15"/>
  <c r="B268" i="15"/>
  <c r="B127" i="15"/>
  <c r="B501" i="15"/>
  <c r="B433" i="15"/>
  <c r="B448" i="15"/>
  <c r="B267" i="15"/>
  <c r="B756" i="15"/>
  <c r="B263" i="15"/>
  <c r="B593" i="15"/>
  <c r="B343" i="15"/>
  <c r="B207" i="15"/>
  <c r="B349" i="15"/>
  <c r="B481" i="15"/>
  <c r="B715" i="15"/>
  <c r="B780" i="15"/>
  <c r="B786" i="15"/>
  <c r="B681" i="15"/>
  <c r="B735" i="15"/>
  <c r="B609" i="15"/>
  <c r="B671" i="15"/>
  <c r="B441" i="15"/>
  <c r="B641" i="15"/>
  <c r="B224" i="15"/>
  <c r="B575" i="15"/>
  <c r="B615" i="15"/>
  <c r="B607" i="15"/>
  <c r="B447" i="15"/>
  <c r="B456" i="15"/>
  <c r="B534" i="15"/>
  <c r="B474" i="15"/>
  <c r="B236" i="15"/>
  <c r="B649" i="15"/>
  <c r="B240" i="15"/>
  <c r="B172" i="15"/>
  <c r="B233" i="15"/>
  <c r="B215" i="15"/>
  <c r="B513" i="15"/>
  <c r="B212" i="15"/>
  <c r="B261" i="15"/>
  <c r="B599" i="15"/>
  <c r="B731" i="15"/>
  <c r="B445" i="15"/>
  <c r="B787" i="15"/>
  <c r="B568" i="15"/>
  <c r="B544" i="15"/>
  <c r="B542" i="15"/>
  <c r="B537" i="15"/>
  <c r="B628" i="15"/>
  <c r="B548" i="15"/>
  <c r="B785" i="15"/>
  <c r="B711" i="15"/>
  <c r="B438" i="15"/>
  <c r="B225" i="15"/>
  <c r="B142" i="15"/>
  <c r="B130" i="15"/>
  <c r="B414" i="15"/>
  <c r="B234" i="15"/>
  <c r="B600" i="15"/>
  <c r="B219" i="15"/>
  <c r="B653" i="15"/>
  <c r="B685" i="15"/>
  <c r="B608" i="15"/>
  <c r="B490" i="15"/>
  <c r="B468" i="15"/>
  <c r="B766" i="15"/>
  <c r="B229" i="15"/>
  <c r="B271" i="15"/>
  <c r="B399" i="15"/>
  <c r="B395" i="15"/>
  <c r="B677" i="15"/>
  <c r="B331" i="15"/>
  <c r="B552" i="15"/>
  <c r="B421" i="15"/>
  <c r="B363" i="15"/>
  <c r="B315" i="15"/>
  <c r="B718" i="15"/>
  <c r="B661" i="15"/>
  <c r="B351" i="15"/>
  <c r="B505" i="15"/>
  <c r="B758" i="15"/>
  <c r="B253" i="15"/>
  <c r="B500" i="15"/>
  <c r="B561" i="15"/>
  <c r="B670" i="15"/>
  <c r="B273" i="15"/>
  <c r="B336" i="15"/>
  <c r="B281" i="15"/>
  <c r="B618" i="15"/>
  <c r="B470" i="15"/>
  <c r="B378" i="15"/>
  <c r="B473" i="15"/>
  <c r="B697" i="15"/>
  <c r="B760" i="15"/>
  <c r="B286" i="15"/>
  <c r="B410" i="15"/>
  <c r="B691" i="15"/>
  <c r="B709" i="15"/>
  <c r="B356" i="15"/>
  <c r="B708" i="15"/>
  <c r="B723" i="15"/>
  <c r="B528" i="15"/>
  <c r="B122" i="15"/>
  <c r="B730" i="15"/>
  <c r="B627" i="15"/>
  <c r="B566" i="15"/>
  <c r="B674" i="15"/>
  <c r="B762" i="15"/>
  <c r="B706" i="15"/>
  <c r="B493" i="15"/>
  <c r="B147" i="15"/>
  <c r="B413" i="15"/>
  <c r="B269" i="15"/>
  <c r="B307" i="15"/>
  <c r="B745" i="15"/>
  <c r="B221" i="15"/>
  <c r="B427" i="15"/>
  <c r="B761" i="15"/>
  <c r="B340" i="15"/>
  <c r="B143" i="15"/>
  <c r="B245" i="15"/>
  <c r="B384" i="15"/>
  <c r="B546" i="15"/>
  <c r="B667" i="15"/>
  <c r="B137" i="15"/>
  <c r="B296" i="15"/>
  <c r="B302" i="15"/>
  <c r="B305" i="15"/>
  <c r="B419" i="15"/>
  <c r="B415" i="15"/>
  <c r="B247" i="15"/>
  <c r="B123" i="15"/>
  <c r="B565" i="15"/>
  <c r="B682" i="15"/>
  <c r="B581" i="15"/>
  <c r="B329" i="15"/>
  <c r="B613" i="15"/>
  <c r="B402" i="15"/>
  <c r="B656" i="15"/>
  <c r="B238" i="15"/>
  <c r="B230" i="15"/>
  <c r="B270" i="15"/>
  <c r="B687" i="15"/>
  <c r="B703" i="15"/>
  <c r="B358" i="15"/>
  <c r="B381" i="15"/>
  <c r="B736" i="15"/>
  <c r="B471" i="15"/>
  <c r="B256" i="15"/>
  <c r="B194" i="15"/>
  <c r="B426" i="15"/>
  <c r="B308" i="15"/>
  <c r="B595" i="15"/>
  <c r="B523" i="15"/>
  <c r="B604" i="15"/>
  <c r="B184" i="15"/>
  <c r="B159" i="15"/>
  <c r="B202" i="15"/>
  <c r="B408" i="15"/>
  <c r="B342" i="15"/>
  <c r="B319" i="15"/>
  <c r="B698" i="15"/>
  <c r="B460" i="15"/>
  <c r="B169" i="15"/>
  <c r="B293" i="15"/>
  <c r="B365" i="15"/>
  <c r="B149" i="15"/>
  <c r="B412" i="15"/>
  <c r="B440" i="15"/>
  <c r="B386" i="15"/>
  <c r="B277" i="15"/>
  <c r="B611" i="15"/>
  <c r="B322" i="15"/>
  <c r="B287" i="15"/>
  <c r="B520" i="15"/>
  <c r="B291" i="15"/>
  <c r="B651" i="15"/>
  <c r="B187" i="15"/>
  <c r="B527" i="15"/>
  <c r="B391" i="15"/>
  <c r="B783" i="15"/>
  <c r="B699" i="15"/>
  <c r="B176" i="15"/>
  <c r="B765" i="15"/>
  <c r="B318" i="15"/>
  <c r="B633" i="15"/>
  <c r="B126" i="15"/>
  <c r="B521" i="15"/>
  <c r="B583" i="15"/>
  <c r="B740" i="15"/>
  <c r="B115" i="15"/>
  <c r="B689" i="15"/>
  <c r="B128" i="15"/>
  <c r="B162" i="15"/>
  <c r="B313" i="15"/>
  <c r="B346" i="15"/>
  <c r="B774" i="15"/>
  <c r="B411" i="15"/>
  <c r="B531" i="15"/>
  <c r="B755" i="15"/>
  <c r="B320" i="15"/>
  <c r="B177" i="15"/>
  <c r="B597" i="15"/>
  <c r="B466" i="15"/>
  <c r="B550" i="15"/>
  <c r="B654" i="15"/>
  <c r="B585" i="15"/>
  <c r="B214" i="15"/>
  <c r="B721" i="15"/>
  <c r="B436" i="15"/>
  <c r="B352" i="15"/>
  <c r="B151" i="15"/>
  <c r="B180" i="15"/>
  <c r="B769" i="15"/>
  <c r="B409" i="15"/>
  <c r="B588" i="15"/>
  <c r="B135" i="15"/>
  <c r="B605" i="15"/>
  <c r="B695" i="15"/>
  <c r="B770" i="15"/>
  <c r="B601" i="15"/>
  <c r="B431" i="15"/>
  <c r="B368" i="15"/>
  <c r="B197" i="15"/>
  <c r="B227" i="15"/>
  <c r="B714" i="15"/>
  <c r="B250" i="15"/>
  <c r="B124" i="15"/>
  <c r="B367" i="15"/>
  <c r="B580" i="15"/>
  <c r="B750" i="15"/>
  <c r="B696" i="15"/>
  <c r="B196" i="15"/>
  <c r="B629" i="15"/>
  <c r="B251" i="15"/>
  <c r="B113" i="15"/>
  <c r="B121" i="15"/>
  <c r="B686" i="15"/>
  <c r="B178" i="15"/>
  <c r="B316" i="15"/>
  <c r="B228" i="15"/>
  <c r="B403" i="15"/>
  <c r="B392" i="15"/>
  <c r="B732" i="15"/>
  <c r="B573" i="15"/>
  <c r="B290" i="15"/>
  <c r="B675" i="15"/>
  <c r="B559" i="15"/>
  <c r="B507" i="15"/>
  <c r="B379" i="15"/>
  <c r="B739" i="15"/>
  <c r="B360" i="15"/>
  <c r="B634" i="15"/>
  <c r="B640" i="15"/>
  <c r="B366" i="15"/>
  <c r="B156" i="15"/>
  <c r="B777" i="15"/>
  <c r="B525" i="15"/>
  <c r="B173" i="15"/>
  <c r="B301" i="15"/>
  <c r="B383" i="15"/>
  <c r="B742" i="15"/>
  <c r="B444" i="15"/>
  <c r="F17" i="15" l="1"/>
  <c r="C23" i="15"/>
  <c r="B22" i="15" s="1"/>
  <c r="F18" i="15" l="1"/>
  <c r="F19" i="15" s="1"/>
  <c r="F20" i="15" s="1"/>
  <c r="G17" i="15"/>
  <c r="C24" i="15"/>
  <c r="B23" i="15" s="1"/>
  <c r="G18" i="15" l="1"/>
  <c r="G19" i="15"/>
  <c r="H19" i="15"/>
  <c r="C25" i="15"/>
  <c r="B25" i="15" l="1"/>
  <c r="H17" i="15"/>
  <c r="H16" i="15"/>
  <c r="H18" i="15"/>
  <c r="B24" i="15"/>
  <c r="I16" i="15" l="1"/>
  <c r="H20" i="15"/>
  <c r="G20" i="15"/>
  <c r="I17" i="15" l="1"/>
  <c r="I18" i="15" l="1"/>
  <c r="I20" i="15" l="1"/>
  <c r="I19" i="15"/>
  <c r="I5" i="15" l="1"/>
  <c r="C52" i="15" l="1"/>
  <c r="U22" i="21" s="1"/>
  <c r="C63" i="15"/>
  <c r="C62" i="15"/>
  <c r="C61" i="15"/>
  <c r="C56" i="15"/>
  <c r="C83" i="15"/>
  <c r="C67" i="15"/>
  <c r="C70" i="15"/>
  <c r="C89" i="15"/>
  <c r="C73" i="15"/>
  <c r="C59" i="15"/>
  <c r="C58" i="15"/>
  <c r="C57" i="15"/>
  <c r="C95" i="15"/>
  <c r="C79" i="15"/>
  <c r="C98" i="15"/>
  <c r="C101" i="15"/>
  <c r="C85" i="15"/>
  <c r="C69" i="15"/>
  <c r="C94" i="15"/>
  <c r="C78" i="15"/>
  <c r="C100" i="15"/>
  <c r="C92" i="15"/>
  <c r="C84" i="15"/>
  <c r="C76" i="15"/>
  <c r="C68" i="15"/>
  <c r="C55" i="15"/>
  <c r="C54" i="15"/>
  <c r="C64" i="15"/>
  <c r="C91" i="15"/>
  <c r="C75" i="15"/>
  <c r="C86" i="15"/>
  <c r="C97" i="15"/>
  <c r="C81" i="15"/>
  <c r="C66" i="15"/>
  <c r="C65" i="15"/>
  <c r="C60" i="15"/>
  <c r="C87" i="15"/>
  <c r="C71" i="15"/>
  <c r="C82" i="15"/>
  <c r="C93" i="15"/>
  <c r="C77" i="15"/>
  <c r="C53" i="15"/>
  <c r="C99" i="15"/>
  <c r="C90" i="15"/>
  <c r="C74" i="15"/>
  <c r="C96" i="15"/>
  <c r="C88" i="15"/>
  <c r="C80" i="15"/>
  <c r="C72" i="15"/>
  <c r="D800" i="15"/>
  <c r="D801" i="15" s="1" a="1"/>
  <c r="D801" i="15" s="1"/>
  <c r="B2" i="17"/>
  <c r="D799" i="15"/>
  <c r="I2" i="18"/>
  <c r="V2" i="18" s="1"/>
  <c r="B10" i="19"/>
  <c r="B2" i="14"/>
  <c r="I2" i="20"/>
  <c r="C796" i="15"/>
  <c r="E2" i="21"/>
  <c r="J5" i="15"/>
  <c r="C793" i="15" l="1"/>
  <c r="G18" i="20"/>
  <c r="H52" i="15"/>
  <c r="P18" i="18" s="1"/>
  <c r="M52" i="15"/>
  <c r="N18" i="18" s="1"/>
  <c r="O155" i="18" s="1"/>
  <c r="O52" i="15"/>
  <c r="T18" i="18" s="1"/>
  <c r="U192" i="18" s="1"/>
  <c r="N52" i="15"/>
  <c r="Q18" i="18" s="1"/>
  <c r="R187" i="18" s="1"/>
  <c r="F52" i="15"/>
  <c r="J18" i="18" s="1"/>
  <c r="Z18" i="20" s="1"/>
  <c r="G52" i="15"/>
  <c r="M18" i="18" s="1"/>
  <c r="G18" i="18"/>
  <c r="I52" i="15"/>
  <c r="S18" i="18" s="1"/>
  <c r="L52" i="15"/>
  <c r="K18" i="18" s="1"/>
  <c r="F106" i="15"/>
  <c r="O96" i="15"/>
  <c r="G96" i="15"/>
  <c r="N96" i="15"/>
  <c r="I96" i="15"/>
  <c r="U66" i="21"/>
  <c r="H96" i="15"/>
  <c r="M96" i="15"/>
  <c r="L96" i="15"/>
  <c r="F96" i="15"/>
  <c r="U23" i="21"/>
  <c r="F53" i="15"/>
  <c r="G53" i="15"/>
  <c r="M19" i="18" s="1"/>
  <c r="H53" i="15"/>
  <c r="P19" i="18" s="1"/>
  <c r="M53" i="15"/>
  <c r="N19" i="18" s="1"/>
  <c r="N53" i="15"/>
  <c r="Q19" i="18" s="1"/>
  <c r="L53" i="15"/>
  <c r="G19" i="18"/>
  <c r="O53" i="15"/>
  <c r="T19" i="18" s="1"/>
  <c r="I53" i="15"/>
  <c r="S19" i="18" s="1"/>
  <c r="G19" i="20"/>
  <c r="U41" i="21"/>
  <c r="N71" i="15"/>
  <c r="M71" i="15"/>
  <c r="L71" i="15"/>
  <c r="H71" i="15"/>
  <c r="O71" i="15"/>
  <c r="I71" i="15"/>
  <c r="F71" i="15"/>
  <c r="G71" i="15"/>
  <c r="U36" i="21"/>
  <c r="L66" i="15"/>
  <c r="N66" i="15"/>
  <c r="Q32" i="18" s="1"/>
  <c r="F66" i="15"/>
  <c r="I66" i="15"/>
  <c r="S32" i="18" s="1"/>
  <c r="G66" i="15"/>
  <c r="M32" i="18" s="1"/>
  <c r="M66" i="15"/>
  <c r="N32" i="18" s="1"/>
  <c r="O66" i="15"/>
  <c r="T32" i="18" s="1"/>
  <c r="H66" i="15"/>
  <c r="P32" i="18" s="1"/>
  <c r="G32" i="20"/>
  <c r="G32" i="18"/>
  <c r="O75" i="15"/>
  <c r="F75" i="15"/>
  <c r="G75" i="15"/>
  <c r="H75" i="15"/>
  <c r="L75" i="15"/>
  <c r="U45" i="21"/>
  <c r="N75" i="15"/>
  <c r="M75" i="15"/>
  <c r="I75" i="15"/>
  <c r="U25" i="21"/>
  <c r="N55" i="15"/>
  <c r="Q21" i="18" s="1"/>
  <c r="M55" i="15"/>
  <c r="N21" i="18" s="1"/>
  <c r="L55" i="15"/>
  <c r="H55" i="15"/>
  <c r="P21" i="18" s="1"/>
  <c r="G55" i="15"/>
  <c r="M21" i="18" s="1"/>
  <c r="I55" i="15"/>
  <c r="S21" i="18" s="1"/>
  <c r="F55" i="15"/>
  <c r="O55" i="15"/>
  <c r="T21" i="18" s="1"/>
  <c r="G21" i="20"/>
  <c r="G21" i="18"/>
  <c r="U62" i="21"/>
  <c r="M92" i="15"/>
  <c r="G92" i="15"/>
  <c r="L92" i="15"/>
  <c r="I92" i="15"/>
  <c r="H92" i="15"/>
  <c r="O92" i="15"/>
  <c r="F92" i="15"/>
  <c r="N92" i="15"/>
  <c r="U39" i="21"/>
  <c r="L69" i="15"/>
  <c r="G69" i="15"/>
  <c r="H69" i="15"/>
  <c r="O69" i="15"/>
  <c r="F69" i="15"/>
  <c r="M69" i="15"/>
  <c r="I69" i="15"/>
  <c r="N69" i="15"/>
  <c r="U49" i="21"/>
  <c r="F79" i="15"/>
  <c r="G79" i="15"/>
  <c r="O79" i="15"/>
  <c r="I79" i="15"/>
  <c r="N79" i="15"/>
  <c r="L79" i="15"/>
  <c r="H79" i="15"/>
  <c r="M79" i="15"/>
  <c r="U29" i="21"/>
  <c r="F59" i="15"/>
  <c r="G59" i="15"/>
  <c r="M25" i="18" s="1"/>
  <c r="I59" i="15"/>
  <c r="S25" i="18" s="1"/>
  <c r="O59" i="15"/>
  <c r="T25" i="18" s="1"/>
  <c r="N59" i="15"/>
  <c r="Q25" i="18" s="1"/>
  <c r="L59" i="15"/>
  <c r="M59" i="15"/>
  <c r="N25" i="18" s="1"/>
  <c r="H59" i="15"/>
  <c r="P25" i="18" s="1"/>
  <c r="G25" i="20"/>
  <c r="G25" i="18"/>
  <c r="O67" i="15"/>
  <c r="F67" i="15"/>
  <c r="G67" i="15"/>
  <c r="U37" i="21"/>
  <c r="M67" i="15"/>
  <c r="N67" i="15"/>
  <c r="I67" i="15"/>
  <c r="H67" i="15"/>
  <c r="L67" i="15"/>
  <c r="C102" i="15"/>
  <c r="F105" i="15"/>
  <c r="U32" i="21"/>
  <c r="O62" i="15"/>
  <c r="T28" i="18" s="1"/>
  <c r="L62" i="15"/>
  <c r="H62" i="15"/>
  <c r="P28" i="18" s="1"/>
  <c r="F62" i="15"/>
  <c r="I62" i="15"/>
  <c r="S28" i="18" s="1"/>
  <c r="G62" i="15"/>
  <c r="M28" i="18" s="1"/>
  <c r="M62" i="15"/>
  <c r="N28" i="18" s="1"/>
  <c r="N62" i="15"/>
  <c r="Q28" i="18" s="1"/>
  <c r="G28" i="20"/>
  <c r="G28" i="18"/>
  <c r="O72" i="15"/>
  <c r="H72" i="15"/>
  <c r="N72" i="15"/>
  <c r="I72" i="15"/>
  <c r="L72" i="15"/>
  <c r="M72" i="15"/>
  <c r="U42" i="21"/>
  <c r="G72" i="15"/>
  <c r="F72" i="15"/>
  <c r="G74" i="15"/>
  <c r="O74" i="15"/>
  <c r="M74" i="15"/>
  <c r="H74" i="15"/>
  <c r="F74" i="15"/>
  <c r="I74" i="15"/>
  <c r="U44" i="21"/>
  <c r="N74" i="15"/>
  <c r="L74" i="15"/>
  <c r="U47" i="21"/>
  <c r="O77" i="15"/>
  <c r="H77" i="15"/>
  <c r="G77" i="15"/>
  <c r="L77" i="15"/>
  <c r="F77" i="15"/>
  <c r="N77" i="15"/>
  <c r="M77" i="15"/>
  <c r="I77" i="15"/>
  <c r="U57" i="21"/>
  <c r="N87" i="15"/>
  <c r="M87" i="15"/>
  <c r="L87" i="15"/>
  <c r="H87" i="15"/>
  <c r="F87" i="15"/>
  <c r="O87" i="15"/>
  <c r="I87" i="15"/>
  <c r="G87" i="15"/>
  <c r="N81" i="15"/>
  <c r="G81" i="15"/>
  <c r="H81" i="15"/>
  <c r="O81" i="15"/>
  <c r="F81" i="15"/>
  <c r="M81" i="15"/>
  <c r="U51" i="21"/>
  <c r="L81" i="15"/>
  <c r="I81" i="15"/>
  <c r="M91" i="15"/>
  <c r="N91" i="15"/>
  <c r="O91" i="15"/>
  <c r="F91" i="15"/>
  <c r="G91" i="15"/>
  <c r="H91" i="15"/>
  <c r="L91" i="15"/>
  <c r="I91" i="15"/>
  <c r="U61" i="21"/>
  <c r="U38" i="21"/>
  <c r="F68" i="15"/>
  <c r="O68" i="15"/>
  <c r="M68" i="15"/>
  <c r="I68" i="15"/>
  <c r="N68" i="15"/>
  <c r="L68" i="15"/>
  <c r="H68" i="15"/>
  <c r="G68" i="15"/>
  <c r="U70" i="21"/>
  <c r="M100" i="15"/>
  <c r="G100" i="15"/>
  <c r="L100" i="15"/>
  <c r="I100" i="15"/>
  <c r="H100" i="15"/>
  <c r="O100" i="15"/>
  <c r="F100" i="15"/>
  <c r="N100" i="15"/>
  <c r="U55" i="21"/>
  <c r="L85" i="15"/>
  <c r="G85" i="15"/>
  <c r="H85" i="15"/>
  <c r="O85" i="15"/>
  <c r="F85" i="15"/>
  <c r="I85" i="15"/>
  <c r="M85" i="15"/>
  <c r="N85" i="15"/>
  <c r="U65" i="21"/>
  <c r="N95" i="15"/>
  <c r="G95" i="15"/>
  <c r="L95" i="15"/>
  <c r="H95" i="15"/>
  <c r="O95" i="15"/>
  <c r="F95" i="15"/>
  <c r="M95" i="15"/>
  <c r="I95" i="15"/>
  <c r="N73" i="15"/>
  <c r="H73" i="15"/>
  <c r="G73" i="15"/>
  <c r="L73" i="15"/>
  <c r="I73" i="15"/>
  <c r="F73" i="15"/>
  <c r="U43" i="21"/>
  <c r="O73" i="15"/>
  <c r="M73" i="15"/>
  <c r="O83" i="15"/>
  <c r="F83" i="15"/>
  <c r="G83" i="15"/>
  <c r="M83" i="15"/>
  <c r="I83" i="15"/>
  <c r="N83" i="15"/>
  <c r="H83" i="15"/>
  <c r="U53" i="21"/>
  <c r="L83" i="15"/>
  <c r="U33" i="21"/>
  <c r="L63" i="15"/>
  <c r="H63" i="15"/>
  <c r="P29" i="18" s="1"/>
  <c r="F63" i="15"/>
  <c r="G63" i="15"/>
  <c r="M29" i="18" s="1"/>
  <c r="I63" i="15"/>
  <c r="S29" i="18" s="1"/>
  <c r="N63" i="15"/>
  <c r="Q29" i="18" s="1"/>
  <c r="O63" i="15"/>
  <c r="T29" i="18" s="1"/>
  <c r="M63" i="15"/>
  <c r="N29" i="18" s="1"/>
  <c r="G29" i="20"/>
  <c r="G29" i="18"/>
  <c r="O80" i="15"/>
  <c r="H80" i="15"/>
  <c r="N80" i="15"/>
  <c r="I80" i="15"/>
  <c r="U50" i="21"/>
  <c r="L80" i="15"/>
  <c r="M80" i="15"/>
  <c r="G80" i="15"/>
  <c r="F80" i="15"/>
  <c r="L90" i="15"/>
  <c r="N90" i="15"/>
  <c r="F90" i="15"/>
  <c r="I90" i="15"/>
  <c r="U60" i="21"/>
  <c r="G90" i="15"/>
  <c r="M90" i="15"/>
  <c r="H90" i="15"/>
  <c r="O90" i="15"/>
  <c r="U63" i="21"/>
  <c r="O93" i="15"/>
  <c r="F93" i="15"/>
  <c r="M93" i="15"/>
  <c r="G93" i="15"/>
  <c r="L93" i="15"/>
  <c r="I93" i="15"/>
  <c r="N93" i="15"/>
  <c r="H93" i="15"/>
  <c r="U30" i="21"/>
  <c r="N60" i="15"/>
  <c r="Q26" i="18" s="1"/>
  <c r="L60" i="15"/>
  <c r="F60" i="15"/>
  <c r="O60" i="15"/>
  <c r="T26" i="18" s="1"/>
  <c r="I60" i="15"/>
  <c r="S26" i="18" s="1"/>
  <c r="G60" i="15"/>
  <c r="M26" i="18" s="1"/>
  <c r="M60" i="15"/>
  <c r="N26" i="18" s="1"/>
  <c r="H60" i="15"/>
  <c r="P26" i="18" s="1"/>
  <c r="G26" i="18"/>
  <c r="G26" i="20"/>
  <c r="L97" i="15"/>
  <c r="H97" i="15"/>
  <c r="N97" i="15"/>
  <c r="G97" i="15"/>
  <c r="M97" i="15"/>
  <c r="U67" i="21"/>
  <c r="F97" i="15"/>
  <c r="O97" i="15"/>
  <c r="I97" i="15"/>
  <c r="U34" i="21"/>
  <c r="G64" i="15"/>
  <c r="M30" i="18" s="1"/>
  <c r="F64" i="15"/>
  <c r="M64" i="15"/>
  <c r="N30" i="18" s="1"/>
  <c r="L64" i="15"/>
  <c r="H64" i="15"/>
  <c r="P30" i="18" s="1"/>
  <c r="N64" i="15"/>
  <c r="Q30" i="18" s="1"/>
  <c r="I64" i="15"/>
  <c r="S30" i="18" s="1"/>
  <c r="O64" i="15"/>
  <c r="T30" i="18" s="1"/>
  <c r="G30" i="20"/>
  <c r="G30" i="18"/>
  <c r="U46" i="21"/>
  <c r="F76" i="15"/>
  <c r="O76" i="15"/>
  <c r="M76" i="15"/>
  <c r="I76" i="15"/>
  <c r="N76" i="15"/>
  <c r="L76" i="15"/>
  <c r="H76" i="15"/>
  <c r="G76" i="15"/>
  <c r="U48" i="21"/>
  <c r="G78" i="15"/>
  <c r="M78" i="15"/>
  <c r="O78" i="15"/>
  <c r="L78" i="15"/>
  <c r="N78" i="15"/>
  <c r="I78" i="15"/>
  <c r="H78" i="15"/>
  <c r="F78" i="15"/>
  <c r="U71" i="21"/>
  <c r="N101" i="15"/>
  <c r="H101" i="15"/>
  <c r="L101" i="15"/>
  <c r="I101" i="15"/>
  <c r="M101" i="15"/>
  <c r="G101" i="15"/>
  <c r="O101" i="15"/>
  <c r="F101" i="15"/>
  <c r="U27" i="21"/>
  <c r="O57" i="15"/>
  <c r="T23" i="18" s="1"/>
  <c r="L57" i="15"/>
  <c r="F57" i="15"/>
  <c r="M57" i="15"/>
  <c r="N23" i="18" s="1"/>
  <c r="G57" i="15"/>
  <c r="M23" i="18" s="1"/>
  <c r="I57" i="15"/>
  <c r="S23" i="18" s="1"/>
  <c r="N57" i="15"/>
  <c r="Q23" i="18" s="1"/>
  <c r="H57" i="15"/>
  <c r="P23" i="18" s="1"/>
  <c r="G23" i="20"/>
  <c r="G23" i="18"/>
  <c r="N89" i="15"/>
  <c r="H89" i="15"/>
  <c r="G89" i="15"/>
  <c r="U59" i="21"/>
  <c r="O89" i="15"/>
  <c r="L89" i="15"/>
  <c r="F89" i="15"/>
  <c r="I89" i="15"/>
  <c r="M89" i="15"/>
  <c r="U26" i="21"/>
  <c r="G56" i="15"/>
  <c r="M22" i="18" s="1"/>
  <c r="F56" i="15"/>
  <c r="L56" i="15"/>
  <c r="M56" i="15"/>
  <c r="N22" i="18" s="1"/>
  <c r="H56" i="15"/>
  <c r="P22" i="18" s="1"/>
  <c r="N56" i="15"/>
  <c r="Q22" i="18" s="1"/>
  <c r="I56" i="15"/>
  <c r="S22" i="18" s="1"/>
  <c r="O56" i="15"/>
  <c r="T22" i="18" s="1"/>
  <c r="G22" i="18"/>
  <c r="G22" i="20"/>
  <c r="O88" i="15"/>
  <c r="H88" i="15"/>
  <c r="N88" i="15"/>
  <c r="I88" i="15"/>
  <c r="L88" i="15"/>
  <c r="M88" i="15"/>
  <c r="U58" i="21"/>
  <c r="G88" i="15"/>
  <c r="F88" i="15"/>
  <c r="N99" i="15"/>
  <c r="G99" i="15"/>
  <c r="L99" i="15"/>
  <c r="H99" i="15"/>
  <c r="O99" i="15"/>
  <c r="F99" i="15"/>
  <c r="M99" i="15"/>
  <c r="I99" i="15"/>
  <c r="U69" i="21"/>
  <c r="U52" i="21"/>
  <c r="G82" i="15"/>
  <c r="O82" i="15"/>
  <c r="M82" i="15"/>
  <c r="H82" i="15"/>
  <c r="F82" i="15"/>
  <c r="I82" i="15"/>
  <c r="N82" i="15"/>
  <c r="L82" i="15"/>
  <c r="U35" i="21"/>
  <c r="H65" i="15"/>
  <c r="P31" i="18" s="1"/>
  <c r="G65" i="15"/>
  <c r="M31" i="18" s="1"/>
  <c r="N65" i="15"/>
  <c r="Q31" i="18" s="1"/>
  <c r="I65" i="15"/>
  <c r="S31" i="18" s="1"/>
  <c r="O65" i="15"/>
  <c r="T31" i="18" s="1"/>
  <c r="F65" i="15"/>
  <c r="M65" i="15"/>
  <c r="N31" i="18" s="1"/>
  <c r="L65" i="15"/>
  <c r="G31" i="20"/>
  <c r="G31" i="18"/>
  <c r="N86" i="15"/>
  <c r="F86" i="15"/>
  <c r="H86" i="15"/>
  <c r="L86" i="15"/>
  <c r="M86" i="15"/>
  <c r="O86" i="15"/>
  <c r="G86" i="15"/>
  <c r="I86" i="15"/>
  <c r="U56" i="21"/>
  <c r="U24" i="21"/>
  <c r="G54" i="15"/>
  <c r="M20" i="18" s="1"/>
  <c r="M54" i="15"/>
  <c r="N20" i="18" s="1"/>
  <c r="O54" i="15"/>
  <c r="T20" i="18" s="1"/>
  <c r="L54" i="15"/>
  <c r="F54" i="15"/>
  <c r="N54" i="15"/>
  <c r="Q20" i="18" s="1"/>
  <c r="I54" i="15"/>
  <c r="S20" i="18" s="1"/>
  <c r="H54" i="15"/>
  <c r="P20" i="18" s="1"/>
  <c r="G20" i="20"/>
  <c r="G20" i="18"/>
  <c r="U54" i="21"/>
  <c r="F84" i="15"/>
  <c r="O84" i="15"/>
  <c r="M84" i="15"/>
  <c r="I84" i="15"/>
  <c r="N84" i="15"/>
  <c r="L84" i="15"/>
  <c r="H84" i="15"/>
  <c r="G84" i="15"/>
  <c r="U64" i="21"/>
  <c r="N94" i="15"/>
  <c r="L94" i="15"/>
  <c r="G94" i="15"/>
  <c r="I94" i="15"/>
  <c r="O94" i="15"/>
  <c r="F94" i="15"/>
  <c r="H94" i="15"/>
  <c r="M94" i="15"/>
  <c r="U68" i="21"/>
  <c r="L98" i="15"/>
  <c r="N98" i="15"/>
  <c r="G98" i="15"/>
  <c r="I98" i="15"/>
  <c r="M98" i="15"/>
  <c r="F98" i="15"/>
  <c r="H98" i="15"/>
  <c r="O98" i="15"/>
  <c r="U28" i="21"/>
  <c r="G58" i="15"/>
  <c r="M24" i="18" s="1"/>
  <c r="O58" i="15"/>
  <c r="T24" i="18" s="1"/>
  <c r="M58" i="15"/>
  <c r="N24" i="18" s="1"/>
  <c r="H58" i="15"/>
  <c r="P24" i="18" s="1"/>
  <c r="N58" i="15"/>
  <c r="Q24" i="18" s="1"/>
  <c r="F58" i="15"/>
  <c r="I58" i="15"/>
  <c r="S24" i="18" s="1"/>
  <c r="L58" i="15"/>
  <c r="G24" i="20"/>
  <c r="G24" i="18"/>
  <c r="N70" i="15"/>
  <c r="H70" i="15"/>
  <c r="F70" i="15"/>
  <c r="I70" i="15"/>
  <c r="U40" i="21"/>
  <c r="M70" i="15"/>
  <c r="L70" i="15"/>
  <c r="G70" i="15"/>
  <c r="O70" i="15"/>
  <c r="U31" i="21"/>
  <c r="O61" i="15"/>
  <c r="T27" i="18" s="1"/>
  <c r="L61" i="15"/>
  <c r="M61" i="15"/>
  <c r="N27" i="18" s="1"/>
  <c r="F61" i="15"/>
  <c r="G61" i="15"/>
  <c r="M27" i="18" s="1"/>
  <c r="I61" i="15"/>
  <c r="S27" i="18" s="1"/>
  <c r="H61" i="15"/>
  <c r="P27" i="18" s="1"/>
  <c r="N61" i="15"/>
  <c r="Q27" i="18" s="1"/>
  <c r="G27" i="20"/>
  <c r="G27" i="18"/>
  <c r="P181" i="18"/>
  <c r="D802" i="15"/>
  <c r="C794" i="15" s="1"/>
  <c r="C797" i="15" s="1"/>
  <c r="S145" i="20"/>
  <c r="T145" i="20" s="1"/>
  <c r="S181" i="18"/>
  <c r="M181" i="18"/>
  <c r="U2" i="20"/>
  <c r="S71" i="20" l="1"/>
  <c r="R134" i="18"/>
  <c r="R63" i="18"/>
  <c r="P154" i="20"/>
  <c r="Q154" i="20" s="1"/>
  <c r="U58" i="18"/>
  <c r="R41" i="18"/>
  <c r="U37" i="18"/>
  <c r="R30" i="18"/>
  <c r="P146" i="20"/>
  <c r="Q146" i="20" s="1"/>
  <c r="U60" i="18"/>
  <c r="R46" i="18"/>
  <c r="P165" i="20"/>
  <c r="Q165" i="20" s="1"/>
  <c r="P75" i="20"/>
  <c r="Q75" i="20" s="1"/>
  <c r="R82" i="18"/>
  <c r="P59" i="20"/>
  <c r="Q59" i="20" s="1"/>
  <c r="S146" i="20"/>
  <c r="T146" i="20" s="1"/>
  <c r="R45" i="18"/>
  <c r="R60" i="18"/>
  <c r="P38" i="20"/>
  <c r="Q38" i="20" s="1"/>
  <c r="R102" i="18"/>
  <c r="P41" i="20"/>
  <c r="Q41" i="20" s="1"/>
  <c r="R59" i="18"/>
  <c r="P63" i="20"/>
  <c r="Q63" i="20" s="1"/>
  <c r="R196" i="18"/>
  <c r="U95" i="18"/>
  <c r="R133" i="18"/>
  <c r="P101" i="20"/>
  <c r="S101" i="20"/>
  <c r="U29" i="18"/>
  <c r="S135" i="20"/>
  <c r="T135" i="20" s="1"/>
  <c r="S75" i="20"/>
  <c r="T75" i="20" s="1"/>
  <c r="S117" i="20"/>
  <c r="T117" i="20" s="1"/>
  <c r="U183" i="18"/>
  <c r="U86" i="18"/>
  <c r="U145" i="18"/>
  <c r="S46" i="20"/>
  <c r="T46" i="20" s="1"/>
  <c r="S155" i="20"/>
  <c r="T155" i="20" s="1"/>
  <c r="U85" i="18"/>
  <c r="U101" i="18"/>
  <c r="U84" i="18"/>
  <c r="S172" i="20"/>
  <c r="U155" i="18"/>
  <c r="U144" i="18"/>
  <c r="U109" i="18"/>
  <c r="S83" i="20"/>
  <c r="T83" i="20" s="1"/>
  <c r="S171" i="20"/>
  <c r="U50" i="18"/>
  <c r="U72" i="18"/>
  <c r="S58" i="20"/>
  <c r="T58" i="20" s="1"/>
  <c r="S153" i="20"/>
  <c r="T153" i="20" s="1"/>
  <c r="S115" i="20"/>
  <c r="T115" i="20" s="1"/>
  <c r="U103" i="18"/>
  <c r="U22" i="18"/>
  <c r="S87" i="20"/>
  <c r="T87" i="20" s="1"/>
  <c r="S18" i="20"/>
  <c r="R20" i="18"/>
  <c r="P82" i="20"/>
  <c r="Q82" i="20" s="1"/>
  <c r="P71" i="20"/>
  <c r="R138" i="18"/>
  <c r="P175" i="20"/>
  <c r="Q175" i="20" s="1"/>
  <c r="P51" i="20"/>
  <c r="Q51" i="20" s="1"/>
  <c r="R137" i="18"/>
  <c r="R29" i="18"/>
  <c r="R52" i="18"/>
  <c r="R140" i="18"/>
  <c r="P74" i="20"/>
  <c r="Q74" i="20" s="1"/>
  <c r="P10" i="20"/>
  <c r="Q10" i="20" s="1"/>
  <c r="P136" i="20"/>
  <c r="Q136" i="20" s="1"/>
  <c r="P102" i="20"/>
  <c r="Q102" i="20" s="1"/>
  <c r="R114" i="18"/>
  <c r="R154" i="18"/>
  <c r="R123" i="18"/>
  <c r="R24" i="18"/>
  <c r="R150" i="18"/>
  <c r="R94" i="18"/>
  <c r="R18" i="18"/>
  <c r="R74" i="18"/>
  <c r="R81" i="18"/>
  <c r="R25" i="18"/>
  <c r="R115" i="18"/>
  <c r="R51" i="18"/>
  <c r="P169" i="20"/>
  <c r="Q169" i="20" s="1"/>
  <c r="P128" i="20"/>
  <c r="Q128" i="20" s="1"/>
  <c r="P50" i="20"/>
  <c r="Q50" i="20" s="1"/>
  <c r="P83" i="20"/>
  <c r="Q83" i="20" s="1"/>
  <c r="P29" i="20"/>
  <c r="Q29" i="20" s="1"/>
  <c r="P131" i="20"/>
  <c r="Q131" i="20" s="1"/>
  <c r="P94" i="20"/>
  <c r="Q94" i="20" s="1"/>
  <c r="P46" i="20"/>
  <c r="Q46" i="20" s="1"/>
  <c r="P47" i="20"/>
  <c r="Q47" i="20" s="1"/>
  <c r="P176" i="20"/>
  <c r="Q176" i="20" s="1"/>
  <c r="P147" i="20"/>
  <c r="Q147" i="20" s="1"/>
  <c r="P149" i="20"/>
  <c r="Q149" i="20" s="1"/>
  <c r="P133" i="20"/>
  <c r="Q133" i="20" s="1"/>
  <c r="R195" i="18"/>
  <c r="R135" i="18"/>
  <c r="R121" i="18"/>
  <c r="P57" i="20"/>
  <c r="Q57" i="20" s="1"/>
  <c r="R117" i="18"/>
  <c r="R132" i="18"/>
  <c r="R48" i="18"/>
  <c r="R35" i="18"/>
  <c r="P26" i="20"/>
  <c r="Q26" i="20" s="1"/>
  <c r="R116" i="18"/>
  <c r="R61" i="18"/>
  <c r="R110" i="18"/>
  <c r="R26" i="18"/>
  <c r="R33" i="18"/>
  <c r="R130" i="18"/>
  <c r="R101" i="18"/>
  <c r="P125" i="20"/>
  <c r="Q125" i="20" s="1"/>
  <c r="P172" i="20"/>
  <c r="Q172" i="20" s="1"/>
  <c r="P134" i="20"/>
  <c r="Q134" i="20" s="1"/>
  <c r="P80" i="20"/>
  <c r="P19" i="20"/>
  <c r="Q19" i="20" s="1"/>
  <c r="P115" i="20"/>
  <c r="Q115" i="20" s="1"/>
  <c r="P95" i="20"/>
  <c r="Q95" i="20" s="1"/>
  <c r="P116" i="20"/>
  <c r="Q116" i="20" s="1"/>
  <c r="P140" i="20"/>
  <c r="Q140" i="20" s="1"/>
  <c r="P72" i="20"/>
  <c r="Q72" i="20" s="1"/>
  <c r="P21" i="20"/>
  <c r="Q21" i="20" s="1"/>
  <c r="P177" i="20"/>
  <c r="Q177" i="20" s="1"/>
  <c r="P164" i="20"/>
  <c r="Q164" i="20" s="1"/>
  <c r="R192" i="18"/>
  <c r="P20" i="20"/>
  <c r="Q20" i="20" s="1"/>
  <c r="R183" i="18"/>
  <c r="R103" i="18"/>
  <c r="R32" i="18"/>
  <c r="R31" i="18"/>
  <c r="R27" i="18"/>
  <c r="R22" i="18"/>
  <c r="R111" i="18"/>
  <c r="R76" i="18"/>
  <c r="R86" i="18"/>
  <c r="R28" i="18"/>
  <c r="R85" i="18"/>
  <c r="R71" i="18"/>
  <c r="R148" i="18"/>
  <c r="R83" i="18"/>
  <c r="P85" i="20"/>
  <c r="Q85" i="20" s="1"/>
  <c r="P170" i="20"/>
  <c r="Q170" i="20" s="1"/>
  <c r="P171" i="20"/>
  <c r="Q171" i="20" s="1"/>
  <c r="P144" i="20"/>
  <c r="P117" i="20"/>
  <c r="Q117" i="20" s="1"/>
  <c r="P76" i="20"/>
  <c r="Q76" i="20" s="1"/>
  <c r="P37" i="20"/>
  <c r="Q37" i="20" s="1"/>
  <c r="P135" i="20"/>
  <c r="Q135" i="20" s="1"/>
  <c r="P84" i="20"/>
  <c r="Q84" i="20" s="1"/>
  <c r="P123" i="20"/>
  <c r="Q123" i="20" s="1"/>
  <c r="P167" i="20"/>
  <c r="Q167" i="20" s="1"/>
  <c r="R155" i="18"/>
  <c r="P40" i="20"/>
  <c r="Q40" i="20" s="1"/>
  <c r="P111" i="20"/>
  <c r="Q111" i="20" s="1"/>
  <c r="P32" i="20"/>
  <c r="Q32" i="20" s="1"/>
  <c r="R75" i="18"/>
  <c r="R122" i="18"/>
  <c r="R87" i="18"/>
  <c r="R91" i="18"/>
  <c r="R139" i="18"/>
  <c r="R93" i="18"/>
  <c r="R113" i="18"/>
  <c r="R84" i="18"/>
  <c r="R112" i="18"/>
  <c r="R145" i="18"/>
  <c r="P132" i="20"/>
  <c r="Q132" i="20" s="1"/>
  <c r="R127" i="18"/>
  <c r="P52" i="20"/>
  <c r="Q52" i="20" s="1"/>
  <c r="P60" i="20"/>
  <c r="Q60" i="20" s="1"/>
  <c r="P103" i="20"/>
  <c r="Q103" i="20" s="1"/>
  <c r="P86" i="20"/>
  <c r="Q86" i="20" s="1"/>
  <c r="P112" i="20"/>
  <c r="Q112" i="20" s="1"/>
  <c r="P35" i="20"/>
  <c r="Q35" i="20" s="1"/>
  <c r="P61" i="20"/>
  <c r="Q61" i="20" s="1"/>
  <c r="P48" i="20"/>
  <c r="Q48" i="20" s="1"/>
  <c r="P93" i="20"/>
  <c r="Q93" i="20" s="1"/>
  <c r="P166" i="20"/>
  <c r="Q166" i="20" s="1"/>
  <c r="P58" i="20"/>
  <c r="Q58" i="20" s="1"/>
  <c r="R191" i="18"/>
  <c r="Q7" i="18"/>
  <c r="R57" i="18"/>
  <c r="R73" i="18"/>
  <c r="R39" i="18"/>
  <c r="R153" i="18"/>
  <c r="R131" i="18"/>
  <c r="R21" i="18"/>
  <c r="R50" i="18"/>
  <c r="R147" i="18"/>
  <c r="R125" i="18"/>
  <c r="R80" i="18"/>
  <c r="R124" i="18"/>
  <c r="R92" i="18"/>
  <c r="P122" i="20"/>
  <c r="Q122" i="20" s="1"/>
  <c r="R144" i="18"/>
  <c r="P163" i="20"/>
  <c r="P137" i="20"/>
  <c r="Q137" i="20" s="1"/>
  <c r="P178" i="20"/>
  <c r="Q178" i="20" s="1"/>
  <c r="P91" i="20"/>
  <c r="P121" i="20"/>
  <c r="P109" i="20"/>
  <c r="P126" i="20"/>
  <c r="Q126" i="20" s="1"/>
  <c r="P110" i="20"/>
  <c r="Q110" i="20" s="1"/>
  <c r="P87" i="20"/>
  <c r="Q87" i="20" s="1"/>
  <c r="P45" i="20"/>
  <c r="P150" i="20"/>
  <c r="Q150" i="20" s="1"/>
  <c r="R188" i="18"/>
  <c r="R189" i="18" s="1"/>
  <c r="P18" i="20"/>
  <c r="P145" i="20"/>
  <c r="Q145" i="20" s="1"/>
  <c r="P39" i="20"/>
  <c r="Q39" i="20" s="1"/>
  <c r="P155" i="20"/>
  <c r="Q155" i="20" s="1"/>
  <c r="R19" i="18"/>
  <c r="R136" i="18"/>
  <c r="R109" i="18"/>
  <c r="R23" i="18"/>
  <c r="R126" i="18"/>
  <c r="R146" i="18"/>
  <c r="P62" i="20"/>
  <c r="Q62" i="20" s="1"/>
  <c r="P168" i="20"/>
  <c r="Q168" i="20" s="1"/>
  <c r="P129" i="20"/>
  <c r="Q129" i="20" s="1"/>
  <c r="P56" i="20"/>
  <c r="R37" i="18"/>
  <c r="R62" i="18"/>
  <c r="R56" i="18"/>
  <c r="P127" i="20"/>
  <c r="Q127" i="20" s="1"/>
  <c r="R47" i="18"/>
  <c r="R72" i="18"/>
  <c r="R129" i="18"/>
  <c r="R58" i="18"/>
  <c r="R128" i="18"/>
  <c r="R149" i="18"/>
  <c r="R95" i="18"/>
  <c r="R38" i="18"/>
  <c r="P73" i="20"/>
  <c r="Q73" i="20" s="1"/>
  <c r="P139" i="20"/>
  <c r="Q139" i="20" s="1"/>
  <c r="P174" i="20"/>
  <c r="Q174" i="20" s="1"/>
  <c r="P92" i="20"/>
  <c r="Q92" i="20" s="1"/>
  <c r="P138" i="20"/>
  <c r="Q138" i="20" s="1"/>
  <c r="P124" i="20"/>
  <c r="Q124" i="20" s="1"/>
  <c r="P81" i="20"/>
  <c r="Q81" i="20" s="1"/>
  <c r="P153" i="20"/>
  <c r="Q153" i="20" s="1"/>
  <c r="P173" i="20"/>
  <c r="Q173" i="20" s="1"/>
  <c r="P148" i="20"/>
  <c r="Q148" i="20" s="1"/>
  <c r="P113" i="20"/>
  <c r="Q113" i="20" s="1"/>
  <c r="P130" i="20"/>
  <c r="Q130" i="20" s="1"/>
  <c r="P114" i="20"/>
  <c r="Q114" i="20" s="1"/>
  <c r="P22" i="20"/>
  <c r="Q22" i="20" s="1"/>
  <c r="O101" i="18"/>
  <c r="O112" i="18"/>
  <c r="O121" i="18"/>
  <c r="O93" i="18"/>
  <c r="M35" i="20"/>
  <c r="N35" i="20" s="1"/>
  <c r="M167" i="20"/>
  <c r="N167" i="20" s="1"/>
  <c r="M154" i="20"/>
  <c r="N154" i="20" s="1"/>
  <c r="O80" i="18"/>
  <c r="M128" i="20"/>
  <c r="N128" i="20" s="1"/>
  <c r="O145" i="18"/>
  <c r="O63" i="18"/>
  <c r="O26" i="18"/>
  <c r="O31" i="18"/>
  <c r="O125" i="18"/>
  <c r="O146" i="18"/>
  <c r="O74" i="18"/>
  <c r="O140" i="18"/>
  <c r="O111" i="18"/>
  <c r="O136" i="18"/>
  <c r="O62" i="18"/>
  <c r="M85" i="20"/>
  <c r="N85" i="20" s="1"/>
  <c r="M121" i="20"/>
  <c r="M148" i="20"/>
  <c r="N148" i="20" s="1"/>
  <c r="M145" i="20"/>
  <c r="N145" i="20" s="1"/>
  <c r="M51" i="20"/>
  <c r="N51" i="20" s="1"/>
  <c r="M86" i="20"/>
  <c r="N86" i="20" s="1"/>
  <c r="M116" i="20"/>
  <c r="N116" i="20" s="1"/>
  <c r="M130" i="20"/>
  <c r="N130" i="20" s="1"/>
  <c r="M91" i="20"/>
  <c r="M139" i="20"/>
  <c r="N139" i="20" s="1"/>
  <c r="M115" i="20"/>
  <c r="N115" i="20" s="1"/>
  <c r="O192" i="18"/>
  <c r="M18" i="20"/>
  <c r="O183" i="18"/>
  <c r="O51" i="18"/>
  <c r="O28" i="18"/>
  <c r="O115" i="18"/>
  <c r="O72" i="18"/>
  <c r="O24" i="18"/>
  <c r="O110" i="18"/>
  <c r="O139" i="18"/>
  <c r="O87" i="18"/>
  <c r="M82" i="20"/>
  <c r="N82" i="20" s="1"/>
  <c r="M60" i="20"/>
  <c r="N60" i="20" s="1"/>
  <c r="M174" i="20"/>
  <c r="N174" i="20" s="1"/>
  <c r="M135" i="20"/>
  <c r="N135" i="20" s="1"/>
  <c r="M133" i="20"/>
  <c r="N133" i="20" s="1"/>
  <c r="M134" i="20"/>
  <c r="N134" i="20" s="1"/>
  <c r="M111" i="20"/>
  <c r="N111" i="20" s="1"/>
  <c r="O127" i="18"/>
  <c r="O71" i="18"/>
  <c r="O27" i="18"/>
  <c r="O18" i="18"/>
  <c r="O50" i="18"/>
  <c r="O116" i="18"/>
  <c r="O52" i="18"/>
  <c r="O59" i="18"/>
  <c r="O122" i="18"/>
  <c r="M131" i="20"/>
  <c r="N131" i="20" s="1"/>
  <c r="O47" i="18"/>
  <c r="O30" i="18"/>
  <c r="O114" i="18"/>
  <c r="M81" i="20"/>
  <c r="N81" i="20" s="1"/>
  <c r="M52" i="20"/>
  <c r="N52" i="20" s="1"/>
  <c r="M169" i="20"/>
  <c r="N169" i="20" s="1"/>
  <c r="M76" i="20"/>
  <c r="N76" i="20" s="1"/>
  <c r="M165" i="20"/>
  <c r="N165" i="20" s="1"/>
  <c r="M125" i="20"/>
  <c r="N125" i="20" s="1"/>
  <c r="M164" i="20"/>
  <c r="N164" i="20" s="1"/>
  <c r="M175" i="20"/>
  <c r="N175" i="20" s="1"/>
  <c r="M170" i="20"/>
  <c r="N170" i="20" s="1"/>
  <c r="M46" i="20"/>
  <c r="N46" i="20" s="1"/>
  <c r="M163" i="20"/>
  <c r="N7" i="18"/>
  <c r="M27" i="20"/>
  <c r="N27" i="20" s="1"/>
  <c r="M24" i="20"/>
  <c r="N24" i="20" s="1"/>
  <c r="M22" i="20"/>
  <c r="N22" i="20" s="1"/>
  <c r="M23" i="20"/>
  <c r="N23" i="20" s="1"/>
  <c r="O135" i="18"/>
  <c r="O85" i="18"/>
  <c r="O39" i="18"/>
  <c r="M114" i="20"/>
  <c r="N114" i="20" s="1"/>
  <c r="O150" i="18"/>
  <c r="M109" i="20"/>
  <c r="M83" i="20"/>
  <c r="N83" i="20" s="1"/>
  <c r="M80" i="20"/>
  <c r="M149" i="20"/>
  <c r="N149" i="20" s="1"/>
  <c r="M168" i="20"/>
  <c r="N168" i="20" s="1"/>
  <c r="M155" i="20"/>
  <c r="N155" i="20" s="1"/>
  <c r="O57" i="18"/>
  <c r="O20" i="18"/>
  <c r="O148" i="18"/>
  <c r="O60" i="18"/>
  <c r="O45" i="18"/>
  <c r="O102" i="18"/>
  <c r="M171" i="20"/>
  <c r="N171" i="20" s="1"/>
  <c r="O82" i="18"/>
  <c r="O109" i="18"/>
  <c r="O138" i="18"/>
  <c r="M173" i="20"/>
  <c r="N173" i="20" s="1"/>
  <c r="O76" i="18"/>
  <c r="O73" i="18"/>
  <c r="O131" i="18"/>
  <c r="M137" i="20"/>
  <c r="N137" i="20" s="1"/>
  <c r="M138" i="20"/>
  <c r="N138" i="20" s="1"/>
  <c r="M112" i="20"/>
  <c r="N112" i="20" s="1"/>
  <c r="M110" i="20"/>
  <c r="N110" i="20" s="1"/>
  <c r="M122" i="20"/>
  <c r="N122" i="20" s="1"/>
  <c r="M166" i="20"/>
  <c r="N166" i="20" s="1"/>
  <c r="M38" i="20"/>
  <c r="N38" i="20" s="1"/>
  <c r="M57" i="20"/>
  <c r="N57" i="20" s="1"/>
  <c r="M41" i="20"/>
  <c r="N41" i="20" s="1"/>
  <c r="M101" i="20"/>
  <c r="M37" i="20"/>
  <c r="N37" i="20" s="1"/>
  <c r="O196" i="18"/>
  <c r="O19" i="18"/>
  <c r="O38" i="18"/>
  <c r="O41" i="18"/>
  <c r="M48" i="20"/>
  <c r="N48" i="20" s="1"/>
  <c r="M10" i="20"/>
  <c r="N10" i="20" s="1"/>
  <c r="O46" i="18"/>
  <c r="O23" i="18"/>
  <c r="O133" i="18"/>
  <c r="M58" i="20"/>
  <c r="N58" i="20" s="1"/>
  <c r="O134" i="18"/>
  <c r="O144" i="18"/>
  <c r="O83" i="18"/>
  <c r="O137" i="18"/>
  <c r="O25" i="18"/>
  <c r="M39" i="20"/>
  <c r="N39" i="20" s="1"/>
  <c r="O48" i="18"/>
  <c r="O128" i="18"/>
  <c r="O21" i="18"/>
  <c r="M21" i="20"/>
  <c r="N21" i="20" s="1"/>
  <c r="M153" i="20"/>
  <c r="N153" i="20" s="1"/>
  <c r="M94" i="20"/>
  <c r="N94" i="20" s="1"/>
  <c r="M129" i="20"/>
  <c r="N129" i="20" s="1"/>
  <c r="M117" i="20"/>
  <c r="N117" i="20" s="1"/>
  <c r="M45" i="20"/>
  <c r="M136" i="20"/>
  <c r="N136" i="20" s="1"/>
  <c r="M144" i="20"/>
  <c r="M92" i="20"/>
  <c r="N92" i="20" s="1"/>
  <c r="M147" i="20"/>
  <c r="N147" i="20" s="1"/>
  <c r="M56" i="20"/>
  <c r="O195" i="18"/>
  <c r="O191" i="18"/>
  <c r="O86" i="18"/>
  <c r="O149" i="18"/>
  <c r="O130" i="18"/>
  <c r="O117" i="18"/>
  <c r="M150" i="20"/>
  <c r="N150" i="20" s="1"/>
  <c r="M73" i="20"/>
  <c r="N73" i="20" s="1"/>
  <c r="M30" i="20"/>
  <c r="N30" i="20" s="1"/>
  <c r="O75" i="18"/>
  <c r="O56" i="18"/>
  <c r="M71" i="20"/>
  <c r="O132" i="18"/>
  <c r="O113" i="18"/>
  <c r="O35" i="18"/>
  <c r="O32" i="18"/>
  <c r="O92" i="18"/>
  <c r="O33" i="18"/>
  <c r="M50" i="20"/>
  <c r="N50" i="20" s="1"/>
  <c r="O22" i="18"/>
  <c r="O147" i="18"/>
  <c r="O29" i="18"/>
  <c r="M176" i="20"/>
  <c r="N176" i="20" s="1"/>
  <c r="M103" i="20"/>
  <c r="N103" i="20" s="1"/>
  <c r="M95" i="20"/>
  <c r="N95" i="20" s="1"/>
  <c r="M124" i="20"/>
  <c r="N124" i="20" s="1"/>
  <c r="M127" i="20"/>
  <c r="N127" i="20" s="1"/>
  <c r="M84" i="20"/>
  <c r="N84" i="20" s="1"/>
  <c r="M177" i="20"/>
  <c r="N177" i="20" s="1"/>
  <c r="M132" i="20"/>
  <c r="N132" i="20" s="1"/>
  <c r="M87" i="20"/>
  <c r="N87" i="20" s="1"/>
  <c r="M59" i="20"/>
  <c r="N59" i="20" s="1"/>
  <c r="M140" i="20"/>
  <c r="N140" i="20" s="1"/>
  <c r="M40" i="20"/>
  <c r="N40" i="20" s="1"/>
  <c r="O188" i="18"/>
  <c r="O91" i="18"/>
  <c r="M74" i="20"/>
  <c r="N74" i="20" s="1"/>
  <c r="O154" i="18"/>
  <c r="M178" i="20"/>
  <c r="N178" i="20" s="1"/>
  <c r="M62" i="20"/>
  <c r="N62" i="20" s="1"/>
  <c r="M113" i="20"/>
  <c r="N113" i="20" s="1"/>
  <c r="M61" i="20"/>
  <c r="N61" i="20" s="1"/>
  <c r="O187" i="18"/>
  <c r="O189" i="18" s="1"/>
  <c r="O153" i="18"/>
  <c r="O94" i="18"/>
  <c r="O95" i="18"/>
  <c r="O126" i="18"/>
  <c r="O81" i="18"/>
  <c r="O123" i="18"/>
  <c r="O84" i="18"/>
  <c r="O129" i="18"/>
  <c r="O58" i="18"/>
  <c r="O124" i="18"/>
  <c r="O61" i="18"/>
  <c r="O103" i="18"/>
  <c r="O37" i="18"/>
  <c r="M126" i="20"/>
  <c r="N126" i="20" s="1"/>
  <c r="M146" i="20"/>
  <c r="N146" i="20" s="1"/>
  <c r="M93" i="20"/>
  <c r="N93" i="20" s="1"/>
  <c r="M63" i="20"/>
  <c r="N63" i="20" s="1"/>
  <c r="M172" i="20"/>
  <c r="N172" i="20" s="1"/>
  <c r="M75" i="20"/>
  <c r="N75" i="20" s="1"/>
  <c r="M47" i="20"/>
  <c r="N47" i="20" s="1"/>
  <c r="M102" i="20"/>
  <c r="N102" i="20" s="1"/>
  <c r="M72" i="20"/>
  <c r="N72" i="20" s="1"/>
  <c r="M123" i="20"/>
  <c r="N123" i="20" s="1"/>
  <c r="M32" i="20"/>
  <c r="N32" i="20" s="1"/>
  <c r="M25" i="20"/>
  <c r="N25" i="20" s="1"/>
  <c r="U62" i="18"/>
  <c r="U113" i="18"/>
  <c r="U31" i="18"/>
  <c r="S112" i="20"/>
  <c r="T112" i="20" s="1"/>
  <c r="T7" i="18"/>
  <c r="U92" i="18"/>
  <c r="S60" i="20"/>
  <c r="T60" i="20" s="1"/>
  <c r="S94" i="20"/>
  <c r="T94" i="20" s="1"/>
  <c r="S37" i="20"/>
  <c r="T37" i="20" s="1"/>
  <c r="S148" i="20"/>
  <c r="T148" i="20" s="1"/>
  <c r="S32" i="20"/>
  <c r="T32" i="20" s="1"/>
  <c r="P27" i="20"/>
  <c r="Q27" i="20" s="1"/>
  <c r="P31" i="20"/>
  <c r="Q31" i="20" s="1"/>
  <c r="P25" i="20"/>
  <c r="Q25" i="20" s="1"/>
  <c r="S163" i="20"/>
  <c r="S173" i="20"/>
  <c r="S103" i="20"/>
  <c r="T103" i="20" s="1"/>
  <c r="P73" i="15"/>
  <c r="U131" i="18"/>
  <c r="U148" i="18"/>
  <c r="S72" i="20"/>
  <c r="T72" i="20" s="1"/>
  <c r="S138" i="20"/>
  <c r="T138" i="20" s="1"/>
  <c r="J52" i="15"/>
  <c r="M20" i="20"/>
  <c r="N20" i="20" s="1"/>
  <c r="P30" i="20"/>
  <c r="Q30" i="20" s="1"/>
  <c r="M28" i="20"/>
  <c r="N28" i="20" s="1"/>
  <c r="M19" i="20"/>
  <c r="N19" i="20" s="1"/>
  <c r="P24" i="20"/>
  <c r="Q24" i="20" s="1"/>
  <c r="M31" i="20"/>
  <c r="N31" i="20" s="1"/>
  <c r="P23" i="20"/>
  <c r="Q23" i="20" s="1"/>
  <c r="M26" i="20"/>
  <c r="N26" i="20" s="1"/>
  <c r="M29" i="20"/>
  <c r="N29" i="20" s="1"/>
  <c r="P28" i="20"/>
  <c r="Q28" i="20" s="1"/>
  <c r="P52" i="15"/>
  <c r="S111" i="20"/>
  <c r="T111" i="20" s="1"/>
  <c r="U127" i="18"/>
  <c r="U21" i="18"/>
  <c r="S57" i="20"/>
  <c r="T57" i="20" s="1"/>
  <c r="U46" i="18"/>
  <c r="U45" i="18"/>
  <c r="U112" i="18"/>
  <c r="U129" i="18"/>
  <c r="U110" i="18"/>
  <c r="U125" i="18"/>
  <c r="U82" i="18"/>
  <c r="U116" i="18"/>
  <c r="U134" i="18"/>
  <c r="U124" i="18"/>
  <c r="U132" i="18"/>
  <c r="U39" i="18"/>
  <c r="U122" i="18"/>
  <c r="U136" i="18"/>
  <c r="U133" i="18"/>
  <c r="U153" i="18"/>
  <c r="S140" i="20"/>
  <c r="T140" i="20" s="1"/>
  <c r="U25" i="18"/>
  <c r="U18" i="18"/>
  <c r="U111" i="18"/>
  <c r="S84" i="20"/>
  <c r="T84" i="20" s="1"/>
  <c r="S61" i="20"/>
  <c r="T61" i="20" s="1"/>
  <c r="S126" i="20"/>
  <c r="T126" i="20" s="1"/>
  <c r="S93" i="20"/>
  <c r="T93" i="20" s="1"/>
  <c r="S114" i="20"/>
  <c r="T114" i="20" s="1"/>
  <c r="S35" i="20"/>
  <c r="T35" i="20" s="1"/>
  <c r="U102" i="18"/>
  <c r="U74" i="18"/>
  <c r="U30" i="18"/>
  <c r="U115" i="18"/>
  <c r="S47" i="20"/>
  <c r="T47" i="20" s="1"/>
  <c r="S121" i="20"/>
  <c r="S167" i="20"/>
  <c r="S80" i="20"/>
  <c r="S21" i="20"/>
  <c r="T21" i="20" s="1"/>
  <c r="S38" i="20"/>
  <c r="T38" i="20" s="1"/>
  <c r="S125" i="20"/>
  <c r="T125" i="20" s="1"/>
  <c r="S168" i="20"/>
  <c r="S48" i="20"/>
  <c r="T48" i="20" s="1"/>
  <c r="S177" i="20"/>
  <c r="S73" i="20"/>
  <c r="T73" i="20" s="1"/>
  <c r="S139" i="20"/>
  <c r="T139" i="20" s="1"/>
  <c r="S50" i="20"/>
  <c r="T50" i="20" s="1"/>
  <c r="S174" i="20"/>
  <c r="S175" i="20"/>
  <c r="S136" i="20"/>
  <c r="T136" i="20" s="1"/>
  <c r="U188" i="18"/>
  <c r="U196" i="18"/>
  <c r="R52" i="15"/>
  <c r="V22" i="21" s="1"/>
  <c r="S24" i="20"/>
  <c r="T24" i="20" s="1"/>
  <c r="S22" i="20"/>
  <c r="T22" i="20" s="1"/>
  <c r="S26" i="20"/>
  <c r="T26" i="20" s="1"/>
  <c r="U83" i="18"/>
  <c r="U87" i="18"/>
  <c r="U52" i="18"/>
  <c r="U33" i="18"/>
  <c r="U121" i="18"/>
  <c r="U71" i="18"/>
  <c r="U154" i="18"/>
  <c r="U146" i="18"/>
  <c r="U20" i="18"/>
  <c r="S116" i="20"/>
  <c r="T116" i="20" s="1"/>
  <c r="U76" i="18"/>
  <c r="U38" i="18"/>
  <c r="U150" i="18"/>
  <c r="U24" i="18"/>
  <c r="S74" i="20"/>
  <c r="T74" i="20" s="1"/>
  <c r="U80" i="18"/>
  <c r="U41" i="18"/>
  <c r="U93" i="18"/>
  <c r="U28" i="18"/>
  <c r="S76" i="20"/>
  <c r="T76" i="20" s="1"/>
  <c r="U91" i="18"/>
  <c r="U56" i="18"/>
  <c r="U26" i="18"/>
  <c r="U123" i="18"/>
  <c r="S81" i="20"/>
  <c r="T81" i="20" s="1"/>
  <c r="S137" i="20"/>
  <c r="T137" i="20" s="1"/>
  <c r="S109" i="20"/>
  <c r="S39" i="20"/>
  <c r="T39" i="20" s="1"/>
  <c r="S154" i="20"/>
  <c r="T154" i="20" s="1"/>
  <c r="S124" i="20"/>
  <c r="T124" i="20" s="1"/>
  <c r="U135" i="18"/>
  <c r="U114" i="18"/>
  <c r="U57" i="18"/>
  <c r="U130" i="18"/>
  <c r="S164" i="20"/>
  <c r="S166" i="20"/>
  <c r="S41" i="20"/>
  <c r="T41" i="20" s="1"/>
  <c r="S82" i="20"/>
  <c r="T82" i="20" s="1"/>
  <c r="S59" i="20"/>
  <c r="T59" i="20" s="1"/>
  <c r="S130" i="20"/>
  <c r="T130" i="20" s="1"/>
  <c r="S144" i="20"/>
  <c r="S62" i="20"/>
  <c r="T62" i="20" s="1"/>
  <c r="S113" i="20"/>
  <c r="T113" i="20" s="1"/>
  <c r="S85" i="20"/>
  <c r="T85" i="20" s="1"/>
  <c r="S95" i="20"/>
  <c r="T95" i="20" s="1"/>
  <c r="S176" i="20"/>
  <c r="S110" i="20"/>
  <c r="T110" i="20" s="1"/>
  <c r="S123" i="20"/>
  <c r="T123" i="20" s="1"/>
  <c r="S30" i="20"/>
  <c r="T30" i="20" s="1"/>
  <c r="S165" i="20"/>
  <c r="U187" i="18"/>
  <c r="U189" i="18" s="1"/>
  <c r="U195" i="18"/>
  <c r="U197" i="18" s="1"/>
  <c r="S27" i="20"/>
  <c r="T27" i="20" s="1"/>
  <c r="S31" i="20"/>
  <c r="T31" i="20" s="1"/>
  <c r="S23" i="20"/>
  <c r="T23" i="20" s="1"/>
  <c r="S28" i="20"/>
  <c r="T28" i="20" s="1"/>
  <c r="S25" i="20"/>
  <c r="T25" i="20" s="1"/>
  <c r="U47" i="18"/>
  <c r="U117" i="18"/>
  <c r="U140" i="18"/>
  <c r="U75" i="18"/>
  <c r="U32" i="18"/>
  <c r="U19" i="18"/>
  <c r="U48" i="18"/>
  <c r="U128" i="18"/>
  <c r="U35" i="18"/>
  <c r="S133" i="20"/>
  <c r="T133" i="20" s="1"/>
  <c r="U23" i="18"/>
  <c r="U51" i="18"/>
  <c r="U137" i="18"/>
  <c r="U59" i="18"/>
  <c r="S178" i="20"/>
  <c r="U27" i="18"/>
  <c r="U81" i="18"/>
  <c r="U147" i="18"/>
  <c r="U63" i="18"/>
  <c r="S149" i="20"/>
  <c r="T149" i="20" s="1"/>
  <c r="U126" i="18"/>
  <c r="U94" i="18"/>
  <c r="U61" i="18"/>
  <c r="U139" i="18"/>
  <c r="S127" i="20"/>
  <c r="T127" i="20" s="1"/>
  <c r="S10" i="20"/>
  <c r="T10" i="20" s="1"/>
  <c r="S147" i="20"/>
  <c r="T147" i="20" s="1"/>
  <c r="S150" i="20"/>
  <c r="T150" i="20" s="1"/>
  <c r="S52" i="20"/>
  <c r="T52" i="20" s="1"/>
  <c r="S169" i="20"/>
  <c r="U149" i="18"/>
  <c r="U138" i="18"/>
  <c r="U73" i="18"/>
  <c r="S92" i="20"/>
  <c r="T92" i="20" s="1"/>
  <c r="S122" i="20"/>
  <c r="T122" i="20" s="1"/>
  <c r="S63" i="20"/>
  <c r="T63" i="20" s="1"/>
  <c r="S128" i="20"/>
  <c r="T128" i="20" s="1"/>
  <c r="S86" i="20"/>
  <c r="T86" i="20" s="1"/>
  <c r="S131" i="20"/>
  <c r="T131" i="20" s="1"/>
  <c r="S45" i="20"/>
  <c r="S170" i="20"/>
  <c r="S134" i="20"/>
  <c r="T134" i="20" s="1"/>
  <c r="S132" i="20"/>
  <c r="T132" i="20" s="1"/>
  <c r="S91" i="20"/>
  <c r="S29" i="20"/>
  <c r="T29" i="20" s="1"/>
  <c r="S51" i="20"/>
  <c r="T51" i="20" s="1"/>
  <c r="S129" i="20"/>
  <c r="T129" i="20" s="1"/>
  <c r="S102" i="20"/>
  <c r="T102" i="20" s="1"/>
  <c r="S56" i="20"/>
  <c r="S40" i="20"/>
  <c r="T40" i="20" s="1"/>
  <c r="U191" i="18"/>
  <c r="U193" i="18" s="1"/>
  <c r="S20" i="20"/>
  <c r="T20" i="20" s="1"/>
  <c r="S19" i="20"/>
  <c r="T19" i="20" s="1"/>
  <c r="J92" i="15"/>
  <c r="P75" i="15"/>
  <c r="J98" i="15"/>
  <c r="J99" i="15"/>
  <c r="P89" i="15"/>
  <c r="R97" i="15"/>
  <c r="V67" i="21" s="1"/>
  <c r="J83" i="15"/>
  <c r="J87" i="15"/>
  <c r="J72" i="15"/>
  <c r="J75" i="15"/>
  <c r="T33" i="18"/>
  <c r="T34" i="18" s="1"/>
  <c r="T42" i="18" s="1"/>
  <c r="T66" i="18" s="1"/>
  <c r="T6" i="18" s="1"/>
  <c r="J101" i="15"/>
  <c r="J95" i="15"/>
  <c r="P70" i="15"/>
  <c r="J96" i="15"/>
  <c r="R84" i="15"/>
  <c r="V54" i="21" s="1"/>
  <c r="P84" i="15"/>
  <c r="J20" i="18"/>
  <c r="V20" i="18" s="1"/>
  <c r="J54" i="15"/>
  <c r="J88" i="15"/>
  <c r="R88" i="15"/>
  <c r="V58" i="21" s="1"/>
  <c r="P88" i="15"/>
  <c r="J22" i="18"/>
  <c r="V22" i="18" s="1"/>
  <c r="J56" i="15"/>
  <c r="K23" i="18"/>
  <c r="P57" i="15"/>
  <c r="R57" i="15"/>
  <c r="V27" i="21" s="1"/>
  <c r="R101" i="15"/>
  <c r="V71" i="21" s="1"/>
  <c r="P101" i="15"/>
  <c r="J78" i="15"/>
  <c r="P78" i="15"/>
  <c r="R78" i="15"/>
  <c r="V48" i="21" s="1"/>
  <c r="J76" i="15"/>
  <c r="R64" i="15"/>
  <c r="V34" i="21" s="1"/>
  <c r="P64" i="15"/>
  <c r="K30" i="18"/>
  <c r="R93" i="15"/>
  <c r="V63" i="21" s="1"/>
  <c r="P93" i="15"/>
  <c r="J90" i="15"/>
  <c r="J100" i="15"/>
  <c r="R100" i="15"/>
  <c r="V70" i="21" s="1"/>
  <c r="P100" i="15"/>
  <c r="P87" i="15"/>
  <c r="R87" i="15"/>
  <c r="V57" i="21" s="1"/>
  <c r="P77" i="15"/>
  <c r="R77" i="15"/>
  <c r="V47" i="21" s="1"/>
  <c r="R67" i="15"/>
  <c r="V37" i="21" s="1"/>
  <c r="P67" i="15"/>
  <c r="K33" i="18"/>
  <c r="N33" i="18"/>
  <c r="N34" i="18" s="1"/>
  <c r="N42" i="18" s="1"/>
  <c r="N66" i="18" s="1"/>
  <c r="N6" i="18" s="1"/>
  <c r="J69" i="15"/>
  <c r="P69" i="15"/>
  <c r="R69" i="15"/>
  <c r="V39" i="21" s="1"/>
  <c r="R66" i="15"/>
  <c r="V36" i="21" s="1"/>
  <c r="P66" i="15"/>
  <c r="K32" i="18"/>
  <c r="J19" i="18"/>
  <c r="V19" i="18" s="1"/>
  <c r="J53" i="15"/>
  <c r="P61" i="15"/>
  <c r="R61" i="15"/>
  <c r="V31" i="21" s="1"/>
  <c r="K27" i="18"/>
  <c r="J70" i="15"/>
  <c r="J24" i="18"/>
  <c r="V24" i="18" s="1"/>
  <c r="J58" i="15"/>
  <c r="J84" i="15"/>
  <c r="R54" i="15"/>
  <c r="V24" i="21" s="1"/>
  <c r="P54" i="15"/>
  <c r="K20" i="18"/>
  <c r="J86" i="15"/>
  <c r="R65" i="15"/>
  <c r="V35" i="21" s="1"/>
  <c r="K31" i="18"/>
  <c r="P65" i="15"/>
  <c r="J82" i="15"/>
  <c r="P99" i="15"/>
  <c r="R99" i="15"/>
  <c r="V69" i="21" s="1"/>
  <c r="J89" i="15"/>
  <c r="P97" i="15"/>
  <c r="J60" i="15"/>
  <c r="J26" i="18"/>
  <c r="V26" i="18" s="1"/>
  <c r="K29" i="18"/>
  <c r="R63" i="15"/>
  <c r="V33" i="21" s="1"/>
  <c r="P63" i="15"/>
  <c r="R73" i="15"/>
  <c r="V43" i="21" s="1"/>
  <c r="J85" i="15"/>
  <c r="R85" i="15"/>
  <c r="V55" i="21" s="1"/>
  <c r="P85" i="15"/>
  <c r="P74" i="15"/>
  <c r="R74" i="15"/>
  <c r="V44" i="21" s="1"/>
  <c r="J74" i="15"/>
  <c r="J28" i="18"/>
  <c r="V28" i="18" s="1"/>
  <c r="J62" i="15"/>
  <c r="P33" i="18"/>
  <c r="R59" i="15"/>
  <c r="V29" i="21" s="1"/>
  <c r="K25" i="18"/>
  <c r="P59" i="15"/>
  <c r="Q33" i="18"/>
  <c r="Q34" i="18" s="1"/>
  <c r="Q42" i="18" s="1"/>
  <c r="Q66" i="18" s="1"/>
  <c r="Q159" i="18" s="1"/>
  <c r="R82" i="15"/>
  <c r="V52" i="21" s="1"/>
  <c r="P82" i="15"/>
  <c r="J64" i="15"/>
  <c r="J30" i="18"/>
  <c r="V30" i="18" s="1"/>
  <c r="R60" i="15"/>
  <c r="V30" i="21" s="1"/>
  <c r="K26" i="18"/>
  <c r="P60" i="15"/>
  <c r="R90" i="15"/>
  <c r="V60" i="21" s="1"/>
  <c r="P90" i="15"/>
  <c r="P80" i="15"/>
  <c r="R80" i="15"/>
  <c r="V50" i="21" s="1"/>
  <c r="P95" i="15"/>
  <c r="R95" i="15"/>
  <c r="V65" i="21" s="1"/>
  <c r="R68" i="15"/>
  <c r="V38" i="21" s="1"/>
  <c r="P68" i="15"/>
  <c r="J91" i="15"/>
  <c r="J81" i="15"/>
  <c r="R72" i="15"/>
  <c r="V42" i="21" s="1"/>
  <c r="P72" i="15"/>
  <c r="G33" i="18"/>
  <c r="G34" i="18" s="1"/>
  <c r="G34" i="20" s="1"/>
  <c r="G33" i="20"/>
  <c r="S33" i="18"/>
  <c r="S34" i="18" s="1"/>
  <c r="S42" i="18" s="1"/>
  <c r="S66" i="18" s="1"/>
  <c r="M33" i="18"/>
  <c r="J25" i="18"/>
  <c r="V25" i="18" s="1"/>
  <c r="J59" i="15"/>
  <c r="R79" i="15"/>
  <c r="V49" i="21" s="1"/>
  <c r="P79" i="15"/>
  <c r="J55" i="15"/>
  <c r="J21" i="18"/>
  <c r="V21" i="18" s="1"/>
  <c r="K21" i="18"/>
  <c r="P55" i="15"/>
  <c r="R55" i="15"/>
  <c r="V25" i="21" s="1"/>
  <c r="R75" i="15"/>
  <c r="V45" i="21" s="1"/>
  <c r="J32" i="18"/>
  <c r="V32" i="18" s="1"/>
  <c r="J66" i="15"/>
  <c r="J27" i="18"/>
  <c r="V27" i="18" s="1"/>
  <c r="J61" i="15"/>
  <c r="R70" i="15"/>
  <c r="V40" i="21" s="1"/>
  <c r="K24" i="18"/>
  <c r="R58" i="15"/>
  <c r="V28" i="21" s="1"/>
  <c r="P58" i="15"/>
  <c r="R98" i="15"/>
  <c r="V68" i="21" s="1"/>
  <c r="P98" i="15"/>
  <c r="J94" i="15"/>
  <c r="R94" i="15"/>
  <c r="V64" i="21" s="1"/>
  <c r="P94" i="15"/>
  <c r="R86" i="15"/>
  <c r="V56" i="21" s="1"/>
  <c r="P86" i="15"/>
  <c r="J65" i="15"/>
  <c r="J31" i="18"/>
  <c r="V31" i="18" s="1"/>
  <c r="P56" i="15"/>
  <c r="K22" i="18"/>
  <c r="R56" i="15"/>
  <c r="V26" i="21" s="1"/>
  <c r="R89" i="15"/>
  <c r="V59" i="21" s="1"/>
  <c r="J23" i="18"/>
  <c r="V23" i="18" s="1"/>
  <c r="J57" i="15"/>
  <c r="P76" i="15"/>
  <c r="R76" i="15"/>
  <c r="V46" i="21" s="1"/>
  <c r="J97" i="15"/>
  <c r="J93" i="15"/>
  <c r="J80" i="15"/>
  <c r="J29" i="18"/>
  <c r="V29" i="18" s="1"/>
  <c r="J63" i="15"/>
  <c r="R83" i="15"/>
  <c r="V53" i="21" s="1"/>
  <c r="P83" i="15"/>
  <c r="J73" i="15"/>
  <c r="J68" i="15"/>
  <c r="R91" i="15"/>
  <c r="V61" i="21" s="1"/>
  <c r="P91" i="15"/>
  <c r="P81" i="15"/>
  <c r="R81" i="15"/>
  <c r="V51" i="21" s="1"/>
  <c r="J77" i="15"/>
  <c r="R62" i="15"/>
  <c r="V32" i="21" s="1"/>
  <c r="P62" i="15"/>
  <c r="K28" i="18"/>
  <c r="J33" i="18"/>
  <c r="H103" i="15" s="1"/>
  <c r="J67" i="15"/>
  <c r="J79" i="15"/>
  <c r="P92" i="15"/>
  <c r="R92" i="15"/>
  <c r="V62" i="21" s="1"/>
  <c r="J71" i="15"/>
  <c r="R71" i="15"/>
  <c r="V41" i="21" s="1"/>
  <c r="P71" i="15"/>
  <c r="K19" i="18"/>
  <c r="R53" i="15"/>
  <c r="V23" i="21" s="1"/>
  <c r="P53" i="15"/>
  <c r="C103" i="15"/>
  <c r="U20" i="21" s="1"/>
  <c r="R96" i="15"/>
  <c r="V66" i="21" s="1"/>
  <c r="P96" i="15"/>
  <c r="Z34" i="20"/>
  <c r="Z42" i="20" s="1"/>
  <c r="Z66" i="20" s="1"/>
  <c r="AA18" i="20"/>
  <c r="AA34" i="20" s="1"/>
  <c r="AA42" i="20" s="1"/>
  <c r="AA66" i="20" s="1"/>
  <c r="T181" i="18"/>
  <c r="U181" i="18" s="1"/>
  <c r="Q181" i="18"/>
  <c r="R181" i="18" s="1"/>
  <c r="Q6" i="18"/>
  <c r="N181" i="18"/>
  <c r="O181" i="18" s="1"/>
  <c r="Q101" i="20"/>
  <c r="Q18" i="20"/>
  <c r="K7" i="18"/>
  <c r="L195" i="18"/>
  <c r="L196" i="18"/>
  <c r="L155" i="18"/>
  <c r="L191" i="18"/>
  <c r="J155" i="20"/>
  <c r="V155" i="20" s="1"/>
  <c r="L203" i="18"/>
  <c r="L188" i="18"/>
  <c r="L192" i="18"/>
  <c r="L187" i="18"/>
  <c r="J40" i="20"/>
  <c r="V40" i="20" s="1"/>
  <c r="J178" i="20"/>
  <c r="K178" i="20" s="1"/>
  <c r="J154" i="20"/>
  <c r="V154" i="20" s="1"/>
  <c r="J133" i="20"/>
  <c r="V133" i="20" s="1"/>
  <c r="J115" i="20"/>
  <c r="V115" i="20" s="1"/>
  <c r="J56" i="20"/>
  <c r="V56" i="20" s="1"/>
  <c r="J153" i="20"/>
  <c r="V153" i="20" s="1"/>
  <c r="J48" i="20"/>
  <c r="V48" i="20" s="1"/>
  <c r="J171" i="20"/>
  <c r="K171" i="20" s="1"/>
  <c r="J145" i="20"/>
  <c r="V145" i="20" s="1"/>
  <c r="J126" i="20"/>
  <c r="V126" i="20" s="1"/>
  <c r="J102" i="20"/>
  <c r="V102" i="20" s="1"/>
  <c r="J51" i="20"/>
  <c r="V51" i="20" s="1"/>
  <c r="J140" i="20"/>
  <c r="V140" i="20" s="1"/>
  <c r="J41" i="20"/>
  <c r="V41" i="20" s="1"/>
  <c r="J172" i="20"/>
  <c r="K172" i="20" s="1"/>
  <c r="J146" i="20"/>
  <c r="V146" i="20" s="1"/>
  <c r="J127" i="20"/>
  <c r="V127" i="20" s="1"/>
  <c r="J103" i="20"/>
  <c r="V103" i="20" s="1"/>
  <c r="J52" i="20"/>
  <c r="V52" i="20" s="1"/>
  <c r="J169" i="20"/>
  <c r="K169" i="20" s="1"/>
  <c r="J109" i="20"/>
  <c r="V109" i="20" s="1"/>
  <c r="J73" i="20"/>
  <c r="V73" i="20" s="1"/>
  <c r="J94" i="20"/>
  <c r="V94" i="20" s="1"/>
  <c r="J74" i="20"/>
  <c r="V74" i="20" s="1"/>
  <c r="J84" i="20"/>
  <c r="V84" i="20" s="1"/>
  <c r="J174" i="20"/>
  <c r="K174" i="20" s="1"/>
  <c r="J148" i="20"/>
  <c r="V148" i="20" s="1"/>
  <c r="J129" i="20"/>
  <c r="V129" i="20" s="1"/>
  <c r="J101" i="20"/>
  <c r="V101" i="20" s="1"/>
  <c r="J50" i="20"/>
  <c r="V50" i="20" s="1"/>
  <c r="J132" i="20"/>
  <c r="V132" i="20" s="1"/>
  <c r="J35" i="20"/>
  <c r="V35" i="20" s="1"/>
  <c r="J167" i="20"/>
  <c r="K167" i="20" s="1"/>
  <c r="J138" i="20"/>
  <c r="V138" i="20" s="1"/>
  <c r="J122" i="20"/>
  <c r="V122" i="20" s="1"/>
  <c r="J75" i="20"/>
  <c r="V75" i="20" s="1"/>
  <c r="J46" i="20"/>
  <c r="V46" i="20" s="1"/>
  <c r="J124" i="20"/>
  <c r="V124" i="20" s="1"/>
  <c r="J168" i="20"/>
  <c r="K168" i="20" s="1"/>
  <c r="J139" i="20"/>
  <c r="V139" i="20" s="1"/>
  <c r="J123" i="20"/>
  <c r="V123" i="20" s="1"/>
  <c r="J85" i="20"/>
  <c r="V85" i="20" s="1"/>
  <c r="J47" i="20"/>
  <c r="V47" i="20" s="1"/>
  <c r="J147" i="20"/>
  <c r="V147" i="20" s="1"/>
  <c r="J93" i="20"/>
  <c r="V93" i="20" s="1"/>
  <c r="J86" i="20"/>
  <c r="V86" i="20" s="1"/>
  <c r="J80" i="20"/>
  <c r="V80" i="20" s="1"/>
  <c r="J170" i="20"/>
  <c r="K170" i="20" s="1"/>
  <c r="J144" i="20"/>
  <c r="V144" i="20" s="1"/>
  <c r="J125" i="20"/>
  <c r="V125" i="20" s="1"/>
  <c r="J71" i="20"/>
  <c r="V71" i="20" s="1"/>
  <c r="J45" i="20"/>
  <c r="V45" i="20" s="1"/>
  <c r="J114" i="20"/>
  <c r="V114" i="20" s="1"/>
  <c r="J163" i="20"/>
  <c r="J134" i="20"/>
  <c r="V134" i="20" s="1"/>
  <c r="J116" i="20"/>
  <c r="V116" i="20" s="1"/>
  <c r="J61" i="20"/>
  <c r="V61" i="20" s="1"/>
  <c r="J38" i="20"/>
  <c r="V38" i="20" s="1"/>
  <c r="J177" i="20"/>
  <c r="K177" i="20" s="1"/>
  <c r="J110" i="20"/>
  <c r="V110" i="20" s="1"/>
  <c r="J164" i="20"/>
  <c r="K164" i="20" s="1"/>
  <c r="J135" i="20"/>
  <c r="V135" i="20" s="1"/>
  <c r="J117" i="20"/>
  <c r="V117" i="20" s="1"/>
  <c r="J62" i="20"/>
  <c r="V62" i="20" s="1"/>
  <c r="J39" i="20"/>
  <c r="V39" i="20" s="1"/>
  <c r="J136" i="20"/>
  <c r="V136" i="20" s="1"/>
  <c r="J76" i="20"/>
  <c r="V76" i="20" s="1"/>
  <c r="J95" i="20"/>
  <c r="V95" i="20" s="1"/>
  <c r="J83" i="20"/>
  <c r="V83" i="20" s="1"/>
  <c r="J91" i="20"/>
  <c r="V91" i="20" s="1"/>
  <c r="J10" i="20"/>
  <c r="K10" i="20" s="1"/>
  <c r="J60" i="20"/>
  <c r="V60" i="20" s="1"/>
  <c r="J175" i="20"/>
  <c r="K175" i="20" s="1"/>
  <c r="J57" i="20"/>
  <c r="V57" i="20" s="1"/>
  <c r="J176" i="20"/>
  <c r="K176" i="20" s="1"/>
  <c r="J58" i="20"/>
  <c r="V58" i="20" s="1"/>
  <c r="J81" i="20"/>
  <c r="V81" i="20" s="1"/>
  <c r="J82" i="20"/>
  <c r="V82" i="20" s="1"/>
  <c r="L145" i="18"/>
  <c r="L135" i="18"/>
  <c r="L126" i="18"/>
  <c r="L102" i="18"/>
  <c r="L76" i="18"/>
  <c r="L52" i="18"/>
  <c r="L39" i="18"/>
  <c r="L154" i="18"/>
  <c r="L114" i="18"/>
  <c r="L85" i="18"/>
  <c r="L132" i="18"/>
  <c r="L125" i="18"/>
  <c r="L115" i="18"/>
  <c r="L86" i="18"/>
  <c r="L63" i="18"/>
  <c r="L28" i="18"/>
  <c r="L18" i="18"/>
  <c r="L134" i="18"/>
  <c r="L101" i="18"/>
  <c r="L38" i="18"/>
  <c r="L60" i="18"/>
  <c r="L37" i="18"/>
  <c r="J166" i="20"/>
  <c r="K166" i="20" s="1"/>
  <c r="J37" i="20"/>
  <c r="V37" i="20" s="1"/>
  <c r="J149" i="20"/>
  <c r="V149" i="20" s="1"/>
  <c r="J150" i="20"/>
  <c r="V150" i="20" s="1"/>
  <c r="J72" i="20"/>
  <c r="V72" i="20" s="1"/>
  <c r="L50" i="18"/>
  <c r="L136" i="18"/>
  <c r="L83" i="18"/>
  <c r="L140" i="18"/>
  <c r="L133" i="18"/>
  <c r="L124" i="18"/>
  <c r="L112" i="18"/>
  <c r="L94" i="18"/>
  <c r="L153" i="18"/>
  <c r="L139" i="18"/>
  <c r="L130" i="18"/>
  <c r="L123" i="18"/>
  <c r="L113" i="18"/>
  <c r="L95" i="18"/>
  <c r="L84" i="18"/>
  <c r="L75" i="18"/>
  <c r="L61" i="18"/>
  <c r="L35" i="18"/>
  <c r="L26" i="18"/>
  <c r="L51" i="18"/>
  <c r="L74" i="18"/>
  <c r="L58" i="18"/>
  <c r="L33" i="18"/>
  <c r="L31" i="18"/>
  <c r="L29" i="18"/>
  <c r="L27" i="18"/>
  <c r="J137" i="20"/>
  <c r="V137" i="20" s="1"/>
  <c r="J18" i="20"/>
  <c r="J130" i="20"/>
  <c r="V130" i="20" s="1"/>
  <c r="J165" i="20"/>
  <c r="K165" i="20" s="1"/>
  <c r="J131" i="20"/>
  <c r="V131" i="20" s="1"/>
  <c r="J173" i="20"/>
  <c r="K173" i="20" s="1"/>
  <c r="J92" i="20"/>
  <c r="V92" i="20" s="1"/>
  <c r="L149" i="18"/>
  <c r="L93" i="18"/>
  <c r="L82" i="18"/>
  <c r="L47" i="18"/>
  <c r="L150" i="18"/>
  <c r="L81" i="18"/>
  <c r="L41" i="18"/>
  <c r="L138" i="18"/>
  <c r="L131" i="18"/>
  <c r="L122" i="18"/>
  <c r="L110" i="18"/>
  <c r="L111" i="18"/>
  <c r="L73" i="18"/>
  <c r="L59" i="18"/>
  <c r="L32" i="18"/>
  <c r="L24" i="18"/>
  <c r="L148" i="18"/>
  <c r="L129" i="18"/>
  <c r="L48" i="18"/>
  <c r="L72" i="18"/>
  <c r="L56" i="18"/>
  <c r="L25" i="18"/>
  <c r="L23" i="18"/>
  <c r="L21" i="18"/>
  <c r="L19" i="18"/>
  <c r="J121" i="20"/>
  <c r="V121" i="20" s="1"/>
  <c r="J113" i="20"/>
  <c r="V113" i="20" s="1"/>
  <c r="L137" i="18"/>
  <c r="L91" i="18"/>
  <c r="L45" i="18"/>
  <c r="L127" i="18"/>
  <c r="L116" i="18"/>
  <c r="L109" i="18"/>
  <c r="L46" i="18"/>
  <c r="J63" i="20"/>
  <c r="V63" i="20" s="1"/>
  <c r="J128" i="20"/>
  <c r="V128" i="20" s="1"/>
  <c r="L128" i="18"/>
  <c r="L80" i="18"/>
  <c r="L92" i="18"/>
  <c r="L30" i="18"/>
  <c r="L103" i="18"/>
  <c r="L62" i="18"/>
  <c r="J59" i="20"/>
  <c r="V59" i="20" s="1"/>
  <c r="L147" i="18"/>
  <c r="L144" i="18"/>
  <c r="L146" i="18"/>
  <c r="J112" i="20"/>
  <c r="V112" i="20" s="1"/>
  <c r="J87" i="20"/>
  <c r="V87" i="20" s="1"/>
  <c r="L121" i="18"/>
  <c r="L71" i="18"/>
  <c r="L87" i="18"/>
  <c r="L117" i="18"/>
  <c r="L22" i="18"/>
  <c r="L57" i="18"/>
  <c r="L20" i="18"/>
  <c r="J111" i="20"/>
  <c r="V111" i="20" s="1"/>
  <c r="L183" i="18"/>
  <c r="N71" i="20"/>
  <c r="N121" i="20"/>
  <c r="N56" i="20"/>
  <c r="V169" i="20"/>
  <c r="W169" i="20" s="1"/>
  <c r="T169" i="20"/>
  <c r="T144" i="20"/>
  <c r="T168" i="20"/>
  <c r="V168" i="20"/>
  <c r="W168" i="20" s="1"/>
  <c r="V175" i="20"/>
  <c r="W175" i="20" s="1"/>
  <c r="T175" i="20"/>
  <c r="V18" i="18"/>
  <c r="Q163" i="20"/>
  <c r="Q144" i="20"/>
  <c r="Q71" i="20"/>
  <c r="Q45" i="20"/>
  <c r="N109" i="20"/>
  <c r="N45" i="20"/>
  <c r="N80" i="20"/>
  <c r="N91" i="20"/>
  <c r="N163" i="20"/>
  <c r="T109" i="20"/>
  <c r="V163" i="20"/>
  <c r="T163" i="20"/>
  <c r="V173" i="20"/>
  <c r="W173" i="20" s="1"/>
  <c r="T173" i="20"/>
  <c r="T172" i="20"/>
  <c r="V172" i="20"/>
  <c r="W172" i="20" s="1"/>
  <c r="T45" i="20"/>
  <c r="T170" i="20"/>
  <c r="V170" i="20"/>
  <c r="W170" i="20" s="1"/>
  <c r="V177" i="20"/>
  <c r="W177" i="20" s="1"/>
  <c r="T177" i="20"/>
  <c r="V165" i="20"/>
  <c r="W165" i="20" s="1"/>
  <c r="T165" i="20"/>
  <c r="Q80" i="20"/>
  <c r="Q121" i="20"/>
  <c r="Q109" i="20"/>
  <c r="N101" i="20"/>
  <c r="N18" i="20"/>
  <c r="T71" i="20"/>
  <c r="T121" i="20"/>
  <c r="T167" i="20"/>
  <c r="V167" i="20"/>
  <c r="W167" i="20" s="1"/>
  <c r="T80" i="20"/>
  <c r="T101" i="20"/>
  <c r="T176" i="20"/>
  <c r="V176" i="20"/>
  <c r="W176" i="20" s="1"/>
  <c r="V174" i="20"/>
  <c r="W174" i="20" s="1"/>
  <c r="T174" i="20"/>
  <c r="T56" i="20"/>
  <c r="Q91" i="20"/>
  <c r="Q56" i="20"/>
  <c r="N144" i="20"/>
  <c r="T18" i="20"/>
  <c r="T178" i="20"/>
  <c r="V178" i="20"/>
  <c r="W178" i="20" s="1"/>
  <c r="T164" i="20"/>
  <c r="V164" i="20"/>
  <c r="W164" i="20" s="1"/>
  <c r="V166" i="20"/>
  <c r="W166" i="20" s="1"/>
  <c r="T166" i="20"/>
  <c r="T171" i="20"/>
  <c r="V171" i="20"/>
  <c r="W171" i="20" s="1"/>
  <c r="T91" i="20"/>
  <c r="P77" i="20" l="1"/>
  <c r="R197" i="18"/>
  <c r="Q77" i="20"/>
  <c r="R193" i="18"/>
  <c r="O197" i="18"/>
  <c r="U104" i="18"/>
  <c r="O96" i="18"/>
  <c r="O64" i="18"/>
  <c r="R96" i="18"/>
  <c r="R104" i="18"/>
  <c r="R118" i="18"/>
  <c r="P118" i="20"/>
  <c r="Q118" i="20"/>
  <c r="Q53" i="20"/>
  <c r="P151" i="20"/>
  <c r="M53" i="20"/>
  <c r="P53" i="20"/>
  <c r="O53" i="18"/>
  <c r="O193" i="18"/>
  <c r="O77" i="18"/>
  <c r="R151" i="18"/>
  <c r="R64" i="18"/>
  <c r="R34" i="18"/>
  <c r="R42" i="18" s="1"/>
  <c r="P96" i="20"/>
  <c r="R88" i="18"/>
  <c r="R77" i="18"/>
  <c r="R141" i="18"/>
  <c r="R53" i="18"/>
  <c r="N53" i="20"/>
  <c r="Q151" i="20"/>
  <c r="P179" i="20"/>
  <c r="P9" i="20" s="1"/>
  <c r="N77" i="20"/>
  <c r="P64" i="20"/>
  <c r="Q141" i="20"/>
  <c r="Q179" i="20"/>
  <c r="Q9" i="20" s="1"/>
  <c r="P104" i="20"/>
  <c r="Q64" i="20"/>
  <c r="P88" i="20"/>
  <c r="Q104" i="20"/>
  <c r="Q88" i="20"/>
  <c r="M96" i="20"/>
  <c r="Q96" i="20"/>
  <c r="N96" i="20"/>
  <c r="P141" i="20"/>
  <c r="M64" i="20"/>
  <c r="O88" i="18"/>
  <c r="O141" i="18"/>
  <c r="O104" i="18"/>
  <c r="O118" i="18"/>
  <c r="O34" i="18"/>
  <c r="O42" i="18" s="1"/>
  <c r="O151" i="18"/>
  <c r="M151" i="20"/>
  <c r="M104" i="20"/>
  <c r="N179" i="20"/>
  <c r="N9" i="20" s="1"/>
  <c r="M118" i="20"/>
  <c r="N151" i="20"/>
  <c r="T104" i="20"/>
  <c r="N104" i="20"/>
  <c r="M179" i="20"/>
  <c r="M9" i="20" s="1"/>
  <c r="N118" i="20"/>
  <c r="N64" i="20"/>
  <c r="M141" i="20"/>
  <c r="N141" i="20"/>
  <c r="M88" i="20"/>
  <c r="N88" i="20"/>
  <c r="M77" i="20"/>
  <c r="U96" i="18"/>
  <c r="J22" i="20"/>
  <c r="T96" i="20"/>
  <c r="S104" i="20"/>
  <c r="U77" i="18"/>
  <c r="T141" i="20"/>
  <c r="S53" i="20"/>
  <c r="S118" i="20"/>
  <c r="J25" i="20"/>
  <c r="J30" i="20"/>
  <c r="S77" i="20"/>
  <c r="U34" i="18"/>
  <c r="U42" i="18" s="1"/>
  <c r="S179" i="20"/>
  <c r="S9" i="20" s="1"/>
  <c r="T64" i="20"/>
  <c r="T53" i="20"/>
  <c r="T118" i="20"/>
  <c r="J33" i="20"/>
  <c r="U151" i="18"/>
  <c r="U64" i="18"/>
  <c r="U53" i="18"/>
  <c r="T88" i="20"/>
  <c r="T151" i="20"/>
  <c r="J27" i="20"/>
  <c r="U141" i="18"/>
  <c r="U88" i="18"/>
  <c r="S141" i="20"/>
  <c r="U118" i="18"/>
  <c r="T77" i="20"/>
  <c r="J34" i="18"/>
  <c r="J42" i="18" s="1"/>
  <c r="J66" i="18" s="1"/>
  <c r="J6" i="18" s="1"/>
  <c r="J20" i="20"/>
  <c r="S96" i="20"/>
  <c r="S64" i="20"/>
  <c r="S88" i="20"/>
  <c r="S151" i="20"/>
  <c r="J19" i="20"/>
  <c r="T159" i="18"/>
  <c r="T201" i="18" s="1"/>
  <c r="J24" i="20"/>
  <c r="J26" i="20"/>
  <c r="J21" i="20"/>
  <c r="J23" i="20"/>
  <c r="K34" i="18"/>
  <c r="K42" i="18" s="1"/>
  <c r="K66" i="18" s="1"/>
  <c r="K159" i="18" s="1"/>
  <c r="J31" i="20"/>
  <c r="J29" i="20"/>
  <c r="N159" i="18"/>
  <c r="N201" i="18" s="1"/>
  <c r="V33" i="18"/>
  <c r="Y33" i="18" s="1"/>
  <c r="J32" i="20"/>
  <c r="J28" i="20"/>
  <c r="S159" i="18"/>
  <c r="S6" i="18"/>
  <c r="AB27" i="20"/>
  <c r="AC27" i="20" s="1"/>
  <c r="Y27" i="18"/>
  <c r="AB25" i="20"/>
  <c r="AC25" i="20" s="1"/>
  <c r="Y25" i="18"/>
  <c r="Y30" i="18"/>
  <c r="AB30" i="20"/>
  <c r="AC30" i="20" s="1"/>
  <c r="P33" i="20"/>
  <c r="H105" i="15"/>
  <c r="J105" i="15" s="1"/>
  <c r="AB19" i="20"/>
  <c r="AC19" i="20" s="1"/>
  <c r="Y19" i="18"/>
  <c r="R103" i="15"/>
  <c r="V20" i="21" s="1"/>
  <c r="AB23" i="20"/>
  <c r="AC23" i="20" s="1"/>
  <c r="Y23" i="18"/>
  <c r="H104" i="15"/>
  <c r="J104" i="15" s="1"/>
  <c r="M33" i="20"/>
  <c r="AB26" i="20"/>
  <c r="AC26" i="20" s="1"/>
  <c r="Y26" i="18"/>
  <c r="AB29" i="20"/>
  <c r="AC29" i="20" s="1"/>
  <c r="Y29" i="18"/>
  <c r="Y31" i="18"/>
  <c r="AB31" i="20"/>
  <c r="AC31" i="20" s="1"/>
  <c r="AB32" i="20"/>
  <c r="AC32" i="20" s="1"/>
  <c r="Y32" i="18"/>
  <c r="S33" i="20"/>
  <c r="H106" i="15"/>
  <c r="J106" i="15" s="1"/>
  <c r="Y28" i="18"/>
  <c r="AB28" i="20"/>
  <c r="AC28" i="20" s="1"/>
  <c r="Y24" i="18"/>
  <c r="AB24" i="20"/>
  <c r="AC24" i="20" s="1"/>
  <c r="Y22" i="18"/>
  <c r="AB22" i="20"/>
  <c r="AC22" i="20" s="1"/>
  <c r="P34" i="18"/>
  <c r="P42" i="18" s="1"/>
  <c r="P66" i="18" s="1"/>
  <c r="Y21" i="18"/>
  <c r="AB21" i="20"/>
  <c r="AC21" i="20" s="1"/>
  <c r="AB20" i="20"/>
  <c r="AC20" i="20" s="1"/>
  <c r="Y20" i="18"/>
  <c r="M34" i="18"/>
  <c r="M42" i="18" s="1"/>
  <c r="M66" i="18" s="1"/>
  <c r="U199" i="18"/>
  <c r="W59" i="20"/>
  <c r="K59" i="20"/>
  <c r="W113" i="20"/>
  <c r="K113" i="20"/>
  <c r="K131" i="20"/>
  <c r="W131" i="20"/>
  <c r="W137" i="20"/>
  <c r="K137" i="20"/>
  <c r="K24" i="20"/>
  <c r="V24" i="20"/>
  <c r="W24" i="20" s="1"/>
  <c r="K82" i="20"/>
  <c r="W82" i="20"/>
  <c r="W57" i="20"/>
  <c r="K57" i="20"/>
  <c r="K91" i="20"/>
  <c r="W136" i="20"/>
  <c r="K136" i="20"/>
  <c r="K117" i="20"/>
  <c r="W117" i="20"/>
  <c r="W110" i="20"/>
  <c r="K110" i="20"/>
  <c r="K116" i="20"/>
  <c r="W116" i="20"/>
  <c r="W114" i="20"/>
  <c r="K114" i="20"/>
  <c r="K125" i="20"/>
  <c r="W125" i="20"/>
  <c r="W86" i="20"/>
  <c r="K86" i="20"/>
  <c r="W47" i="20"/>
  <c r="K47" i="20"/>
  <c r="W46" i="20"/>
  <c r="K46" i="20"/>
  <c r="W50" i="20"/>
  <c r="K50" i="20"/>
  <c r="W73" i="20"/>
  <c r="K73" i="20"/>
  <c r="W52" i="20"/>
  <c r="K52" i="20"/>
  <c r="W51" i="20"/>
  <c r="K51" i="20"/>
  <c r="K56" i="20"/>
  <c r="V20" i="20"/>
  <c r="W20" i="20" s="1"/>
  <c r="K20" i="20"/>
  <c r="V33" i="20"/>
  <c r="W33" i="20" s="1"/>
  <c r="K33" i="20"/>
  <c r="K121" i="20"/>
  <c r="K72" i="20"/>
  <c r="W72" i="20"/>
  <c r="K149" i="20"/>
  <c r="W149" i="20"/>
  <c r="K81" i="20"/>
  <c r="W81" i="20"/>
  <c r="W83" i="20"/>
  <c r="K83" i="20"/>
  <c r="V31" i="20"/>
  <c r="W31" i="20" s="1"/>
  <c r="K31" i="20"/>
  <c r="W135" i="20"/>
  <c r="K135" i="20"/>
  <c r="W134" i="20"/>
  <c r="K134" i="20"/>
  <c r="V29" i="20"/>
  <c r="W29" i="20" s="1"/>
  <c r="K29" i="20"/>
  <c r="K144" i="20"/>
  <c r="W93" i="20"/>
  <c r="K93" i="20"/>
  <c r="K85" i="20"/>
  <c r="W85" i="20"/>
  <c r="K22" i="20"/>
  <c r="V22" i="20"/>
  <c r="W22" i="20" s="1"/>
  <c r="W75" i="20"/>
  <c r="K75" i="20"/>
  <c r="W35" i="20"/>
  <c r="K35" i="20"/>
  <c r="J104" i="20"/>
  <c r="K101" i="20"/>
  <c r="K84" i="20"/>
  <c r="W84" i="20"/>
  <c r="K109" i="20"/>
  <c r="K103" i="20"/>
  <c r="W103" i="20"/>
  <c r="W41" i="20"/>
  <c r="K41" i="20"/>
  <c r="K102" i="20"/>
  <c r="W102" i="20"/>
  <c r="W48" i="20"/>
  <c r="K48" i="20"/>
  <c r="W115" i="20"/>
  <c r="K115" i="20"/>
  <c r="W87" i="20"/>
  <c r="K87" i="20"/>
  <c r="W128" i="20"/>
  <c r="K128" i="20"/>
  <c r="W92" i="20"/>
  <c r="K92" i="20"/>
  <c r="K130" i="20"/>
  <c r="W130" i="20"/>
  <c r="K19" i="20"/>
  <c r="V19" i="20"/>
  <c r="W19" i="20" s="1"/>
  <c r="W37" i="20"/>
  <c r="K37" i="20"/>
  <c r="W58" i="20"/>
  <c r="K58" i="20"/>
  <c r="W60" i="20"/>
  <c r="K60" i="20"/>
  <c r="W95" i="20"/>
  <c r="K95" i="20"/>
  <c r="W39" i="20"/>
  <c r="K39" i="20"/>
  <c r="W38" i="20"/>
  <c r="K38" i="20"/>
  <c r="K45" i="20"/>
  <c r="K147" i="20"/>
  <c r="W147" i="20"/>
  <c r="K123" i="20"/>
  <c r="W123" i="20"/>
  <c r="W124" i="20"/>
  <c r="K124" i="20"/>
  <c r="W122" i="20"/>
  <c r="K122" i="20"/>
  <c r="W132" i="20"/>
  <c r="K132" i="20"/>
  <c r="K129" i="20"/>
  <c r="W129" i="20"/>
  <c r="K74" i="20"/>
  <c r="W74" i="20"/>
  <c r="W127" i="20"/>
  <c r="K127" i="20"/>
  <c r="K140" i="20"/>
  <c r="W140" i="20"/>
  <c r="K126" i="20"/>
  <c r="W126" i="20"/>
  <c r="W153" i="20"/>
  <c r="K153" i="20"/>
  <c r="W133" i="20"/>
  <c r="K133" i="20"/>
  <c r="W40" i="20"/>
  <c r="K40" i="20"/>
  <c r="W155" i="20"/>
  <c r="K155" i="20"/>
  <c r="AA6" i="20"/>
  <c r="AA159" i="20"/>
  <c r="AA8" i="20" s="1"/>
  <c r="W111" i="20"/>
  <c r="K111" i="20"/>
  <c r="K112" i="20"/>
  <c r="W112" i="20"/>
  <c r="W63" i="20"/>
  <c r="K63" i="20"/>
  <c r="K18" i="20"/>
  <c r="V18" i="20"/>
  <c r="K150" i="20"/>
  <c r="W150" i="20"/>
  <c r="K76" i="20"/>
  <c r="W76" i="20"/>
  <c r="W62" i="20"/>
  <c r="K62" i="20"/>
  <c r="K30" i="20"/>
  <c r="V30" i="20"/>
  <c r="W30" i="20" s="1"/>
  <c r="W61" i="20"/>
  <c r="K61" i="20"/>
  <c r="K26" i="20"/>
  <c r="V26" i="20"/>
  <c r="W26" i="20" s="1"/>
  <c r="K71" i="20"/>
  <c r="K80" i="20"/>
  <c r="K27" i="20"/>
  <c r="V27" i="20"/>
  <c r="W27" i="20" s="1"/>
  <c r="W139" i="20"/>
  <c r="K139" i="20"/>
  <c r="V32" i="20"/>
  <c r="W32" i="20" s="1"/>
  <c r="K32" i="20"/>
  <c r="K138" i="20"/>
  <c r="W138" i="20"/>
  <c r="V25" i="20"/>
  <c r="W25" i="20" s="1"/>
  <c r="K25" i="20"/>
  <c r="W148" i="20"/>
  <c r="K148" i="20"/>
  <c r="K94" i="20"/>
  <c r="W94" i="20"/>
  <c r="K23" i="20"/>
  <c r="V23" i="20"/>
  <c r="W23" i="20" s="1"/>
  <c r="K146" i="20"/>
  <c r="W146" i="20"/>
  <c r="K28" i="20"/>
  <c r="V28" i="20"/>
  <c r="W28" i="20" s="1"/>
  <c r="K145" i="20"/>
  <c r="W145" i="20"/>
  <c r="K21" i="20"/>
  <c r="V21" i="20"/>
  <c r="W21" i="20" s="1"/>
  <c r="K154" i="20"/>
  <c r="W154" i="20"/>
  <c r="Z181" i="20"/>
  <c r="AA181" i="20" s="1"/>
  <c r="Z6" i="20"/>
  <c r="Z159" i="20"/>
  <c r="Z8" i="20" s="1"/>
  <c r="L189" i="18"/>
  <c r="T8" i="18"/>
  <c r="Q201" i="18"/>
  <c r="Q8" i="18"/>
  <c r="N8" i="18"/>
  <c r="L141" i="18"/>
  <c r="K181" i="18"/>
  <c r="K6" i="18"/>
  <c r="L53" i="18"/>
  <c r="J141" i="20"/>
  <c r="L88" i="18"/>
  <c r="T179" i="20"/>
  <c r="T9" i="20" s="1"/>
  <c r="L151" i="18"/>
  <c r="L96" i="18"/>
  <c r="L64" i="18"/>
  <c r="K163" i="20"/>
  <c r="K179" i="20" s="1"/>
  <c r="K9" i="20" s="1"/>
  <c r="J179" i="20"/>
  <c r="J53" i="20"/>
  <c r="L193" i="18"/>
  <c r="L197" i="18"/>
  <c r="V179" i="20"/>
  <c r="W163" i="20"/>
  <c r="W179" i="20" s="1"/>
  <c r="W9" i="20" s="1"/>
  <c r="J181" i="18"/>
  <c r="J103" i="15"/>
  <c r="J77" i="20"/>
  <c r="J88" i="20"/>
  <c r="AB18" i="20"/>
  <c r="Y18" i="18"/>
  <c r="L34" i="18"/>
  <c r="L42" i="18" s="1"/>
  <c r="L77" i="18"/>
  <c r="J96" i="20"/>
  <c r="J64" i="20"/>
  <c r="L118" i="18"/>
  <c r="L104" i="18"/>
  <c r="J151" i="20"/>
  <c r="J118" i="20"/>
  <c r="R199" i="18" l="1"/>
  <c r="U98" i="18"/>
  <c r="U106" i="18" s="1"/>
  <c r="U157" i="18" s="1"/>
  <c r="O199" i="18"/>
  <c r="O66" i="18"/>
  <c r="O6" i="18" s="1"/>
  <c r="R98" i="18"/>
  <c r="R106" i="18" s="1"/>
  <c r="R157" i="18" s="1"/>
  <c r="R7" i="18" s="1"/>
  <c r="N98" i="20"/>
  <c r="N106" i="20" s="1"/>
  <c r="N157" i="20" s="1"/>
  <c r="N7" i="20" s="1"/>
  <c r="P98" i="20"/>
  <c r="P106" i="20" s="1"/>
  <c r="P157" i="20" s="1"/>
  <c r="P7" i="20" s="1"/>
  <c r="R66" i="18"/>
  <c r="R6" i="18" s="1"/>
  <c r="O98" i="18"/>
  <c r="O106" i="18" s="1"/>
  <c r="O157" i="18" s="1"/>
  <c r="M98" i="20"/>
  <c r="M106" i="20" s="1"/>
  <c r="M157" i="20" s="1"/>
  <c r="M7" i="20" s="1"/>
  <c r="Q98" i="20"/>
  <c r="Q106" i="20" s="1"/>
  <c r="Q157" i="20" s="1"/>
  <c r="Q7" i="20" s="1"/>
  <c r="T98" i="20"/>
  <c r="T106" i="20" s="1"/>
  <c r="T157" i="20" s="1"/>
  <c r="T7" i="20" s="1"/>
  <c r="J159" i="18"/>
  <c r="J201" i="18" s="1"/>
  <c r="J205" i="18" s="1"/>
  <c r="M203" i="18" s="1"/>
  <c r="U66" i="18"/>
  <c r="U6" i="18" s="1"/>
  <c r="S98" i="20"/>
  <c r="S106" i="20" s="1"/>
  <c r="S157" i="20" s="1"/>
  <c r="S7" i="20" s="1"/>
  <c r="J34" i="20"/>
  <c r="J42" i="20" s="1"/>
  <c r="J66" i="20" s="1"/>
  <c r="J181" i="20" s="1"/>
  <c r="K181" i="20" s="1"/>
  <c r="V34" i="18"/>
  <c r="V42" i="18" s="1"/>
  <c r="V66" i="18" s="1"/>
  <c r="V159" i="18" s="1"/>
  <c r="J107" i="15"/>
  <c r="AB33" i="20"/>
  <c r="AC33" i="20" s="1"/>
  <c r="Y34" i="18"/>
  <c r="Y42" i="18" s="1"/>
  <c r="Y66" i="18" s="1"/>
  <c r="Y6" i="18" s="1"/>
  <c r="H107" i="15"/>
  <c r="M159" i="18"/>
  <c r="M6" i="18"/>
  <c r="N33" i="20"/>
  <c r="N34" i="20" s="1"/>
  <c r="N42" i="20" s="1"/>
  <c r="N66" i="20" s="1"/>
  <c r="N6" i="20" s="1"/>
  <c r="M34" i="20"/>
  <c r="M42" i="20" s="1"/>
  <c r="M66" i="20" s="1"/>
  <c r="Q33" i="20"/>
  <c r="Q34" i="20" s="1"/>
  <c r="Q42" i="20" s="1"/>
  <c r="Q66" i="20" s="1"/>
  <c r="Q6" i="20" s="1"/>
  <c r="P34" i="20"/>
  <c r="P42" i="20" s="1"/>
  <c r="P66" i="20" s="1"/>
  <c r="P6" i="20" s="1"/>
  <c r="P6" i="18"/>
  <c r="P159" i="18"/>
  <c r="T33" i="20"/>
  <c r="T34" i="20" s="1"/>
  <c r="T42" i="20" s="1"/>
  <c r="T66" i="20" s="1"/>
  <c r="T6" i="20" s="1"/>
  <c r="S34" i="20"/>
  <c r="S42" i="20" s="1"/>
  <c r="S66" i="20" s="1"/>
  <c r="S181" i="20" s="1"/>
  <c r="T181" i="20" s="1"/>
  <c r="S8" i="18"/>
  <c r="S201" i="18"/>
  <c r="K53" i="20"/>
  <c r="P181" i="20"/>
  <c r="Q181" i="20" s="1"/>
  <c r="K104" i="20"/>
  <c r="L98" i="18"/>
  <c r="L106" i="18" s="1"/>
  <c r="L157" i="18" s="1"/>
  <c r="L7" i="18" s="1"/>
  <c r="K77" i="20"/>
  <c r="K88" i="20"/>
  <c r="K118" i="20"/>
  <c r="W192" i="18"/>
  <c r="Z192" i="18" s="1"/>
  <c r="W155" i="18"/>
  <c r="W149" i="18"/>
  <c r="W145" i="18"/>
  <c r="W138" i="18"/>
  <c r="W134" i="18"/>
  <c r="W130" i="18"/>
  <c r="W126" i="18"/>
  <c r="W122" i="18"/>
  <c r="W115" i="18"/>
  <c r="W111" i="18"/>
  <c r="W102" i="18"/>
  <c r="W93" i="18"/>
  <c r="W86" i="18"/>
  <c r="W82" i="18"/>
  <c r="W75" i="18"/>
  <c r="W71" i="18"/>
  <c r="W60" i="18"/>
  <c r="W56" i="18"/>
  <c r="W48" i="18"/>
  <c r="W41" i="18"/>
  <c r="W37" i="18"/>
  <c r="W31" i="18"/>
  <c r="W27" i="18"/>
  <c r="W23" i="18"/>
  <c r="W19" i="18"/>
  <c r="W203" i="18"/>
  <c r="Z203" i="18" s="1"/>
  <c r="W191" i="18"/>
  <c r="W154" i="18"/>
  <c r="W148" i="18"/>
  <c r="W144" i="18"/>
  <c r="W137" i="18"/>
  <c r="W133" i="18"/>
  <c r="W129" i="18"/>
  <c r="W125" i="18"/>
  <c r="W121" i="18"/>
  <c r="W114" i="18"/>
  <c r="W110" i="18"/>
  <c r="W101" i="18"/>
  <c r="W92" i="18"/>
  <c r="W85" i="18"/>
  <c r="W81" i="18"/>
  <c r="W74" i="18"/>
  <c r="W63" i="18"/>
  <c r="W59" i="18"/>
  <c r="W52" i="18"/>
  <c r="W47" i="18"/>
  <c r="W40" i="18"/>
  <c r="W35" i="18"/>
  <c r="W30" i="18"/>
  <c r="W26" i="18"/>
  <c r="W22" i="18"/>
  <c r="W18" i="18"/>
  <c r="W196" i="18"/>
  <c r="Z196" i="18" s="1"/>
  <c r="W188" i="18"/>
  <c r="Z188" i="18" s="1"/>
  <c r="W153" i="18"/>
  <c r="W147" i="18"/>
  <c r="W140" i="18"/>
  <c r="W136" i="18"/>
  <c r="W132" i="18"/>
  <c r="W128" i="18"/>
  <c r="W124" i="18"/>
  <c r="W117" i="18"/>
  <c r="W113" i="18"/>
  <c r="W109" i="18"/>
  <c r="W95" i="18"/>
  <c r="W91" i="18"/>
  <c r="W84" i="18"/>
  <c r="W80" i="18"/>
  <c r="W73" i="18"/>
  <c r="W62" i="18"/>
  <c r="W58" i="18"/>
  <c r="W51" i="18"/>
  <c r="W46" i="18"/>
  <c r="W39" i="18"/>
  <c r="W33" i="18"/>
  <c r="W29" i="18"/>
  <c r="W25" i="18"/>
  <c r="W21" i="18"/>
  <c r="W195" i="18"/>
  <c r="W187" i="18"/>
  <c r="W150" i="18"/>
  <c r="W146" i="18"/>
  <c r="W139" i="18"/>
  <c r="W123" i="18"/>
  <c r="W94" i="18"/>
  <c r="W72" i="18"/>
  <c r="W45" i="18"/>
  <c r="W24" i="18"/>
  <c r="W135" i="18"/>
  <c r="W116" i="18"/>
  <c r="W87" i="18"/>
  <c r="W61" i="18"/>
  <c r="W38" i="18"/>
  <c r="W20" i="18"/>
  <c r="W131" i="18"/>
  <c r="W112" i="18"/>
  <c r="W83" i="18"/>
  <c r="W57" i="18"/>
  <c r="W32" i="18"/>
  <c r="W127" i="18"/>
  <c r="W103" i="18"/>
  <c r="W76" i="18"/>
  <c r="W50" i="18"/>
  <c r="W28" i="18"/>
  <c r="W109" i="20"/>
  <c r="W118" i="20" s="1"/>
  <c r="V118" i="20"/>
  <c r="W101" i="20"/>
  <c r="W104" i="20" s="1"/>
  <c r="V104" i="20"/>
  <c r="V151" i="20"/>
  <c r="W144" i="20"/>
  <c r="W151" i="20" s="1"/>
  <c r="K64" i="20"/>
  <c r="W91" i="20"/>
  <c r="W96" i="20" s="1"/>
  <c r="V96" i="20"/>
  <c r="V77" i="20"/>
  <c r="W71" i="20"/>
  <c r="W77" i="20" s="1"/>
  <c r="K151" i="20"/>
  <c r="W56" i="20"/>
  <c r="W64" i="20" s="1"/>
  <c r="V64" i="20"/>
  <c r="K96" i="20"/>
  <c r="V53" i="20"/>
  <c r="W45" i="20"/>
  <c r="W53" i="20" s="1"/>
  <c r="V141" i="20"/>
  <c r="W121" i="20"/>
  <c r="W141" i="20" s="1"/>
  <c r="K34" i="20"/>
  <c r="K42" i="20" s="1"/>
  <c r="V88" i="20"/>
  <c r="W80" i="20"/>
  <c r="W88" i="20" s="1"/>
  <c r="W18" i="20"/>
  <c r="W34" i="20" s="1"/>
  <c r="W42" i="20" s="1"/>
  <c r="V34" i="20"/>
  <c r="V42" i="20" s="1"/>
  <c r="K141" i="20"/>
  <c r="L181" i="18"/>
  <c r="U7" i="18"/>
  <c r="R8" i="18"/>
  <c r="O7" i="18"/>
  <c r="K201" i="18"/>
  <c r="K205" i="18" s="1"/>
  <c r="K8" i="18"/>
  <c r="L199" i="18"/>
  <c r="P183" i="20"/>
  <c r="Q183" i="20" s="1"/>
  <c r="M183" i="20"/>
  <c r="N183" i="20" s="1"/>
  <c r="J98" i="20"/>
  <c r="J106" i="20" s="1"/>
  <c r="J157" i="20" s="1"/>
  <c r="J7" i="20" s="1"/>
  <c r="AC18" i="20"/>
  <c r="V9" i="20"/>
  <c r="J9" i="20"/>
  <c r="M181" i="20"/>
  <c r="N181" i="20" s="1"/>
  <c r="L66" i="18"/>
  <c r="L6" i="18" s="1"/>
  <c r="S183" i="20"/>
  <c r="T183" i="20" s="1"/>
  <c r="O159" i="18" l="1"/>
  <c r="O201" i="18" s="1"/>
  <c r="M159" i="20"/>
  <c r="M8" i="20" s="1"/>
  <c r="R159" i="18"/>
  <c r="R201" i="18" s="1"/>
  <c r="J8" i="18"/>
  <c r="Q159" i="20"/>
  <c r="Q8" i="20" s="1"/>
  <c r="S159" i="20"/>
  <c r="S8" i="20" s="1"/>
  <c r="S6" i="20"/>
  <c r="U159" i="18"/>
  <c r="U201" i="18" s="1"/>
  <c r="N159" i="20"/>
  <c r="N8" i="20" s="1"/>
  <c r="T159" i="20"/>
  <c r="T8" i="20" s="1"/>
  <c r="M6" i="20"/>
  <c r="AB34" i="20"/>
  <c r="AB42" i="20" s="1"/>
  <c r="AB66" i="20" s="1"/>
  <c r="AB159" i="20" s="1"/>
  <c r="AB8" i="20" s="1"/>
  <c r="AC34" i="20"/>
  <c r="AC42" i="20" s="1"/>
  <c r="AC66" i="20" s="1"/>
  <c r="AC6" i="20" s="1"/>
  <c r="V6" i="18"/>
  <c r="P159" i="20"/>
  <c r="P8" i="20" s="1"/>
  <c r="Y159" i="18"/>
  <c r="Y8" i="18" s="1"/>
  <c r="P8" i="18"/>
  <c r="P201" i="18"/>
  <c r="M201" i="18"/>
  <c r="M205" i="18" s="1"/>
  <c r="P203" i="18" s="1"/>
  <c r="M8" i="18"/>
  <c r="K98" i="20"/>
  <c r="K106" i="20" s="1"/>
  <c r="K157" i="20" s="1"/>
  <c r="K7" i="20" s="1"/>
  <c r="W66" i="20"/>
  <c r="W6" i="20" s="1"/>
  <c r="J183" i="20"/>
  <c r="K183" i="20" s="1"/>
  <c r="W98" i="20"/>
  <c r="W106" i="20" s="1"/>
  <c r="W157" i="20" s="1"/>
  <c r="W7" i="20" s="1"/>
  <c r="X50" i="20"/>
  <c r="Y50" i="20" s="1"/>
  <c r="X50" i="18"/>
  <c r="Z50" i="18"/>
  <c r="Z32" i="18"/>
  <c r="X32" i="18"/>
  <c r="X32" i="20"/>
  <c r="Y32" i="20" s="1"/>
  <c r="X131" i="18"/>
  <c r="Z131" i="18"/>
  <c r="X131" i="20"/>
  <c r="Y131" i="20" s="1"/>
  <c r="X87" i="18"/>
  <c r="Z87" i="18"/>
  <c r="X87" i="20"/>
  <c r="Y87" i="20" s="1"/>
  <c r="W53" i="18"/>
  <c r="X45" i="18"/>
  <c r="X45" i="20"/>
  <c r="Z45" i="18"/>
  <c r="X139" i="18"/>
  <c r="Z139" i="18"/>
  <c r="X139" i="20"/>
  <c r="Y139" i="20" s="1"/>
  <c r="Z195" i="18"/>
  <c r="Z197" i="18" s="1"/>
  <c r="W197" i="18"/>
  <c r="X33" i="20"/>
  <c r="Y33" i="20" s="1"/>
  <c r="Z33" i="18"/>
  <c r="X33" i="18"/>
  <c r="X58" i="20"/>
  <c r="Y58" i="20" s="1"/>
  <c r="X58" i="18"/>
  <c r="Z58" i="18"/>
  <c r="X84" i="18"/>
  <c r="X84" i="20"/>
  <c r="Y84" i="20" s="1"/>
  <c r="Z84" i="18"/>
  <c r="X113" i="18"/>
  <c r="X113" i="20"/>
  <c r="Y113" i="20" s="1"/>
  <c r="Z113" i="18"/>
  <c r="X132" i="20"/>
  <c r="Y132" i="20" s="1"/>
  <c r="Z132" i="18"/>
  <c r="X132" i="18"/>
  <c r="Z153" i="18"/>
  <c r="X153" i="20"/>
  <c r="Y153" i="20" s="1"/>
  <c r="X153" i="18"/>
  <c r="X22" i="20"/>
  <c r="Y22" i="20" s="1"/>
  <c r="Z22" i="18"/>
  <c r="X22" i="18"/>
  <c r="X40" i="20"/>
  <c r="Y40" i="20" s="1"/>
  <c r="Z40" i="18"/>
  <c r="X40" i="18"/>
  <c r="Z63" i="18"/>
  <c r="X63" i="18"/>
  <c r="X63" i="20"/>
  <c r="Y63" i="20" s="1"/>
  <c r="X92" i="18"/>
  <c r="X92" i="20"/>
  <c r="Y92" i="20" s="1"/>
  <c r="Z92" i="18"/>
  <c r="Z121" i="18"/>
  <c r="W141" i="18"/>
  <c r="X121" i="20"/>
  <c r="X121" i="18"/>
  <c r="X137" i="18"/>
  <c r="X137" i="20"/>
  <c r="Y137" i="20" s="1"/>
  <c r="Z137" i="18"/>
  <c r="W193" i="18"/>
  <c r="Z191" i="18"/>
  <c r="Z193" i="18" s="1"/>
  <c r="X27" i="20"/>
  <c r="Y27" i="20" s="1"/>
  <c r="X27" i="18"/>
  <c r="Z27" i="18"/>
  <c r="X48" i="18"/>
  <c r="Z48" i="18"/>
  <c r="X48" i="20"/>
  <c r="Y48" i="20" s="1"/>
  <c r="X75" i="20"/>
  <c r="Y75" i="20" s="1"/>
  <c r="Z75" i="18"/>
  <c r="X75" i="18"/>
  <c r="X102" i="18"/>
  <c r="Z102" i="18"/>
  <c r="X102" i="20"/>
  <c r="Y102" i="20" s="1"/>
  <c r="X126" i="20"/>
  <c r="Y126" i="20" s="1"/>
  <c r="Z126" i="18"/>
  <c r="X126" i="18"/>
  <c r="Z145" i="18"/>
  <c r="X145" i="20"/>
  <c r="Y145" i="20" s="1"/>
  <c r="X145" i="18"/>
  <c r="Z76" i="18"/>
  <c r="X76" i="18"/>
  <c r="X76" i="20"/>
  <c r="Y76" i="20" s="1"/>
  <c r="X57" i="20"/>
  <c r="Y57" i="20" s="1"/>
  <c r="X57" i="18"/>
  <c r="Z57" i="18"/>
  <c r="X20" i="18"/>
  <c r="X20" i="20"/>
  <c r="Y20" i="20" s="1"/>
  <c r="Z20" i="18"/>
  <c r="X116" i="18"/>
  <c r="X116" i="20"/>
  <c r="Y116" i="20" s="1"/>
  <c r="Z116" i="18"/>
  <c r="X72" i="20"/>
  <c r="Y72" i="20" s="1"/>
  <c r="Z72" i="18"/>
  <c r="X72" i="18"/>
  <c r="Z146" i="18"/>
  <c r="X146" i="18"/>
  <c r="X146" i="20"/>
  <c r="Y146" i="20" s="1"/>
  <c r="X21" i="20"/>
  <c r="Y21" i="20" s="1"/>
  <c r="X21" i="18"/>
  <c r="Z21" i="18"/>
  <c r="X39" i="20"/>
  <c r="Y39" i="20" s="1"/>
  <c r="Z39" i="18"/>
  <c r="X39" i="18"/>
  <c r="Z62" i="18"/>
  <c r="X62" i="18"/>
  <c r="X62" i="20"/>
  <c r="Y62" i="20" s="1"/>
  <c r="X91" i="18"/>
  <c r="X91" i="20"/>
  <c r="Z91" i="18"/>
  <c r="W96" i="18"/>
  <c r="Z117" i="18"/>
  <c r="X117" i="20"/>
  <c r="Y117" i="20" s="1"/>
  <c r="X117" i="18"/>
  <c r="X136" i="20"/>
  <c r="Y136" i="20" s="1"/>
  <c r="X136" i="18"/>
  <c r="Z136" i="18"/>
  <c r="X26" i="20"/>
  <c r="Y26" i="20" s="1"/>
  <c r="Z26" i="18"/>
  <c r="X26" i="18"/>
  <c r="X47" i="20"/>
  <c r="Y47" i="20" s="1"/>
  <c r="Z47" i="18"/>
  <c r="X47" i="18"/>
  <c r="X74" i="20"/>
  <c r="Y74" i="20" s="1"/>
  <c r="Z74" i="18"/>
  <c r="X74" i="18"/>
  <c r="Z101" i="18"/>
  <c r="X101" i="18"/>
  <c r="X101" i="20"/>
  <c r="W104" i="18"/>
  <c r="X125" i="20"/>
  <c r="Y125" i="20" s="1"/>
  <c r="Z125" i="18"/>
  <c r="X125" i="18"/>
  <c r="W151" i="18"/>
  <c r="Z144" i="18"/>
  <c r="X144" i="20"/>
  <c r="X144" i="18"/>
  <c r="X31" i="20"/>
  <c r="Y31" i="20" s="1"/>
  <c r="Z31" i="18"/>
  <c r="X31" i="18"/>
  <c r="W64" i="18"/>
  <c r="X56" i="20"/>
  <c r="X56" i="18"/>
  <c r="Z56" i="18"/>
  <c r="X82" i="20"/>
  <c r="Y82" i="20" s="1"/>
  <c r="X82" i="18"/>
  <c r="Z82" i="18"/>
  <c r="Z111" i="18"/>
  <c r="X111" i="18"/>
  <c r="X111" i="20"/>
  <c r="Y111" i="20" s="1"/>
  <c r="X130" i="18"/>
  <c r="X130" i="20"/>
  <c r="Y130" i="20" s="1"/>
  <c r="Z130" i="18"/>
  <c r="X149" i="20"/>
  <c r="Y149" i="20" s="1"/>
  <c r="Z149" i="18"/>
  <c r="X149" i="18"/>
  <c r="V66" i="20"/>
  <c r="V181" i="20" s="1"/>
  <c r="W181" i="20" s="1"/>
  <c r="X103" i="20"/>
  <c r="Y103" i="20" s="1"/>
  <c r="Z103" i="18"/>
  <c r="X103" i="18"/>
  <c r="X83" i="18"/>
  <c r="X83" i="20"/>
  <c r="Y83" i="20" s="1"/>
  <c r="Z83" i="18"/>
  <c r="X38" i="20"/>
  <c r="Y38" i="20" s="1"/>
  <c r="Z38" i="18"/>
  <c r="X38" i="18"/>
  <c r="Z135" i="18"/>
  <c r="X135" i="20"/>
  <c r="Y135" i="20" s="1"/>
  <c r="X135" i="18"/>
  <c r="X94" i="18"/>
  <c r="Z94" i="18"/>
  <c r="X94" i="20"/>
  <c r="Y94" i="20" s="1"/>
  <c r="X150" i="20"/>
  <c r="Y150" i="20" s="1"/>
  <c r="X150" i="18"/>
  <c r="Z150" i="18"/>
  <c r="X25" i="20"/>
  <c r="Y25" i="20" s="1"/>
  <c r="Z25" i="18"/>
  <c r="X25" i="18"/>
  <c r="X46" i="20"/>
  <c r="Y46" i="20" s="1"/>
  <c r="Z46" i="18"/>
  <c r="X46" i="18"/>
  <c r="Z73" i="18"/>
  <c r="X73" i="18"/>
  <c r="X73" i="20"/>
  <c r="Y73" i="20" s="1"/>
  <c r="X95" i="20"/>
  <c r="Y95" i="20" s="1"/>
  <c r="X95" i="18"/>
  <c r="Z95" i="18"/>
  <c r="X124" i="18"/>
  <c r="Z124" i="18"/>
  <c r="X124" i="20"/>
  <c r="Y124" i="20" s="1"/>
  <c r="X140" i="18"/>
  <c r="X140" i="20"/>
  <c r="Y140" i="20" s="1"/>
  <c r="Z140" i="18"/>
  <c r="X30" i="20"/>
  <c r="Y30" i="20" s="1"/>
  <c r="X30" i="18"/>
  <c r="Z30" i="18"/>
  <c r="X52" i="20"/>
  <c r="Y52" i="20" s="1"/>
  <c r="X52" i="18"/>
  <c r="Z52" i="18"/>
  <c r="X81" i="18"/>
  <c r="Z81" i="18"/>
  <c r="X81" i="20"/>
  <c r="Y81" i="20" s="1"/>
  <c r="Z110" i="18"/>
  <c r="X110" i="18"/>
  <c r="X110" i="20"/>
  <c r="Y110" i="20" s="1"/>
  <c r="X129" i="18"/>
  <c r="X129" i="20"/>
  <c r="Y129" i="20" s="1"/>
  <c r="Z129" i="18"/>
  <c r="Z148" i="18"/>
  <c r="X148" i="20"/>
  <c r="Y148" i="20" s="1"/>
  <c r="X148" i="18"/>
  <c r="X19" i="20"/>
  <c r="Y19" i="20" s="1"/>
  <c r="Z19" i="18"/>
  <c r="X19" i="18"/>
  <c r="X37" i="18"/>
  <c r="Z37" i="18"/>
  <c r="X37" i="20"/>
  <c r="Y37" i="20" s="1"/>
  <c r="Z60" i="18"/>
  <c r="X60" i="18"/>
  <c r="X60" i="20"/>
  <c r="Y60" i="20" s="1"/>
  <c r="X86" i="18"/>
  <c r="X86" i="20"/>
  <c r="Y86" i="20" s="1"/>
  <c r="Z86" i="18"/>
  <c r="X115" i="20"/>
  <c r="Y115" i="20" s="1"/>
  <c r="X115" i="18"/>
  <c r="Z115" i="18"/>
  <c r="X134" i="18"/>
  <c r="X134" i="20"/>
  <c r="Y134" i="20" s="1"/>
  <c r="Z134" i="18"/>
  <c r="X155" i="20"/>
  <c r="Y155" i="20" s="1"/>
  <c r="X155" i="18"/>
  <c r="Z155" i="18"/>
  <c r="X28" i="18"/>
  <c r="Z28" i="18"/>
  <c r="X28" i="20"/>
  <c r="Y28" i="20" s="1"/>
  <c r="X127" i="20"/>
  <c r="Y127" i="20" s="1"/>
  <c r="X127" i="18"/>
  <c r="Z127" i="18"/>
  <c r="Z112" i="18"/>
  <c r="X112" i="18"/>
  <c r="X112" i="20"/>
  <c r="Y112" i="20" s="1"/>
  <c r="X61" i="20"/>
  <c r="Y61" i="20" s="1"/>
  <c r="Z61" i="18"/>
  <c r="X61" i="18"/>
  <c r="X24" i="18"/>
  <c r="Z24" i="18"/>
  <c r="X24" i="20"/>
  <c r="Y24" i="20" s="1"/>
  <c r="Z123" i="18"/>
  <c r="X123" i="20"/>
  <c r="Y123" i="20" s="1"/>
  <c r="X123" i="18"/>
  <c r="Z187" i="18"/>
  <c r="Z189" i="18" s="1"/>
  <c r="W189" i="18"/>
  <c r="X29" i="20"/>
  <c r="Y29" i="20" s="1"/>
  <c r="X29" i="18"/>
  <c r="Z29" i="18"/>
  <c r="X51" i="18"/>
  <c r="X51" i="20"/>
  <c r="Y51" i="20" s="1"/>
  <c r="Z51" i="18"/>
  <c r="Z80" i="18"/>
  <c r="X80" i="18"/>
  <c r="X80" i="20"/>
  <c r="W88" i="18"/>
  <c r="X109" i="20"/>
  <c r="X109" i="18"/>
  <c r="Z109" i="18"/>
  <c r="W118" i="18"/>
  <c r="X128" i="18"/>
  <c r="Z128" i="18"/>
  <c r="X128" i="20"/>
  <c r="Y128" i="20" s="1"/>
  <c r="X147" i="20"/>
  <c r="Y147" i="20" s="1"/>
  <c r="Z147" i="18"/>
  <c r="X147" i="18"/>
  <c r="X195" i="18"/>
  <c r="X188" i="18"/>
  <c r="X191" i="18"/>
  <c r="X18" i="18"/>
  <c r="X196" i="18"/>
  <c r="X187" i="18"/>
  <c r="X192" i="18"/>
  <c r="W34" i="18"/>
  <c r="W42" i="18" s="1"/>
  <c r="Z18" i="18"/>
  <c r="X18" i="20"/>
  <c r="X203" i="18"/>
  <c r="X35" i="18"/>
  <c r="Z35" i="18"/>
  <c r="X35" i="20"/>
  <c r="Y35" i="20" s="1"/>
  <c r="Z59" i="18"/>
  <c r="X59" i="18"/>
  <c r="X59" i="20"/>
  <c r="Y59" i="20" s="1"/>
  <c r="X85" i="18"/>
  <c r="X85" i="20"/>
  <c r="Y85" i="20" s="1"/>
  <c r="Z85" i="18"/>
  <c r="X114" i="18"/>
  <c r="X114" i="20"/>
  <c r="Y114" i="20" s="1"/>
  <c r="Z114" i="18"/>
  <c r="X133" i="20"/>
  <c r="Y133" i="20" s="1"/>
  <c r="Z133" i="18"/>
  <c r="X133" i="18"/>
  <c r="X154" i="20"/>
  <c r="Y154" i="20" s="1"/>
  <c r="Z154" i="18"/>
  <c r="X154" i="18"/>
  <c r="X23" i="20"/>
  <c r="Y23" i="20" s="1"/>
  <c r="Z23" i="18"/>
  <c r="X23" i="18"/>
  <c r="X41" i="20"/>
  <c r="Y41" i="20" s="1"/>
  <c r="X41" i="18"/>
  <c r="Z41" i="18"/>
  <c r="X71" i="18"/>
  <c r="X71" i="20"/>
  <c r="W77" i="18"/>
  <c r="Z71" i="18"/>
  <c r="Z93" i="18"/>
  <c r="X93" i="18"/>
  <c r="X93" i="20"/>
  <c r="Y93" i="20" s="1"/>
  <c r="Z122" i="18"/>
  <c r="X122" i="18"/>
  <c r="X122" i="20"/>
  <c r="Y122" i="20" s="1"/>
  <c r="Z138" i="18"/>
  <c r="X138" i="18"/>
  <c r="X138" i="20"/>
  <c r="Y138" i="20" s="1"/>
  <c r="K66" i="20"/>
  <c r="V98" i="20"/>
  <c r="V106" i="20" s="1"/>
  <c r="V157" i="20" s="1"/>
  <c r="N203" i="18"/>
  <c r="N205" i="18" s="1"/>
  <c r="U8" i="18"/>
  <c r="O8" i="18"/>
  <c r="J6" i="20"/>
  <c r="J159" i="20"/>
  <c r="J8" i="20" s="1"/>
  <c r="L159" i="18"/>
  <c r="V8" i="18"/>
  <c r="V201" i="18"/>
  <c r="Y201" i="18" l="1"/>
  <c r="Y205" i="18" s="1"/>
  <c r="AC159" i="20"/>
  <c r="AC8" i="20" s="1"/>
  <c r="AB6" i="20"/>
  <c r="V6" i="20"/>
  <c r="X189" i="18"/>
  <c r="Z77" i="18"/>
  <c r="Z199" i="18"/>
  <c r="W98" i="18"/>
  <c r="W106" i="18" s="1"/>
  <c r="W157" i="18" s="1"/>
  <c r="W7" i="18" s="1"/>
  <c r="X77" i="18"/>
  <c r="W66" i="18"/>
  <c r="W6" i="18" s="1"/>
  <c r="W199" i="18"/>
  <c r="X34" i="18"/>
  <c r="X42" i="18" s="1"/>
  <c r="X118" i="18"/>
  <c r="X88" i="18"/>
  <c r="Z64" i="18"/>
  <c r="Y144" i="20"/>
  <c r="Y151" i="20" s="1"/>
  <c r="X151" i="20"/>
  <c r="X104" i="18"/>
  <c r="X96" i="18"/>
  <c r="X141" i="20"/>
  <c r="Y121" i="20"/>
  <c r="Y141" i="20" s="1"/>
  <c r="X53" i="18"/>
  <c r="X193" i="18"/>
  <c r="Y109" i="20"/>
  <c r="Y118" i="20" s="1"/>
  <c r="X118" i="20"/>
  <c r="Z88" i="18"/>
  <c r="X64" i="18"/>
  <c r="Z151" i="18"/>
  <c r="Z104" i="18"/>
  <c r="Y18" i="20"/>
  <c r="Y34" i="20" s="1"/>
  <c r="Y42" i="20" s="1"/>
  <c r="X34" i="20"/>
  <c r="X42" i="20" s="1"/>
  <c r="Y56" i="20"/>
  <c r="Y64" i="20" s="1"/>
  <c r="X64" i="20"/>
  <c r="Z96" i="18"/>
  <c r="Z141" i="18"/>
  <c r="Z53" i="18"/>
  <c r="W159" i="20"/>
  <c r="W8" i="20" s="1"/>
  <c r="X77" i="20"/>
  <c r="Y71" i="20"/>
  <c r="Y77" i="20" s="1"/>
  <c r="Z34" i="18"/>
  <c r="Z42" i="18" s="1"/>
  <c r="X197" i="18"/>
  <c r="Z118" i="18"/>
  <c r="Y80" i="20"/>
  <c r="Y88" i="20" s="1"/>
  <c r="X88" i="20"/>
  <c r="X151" i="18"/>
  <c r="X104" i="20"/>
  <c r="Y101" i="20"/>
  <c r="Y104" i="20" s="1"/>
  <c r="Y91" i="20"/>
  <c r="Y96" i="20" s="1"/>
  <c r="X96" i="20"/>
  <c r="X141" i="18"/>
  <c r="X53" i="20"/>
  <c r="Y45" i="20"/>
  <c r="Y53" i="20" s="1"/>
  <c r="V7" i="20"/>
  <c r="V183" i="20"/>
  <c r="W183" i="20" s="1"/>
  <c r="V159" i="20"/>
  <c r="V8" i="20" s="1"/>
  <c r="K6" i="20"/>
  <c r="K159" i="20"/>
  <c r="K8" i="20" s="1"/>
  <c r="O203" i="18"/>
  <c r="O205" i="18" s="1"/>
  <c r="P205" i="18"/>
  <c r="S203" i="18" s="1"/>
  <c r="Q203" i="18"/>
  <c r="Q205" i="18" s="1"/>
  <c r="L201" i="18"/>
  <c r="L205" i="18" s="1"/>
  <c r="L8" i="18"/>
  <c r="W159" i="18" l="1"/>
  <c r="X199" i="18"/>
  <c r="X98" i="18"/>
  <c r="X106" i="18" s="1"/>
  <c r="X157" i="18" s="1"/>
  <c r="X7" i="18" s="1"/>
  <c r="Z98" i="18"/>
  <c r="Z106" i="18" s="1"/>
  <c r="Z157" i="18" s="1"/>
  <c r="Z7" i="18" s="1"/>
  <c r="X98" i="20"/>
  <c r="X106" i="20" s="1"/>
  <c r="X157" i="20" s="1"/>
  <c r="X7" i="20" s="1"/>
  <c r="X66" i="20"/>
  <c r="Y66" i="20"/>
  <c r="Y98" i="20"/>
  <c r="Y106" i="20" s="1"/>
  <c r="Y157" i="20" s="1"/>
  <c r="Y7" i="20" s="1"/>
  <c r="X66" i="18"/>
  <c r="Z66" i="18"/>
  <c r="R203" i="18"/>
  <c r="R205" i="18" s="1"/>
  <c r="S205" i="18"/>
  <c r="T203" i="18"/>
  <c r="T205" i="18" s="1"/>
  <c r="W205" i="18" l="1"/>
  <c r="W8" i="18"/>
  <c r="W201" i="18"/>
  <c r="Y6" i="20"/>
  <c r="Y159" i="20"/>
  <c r="Y8" i="20" s="1"/>
  <c r="Z6" i="18"/>
  <c r="Z159" i="18"/>
  <c r="X159" i="20"/>
  <c r="X8" i="20" s="1"/>
  <c r="X6" i="20"/>
  <c r="X6" i="18"/>
  <c r="X159" i="18"/>
  <c r="U203" i="18"/>
  <c r="U205" i="18" s="1"/>
  <c r="V205" i="18"/>
  <c r="X201" i="18" l="1"/>
  <c r="X205" i="18" s="1"/>
  <c r="X8" i="18"/>
  <c r="Z201" i="18"/>
  <c r="Z205" i="18" s="1"/>
  <c r="Z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C29" authorId="0" shapeId="0" xr:uid="{00000000-0006-0000-0000-00000100000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E21" authorId="0" shapeId="0" xr:uid="{00000000-0006-0000-03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2" authorId="1" shapeId="0" xr:uid="{00000000-0006-0000-0300-000002000000}">
      <text>
        <r>
          <rPr>
            <b/>
            <sz val="9"/>
            <color indexed="81"/>
            <rFont val="Tahoma"/>
            <family val="2"/>
          </rPr>
          <t xml:space="preserve">NOTE:
</t>
        </r>
        <r>
          <rPr>
            <sz val="9"/>
            <color indexed="81"/>
            <rFont val="Tahoma"/>
            <family val="2"/>
          </rPr>
          <t>The</t>
        </r>
        <r>
          <rPr>
            <b/>
            <sz val="9"/>
            <color indexed="81"/>
            <rFont val="Tahoma"/>
            <family val="2"/>
          </rPr>
          <t xml:space="preserve"> PRIMARY District </t>
        </r>
        <r>
          <rPr>
            <sz val="9"/>
            <color indexed="81"/>
            <rFont val="Tahoma"/>
            <family val="2"/>
          </rPr>
          <t>is the district where the majority of students reside.</t>
        </r>
      </text>
    </comment>
    <comment ref="B23" authorId="1" shapeId="0" xr:uid="{00000000-0006-0000-0300-000003000000}">
      <text>
        <r>
          <rPr>
            <b/>
            <sz val="9"/>
            <color indexed="81"/>
            <rFont val="Tahoma"/>
            <family val="2"/>
          </rPr>
          <t xml:space="preserve">NOTE:
</t>
        </r>
        <r>
          <rPr>
            <sz val="9"/>
            <color indexed="81"/>
            <rFont val="Tahoma"/>
            <family val="2"/>
          </rPr>
          <t xml:space="preserve">The </t>
        </r>
        <r>
          <rPr>
            <b/>
            <sz val="9"/>
            <color indexed="81"/>
            <rFont val="Tahoma"/>
            <family val="2"/>
          </rPr>
          <t xml:space="preserve">SECONDARY District </t>
        </r>
        <r>
          <rPr>
            <sz val="9"/>
            <color indexed="81"/>
            <rFont val="Tahoma"/>
            <family val="2"/>
          </rPr>
          <t>is the district where the 2nd most number of students reside.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hrubyda</author>
  </authors>
  <commentList>
    <comment ref="D12" authorId="0" shapeId="0" xr:uid="{00000000-0006-0000-04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13" authorId="1" shapeId="0" xr:uid="{00000000-0006-0000-0400-00000200000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4" authorId="1" shapeId="0" xr:uid="{00000000-0006-0000-0400-00000300000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5" authorId="1" shapeId="0" xr:uid="{00000000-0006-0000-0400-00000400000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8" authorId="1" shapeId="0" xr:uid="{00000000-0006-0000-0400-00000500000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D23" authorId="0" shapeId="0" xr:uid="{00000000-0006-0000-0400-000006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4" authorId="1" shapeId="0" xr:uid="{00000000-0006-0000-0400-00000700000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8" authorId="1" shapeId="0" xr:uid="{00000000-0006-0000-0400-00000800000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30" authorId="1" shapeId="0" xr:uid="{00000000-0006-0000-0400-000009000000}">
      <text>
        <r>
          <rPr>
            <b/>
            <sz val="8"/>
            <color indexed="81"/>
            <rFont val="Tahoma"/>
            <family val="2"/>
          </rPr>
          <t>Sample titles that fall under this line:</t>
        </r>
        <r>
          <rPr>
            <sz val="8"/>
            <color indexed="81"/>
            <rFont val="Tahoma"/>
            <family val="2"/>
          </rPr>
          <t xml:space="preserve">
 - Speech Therapists
 - Social Workers</t>
        </r>
      </text>
    </comment>
    <comment ref="D36" authorId="0" shapeId="0" xr:uid="{00000000-0006-0000-0400-00000A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41" authorId="1" shapeId="0" xr:uid="{00000000-0006-0000-0400-00000B00000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hrubyda</author>
    <author>Flack, John</author>
    <author>flackjo</author>
  </authors>
  <commentList>
    <comment ref="B10" authorId="0" shapeId="0" xr:uid="{00000000-0006-0000-0500-00000100000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I12" authorId="1" shapeId="0" xr:uid="{00000000-0006-0000-0500-000002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G17" authorId="0" shapeId="0" xr:uid="{00000000-0006-0000-0500-000003000000}">
      <text>
        <r>
          <rPr>
            <b/>
            <sz val="8"/>
            <color indexed="81"/>
            <rFont val="Tahoma"/>
            <family val="2"/>
          </rPr>
          <t xml:space="preserve">Institute:
</t>
        </r>
        <r>
          <rPr>
            <sz val="8"/>
            <color indexed="81"/>
            <rFont val="Tahoma"/>
            <family val="2"/>
          </rPr>
          <t>CURRENT YEAR PER PUPIL REVENUE RATE</t>
        </r>
      </text>
    </comment>
    <comment ref="I17" authorId="2" shapeId="0" xr:uid="{00000000-0006-0000-0500-000004000000}">
      <text>
        <r>
          <rPr>
            <b/>
            <sz val="9"/>
            <color indexed="81"/>
            <rFont val="Tahoma"/>
            <family val="2"/>
          </rPr>
          <t>NOTE:</t>
        </r>
        <r>
          <rPr>
            <sz val="9"/>
            <color indexed="81"/>
            <rFont val="Tahoma"/>
            <family val="2"/>
          </rPr>
          <t xml:space="preserve">
Default = 25% per Qtr
May be modified as appropriate.</t>
        </r>
      </text>
    </comment>
    <comment ref="E33" authorId="0" shapeId="0" xr:uid="{00000000-0006-0000-0500-000005000000}">
      <text>
        <r>
          <rPr>
            <b/>
            <sz val="8"/>
            <color indexed="81"/>
            <rFont val="Tahoma"/>
            <family val="2"/>
          </rPr>
          <t>Institute:</t>
        </r>
        <r>
          <rPr>
            <sz val="8"/>
            <color indexed="81"/>
            <rFont val="Tahoma"/>
            <family val="2"/>
          </rPr>
          <t xml:space="preserve">
All Districts after 15th highest enrolled district are combined under "ALL OTHER"</t>
        </r>
      </text>
    </comment>
    <comment ref="G33" authorId="0" shapeId="0" xr:uid="{00000000-0006-0000-0500-00000600000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xr:uid="{00000000-0006-0000-0500-000007000000}">
      <text>
        <r>
          <rPr>
            <b/>
            <sz val="8"/>
            <color indexed="81"/>
            <rFont val="Tahoma"/>
            <family val="2"/>
          </rPr>
          <t>Institute:</t>
        </r>
        <r>
          <rPr>
            <sz val="8"/>
            <color indexed="81"/>
            <rFont val="Tahoma"/>
            <family val="2"/>
          </rPr>
          <t xml:space="preserve">
Figures represent the average of the Quarterly Budgeted/Revised Budgeted FTE count for each position.</t>
        </r>
      </text>
    </comment>
    <comment ref="D71" authorId="0" shapeId="0" xr:uid="{00000000-0006-0000-0500-00000800000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xr:uid="{00000000-0006-0000-0500-00000900000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xr:uid="{00000000-0006-0000-0500-00000A00000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xr:uid="{00000000-0006-0000-0500-00000B00000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xr:uid="{00000000-0006-0000-0500-00000C00000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xr:uid="{00000000-0006-0000-0500-00000D00000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xr:uid="{00000000-0006-0000-0500-00000E00000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xr:uid="{00000000-0006-0000-0500-00000F000000}">
      <text>
        <r>
          <rPr>
            <b/>
            <sz val="8"/>
            <color indexed="81"/>
            <rFont val="Tahoma"/>
            <family val="2"/>
          </rPr>
          <t>Institute:</t>
        </r>
        <r>
          <rPr>
            <sz val="8"/>
            <color indexed="81"/>
            <rFont val="Tahoma"/>
            <family val="2"/>
          </rPr>
          <t xml:space="preserve">
Cafeteria
Other</t>
        </r>
      </text>
    </comment>
    <comment ref="D102" authorId="0" shapeId="0" xr:uid="{00000000-0006-0000-0500-00001000000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xr:uid="{00000000-0006-0000-0500-00001100000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xr:uid="{00000000-0006-0000-0500-000012000000}">
      <text>
        <r>
          <rPr>
            <b/>
            <sz val="8"/>
            <color indexed="81"/>
            <rFont val="Tahoma"/>
            <family val="2"/>
          </rPr>
          <t>Institute:</t>
        </r>
        <r>
          <rPr>
            <sz val="8"/>
            <color indexed="81"/>
            <rFont val="Tahoma"/>
            <family val="2"/>
          </rPr>
          <t xml:space="preserve">
Development
Conferences</t>
        </r>
      </text>
    </comment>
    <comment ref="D125" authorId="0" shapeId="0" xr:uid="{00000000-0006-0000-0500-000013000000}">
      <text>
        <r>
          <rPr>
            <b/>
            <sz val="8"/>
            <color indexed="81"/>
            <rFont val="Tahoma"/>
            <family val="2"/>
          </rPr>
          <t>Institute:</t>
        </r>
        <r>
          <rPr>
            <sz val="8"/>
            <color indexed="81"/>
            <rFont val="Tahoma"/>
            <family val="2"/>
          </rPr>
          <t xml:space="preserve">
Curriculum
</t>
        </r>
      </text>
    </comment>
    <comment ref="D126" authorId="0" shapeId="0" xr:uid="{00000000-0006-0000-0500-00001400000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xr:uid="{00000000-0006-0000-0500-000015000000}">
      <text>
        <r>
          <rPr>
            <b/>
            <sz val="8"/>
            <color indexed="81"/>
            <rFont val="Tahoma"/>
            <family val="2"/>
          </rPr>
          <t>Institute:</t>
        </r>
        <r>
          <rPr>
            <sz val="8"/>
            <color indexed="81"/>
            <rFont val="Tahoma"/>
            <family val="2"/>
          </rPr>
          <t xml:space="preserve">
Hardware
Software
Internet
Wiring
Other</t>
        </r>
      </text>
    </comment>
    <comment ref="D132" authorId="0" shapeId="0" xr:uid="{00000000-0006-0000-0500-000016000000}">
      <text>
        <r>
          <rPr>
            <b/>
            <sz val="8"/>
            <color indexed="81"/>
            <rFont val="Tahoma"/>
            <family val="2"/>
          </rPr>
          <t>Institute:</t>
        </r>
        <r>
          <rPr>
            <sz val="8"/>
            <color indexed="81"/>
            <rFont val="Tahoma"/>
            <family val="2"/>
          </rPr>
          <t xml:space="preserve">
Uniforms
Special Events</t>
        </r>
      </text>
    </comment>
    <comment ref="D133" authorId="0" shapeId="0" xr:uid="{00000000-0006-0000-0500-000017000000}">
      <text>
        <r>
          <rPr>
            <b/>
            <sz val="8"/>
            <color indexed="81"/>
            <rFont val="Tahoma"/>
            <family val="2"/>
          </rPr>
          <t>Institute:</t>
        </r>
        <r>
          <rPr>
            <sz val="8"/>
            <color indexed="81"/>
            <rFont val="Tahoma"/>
            <family val="2"/>
          </rPr>
          <t xml:space="preserve">
Printing
Postage
Copying
All Other</t>
        </r>
      </text>
    </comment>
    <comment ref="D134" authorId="0" shapeId="0" xr:uid="{00000000-0006-0000-0500-000018000000}">
      <text>
        <r>
          <rPr>
            <b/>
            <sz val="8"/>
            <color indexed="81"/>
            <rFont val="Tahoma"/>
            <family val="2"/>
          </rPr>
          <t>Institute:</t>
        </r>
        <r>
          <rPr>
            <sz val="8"/>
            <color indexed="81"/>
            <rFont val="Tahoma"/>
            <family val="2"/>
          </rPr>
          <t xml:space="preserve">
Conferences</t>
        </r>
      </text>
    </comment>
    <comment ref="D140" authorId="0" shapeId="0" xr:uid="{00000000-0006-0000-0500-00001900000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Institute)</t>
        </r>
      </text>
    </comment>
    <comment ref="D146" authorId="2" shapeId="0" xr:uid="{00000000-0006-0000-0500-00001A000000}">
      <text>
        <r>
          <rPr>
            <b/>
            <sz val="9"/>
            <color indexed="81"/>
            <rFont val="Tahoma"/>
            <family val="2"/>
          </rPr>
          <t>Institute:</t>
        </r>
        <r>
          <rPr>
            <sz val="9"/>
            <color indexed="81"/>
            <rFont val="Tahoma"/>
            <family val="2"/>
          </rPr>
          <t xml:space="preserve">
Include any Facility Rental/Leasing/Financing costs.</t>
        </r>
      </text>
    </comment>
    <comment ref="D147" authorId="0" shapeId="0" xr:uid="{00000000-0006-0000-0500-00001B000000}">
      <text>
        <r>
          <rPr>
            <b/>
            <sz val="8"/>
            <color indexed="81"/>
            <rFont val="Tahoma"/>
            <family val="2"/>
          </rPr>
          <t>Institute:</t>
        </r>
        <r>
          <rPr>
            <sz val="8"/>
            <color indexed="81"/>
            <rFont val="Tahoma"/>
            <family val="2"/>
          </rPr>
          <t xml:space="preserve">
Facility
Equipment</t>
        </r>
      </text>
    </comment>
    <comment ref="D148" authorId="0" shapeId="0" xr:uid="{00000000-0006-0000-0500-00001C00000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xr:uid="{00000000-0006-0000-0500-00001D000000}">
      <text>
        <r>
          <rPr>
            <b/>
            <sz val="8"/>
            <color indexed="81"/>
            <rFont val="Tahoma"/>
            <family val="2"/>
          </rPr>
          <t>Institute:</t>
        </r>
        <r>
          <rPr>
            <sz val="8"/>
            <color indexed="81"/>
            <rFont val="Tahoma"/>
            <family val="2"/>
          </rPr>
          <t xml:space="preserve">
Electric
Gas
Other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Flack, John</author>
    <author>hrubyda</author>
  </authors>
  <commentList>
    <comment ref="E6" authorId="0" shapeId="0" xr:uid="{00000000-0006-0000-06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C12" authorId="1" shapeId="0" xr:uid="{00000000-0006-0000-0600-000002000000}">
      <text>
        <r>
          <rPr>
            <b/>
            <sz val="8"/>
            <color indexed="81"/>
            <rFont val="Tahoma"/>
            <family val="2"/>
          </rPr>
          <t>Institute:</t>
        </r>
        <r>
          <rPr>
            <sz val="8"/>
            <color indexed="81"/>
            <rFont val="Tahoma"/>
            <family val="2"/>
          </rPr>
          <t xml:space="preserve">
State, Federal or other grants due to the school.</t>
        </r>
      </text>
    </comment>
    <comment ref="C20" authorId="1" shapeId="0" xr:uid="{00000000-0006-0000-0600-000003000000}">
      <text>
        <r>
          <rPr>
            <b/>
            <sz val="8"/>
            <color indexed="81"/>
            <rFont val="Tahoma"/>
            <family val="2"/>
          </rPr>
          <t>Institute:</t>
        </r>
        <r>
          <rPr>
            <sz val="8"/>
            <color indexed="81"/>
            <rFont val="Tahoma"/>
            <family val="2"/>
          </rPr>
          <t xml:space="preserve">
Operating and Capital Reserves, Deferred Costs, Investments, Due from Affiliate/CMO, Fixed Assets, Right of Use Lease Asset</t>
        </r>
      </text>
    </comment>
    <comment ref="C33" authorId="1" shapeId="0" xr:uid="{00000000-0006-0000-0600-000004000000}">
      <text>
        <r>
          <rPr>
            <b/>
            <sz val="8"/>
            <color indexed="81"/>
            <rFont val="Tahoma"/>
            <family val="2"/>
          </rPr>
          <t>Institute:</t>
        </r>
        <r>
          <rPr>
            <sz val="8"/>
            <color indexed="81"/>
            <rFont val="Tahoma"/>
            <family val="2"/>
          </rPr>
          <t xml:space="preserve">
Land, Building, Loan(s) related</t>
        </r>
      </text>
    </comment>
    <comment ref="C35" authorId="1" shapeId="0" xr:uid="{00000000-0006-0000-0600-000005000000}">
      <text>
        <r>
          <rPr>
            <b/>
            <sz val="8"/>
            <color indexed="81"/>
            <rFont val="Tahoma"/>
            <family val="2"/>
          </rPr>
          <t>Institute:</t>
        </r>
        <r>
          <rPr>
            <sz val="8"/>
            <color indexed="81"/>
            <rFont val="Tahoma"/>
            <family val="2"/>
          </rPr>
          <t xml:space="preserve">
Obligations under, Advanced Billing, Due to Affiliate/CMO,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B10" authorId="0" shapeId="0" xr:uid="{00000000-0006-0000-0700-00000100000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7" authorId="0" shapeId="0" xr:uid="{00000000-0006-0000-0700-000002000000}">
      <text>
        <r>
          <rPr>
            <b/>
            <sz val="8"/>
            <color indexed="81"/>
            <rFont val="Tahoma"/>
            <family val="2"/>
          </rPr>
          <t xml:space="preserve">Institute:
</t>
        </r>
        <r>
          <rPr>
            <sz val="8"/>
            <color indexed="81"/>
            <rFont val="Tahoma"/>
            <family val="2"/>
          </rPr>
          <t>CURRENT YEAR PER PUPIL REVENUE RATE</t>
        </r>
      </text>
    </comment>
    <comment ref="E33" authorId="0" shapeId="0" xr:uid="{00000000-0006-0000-0700-000003000000}">
      <text>
        <r>
          <rPr>
            <b/>
            <sz val="8"/>
            <color indexed="81"/>
            <rFont val="Tahoma"/>
            <family val="2"/>
          </rPr>
          <t>Institute:</t>
        </r>
        <r>
          <rPr>
            <sz val="8"/>
            <color indexed="81"/>
            <rFont val="Tahoma"/>
            <family val="2"/>
          </rPr>
          <t xml:space="preserve">
All Districts after 15th highest enrolled  district go under OTHER</t>
        </r>
      </text>
    </comment>
    <comment ref="G33" authorId="0" shapeId="0" xr:uid="{00000000-0006-0000-0700-00000400000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xr:uid="{00000000-0006-0000-0700-000005000000}">
      <text>
        <r>
          <rPr>
            <b/>
            <sz val="8"/>
            <color indexed="81"/>
            <rFont val="Tahoma"/>
            <family val="2"/>
          </rPr>
          <t>Institute:</t>
        </r>
        <r>
          <rPr>
            <sz val="8"/>
            <color indexed="81"/>
            <rFont val="Tahoma"/>
            <family val="2"/>
          </rPr>
          <t xml:space="preserve">
Enter FTE Positions each quarter on tab:
</t>
        </r>
        <r>
          <rPr>
            <b/>
            <sz val="8"/>
            <color indexed="81"/>
            <rFont val="Tahoma"/>
            <family val="2"/>
          </rPr>
          <t xml:space="preserve">1.2) Staffing Plan
</t>
        </r>
        <r>
          <rPr>
            <sz val="8"/>
            <color indexed="81"/>
            <rFont val="Tahoma"/>
            <family val="2"/>
          </rPr>
          <t>(Range O13:R41)</t>
        </r>
      </text>
    </comment>
    <comment ref="D71" authorId="0" shapeId="0" xr:uid="{00000000-0006-0000-0700-00000600000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xr:uid="{00000000-0006-0000-0700-00000700000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xr:uid="{00000000-0006-0000-0700-00000800000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xr:uid="{00000000-0006-0000-0700-00000900000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xr:uid="{00000000-0006-0000-0700-00000A00000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xr:uid="{00000000-0006-0000-0700-00000B00000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xr:uid="{00000000-0006-0000-0700-00000C00000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xr:uid="{00000000-0006-0000-0700-00000D000000}">
      <text>
        <r>
          <rPr>
            <b/>
            <sz val="8"/>
            <color indexed="81"/>
            <rFont val="Tahoma"/>
            <family val="2"/>
          </rPr>
          <t>Institute:</t>
        </r>
        <r>
          <rPr>
            <sz val="8"/>
            <color indexed="81"/>
            <rFont val="Tahoma"/>
            <family val="2"/>
          </rPr>
          <t xml:space="preserve">
Cafeteria
Other</t>
        </r>
      </text>
    </comment>
    <comment ref="D102" authorId="0" shapeId="0" xr:uid="{00000000-0006-0000-0700-00000E00000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xr:uid="{00000000-0006-0000-0700-00000F00000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xr:uid="{00000000-0006-0000-0700-000010000000}">
      <text>
        <r>
          <rPr>
            <b/>
            <sz val="8"/>
            <color indexed="81"/>
            <rFont val="Tahoma"/>
            <family val="2"/>
          </rPr>
          <t>Institute:</t>
        </r>
        <r>
          <rPr>
            <sz val="8"/>
            <color indexed="81"/>
            <rFont val="Tahoma"/>
            <family val="2"/>
          </rPr>
          <t xml:space="preserve">
Development
Conferences</t>
        </r>
      </text>
    </comment>
    <comment ref="D125" authorId="0" shapeId="0" xr:uid="{00000000-0006-0000-0700-000011000000}">
      <text>
        <r>
          <rPr>
            <b/>
            <sz val="8"/>
            <color indexed="81"/>
            <rFont val="Tahoma"/>
            <family val="2"/>
          </rPr>
          <t>Institute:</t>
        </r>
        <r>
          <rPr>
            <sz val="8"/>
            <color indexed="81"/>
            <rFont val="Tahoma"/>
            <family val="2"/>
          </rPr>
          <t xml:space="preserve">
Curriculum
</t>
        </r>
      </text>
    </comment>
    <comment ref="D126" authorId="0" shapeId="0" xr:uid="{00000000-0006-0000-0700-00001200000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xr:uid="{00000000-0006-0000-0700-000013000000}">
      <text>
        <r>
          <rPr>
            <b/>
            <sz val="8"/>
            <color indexed="81"/>
            <rFont val="Tahoma"/>
            <family val="2"/>
          </rPr>
          <t>Institute:</t>
        </r>
        <r>
          <rPr>
            <sz val="8"/>
            <color indexed="81"/>
            <rFont val="Tahoma"/>
            <family val="2"/>
          </rPr>
          <t xml:space="preserve">
Hardware
Software
Internet
Wiring
Other</t>
        </r>
      </text>
    </comment>
    <comment ref="D132" authorId="0" shapeId="0" xr:uid="{00000000-0006-0000-0700-000014000000}">
      <text>
        <r>
          <rPr>
            <b/>
            <sz val="8"/>
            <color indexed="81"/>
            <rFont val="Tahoma"/>
            <family val="2"/>
          </rPr>
          <t>Institute:</t>
        </r>
        <r>
          <rPr>
            <sz val="8"/>
            <color indexed="81"/>
            <rFont val="Tahoma"/>
            <family val="2"/>
          </rPr>
          <t xml:space="preserve">
Uniforms
Special Events</t>
        </r>
      </text>
    </comment>
    <comment ref="D133" authorId="0" shapeId="0" xr:uid="{00000000-0006-0000-0700-000015000000}">
      <text>
        <r>
          <rPr>
            <b/>
            <sz val="8"/>
            <color indexed="81"/>
            <rFont val="Tahoma"/>
            <family val="2"/>
          </rPr>
          <t>Institute:</t>
        </r>
        <r>
          <rPr>
            <sz val="8"/>
            <color indexed="81"/>
            <rFont val="Tahoma"/>
            <family val="2"/>
          </rPr>
          <t xml:space="preserve">
Printing
Postage
Copying
All Other</t>
        </r>
      </text>
    </comment>
    <comment ref="D134" authorId="0" shapeId="0" xr:uid="{00000000-0006-0000-0700-000016000000}">
      <text>
        <r>
          <rPr>
            <b/>
            <sz val="8"/>
            <color indexed="81"/>
            <rFont val="Tahoma"/>
            <family val="2"/>
          </rPr>
          <t>Institute:</t>
        </r>
        <r>
          <rPr>
            <sz val="8"/>
            <color indexed="81"/>
            <rFont val="Tahoma"/>
            <family val="2"/>
          </rPr>
          <t xml:space="preserve">
Conferences</t>
        </r>
      </text>
    </comment>
    <comment ref="D140" authorId="0" shapeId="0" xr:uid="{00000000-0006-0000-0700-00001700000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D147" authorId="0" shapeId="0" xr:uid="{00000000-0006-0000-0700-000018000000}">
      <text>
        <r>
          <rPr>
            <b/>
            <sz val="9"/>
            <color indexed="81"/>
            <rFont val="Tahoma"/>
            <family val="2"/>
          </rPr>
          <t xml:space="preserve">Institute:
</t>
        </r>
        <r>
          <rPr>
            <sz val="9"/>
            <color indexed="81"/>
            <rFont val="Tahoma"/>
            <family val="2"/>
          </rPr>
          <t>Include any Facility Rental/Leasing/Financing costs.</t>
        </r>
      </text>
    </comment>
    <comment ref="D148" authorId="0" shapeId="0" xr:uid="{00000000-0006-0000-0700-00001900000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xr:uid="{00000000-0006-0000-0700-00001A000000}">
      <text>
        <r>
          <rPr>
            <b/>
            <sz val="8"/>
            <color indexed="81"/>
            <rFont val="Tahoma"/>
            <family val="2"/>
          </rPr>
          <t>Institute:</t>
        </r>
        <r>
          <rPr>
            <sz val="8"/>
            <color indexed="81"/>
            <rFont val="Tahoma"/>
            <family val="2"/>
          </rPr>
          <t xml:space="preserve">
Electric
Gas
Other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flackjo</author>
    <author>Flack, John</author>
  </authors>
  <commentList>
    <comment ref="C808" authorId="0" shapeId="0" xr:uid="{00000000-0006-0000-0900-000001000000}">
      <text>
        <r>
          <rPr>
            <sz val="9"/>
            <color indexed="81"/>
            <rFont val="Tahoma"/>
            <family val="2"/>
          </rPr>
          <t>2009 = 2009-10</t>
        </r>
      </text>
    </comment>
    <comment ref="D808" authorId="0" shapeId="0" xr:uid="{00000000-0006-0000-0900-000002000000}">
      <text>
        <r>
          <rPr>
            <sz val="9"/>
            <color indexed="81"/>
            <rFont val="Tahoma"/>
            <family val="2"/>
          </rPr>
          <t xml:space="preserve">2016 = 2015-16
</t>
        </r>
      </text>
    </comment>
    <comment ref="F865" authorId="1" shapeId="0" xr:uid="{00000000-0006-0000-0900-000003000000}">
      <text>
        <r>
          <rPr>
            <b/>
            <sz val="9"/>
            <color indexed="81"/>
            <rFont val="Tahoma"/>
            <family val="2"/>
          </rPr>
          <t>Flack, John:</t>
        </r>
        <r>
          <rPr>
            <sz val="9"/>
            <color indexed="81"/>
            <rFont val="Tahoma"/>
            <family val="2"/>
          </rPr>
          <t xml:space="preserve">
The "Surviving" Ed Corp will not open until 2020-21.
</t>
        </r>
      </text>
    </comment>
    <comment ref="D890" authorId="1" shapeId="0" xr:uid="{00000000-0006-0000-0900-000004000000}">
      <text>
        <r>
          <rPr>
            <b/>
            <sz val="9"/>
            <color indexed="81"/>
            <rFont val="Tahoma"/>
            <family val="2"/>
          </rPr>
          <t>Flack, John:</t>
        </r>
        <r>
          <rPr>
            <sz val="9"/>
            <color indexed="81"/>
            <rFont val="Tahoma"/>
            <family val="2"/>
          </rPr>
          <t xml:space="preserve">
2015 (was "mini-merged"  for just 1 year with with Excellence Charter Schools (code 505)
</t>
        </r>
      </text>
    </comment>
    <comment ref="E890" authorId="0" shapeId="0" xr:uid="{00000000-0006-0000-0900-000005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D891" authorId="1" shapeId="0" xr:uid="{00000000-0006-0000-0900-000006000000}">
      <text>
        <r>
          <rPr>
            <b/>
            <sz val="9"/>
            <color indexed="81"/>
            <rFont val="Tahoma"/>
            <family val="2"/>
          </rPr>
          <t>Flack, John:</t>
        </r>
        <r>
          <rPr>
            <sz val="9"/>
            <color indexed="81"/>
            <rFont val="Tahoma"/>
            <family val="2"/>
          </rPr>
          <t xml:space="preserve">
2015 (was "mini-merged"  for just 1 year with with Excellence Charter Schools (code 505)
</t>
        </r>
      </text>
    </comment>
    <comment ref="E891" authorId="0" shapeId="0" xr:uid="{00000000-0006-0000-0900-000007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<sst xmlns="http://schemas.openxmlformats.org/spreadsheetml/2006/main" count="2433" uniqueCount="2057">
  <si>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</si>
  <si>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</si>
  <si>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</si>
  <si>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</si>
  <si>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</si>
  <si>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</si>
  <si>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</si>
  <si>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</si>
  <si>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</si>
  <si>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</si>
  <si>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</si>
  <si>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</si>
  <si>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</si>
  <si>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</si>
  <si>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</si>
  <si>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</si>
  <si>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</si>
  <si>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</si>
  <si>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</si>
  <si>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</si>
  <si>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No. of Positions</t>
  </si>
  <si>
    <t>Per Pupil Revenue</t>
  </si>
  <si>
    <t>Net Income</t>
  </si>
  <si>
    <t>Total Revenue</t>
  </si>
  <si>
    <t>REVENUE</t>
  </si>
  <si>
    <t>REVENUES FROM STATE SOURCES</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</si>
  <si>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</si>
  <si>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</si>
  <si>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</si>
  <si>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</si>
  <si>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</si>
  <si>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</si>
  <si>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</si>
  <si>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</si>
  <si>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</si>
  <si>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</si>
  <si>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</si>
  <si>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</si>
  <si>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</si>
  <si>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</si>
  <si>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</si>
  <si>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</si>
  <si>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</si>
  <si>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</si>
  <si>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</si>
  <si>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</si>
  <si>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</si>
  <si>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</si>
  <si>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</si>
  <si>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</si>
  <si>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</si>
  <si>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</si>
  <si>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</si>
  <si>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</si>
  <si>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</si>
  <si>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</si>
  <si>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</si>
  <si>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</si>
  <si>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</si>
  <si>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</si>
  <si>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</si>
  <si>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</si>
  <si>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</si>
  <si>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</si>
  <si>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</si>
  <si>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</si>
  <si>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</si>
  <si>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</si>
  <si>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</si>
  <si>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</si>
  <si>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</si>
  <si>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</si>
  <si>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</si>
  <si>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</si>
  <si>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</si>
  <si>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</si>
  <si>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</si>
  <si>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</si>
  <si>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</si>
  <si>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</si>
  <si>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</si>
  <si>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</si>
  <si>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</si>
  <si>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</si>
  <si>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</si>
  <si>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</si>
  <si>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</si>
  <si>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</si>
  <si>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</si>
  <si>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</si>
  <si>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</si>
  <si>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</si>
  <si>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</si>
  <si>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</si>
  <si>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</si>
  <si>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</si>
  <si>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</si>
  <si>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DESCRIPTION OF ASSUMPTIONS</t>
  </si>
  <si>
    <t>CFO / Director of Finance</t>
  </si>
  <si>
    <t>Operation / Business Manager</t>
  </si>
  <si>
    <t>Nurse</t>
  </si>
  <si>
    <t>Librarian</t>
  </si>
  <si>
    <t>Custodian</t>
  </si>
  <si>
    <t>Year 1</t>
  </si>
  <si>
    <t>Year 2</t>
  </si>
  <si>
    <t>Year 3</t>
  </si>
  <si>
    <t>Year 4</t>
  </si>
  <si>
    <t>Year 5</t>
  </si>
  <si>
    <t>District Code</t>
  </si>
  <si>
    <t>School District Name</t>
  </si>
  <si>
    <t>Executive Management</t>
  </si>
  <si>
    <t>Instructional Management</t>
  </si>
  <si>
    <t>Deans, Directors &amp; Coordinators</t>
  </si>
  <si>
    <t>Administrative Staff</t>
  </si>
  <si>
    <t>Contact Name:</t>
  </si>
  <si>
    <t>Contact Email:</t>
  </si>
  <si>
    <t>Contact Phone:</t>
  </si>
  <si>
    <t>Contact Title:</t>
  </si>
  <si>
    <t>Per Pupil Rate</t>
  </si>
  <si>
    <t>DATA VALIDATION LISTS</t>
  </si>
  <si>
    <t>Year</t>
  </si>
  <si>
    <t>Yr1Start</t>
  </si>
  <si>
    <t>Yr1End</t>
  </si>
  <si>
    <t>SELECTION</t>
  </si>
  <si>
    <t>AcadYrs</t>
  </si>
  <si>
    <t>5 YEARS</t>
  </si>
  <si>
    <t>DVList-AcadYr</t>
  </si>
  <si>
    <t>Selection</t>
  </si>
  <si>
    <t>SELECTED ACADEMIC YEARS TABLE</t>
  </si>
  <si>
    <t>User Selection:</t>
  </si>
  <si>
    <t>Charter Funding Alphabetical By NYS School District</t>
  </si>
  <si>
    <t>Form Display Options</t>
  </si>
  <si>
    <t>Completion Test</t>
  </si>
  <si>
    <t>School Name</t>
  </si>
  <si>
    <t>User Input:</t>
  </si>
  <si>
    <t>Contact Name</t>
  </si>
  <si>
    <t>Contact Title</t>
  </si>
  <si>
    <t>Contact Email</t>
  </si>
  <si>
    <t>Contact Phone</t>
  </si>
  <si>
    <t>INFORMATION COMPLETION</t>
  </si>
  <si>
    <t>MESSAGES</t>
  </si>
  <si>
    <t>ENROLLMENT</t>
  </si>
  <si>
    <t>Enrollment</t>
  </si>
  <si>
    <t>GRADE LEVELS</t>
  </si>
  <si>
    <t>Elementary School</t>
  </si>
  <si>
    <t>Middle School</t>
  </si>
  <si>
    <t>High School</t>
  </si>
  <si>
    <t>RATE PER PUPIL</t>
  </si>
  <si>
    <t>WEIGHTED AVERAGE - ALL DISTRICTS</t>
  </si>
  <si>
    <t>WEIGHTED AVERAGES</t>
  </si>
  <si>
    <t>PER PUPIL RATE ("PPR") - TABLE DATE</t>
  </si>
  <si>
    <r>
      <rPr>
        <b/>
        <sz val="11.5"/>
        <rFont val="Calibri"/>
        <family val="2"/>
        <scheme val="minor"/>
      </rPr>
      <t xml:space="preserve">Per Pupil Rate - Table Date </t>
    </r>
    <r>
      <rPr>
        <sz val="11.5"/>
        <rFont val="Calibri"/>
        <family val="2"/>
        <scheme val="minor"/>
      </rPr>
      <t>(Determined via formula…</t>
    </r>
    <r>
      <rPr>
        <b/>
        <i/>
        <sz val="11.5"/>
        <rFont val="Calibri"/>
        <family val="2"/>
        <scheme val="minor"/>
      </rPr>
      <t>VERIFY</t>
    </r>
    <r>
      <rPr>
        <sz val="11.5"/>
        <rFont val="Calibri"/>
        <family val="2"/>
        <scheme val="minor"/>
      </rPr>
      <t>!)</t>
    </r>
  </si>
  <si>
    <t>Instructions</t>
  </si>
  <si>
    <t>Funding by District</t>
  </si>
  <si>
    <t>CELL COLORS &amp; GUIDANCE COMMENTS</t>
  </si>
  <si>
    <t>DYCD (Department of Youth and Community Development)</t>
  </si>
  <si>
    <t>PRIMARY District</t>
  </si>
  <si>
    <t>TOTAL PERSONNEL SERVICE FTE</t>
  </si>
  <si>
    <t>ADMINISTRATIVE PERSONNEL FTE</t>
  </si>
  <si>
    <t>INSTRUCTIONAL PERSONNEL FTE</t>
  </si>
  <si>
    <t>NON-INSTRUCTIONAL PERSONNEL FTE</t>
  </si>
  <si>
    <t xml:space="preserve"> = Enter information into the light BLUE shaded cells.</t>
  </si>
  <si>
    <t>=  Cells containing RED triangles in the upper right corner contain "guidance comments" on that particular line item.  Please "mouse-over" the triangle to reveal each comment.</t>
  </si>
  <si>
    <t>Description of Assumptions</t>
  </si>
  <si>
    <t>"0" = No entry
"1" = Entry</t>
  </si>
  <si>
    <t>DISTRICT NAME(S)</t>
  </si>
  <si>
    <t>PRIMARY/OTHER</t>
  </si>
  <si>
    <t xml:space="preserve"> = Cells labeled in ORANGE containe guidance regarding the input of information.</t>
  </si>
  <si>
    <t>NonSelectedSchools</t>
  </si>
  <si>
    <t>Rows</t>
  </si>
  <si>
    <r>
      <t>UNIQUE DROP DOWN LIST</t>
    </r>
    <r>
      <rPr>
        <i/>
        <u/>
        <sz val="11.5"/>
        <color rgb="FFFF0000"/>
        <rFont val="Calibri"/>
        <family val="2"/>
        <scheme val="minor"/>
      </rPr>
      <t xml:space="preserve"> (Array Formula - requires Ctrl-Shift-Enter)</t>
    </r>
  </si>
  <si>
    <t>These formulas must be updated when updating the Funding By District Table.</t>
  </si>
  <si>
    <t>This is used to create the dropdown list on tab 2) Enrollment Chart.</t>
  </si>
  <si>
    <t>IMPORTANT NOTE:</t>
  </si>
  <si>
    <t>&lt;--Not Array Formula</t>
  </si>
  <si>
    <t>(Down v)</t>
  </si>
  <si>
    <t>ARRAY FORMULAS</t>
  </si>
  <si>
    <t>STEPS</t>
  </si>
  <si>
    <t>&lt;</t>
  </si>
  <si>
    <t>1) Select entire Array Formula Range in Column B (# of rows = # of schools in table)</t>
  </si>
  <si>
    <t>4) Update  "Countif" formula in Column C (helper formula for Array Formula to use)</t>
  </si>
  <si>
    <t>2) Press F2 to edit formula (add/delete rows)</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</si>
  <si>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</si>
  <si>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</si>
  <si>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http://www.contextures.com/xlDataVal03.html</t>
  </si>
  <si>
    <t>WEBSITE:</t>
  </si>
  <si>
    <t>BASIC TUITION</t>
  </si>
  <si>
    <t>Current Academic Year:</t>
  </si>
  <si>
    <t>Prior Academic Year:</t>
  </si>
  <si>
    <t>BLANK:</t>
  </si>
  <si>
    <t>blank</t>
  </si>
  <si>
    <t>Prior Period: (Calculated)</t>
  </si>
  <si>
    <t>BALANCE SHEET</t>
  </si>
  <si>
    <t>Prior Year</t>
  </si>
  <si>
    <t>Q1</t>
  </si>
  <si>
    <t>Q2</t>
  </si>
  <si>
    <t>Q3</t>
  </si>
  <si>
    <t>Q4</t>
  </si>
  <si>
    <t>As of 9/30</t>
  </si>
  <si>
    <t>As of 12/31</t>
  </si>
  <si>
    <t>As of 3/31</t>
  </si>
  <si>
    <t>As of 6/30</t>
  </si>
  <si>
    <t>ASSETS</t>
  </si>
  <si>
    <t>CURRENT ASSETS</t>
  </si>
  <si>
    <t xml:space="preserve">Cash and cash equivalents </t>
  </si>
  <si>
    <t>Grants and contracts receivable</t>
  </si>
  <si>
    <t>Accounts receivables</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</si>
  <si>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</si>
  <si>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</si>
  <si>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</si>
  <si>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</si>
  <si>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</si>
  <si>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</si>
  <si>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</si>
  <si>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</si>
  <si>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</si>
  <si>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</si>
  <si>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</si>
  <si>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</si>
  <si>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</si>
  <si>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LONG-TERM DEBT and NOTES PAYABLE, net current maturities</t>
  </si>
  <si>
    <t>TOTAL LIABILITIES</t>
  </si>
  <si>
    <t>NET ASSETS</t>
  </si>
  <si>
    <t>Unrestricted</t>
  </si>
  <si>
    <t>Temporarily restricted</t>
  </si>
  <si>
    <t>TOTAL NET ASSETS</t>
  </si>
  <si>
    <t>TOTAL LIABILITIES AND NET ASSETS</t>
  </si>
  <si>
    <t>Budget / Operating Plan</t>
  </si>
  <si>
    <t>Actual Student Enrollment</t>
  </si>
  <si>
    <t>Total Paid Student Enrollment</t>
  </si>
  <si>
    <t>Prior Year Actual</t>
  </si>
  <si>
    <t>1st Quarter - 7/1 - 9/30</t>
  </si>
  <si>
    <t>2nd Quarter - 10/1 - 12/31</t>
  </si>
  <si>
    <t>3rd Quarter - 1/1 - 3/31</t>
  </si>
  <si>
    <t>4th Quarter - 4/1 - 6/30</t>
  </si>
  <si>
    <t>Total Year</t>
  </si>
  <si>
    <t>VARIANCE</t>
  </si>
  <si>
    <t>Variance</t>
  </si>
  <si>
    <t>SECONDARY District</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</si>
  <si>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</si>
  <si>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</si>
  <si>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</si>
  <si>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</si>
  <si>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</si>
  <si>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</si>
  <si>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</si>
  <si>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</si>
  <si>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</si>
  <si>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</si>
  <si>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</si>
  <si>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</si>
  <si>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</si>
  <si>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</si>
  <si>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</si>
  <si>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</si>
  <si>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</si>
  <si>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</si>
  <si>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</si>
  <si>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</si>
  <si>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</si>
  <si>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</si>
  <si>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</si>
  <si>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</si>
  <si>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</si>
  <si>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</si>
  <si>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</si>
  <si>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</si>
  <si>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</si>
  <si>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</si>
  <si>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</si>
  <si>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</si>
  <si>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</si>
  <si>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</si>
  <si>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</si>
  <si>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</si>
  <si>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</si>
  <si>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</si>
  <si>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</si>
  <si>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</si>
  <si>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</si>
  <si>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</si>
  <si>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</si>
  <si>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</si>
  <si>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</si>
  <si>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</si>
  <si>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</si>
  <si>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</si>
  <si>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Current Year</t>
  </si>
  <si>
    <t>Original Budget</t>
  </si>
  <si>
    <t>Revised Budget</t>
  </si>
  <si>
    <t>Original Budget vs. PY Budget</t>
  </si>
  <si>
    <t>Revised Budget vs. PY Budget</t>
  </si>
  <si>
    <t>SUM of Basic Tuition for DISTRICTS 16-50</t>
  </si>
  <si>
    <t>COUNT "Others" Districts from 16-50 =</t>
  </si>
  <si>
    <t>AVG COUNT "Others" Enrollment from 16-50 =</t>
  </si>
  <si>
    <t>Weighted Avg Others 16-50</t>
  </si>
  <si>
    <t>Backed-in calc:</t>
  </si>
  <si>
    <t>Rev</t>
  </si>
  <si>
    <t>This section checks to make sure that revenue is NOT reported WITHOUT corresponding enrollment.  #DIV/0! reveals that error.</t>
  </si>
  <si>
    <t>Total</t>
  </si>
  <si>
    <t>Error Check</t>
  </si>
  <si>
    <t>Annual Report Requirement</t>
  </si>
  <si>
    <t>for SUNY Authorized Charter Schools</t>
  </si>
  <si>
    <t>Administrative expenditures per pupil:</t>
  </si>
  <si>
    <t>Per NYS Statute</t>
  </si>
  <si>
    <t>Administrative expenditures per pupil: the sum of all general administration salaries and other general administration expenditures divided by the total number of enrolled students. Employee benefit costs or expenditures should not be reported here.</t>
  </si>
  <si>
    <t>TOTALS AND VARIANCE ANALYSIS</t>
  </si>
  <si>
    <t>Actual</t>
  </si>
  <si>
    <t>Current Budget</t>
  </si>
  <si>
    <t>Current Budget   (Current Quarter)</t>
  </si>
  <si>
    <t>Actual                     vs.                       Current Budget</t>
  </si>
  <si>
    <t>Current Budget - TY</t>
  </si>
  <si>
    <t>Actual          vs.              Current Budget TY</t>
  </si>
  <si>
    <t>Original Budget   (Current Quarter)</t>
  </si>
  <si>
    <t>Actual                  vs.               Original Budget</t>
  </si>
  <si>
    <t>Original Budget - TY</t>
  </si>
  <si>
    <t>Actual              vs.            Original Budget TY</t>
  </si>
  <si>
    <t>Actual CY            vs.            Actual PY</t>
  </si>
  <si>
    <t>* Enrollment Data Based on Last Actual Quarter Completed</t>
  </si>
  <si>
    <t>STAFFING PLAN - FULL TIME EQUIVALENT ("FTE")</t>
  </si>
  <si>
    <t>Original Budgeted Enrollment</t>
  </si>
  <si>
    <t>Actual Enrollment</t>
  </si>
  <si>
    <t>QUARTER 1</t>
  </si>
  <si>
    <t>QUARTER 2</t>
  </si>
  <si>
    <t>QUARTER 3</t>
  </si>
  <si>
    <t>QUARTER 4</t>
  </si>
  <si>
    <t>ACTUAL</t>
  </si>
  <si>
    <t>PRIOR YEAR</t>
  </si>
  <si>
    <t>NUMBER OF SCHOOL DISTRICTS ENROLLED:</t>
  </si>
  <si>
    <t>ORIGINAL REVENUE (CALCULATED)</t>
  </si>
  <si>
    <t>REVISED REVENUE (CALCULATED)</t>
  </si>
  <si>
    <t>AVG ENROLLMENT</t>
  </si>
  <si>
    <t>NUMBER OF STUDENTS ENROLLED:</t>
  </si>
  <si>
    <r>
      <rPr>
        <b/>
        <i/>
        <sz val="11.5"/>
        <rFont val="Calibri"/>
        <family val="2"/>
        <scheme val="minor"/>
      </rPr>
      <t>Revised</t>
    </r>
    <r>
      <rPr>
        <sz val="11.5"/>
        <rFont val="Calibri"/>
        <family val="2"/>
        <scheme val="minor"/>
      </rPr>
      <t xml:space="preserve"> Budgeted Enrollment</t>
    </r>
  </si>
  <si>
    <t xml:space="preserve">*NOTE: THIS TAB ONLY NEEDS TO BE COMPLETED FOR Q4 </t>
  </si>
  <si>
    <t>Number of Districts:</t>
  </si>
  <si>
    <t>K</t>
  </si>
  <si>
    <t>GRADES</t>
  </si>
  <si>
    <t>ENROLLMENT BY GRADES</t>
  </si>
  <si>
    <t>ENROLLMENT BY DISTRICT</t>
  </si>
  <si>
    <t>ACTUAL ENROLLMENT BY QUARTER</t>
  </si>
  <si>
    <t>ANNUAL BUDGETED FTE</t>
  </si>
  <si>
    <t>ACTUAL QUARTERLY FTE</t>
  </si>
  <si>
    <r>
      <rPr>
        <b/>
        <i/>
        <sz val="11.5"/>
        <rFont val="Calibri"/>
        <family val="2"/>
        <scheme val="minor"/>
      </rPr>
      <t xml:space="preserve"> *NOTE:</t>
    </r>
    <r>
      <rPr>
        <i/>
        <sz val="11.5"/>
        <rFont val="Calibri"/>
        <family val="2"/>
        <scheme val="minor"/>
      </rPr>
      <t xml:space="preserve">  Enter the number of FTE positions in the "blue" cells.</t>
    </r>
  </si>
  <si>
    <t>Original</t>
  </si>
  <si>
    <t>Revised</t>
  </si>
  <si>
    <t>Building and Land Rent / Lease / Facility Finance Interest</t>
  </si>
  <si>
    <r>
      <t xml:space="preserve">ANNUAL BUDGET
</t>
    </r>
    <r>
      <rPr>
        <sz val="12"/>
        <rFont val="Calibri"/>
        <family val="2"/>
        <scheme val="minor"/>
      </rPr>
      <t>TOTAL DISTRICTS/ENROLLMENT BY QUARTER</t>
    </r>
  </si>
  <si>
    <t>ACTUAL QUARTERLY
TOTAL DISTRICTS/ENROLLMENT</t>
  </si>
  <si>
    <t>ANNUAL BUDGET
ENROLLMENT BY QUARTER</t>
  </si>
  <si>
    <t>TOTAL Per Pupil Revenue (Weighted Average Per Pupil Funding)</t>
  </si>
  <si>
    <t>ALL OTHER School Districts: ( Weighted Avg )</t>
  </si>
  <si>
    <t>1.) Name of School</t>
  </si>
  <si>
    <t>2.) Enrollment</t>
  </si>
  <si>
    <t>3.) Staffing Plan</t>
  </si>
  <si>
    <t>4.) Yearly Budget</t>
  </si>
  <si>
    <t>5.) Balance Sheet</t>
  </si>
  <si>
    <t>6.) Quarterly Report</t>
  </si>
  <si>
    <t>7.) Annual Report Requirement</t>
  </si>
  <si>
    <t>Provides description of tabs and input requirements.</t>
  </si>
  <si>
    <t>INITIAL BUDGETED ENROLLMENT</t>
  </si>
  <si>
    <t>Avg. No. of Positions</t>
  </si>
  <si>
    <t>Complete when submitting Actual Quarter 4.</t>
  </si>
  <si>
    <t>GENERAL INSTRUCTIONS FOR
ANNUAL BUDGET/QUARTERLY REPORT</t>
  </si>
  <si>
    <t>Deferred Revenue</t>
  </si>
  <si>
    <t>ANNUAL BUDGET &amp; QUARTERLY REPORT TEMPLATE</t>
  </si>
  <si>
    <t>*NOTE: Enrollment, Revenue and Expediture Data IN the 'Total and Variance Analysis' Section is Based on LAST ACTUAL Quarter Completed</t>
  </si>
  <si>
    <t>Please complete entering all information  on tab - "1) Name of School"</t>
  </si>
  <si>
    <t>Please enter school name on tab - "1) Name of School"</t>
  </si>
  <si>
    <t>1- GRAY tab contains the Instructions</t>
  </si>
  <si>
    <t>2- BLUE tabs require input of information</t>
  </si>
  <si>
    <t>TEMPLATE TABS</t>
  </si>
  <si>
    <t>* (Sum of Charter School Basic Tuition and Supplemental Basic Tuition)</t>
  </si>
  <si>
    <t>enter name</t>
  </si>
  <si>
    <t>enter title</t>
  </si>
  <si>
    <t>enter email address</t>
  </si>
  <si>
    <t>enter phone number</t>
  </si>
  <si>
    <t>SCHOOLS</t>
  </si>
  <si>
    <t>Academy Charter School, The</t>
  </si>
  <si>
    <t>Achievement First Brownsville Charter School</t>
  </si>
  <si>
    <t>Achievement First Bushwick Charter School</t>
  </si>
  <si>
    <t>Achievement First Apollo Charter School</t>
  </si>
  <si>
    <t>Albany Leadership Charter High School for Girls</t>
  </si>
  <si>
    <t>Bedford Stuyvesant Collegiate Charter School</t>
  </si>
  <si>
    <t>Bronx Charter School for Better Learning</t>
  </si>
  <si>
    <t>Bronx Charter School for Excellence</t>
  </si>
  <si>
    <t>Bronx Preparatory Charter School</t>
  </si>
  <si>
    <t>Brooklyn Dreams Charter School</t>
  </si>
  <si>
    <t>Brooklyn Excelsior Charter School</t>
  </si>
  <si>
    <t>Brownsville Collegiate Charter School</t>
  </si>
  <si>
    <t>Buffalo United Charter School</t>
  </si>
  <si>
    <t>Community Partnership Charter School</t>
  </si>
  <si>
    <t>Ocean Hill Collegiate Charter School</t>
  </si>
  <si>
    <t>Brooklyn East Collegiate Charter School</t>
  </si>
  <si>
    <t>Eugenio Maria de Hostos Charter School</t>
  </si>
  <si>
    <t>Excellence Boys Charter School of Bedford Stuyvesant</t>
  </si>
  <si>
    <t>Excellence Girls Charter School</t>
  </si>
  <si>
    <t>Family Life Academy Charter School</t>
  </si>
  <si>
    <t>Girls Preparatory Charter School of New York</t>
  </si>
  <si>
    <t>Girls Preparatory Charter School of the Bronx</t>
  </si>
  <si>
    <t>Grand Concourse Academy Charter School</t>
  </si>
  <si>
    <t>University Prep Charter High School</t>
  </si>
  <si>
    <t>Harbor Science and Arts Charter School</t>
  </si>
  <si>
    <t>Harlem Prep Charter School</t>
  </si>
  <si>
    <t>Harlem Link Charter School</t>
  </si>
  <si>
    <t>Success Academy Charter School - Harlem 2</t>
  </si>
  <si>
    <t>Success Academy Charter School - Harlem 3</t>
  </si>
  <si>
    <t>Success Academy Charter School - Harlem 4</t>
  </si>
  <si>
    <t>Success Academy Charter School - Harlem 5</t>
  </si>
  <si>
    <t>Success Academy Charter School - Bronx 2</t>
  </si>
  <si>
    <t>Success Academy Charter School - Bronx 1</t>
  </si>
  <si>
    <t>Henry Johnson Charter School</t>
  </si>
  <si>
    <t>Icahn Charter School 1</t>
  </si>
  <si>
    <t>Icahn Charter School 2</t>
  </si>
  <si>
    <t>Icahn Charter School 3</t>
  </si>
  <si>
    <t>Icahn Charter School 4</t>
  </si>
  <si>
    <t>Icahn Charter School 5</t>
  </si>
  <si>
    <t>King Center Charter School</t>
  </si>
  <si>
    <t>Kings Collegiate Charter School</t>
  </si>
  <si>
    <t>KIPP Tech Valley Charter School</t>
  </si>
  <si>
    <t>Leadership Preparatory Bedford Stuyvesant Charter School</t>
  </si>
  <si>
    <t>Leadership Preparatory Brownsville Charter School</t>
  </si>
  <si>
    <t>Leadership Preparatory Ocean Hill Charter School</t>
  </si>
  <si>
    <t>Leadership Preparatory Canarsie Charter School</t>
  </si>
  <si>
    <t>Merrick Academy - Queens Public Charter School</t>
  </si>
  <si>
    <t>New Roots Charter School</t>
  </si>
  <si>
    <t>New World Preparatory Charter School</t>
  </si>
  <si>
    <t>Our World Neighborhood Charter School</t>
  </si>
  <si>
    <t>Roosevelt Children's Academy Charter School</t>
  </si>
  <si>
    <t>South Buffalo Charter School</t>
  </si>
  <si>
    <t>Tapestry Charter School</t>
  </si>
  <si>
    <t>True North Rochester Preparatory Charter School</t>
  </si>
  <si>
    <t>University Preparatory Charter School for Young Men</t>
  </si>
  <si>
    <t>Academy of the City Charter School</t>
  </si>
  <si>
    <t>Success Academy Charter School - Bed Stuy 1</t>
  </si>
  <si>
    <t>Broome Street Academy Charter High School</t>
  </si>
  <si>
    <t>East Harlem Scholars Academy Charter School</t>
  </si>
  <si>
    <t>Explore Excel Charter School</t>
  </si>
  <si>
    <t>New Visions Charter High School for Advanced Math and Science</t>
  </si>
  <si>
    <t>New Visions Charter High School for the Humanities</t>
  </si>
  <si>
    <t>True North Rochester Preparatory Charter School - West Campus</t>
  </si>
  <si>
    <t>Success Academy Charter School - Upper West</t>
  </si>
  <si>
    <t>Achievement First Aspire Charter School</t>
  </si>
  <si>
    <t>Beginning with Children Charter School II</t>
  </si>
  <si>
    <t>Success Academy Charter School - Bed Stuy 2</t>
  </si>
  <si>
    <t>Success Academy Charter School - Cobble Hill</t>
  </si>
  <si>
    <t>Success Academy Charter School - Williamsburg</t>
  </si>
  <si>
    <t>Canarsie Ascend Charter School</t>
  </si>
  <si>
    <t>Central Queens Academy Charter School</t>
  </si>
  <si>
    <t>Children's Aid College Prep Charter School</t>
  </si>
  <si>
    <t>Explore Exceed Charter School</t>
  </si>
  <si>
    <t>Family Life Academy Charter School II</t>
  </si>
  <si>
    <t>Icahn Charter School 6</t>
  </si>
  <si>
    <t>Icahn Charter School 7</t>
  </si>
  <si>
    <t>Manhattan Charter School II</t>
  </si>
  <si>
    <t>Boys Preparatory Charter School of New York</t>
  </si>
  <si>
    <t>Success Academy Charter School - Fort Greene</t>
  </si>
  <si>
    <t>Success Academy Charter School - Prospect Heights</t>
  </si>
  <si>
    <t>Success Academy Charter School - Crown Heights</t>
  </si>
  <si>
    <t>Success Academy Charter School - Hell's Kitchen</t>
  </si>
  <si>
    <t>Success Academy Charter School - Union Square</t>
  </si>
  <si>
    <t>Success Academy Charter School - Bronx 3</t>
  </si>
  <si>
    <t>East Harlem Scholars Academy Charter School II</t>
  </si>
  <si>
    <t>Achievement First North Brooklyn Preparatory Charter School</t>
  </si>
  <si>
    <t>Rochester Preparatory Charter School 3</t>
  </si>
  <si>
    <t>Central Brooklyn Ascend Charter School</t>
  </si>
  <si>
    <t>Middle Village Preparatory Charter School</t>
  </si>
  <si>
    <t>Family Life Academy Charter School III</t>
  </si>
  <si>
    <t>Achievement First Linden Charter School</t>
  </si>
  <si>
    <t>Success Academy Charter School - Washington Heights</t>
  </si>
  <si>
    <t>Success Academy Charter School - Bronx 4</t>
  </si>
  <si>
    <t>Success Academy Charter School - Bensonhurst</t>
  </si>
  <si>
    <t>Success Academy Charter School - Bergen Beach</t>
  </si>
  <si>
    <t>Success Academy Charter School - Rosedale</t>
  </si>
  <si>
    <t>Success Academy Charter School - Springfield Gardens</t>
  </si>
  <si>
    <t>Success Academy Charter School - Harlem 1</t>
  </si>
  <si>
    <t>Atmosphere Academy Public Charter School</t>
  </si>
  <si>
    <t>Bronx Charter School for Better Learning II</t>
  </si>
  <si>
    <t>Finn Academy: An Elmira Charter School</t>
  </si>
  <si>
    <t>Storefront Academy Charter School</t>
  </si>
  <si>
    <t>Explore Charter School</t>
  </si>
  <si>
    <t>Explore Empower Charter School</t>
  </si>
  <si>
    <t>Williamsburg Collegiate Charter School</t>
  </si>
  <si>
    <t>New York City Charter School of the Arts</t>
  </si>
  <si>
    <t>Bronx Charter School for Excellence 2</t>
  </si>
  <si>
    <t>Achievement First Crown Heights Charter School</t>
  </si>
  <si>
    <t>Achievement First East New York Charter School</t>
  </si>
  <si>
    <t>Achievement First Endeavor Charter School</t>
  </si>
  <si>
    <t>Brooklyn Ascend Charter School</t>
  </si>
  <si>
    <t>Brownsville Ascend Charter School</t>
  </si>
  <si>
    <t>Bushwick Ascend Charter School</t>
  </si>
  <si>
    <t>Manhattan Charter School</t>
  </si>
  <si>
    <r>
      <t xml:space="preserve">Select from drop-down list </t>
    </r>
    <r>
      <rPr>
        <sz val="11.5"/>
        <rFont val="Calibri"/>
        <family val="2"/>
      </rPr>
      <t>→</t>
    </r>
  </si>
  <si>
    <r>
      <t xml:space="preserve">Select grade 5 level from drop-down list </t>
    </r>
    <r>
      <rPr>
        <sz val="11.5"/>
        <rFont val="Calibri"/>
        <family val="2"/>
      </rPr>
      <t>→</t>
    </r>
  </si>
  <si>
    <r>
      <t xml:space="preserve">(Select from drop-down list) </t>
    </r>
    <r>
      <rPr>
        <b/>
        <sz val="11.5"/>
        <rFont val="Calibri"/>
        <family val="2"/>
      </rPr>
      <t>→</t>
    </r>
  </si>
  <si>
    <t>(Select from drop-down list) →</t>
  </si>
  <si>
    <t>Charter School Tuition Rates</t>
  </si>
  <si>
    <t>Name:</t>
  </si>
  <si>
    <t>CONTACT INFORMATION</t>
  </si>
  <si>
    <t>REPORT PERIOD</t>
  </si>
  <si>
    <t>SCHOOL</t>
  </si>
  <si>
    <t>NA</t>
  </si>
  <si>
    <t>MergeCorpID</t>
  </si>
  <si>
    <t>MergeName</t>
  </si>
  <si>
    <t>YrOpen</t>
  </si>
  <si>
    <t>MergeYr</t>
  </si>
  <si>
    <t>Achievement First Voyager Charter School</t>
  </si>
  <si>
    <t>QTR</t>
  </si>
  <si>
    <t>DATA-INPUT</t>
  </si>
  <si>
    <t>RESULT</t>
  </si>
  <si>
    <t>Most Recent Qtr with Data:</t>
  </si>
  <si>
    <t>QUARTER DATA-INPUT CHECKER</t>
  </si>
  <si>
    <t>*This simply indicates that at least one (1) data item was input for each given quarter.</t>
  </si>
  <si>
    <r>
      <rPr>
        <b/>
        <i/>
        <sz val="11.5"/>
        <rFont val="Calibri"/>
        <family val="2"/>
        <scheme val="minor"/>
      </rPr>
      <t>*NOTE:</t>
    </r>
    <r>
      <rPr>
        <i/>
        <sz val="11.5"/>
        <rFont val="Calibri"/>
        <family val="2"/>
        <scheme val="minor"/>
      </rPr>
      <t xml:space="preserve">  State the assumptions that are being made for personnel FTE levels.</t>
    </r>
  </si>
  <si>
    <r>
      <rPr>
        <b/>
        <i/>
        <sz val="11.5"/>
        <rFont val="Calibri"/>
        <family val="2"/>
        <scheme val="minor"/>
      </rPr>
      <t>*NOTE:</t>
    </r>
    <r>
      <rPr>
        <i/>
        <sz val="11.5"/>
        <rFont val="Calibri"/>
        <family val="2"/>
        <scheme val="minor"/>
      </rPr>
      <t xml:space="preserve">  If there are NO budget revisions at the time of quarterly submittal leave the 'REVISED' Column(s) COMPLETELY BLANK.
If budget revisions ARE made, the entire "REVISED" budget columns for the affected quarter(s) must be completed on tabs 2, 3 and 4.</t>
    </r>
  </si>
  <si>
    <r>
      <rPr>
        <b/>
        <i/>
        <sz val="11.5"/>
        <rFont val="Calibri"/>
        <family val="2"/>
        <scheme val="minor"/>
      </rPr>
      <t xml:space="preserve">*NOTE:  </t>
    </r>
    <r>
      <rPr>
        <i/>
        <sz val="11.5"/>
        <rFont val="Calibri"/>
        <family val="2"/>
        <scheme val="minor"/>
      </rPr>
      <t>Each quarter, the actual FTE should be input.</t>
    </r>
  </si>
  <si>
    <r>
      <rPr>
        <b/>
        <sz val="11.5"/>
        <rFont val="Calibri"/>
        <family val="2"/>
        <scheme val="minor"/>
      </rPr>
      <t>*NOTE:</t>
    </r>
    <r>
      <rPr>
        <sz val="11.5"/>
        <rFont val="Calibri"/>
        <family val="2"/>
        <scheme val="minor"/>
      </rPr>
      <t xml:space="preserv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</si>
  <si>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r>
      <rPr>
        <b/>
        <sz val="11.5"/>
        <rFont val="Calibri"/>
        <family val="2"/>
        <scheme val="minor"/>
      </rPr>
      <t xml:space="preserve">*NOTE: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</si>
  <si>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t>PPR %/Qtr-&gt;</t>
  </si>
  <si>
    <t>TOTAL</t>
  </si>
  <si>
    <t>BS-NeedCode</t>
  </si>
  <si>
    <t>0=EdCorp(StandAlone)</t>
  </si>
  <si>
    <t>1=EdCorp(SurvivingMerge)</t>
  </si>
  <si>
    <t>2=School(Merged)</t>
  </si>
  <si>
    <t>BS_Note_Code</t>
  </si>
  <si>
    <t>BSMessages</t>
  </si>
  <si>
    <t>BSNote1</t>
  </si>
  <si>
    <t>&gt;Select school name from list.
&gt;Enter contact information.</t>
  </si>
  <si>
    <t>Enter enrollment information for Annual Budget (&amp; Revisions) and Quarterly Actuals.  Includes:
&gt;Enrollment by Grade
&gt;Enrollment by District</t>
  </si>
  <si>
    <t>Allocate Per Pupil Revenue by Quarter</t>
  </si>
  <si>
    <t>Enter Actual Quarterly Report information .  Includes:
&gt;Actual Enrollment data and Per Pupil Revenue for the current year are populated based upon input on tab "2.) Enrollment."
&gt;Actual FTE for current year is populated based upon input on tab
"3.) Staffing Plan."
&gt;All other sources of revenue
&gt;All expenses</t>
  </si>
  <si>
    <t>Success Academy Charter School - Bed Stuy 3</t>
  </si>
  <si>
    <t>Success Academy Charter School - Bushwick</t>
  </si>
  <si>
    <t>Success Academy Charter School - Far Rockaway</t>
  </si>
  <si>
    <t>Success Academy Charter School - Flatbush</t>
  </si>
  <si>
    <t>Success Academy Charter School - South Jamaica</t>
  </si>
  <si>
    <t xml:space="preserve"> </t>
  </si>
  <si>
    <t>Success Academy Charter School - Hudson Yards</t>
  </si>
  <si>
    <t>Success Academy Charter School - Harlem 6</t>
  </si>
  <si>
    <t>Elmwood Village Charter School Hertel</t>
  </si>
  <si>
    <t>New York Center for Autism Charter School Bronx</t>
  </si>
  <si>
    <t>Bronx Charter School for Excellence 3</t>
  </si>
  <si>
    <t>Brooklyn Emerging Leaders Academy Charter School</t>
  </si>
  <si>
    <t>Forte Preparatory Academy Charter School</t>
  </si>
  <si>
    <t>Legacy College Preparatory Charter School</t>
  </si>
  <si>
    <t>Brilla College Preparatory Charter School</t>
  </si>
  <si>
    <t>Elmwood Village Charter School Days Park</t>
  </si>
  <si>
    <t>New York Center for Autism Charter School</t>
  </si>
  <si>
    <t>Brooklyn Prospect Charter School - CSD 15</t>
  </si>
  <si>
    <t>Brooklyn Prospect Charter School - CSD 13</t>
  </si>
  <si>
    <t>School</t>
  </si>
  <si>
    <t>SurvivingSchool</t>
  </si>
  <si>
    <t>New Visions AIM Charter High School I</t>
  </si>
  <si>
    <t>New Visions AIM Charter High School II</t>
  </si>
  <si>
    <t>NYC DoE Rental Assistance</t>
  </si>
  <si>
    <t>BUDGET APPROVAL CONFIRMATION</t>
  </si>
  <si>
    <t>BUDGET APPROVAL - Extension Message</t>
  </si>
  <si>
    <t>DREAM Charter School</t>
  </si>
  <si>
    <t>Budget Approved by Board:</t>
  </si>
  <si>
    <t>Democracy Preparatory Charter School</t>
  </si>
  <si>
    <t>CASH FLOW ADJUSTMENTS</t>
  </si>
  <si>
    <t>Example - Add Back Depreciation</t>
  </si>
  <si>
    <t>Total Operating Activities</t>
  </si>
  <si>
    <t>Example - Subtract Property and Equipment Expenditures</t>
  </si>
  <si>
    <t>Total Investment Activities</t>
  </si>
  <si>
    <t>Example - Add Expected Proceeds from a Loan or Line of Credit</t>
  </si>
  <si>
    <t>Total Financing Activities</t>
  </si>
  <si>
    <t>Total Cash Flow Adjustments</t>
  </si>
  <si>
    <t>Beginning Cash Balance</t>
  </si>
  <si>
    <t>ENDING CASH BALANCE</t>
  </si>
  <si>
    <r>
      <t>OPERATING ACTIVITIES {</t>
    </r>
    <r>
      <rPr>
        <i/>
        <sz val="11.5"/>
        <color indexed="8"/>
        <rFont val="Calibri"/>
        <family val="2"/>
        <scheme val="minor"/>
      </rPr>
      <t>enter descriptions below</t>
    </r>
    <r>
      <rPr>
        <sz val="11.5"/>
        <color indexed="8"/>
        <rFont val="Calibri"/>
        <family val="2"/>
        <scheme val="minor"/>
      </rPr>
      <t>}</t>
    </r>
  </si>
  <si>
    <t>UNGRADED</t>
  </si>
  <si>
    <t>PRE-K</t>
  </si>
  <si>
    <t>{ENTER YEAR}</t>
  </si>
  <si>
    <r>
      <t>INVESTMENT ACTIVITIES {</t>
    </r>
    <r>
      <rPr>
        <i/>
        <sz val="11.5"/>
        <rFont val="Calibri"/>
        <family val="2"/>
        <scheme val="minor"/>
      </rPr>
      <t>enter descriptions below</t>
    </r>
    <r>
      <rPr>
        <sz val="11.5"/>
        <rFont val="Calibri"/>
        <family val="2"/>
        <scheme val="minor"/>
      </rPr>
      <t>}</t>
    </r>
  </si>
  <si>
    <r>
      <t>FINANCING ACTIVITIES {</t>
    </r>
    <r>
      <rPr>
        <i/>
        <sz val="11.5"/>
        <rFont val="Calibri"/>
        <family val="2"/>
        <scheme val="minor"/>
      </rPr>
      <t>enter descriptions below</t>
    </r>
    <r>
      <rPr>
        <sz val="11.5"/>
        <rFont val="Calibri"/>
        <family val="2"/>
        <scheme val="minor"/>
      </rPr>
      <t>}</t>
    </r>
  </si>
  <si>
    <t>SurvivingEdCorp</t>
  </si>
  <si>
    <t>DEFERRED RENT</t>
  </si>
  <si>
    <t>Academic Leadership Charter School</t>
  </si>
  <si>
    <t>Academy Charter School, The (Combined)</t>
  </si>
  <si>
    <t>Achievement First Brooklyn Charter Schools (Combined)</t>
  </si>
  <si>
    <t>Amber Charter School East Harlem</t>
  </si>
  <si>
    <t>Amber Charter School (Combined)</t>
  </si>
  <si>
    <t>Amber Charter School Kingsbridge</t>
  </si>
  <si>
    <t>Brilla College Preparatory Charter Schools (Combined)</t>
  </si>
  <si>
    <t>Bronx Charter School for Excellence (Combined)</t>
  </si>
  <si>
    <t>Bronx Charter School for Excellence 4</t>
  </si>
  <si>
    <t>Democracy Prep New York Charter Schools (Combined)</t>
  </si>
  <si>
    <t>Brooklyn Prospect Charter School (Combined)</t>
  </si>
  <si>
    <t>Ascend Charter Schools (Combined)</t>
  </si>
  <si>
    <t>Cardinal McCloskey Community Charter School</t>
  </si>
  <si>
    <t>Coney Island Preparatory Public Charter School</t>
  </si>
  <si>
    <t>Cypress Hills Ascend Charter School</t>
  </si>
  <si>
    <t>East Harlem Scholars Academy Charter School (Combined)</t>
  </si>
  <si>
    <t>Elm Community Charter School</t>
  </si>
  <si>
    <t>Explore Charter Schools of Brooklyn (Combined)</t>
  </si>
  <si>
    <t>Family Life Academy Charter Schools (Combined)</t>
  </si>
  <si>
    <t>Public Preparatory Charter School Academies (Combined)</t>
  </si>
  <si>
    <t>Harlem Village Academy East Charter School</t>
  </si>
  <si>
    <t>Harlem Village Academy West Charter School</t>
  </si>
  <si>
    <t>International Leadership Charter High School</t>
  </si>
  <si>
    <t>Uncommon New York City Charter Schools (Combined)</t>
  </si>
  <si>
    <t>Manhattan Charter Schools (Combined)</t>
  </si>
  <si>
    <t>Our World Neighborhood Charter School (Combined)</t>
  </si>
  <si>
    <t>Our World Neighborhood Charter School 2</t>
  </si>
  <si>
    <t>PAVE Academy Charter School</t>
  </si>
  <si>
    <t>Persistence Preparatory Academy Charter School</t>
  </si>
  <si>
    <t>Success Academy Charter Schools - NYC (Combined)</t>
  </si>
  <si>
    <t>True North Rochester Preparatory Charter School (Combined)</t>
  </si>
  <si>
    <t>Urban Assembly Charter School for Computer Science</t>
  </si>
  <si>
    <t>Zeta Charter Schools - New York City (Combined)</t>
  </si>
  <si>
    <t>Bronx Charter School for Better Learning (Combined)</t>
  </si>
  <si>
    <t>Bronx Charter School for Excellence 5</t>
  </si>
  <si>
    <t>Brooklyn Prospect Charter School - CSD 15.2</t>
  </si>
  <si>
    <t>Democracy Prep Endurance Charter School</t>
  </si>
  <si>
    <t>Democracy Prep Harlem Charter School</t>
  </si>
  <si>
    <t>DREAM Charter School (Combined)</t>
  </si>
  <si>
    <t>DREAM Charter School Mott Haven</t>
  </si>
  <si>
    <t>Elmwood Village Charter Schools (Combined)</t>
  </si>
  <si>
    <t>Harlem Village Academy West 2 Charter School</t>
  </si>
  <si>
    <t>Harlem Village Academy Charter School (Combined)</t>
  </si>
  <si>
    <t>KIPP Always Mentally Prepared Charter School</t>
  </si>
  <si>
    <t>KIPP Bronx Charter School II</t>
  </si>
  <si>
    <t>KIPP NYC Public Charter Schools II (Combined)</t>
  </si>
  <si>
    <t>KIPP Bronx Charter School III</t>
  </si>
  <si>
    <t>KIPP Freedom Charter School</t>
  </si>
  <si>
    <t>KIPP Infinity Charter School</t>
  </si>
  <si>
    <t>KIPP S.T.A.R. College Prep Charter School</t>
  </si>
  <si>
    <t>NYC Autism Charter Schools (Combined)</t>
  </si>
  <si>
    <t>Storefont Academy Charter School (Combined)</t>
  </si>
  <si>
    <t>Storefront Academy Harlem Charter School</t>
  </si>
  <si>
    <t>Truxton Academy Charter School</t>
  </si>
  <si>
    <t>University Prep Public Charter Schools (Combined)</t>
  </si>
  <si>
    <t>University Prep Charter Middle School</t>
  </si>
  <si>
    <t>Valence College Preparatory Charter School</t>
  </si>
  <si>
    <t>Zeta Charter School - Bronx 1</t>
  </si>
  <si>
    <t>Zeta Charter School - Inwood 1</t>
  </si>
  <si>
    <r>
      <t>Enter Yearly Budget information.  Includes: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 (Note: Quarterly Revenue allocation may be set)
&gt;Budgeted Enrollment data and Per Pupil Revenue for the current year are populated based upon input on tab "2.) Enrollment."
&gt;Budgeted FTE for current year is populated based upon input on tab "3.) Staffing Plan."
&gt;All other sources of revenue
&gt;All expenses
&gt;Budget Revisions, as necessary and </t>
    </r>
    <r>
      <rPr>
        <i/>
        <sz val="11.5"/>
        <rFont val="Calibri"/>
        <family val="2"/>
        <scheme val="minor"/>
      </rPr>
      <t>approved</t>
    </r>
    <r>
      <rPr>
        <sz val="11.5"/>
        <rFont val="Calibri"/>
        <family val="2"/>
        <scheme val="minor"/>
      </rPr>
      <t xml:space="preserve"> by the school's Board of Directors, should be submitted when submitting Quarterly Actuals.</t>
    </r>
  </si>
  <si>
    <r>
      <t>Enter Balance Sheet information for EdCorps.  Separate schools merged into a primary EdCorp should NOT use this tab.
&gt;"</t>
    </r>
    <r>
      <rPr>
        <b/>
        <sz val="11.5"/>
        <rFont val="Calibri"/>
        <family val="2"/>
        <scheme val="minor"/>
      </rPr>
      <t>Prior Yea</t>
    </r>
    <r>
      <rPr>
        <sz val="11.5"/>
        <rFont val="Calibri"/>
        <family val="2"/>
        <scheme val="minor"/>
      </rPr>
      <t xml:space="preserve">r" column may be </t>
    </r>
    <r>
      <rPr>
        <i/>
        <u/>
        <sz val="11.5"/>
        <rFont val="Calibri"/>
        <family val="2"/>
        <scheme val="minor"/>
      </rPr>
      <t>initially</t>
    </r>
    <r>
      <rPr>
        <sz val="11.5"/>
        <rFont val="Calibri"/>
        <family val="2"/>
        <scheme val="minor"/>
      </rPr>
      <t xml:space="preserv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</si>
  <si>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r>
      <t>Enter staffing plan information for Annual Budget (&amp; Revisions) and Quarterly Actuals.  Includes:
&gt;Full Time Equivalent (FTE), by Position Category, By Quarter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</si>
  <si>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t>SCHOOLS FOR WHICH TUITION SHOULD BE $0 (See Cell C52:C101 formulas)</t>
  </si>
  <si>
    <t>PY Actual (PY TY / No. of COMPLETED Actual CY Quarters)</t>
  </si>
  <si>
    <t>PPR</t>
  </si>
  <si>
    <t>TOTAL Per Pupil Revenue</t>
  </si>
  <si>
    <t>Weighted Avg PPR</t>
  </si>
  <si>
    <t>COVID-19 / CONTINGENCY</t>
  </si>
  <si>
    <t>Green Tech Charter School</t>
  </si>
  <si>
    <t>Brilla Veritas Charter School</t>
  </si>
  <si>
    <t>NYC Autism Charter School Bronx</t>
  </si>
  <si>
    <t>NYC Autism Charter School East Harlem</t>
  </si>
  <si>
    <t>East Brooklyn Ascend Charter School</t>
  </si>
  <si>
    <t>Academy Charter School - Uniondale, The</t>
  </si>
  <si>
    <t>Brilla Caritas Charter School</t>
  </si>
  <si>
    <t>Brilla Pax Charter School</t>
  </si>
  <si>
    <t>Capital Preparatory Bronx Charter School</t>
  </si>
  <si>
    <t>Lefferts Gardens Ascend Charter School</t>
  </si>
  <si>
    <t>East Flatbush Ascend Charter School</t>
  </si>
  <si>
    <t>Wildflower New York Charter school</t>
  </si>
  <si>
    <t>Lamad Academy Charter School</t>
  </si>
  <si>
    <t>Girls Preparatory Charter School of the Bronx II</t>
  </si>
  <si>
    <t>KIPP NYC Washington Heights Academy Charter School</t>
  </si>
  <si>
    <t>Capital Preparatory Harlem Charter School</t>
  </si>
  <si>
    <t>Buffalo Creek Academy Charter School</t>
  </si>
  <si>
    <t>Capital Prep Charter Schools NY (Combined)</t>
  </si>
  <si>
    <t>Budgeted PPR</t>
  </si>
  <si>
    <t>Sisulu-Walker Charter School of Harlem</t>
  </si>
  <si>
    <r>
      <t xml:space="preserve"> Select from drop-down list </t>
    </r>
    <r>
      <rPr>
        <sz val="10"/>
        <color theme="1"/>
        <rFont val="Calibri"/>
        <family val="2"/>
      </rPr>
      <t>→</t>
    </r>
  </si>
  <si>
    <t xml:space="preserve"> Select from drop-down list →</t>
  </si>
  <si>
    <t>570101</t>
  </si>
  <si>
    <t>410401</t>
  </si>
  <si>
    <t>080101</t>
  </si>
  <si>
    <t>142101</t>
  </si>
  <si>
    <t>010100</t>
  </si>
  <si>
    <t>450101</t>
  </si>
  <si>
    <t>140101</t>
  </si>
  <si>
    <t>180202</t>
  </si>
  <si>
    <t>220202</t>
  </si>
  <si>
    <t>020101</t>
  </si>
  <si>
    <t>040302</t>
  </si>
  <si>
    <t>460102</t>
  </si>
  <si>
    <t>580303</t>
  </si>
  <si>
    <t>140201</t>
  </si>
  <si>
    <t>580106</t>
  </si>
  <si>
    <t>270100</t>
  </si>
  <si>
    <t>120102</t>
  </si>
  <si>
    <t>020601</t>
  </si>
  <si>
    <t>660405</t>
  </si>
  <si>
    <t>640101</t>
  </si>
  <si>
    <t>571901</t>
  </si>
  <si>
    <t>131601</t>
  </si>
  <si>
    <t>670201</t>
  </si>
  <si>
    <t>050100</t>
  </si>
  <si>
    <t>090201</t>
  </si>
  <si>
    <t>491302</t>
  </si>
  <si>
    <t>570201</t>
  </si>
  <si>
    <t>240101</t>
  </si>
  <si>
    <t>580101</t>
  </si>
  <si>
    <t>080201</t>
  </si>
  <si>
    <t>280210</t>
  </si>
  <si>
    <t>420901</t>
  </si>
  <si>
    <t>521301</t>
  </si>
  <si>
    <t>401301</t>
  </si>
  <si>
    <t>180300</t>
  </si>
  <si>
    <t>570302</t>
  </si>
  <si>
    <t>580501</t>
  </si>
  <si>
    <t>580505</t>
  </si>
  <si>
    <t>130200</t>
  </si>
  <si>
    <t>231301</t>
  </si>
  <si>
    <t>660102</t>
  </si>
  <si>
    <t>090301</t>
  </si>
  <si>
    <t>020801</t>
  </si>
  <si>
    <t>220909</t>
  </si>
  <si>
    <t>280207</t>
  </si>
  <si>
    <t>280253</t>
  </si>
  <si>
    <t>061001</t>
  </si>
  <si>
    <t>490101</t>
  </si>
  <si>
    <t>010201</t>
  </si>
  <si>
    <t>010306</t>
  </si>
  <si>
    <t>280521</t>
  </si>
  <si>
    <t>030200</t>
  </si>
  <si>
    <t>661905</t>
  </si>
  <si>
    <t>022902</t>
  </si>
  <si>
    <t>630101</t>
  </si>
  <si>
    <t>151801</t>
  </si>
  <si>
    <t>570401</t>
  </si>
  <si>
    <t>510101</t>
  </si>
  <si>
    <t>580512</t>
  </si>
  <si>
    <t>480601</t>
  </si>
  <si>
    <t>661402</t>
  </si>
  <si>
    <t>580909</t>
  </si>
  <si>
    <t>260101</t>
  </si>
  <si>
    <t>171102</t>
  </si>
  <si>
    <t>261801</t>
  </si>
  <si>
    <t>062301</t>
  </si>
  <si>
    <t>660303</t>
  </si>
  <si>
    <t>250109</t>
  </si>
  <si>
    <t>580203</t>
  </si>
  <si>
    <t>490202</t>
  </si>
  <si>
    <t>161601</t>
  </si>
  <si>
    <t>140600</t>
  </si>
  <si>
    <t>520101</t>
  </si>
  <si>
    <t>661201</t>
  </si>
  <si>
    <t>180701</t>
  </si>
  <si>
    <t>190301</t>
  </si>
  <si>
    <t>240201</t>
  </si>
  <si>
    <t>641610</t>
  </si>
  <si>
    <t>410601</t>
  </si>
  <si>
    <t>570603</t>
  </si>
  <si>
    <t>270301</t>
  </si>
  <si>
    <t>430300</t>
  </si>
  <si>
    <t>021102</t>
  </si>
  <si>
    <t>250901</t>
  </si>
  <si>
    <t>600301</t>
  </si>
  <si>
    <t>571502</t>
  </si>
  <si>
    <t>510201</t>
  </si>
  <si>
    <t>280411</t>
  </si>
  <si>
    <t>480102</t>
  </si>
  <si>
    <t>222201</t>
  </si>
  <si>
    <t>060401</t>
  </si>
  <si>
    <t>050401</t>
  </si>
  <si>
    <t>190401</t>
  </si>
  <si>
    <t>042302</t>
  </si>
  <si>
    <t>250201</t>
  </si>
  <si>
    <t>580233</t>
  </si>
  <si>
    <t>580513</t>
  </si>
  <si>
    <t>460801</t>
  </si>
  <si>
    <t>212101</t>
  </si>
  <si>
    <t>661004</t>
  </si>
  <si>
    <t>120401</t>
  </si>
  <si>
    <t>160801</t>
  </si>
  <si>
    <t>101001</t>
  </si>
  <si>
    <t>060503</t>
  </si>
  <si>
    <t>090601</t>
  </si>
  <si>
    <t>140701</t>
  </si>
  <si>
    <t>140702</t>
  </si>
  <si>
    <t>140709</t>
  </si>
  <si>
    <t>030101</t>
  </si>
  <si>
    <t>030701</t>
  </si>
  <si>
    <t>472202</t>
  </si>
  <si>
    <t>440201</t>
  </si>
  <si>
    <t>251601</t>
  </si>
  <si>
    <t>261501</t>
  </si>
  <si>
    <t>110101</t>
  </si>
  <si>
    <t>140801</t>
  </si>
  <si>
    <t>500101</t>
  </si>
  <si>
    <t>140703</t>
  </si>
  <si>
    <t>510401</t>
  </si>
  <si>
    <t>411101</t>
  </si>
  <si>
    <t>650301</t>
  </si>
  <si>
    <t>060701</t>
  </si>
  <si>
    <t>541102</t>
  </si>
  <si>
    <t>010500</t>
  </si>
  <si>
    <t>580402</t>
  </si>
  <si>
    <t>510501</t>
  </si>
  <si>
    <t>580410</t>
  </si>
  <si>
    <t>580507</t>
  </si>
  <si>
    <t>471701</t>
  </si>
  <si>
    <t>230201</t>
  </si>
  <si>
    <t>580105</t>
  </si>
  <si>
    <t>520401</t>
  </si>
  <si>
    <t>571000</t>
  </si>
  <si>
    <t>440301</t>
  </si>
  <si>
    <t>110200</t>
  </si>
  <si>
    <t>190501</t>
  </si>
  <si>
    <t>660202</t>
  </si>
  <si>
    <t>150203</t>
  </si>
  <si>
    <t>022302</t>
  </si>
  <si>
    <t>241101</t>
  </si>
  <si>
    <t>241001</t>
  </si>
  <si>
    <t>580107</t>
  </si>
  <si>
    <t>120501</t>
  </si>
  <si>
    <t>140707</t>
  </si>
  <si>
    <t>031301</t>
  </si>
  <si>
    <t>250301</t>
  </si>
  <si>
    <t>660403</t>
  </si>
  <si>
    <t>211003</t>
  </si>
  <si>
    <t>130502</t>
  </si>
  <si>
    <t>120301</t>
  </si>
  <si>
    <t>610301</t>
  </si>
  <si>
    <t>530101</t>
  </si>
  <si>
    <t>680801</t>
  </si>
  <si>
    <t>060800</t>
  </si>
  <si>
    <t>140301</t>
  </si>
  <si>
    <t>430501</t>
  </si>
  <si>
    <t>490301</t>
  </si>
  <si>
    <t>580301</t>
  </si>
  <si>
    <t>260801</t>
  </si>
  <si>
    <t>580503</t>
  </si>
  <si>
    <t>280203</t>
  </si>
  <si>
    <t>580234</t>
  </si>
  <si>
    <t>580917</t>
  </si>
  <si>
    <t>500402</t>
  </si>
  <si>
    <t>261313</t>
  </si>
  <si>
    <t>280219</t>
  </si>
  <si>
    <t>420401</t>
  </si>
  <si>
    <t>280402</t>
  </si>
  <si>
    <t>660301</t>
  </si>
  <si>
    <t>580912</t>
  </si>
  <si>
    <t>141201</t>
  </si>
  <si>
    <t>660406</t>
  </si>
  <si>
    <t>520601</t>
  </si>
  <si>
    <t>470501</t>
  </si>
  <si>
    <t>513102</t>
  </si>
  <si>
    <t>180901</t>
  </si>
  <si>
    <t>590801</t>
  </si>
  <si>
    <t>622002</t>
  </si>
  <si>
    <t>040901</t>
  </si>
  <si>
    <t>070600</t>
  </si>
  <si>
    <t>070902</t>
  </si>
  <si>
    <t>280216</t>
  </si>
  <si>
    <t>660409</t>
  </si>
  <si>
    <t>580401</t>
  </si>
  <si>
    <t>141401</t>
  </si>
  <si>
    <t>420601</t>
  </si>
  <si>
    <t>261301</t>
  </si>
  <si>
    <t>061101</t>
  </si>
  <si>
    <t>590501</t>
  </si>
  <si>
    <t>280522</t>
  </si>
  <si>
    <t>421001</t>
  </si>
  <si>
    <t>022001</t>
  </si>
  <si>
    <t>580514</t>
  </si>
  <si>
    <t>581004</t>
  </si>
  <si>
    <t>280222</t>
  </si>
  <si>
    <t>442115</t>
  </si>
  <si>
    <t>270601</t>
  </si>
  <si>
    <t>061503</t>
  </si>
  <si>
    <t>640502</t>
  </si>
  <si>
    <t>640601</t>
  </si>
  <si>
    <t>270701</t>
  </si>
  <si>
    <t>210402</t>
  </si>
  <si>
    <t>120701</t>
  </si>
  <si>
    <t>280217</t>
  </si>
  <si>
    <t>041101</t>
  </si>
  <si>
    <t>062201</t>
  </si>
  <si>
    <t>280209</t>
  </si>
  <si>
    <t>060301</t>
  </si>
  <si>
    <t>021601</t>
  </si>
  <si>
    <t>141604</t>
  </si>
  <si>
    <t>460500</t>
  </si>
  <si>
    <t>520701</t>
  </si>
  <si>
    <t>650902</t>
  </si>
  <si>
    <t>280218</t>
  </si>
  <si>
    <t>480404</t>
  </si>
  <si>
    <t>260401</t>
  </si>
  <si>
    <t>220401</t>
  </si>
  <si>
    <t>020702</t>
  </si>
  <si>
    <t>240401</t>
  </si>
  <si>
    <t>430700</t>
  </si>
  <si>
    <t>081401</t>
  </si>
  <si>
    <t>100902</t>
  </si>
  <si>
    <t>470202</t>
  </si>
  <si>
    <t>540801</t>
  </si>
  <si>
    <t>280100</t>
  </si>
  <si>
    <t>630300</t>
  </si>
  <si>
    <t>630918</t>
  </si>
  <si>
    <t>170500</t>
  </si>
  <si>
    <t>430901</t>
  </si>
  <si>
    <t>440601</t>
  </si>
  <si>
    <t>511101</t>
  </si>
  <si>
    <t>042801</t>
  </si>
  <si>
    <t>141501</t>
  </si>
  <si>
    <t>640701</t>
  </si>
  <si>
    <t>280407</t>
  </si>
  <si>
    <t>260501</t>
  </si>
  <si>
    <t>010701</t>
  </si>
  <si>
    <t>660407</t>
  </si>
  <si>
    <t>080601</t>
  </si>
  <si>
    <t>581010</t>
  </si>
  <si>
    <t>190701</t>
  </si>
  <si>
    <t>640801</t>
  </si>
  <si>
    <t>442111</t>
  </si>
  <si>
    <t>610501</t>
  </si>
  <si>
    <t>010802</t>
  </si>
  <si>
    <t>630801</t>
  </si>
  <si>
    <t>480401</t>
  </si>
  <si>
    <t>580405</t>
  </si>
  <si>
    <t>141601</t>
  </si>
  <si>
    <t>250701</t>
  </si>
  <si>
    <t>511201</t>
  </si>
  <si>
    <t>572901</t>
  </si>
  <si>
    <t>580905</t>
  </si>
  <si>
    <t>120906</t>
  </si>
  <si>
    <t>460701</t>
  </si>
  <si>
    <t>580406</t>
  </si>
  <si>
    <t>030501</t>
  </si>
  <si>
    <t>660501</t>
  </si>
  <si>
    <t>230301</t>
  </si>
  <si>
    <t>641001</t>
  </si>
  <si>
    <t>660404</t>
  </si>
  <si>
    <t>580506</t>
  </si>
  <si>
    <t>500201</t>
  </si>
  <si>
    <t>280201</t>
  </si>
  <si>
    <t>660203</t>
  </si>
  <si>
    <t>210601</t>
  </si>
  <si>
    <t>511301</t>
  </si>
  <si>
    <t>280409</t>
  </si>
  <si>
    <t>512404</t>
  </si>
  <si>
    <t>280214</t>
  </si>
  <si>
    <t>280517</t>
  </si>
  <si>
    <t>620803</t>
  </si>
  <si>
    <t>440901</t>
  </si>
  <si>
    <t>261101</t>
  </si>
  <si>
    <t>041401</t>
  </si>
  <si>
    <t>141701</t>
  </si>
  <si>
    <t>412201</t>
  </si>
  <si>
    <t>450704</t>
  </si>
  <si>
    <t>110701</t>
  </si>
  <si>
    <t>431401</t>
  </si>
  <si>
    <t>260901</t>
  </si>
  <si>
    <t>491401</t>
  </si>
  <si>
    <t>490501</t>
  </si>
  <si>
    <t>571800</t>
  </si>
  <si>
    <t>070901</t>
  </si>
  <si>
    <t>101300</t>
  </si>
  <si>
    <t>641301</t>
  </si>
  <si>
    <t>190901</t>
  </si>
  <si>
    <t>580403</t>
  </si>
  <si>
    <t>130801</t>
  </si>
  <si>
    <t>200401</t>
  </si>
  <si>
    <t>220301</t>
  </si>
  <si>
    <t>200501</t>
  </si>
  <si>
    <t>141301</t>
  </si>
  <si>
    <t>660402</t>
  </si>
  <si>
    <t>280231</t>
  </si>
  <si>
    <t>280226</t>
  </si>
  <si>
    <t>580502</t>
  </si>
  <si>
    <t>610600</t>
  </si>
  <si>
    <t>061700</t>
  </si>
  <si>
    <t>420411</t>
  </si>
  <si>
    <t>572702</t>
  </si>
  <si>
    <t>540901</t>
  </si>
  <si>
    <t>280515</t>
  </si>
  <si>
    <t>630601</t>
  </si>
  <si>
    <t>031502</t>
  </si>
  <si>
    <t>170600</t>
  </si>
  <si>
    <t>420501</t>
  </si>
  <si>
    <t>660101</t>
  </si>
  <si>
    <t>150601</t>
  </si>
  <si>
    <t>450607</t>
  </si>
  <si>
    <t>142601</t>
  </si>
  <si>
    <t>101401</t>
  </si>
  <si>
    <t>580805</t>
  </si>
  <si>
    <t>620600</t>
  </si>
  <si>
    <t>441202</t>
  </si>
  <si>
    <t>221401</t>
  </si>
  <si>
    <t>141800</t>
  </si>
  <si>
    <t>420807</t>
  </si>
  <si>
    <t>630701</t>
  </si>
  <si>
    <t>151102</t>
  </si>
  <si>
    <t>200601</t>
  </si>
  <si>
    <t>662401</t>
  </si>
  <si>
    <t>141901</t>
  </si>
  <si>
    <t>610801</t>
  </si>
  <si>
    <t>490601</t>
  </si>
  <si>
    <t>470801</t>
  </si>
  <si>
    <t>280215</t>
  </si>
  <si>
    <t>181001</t>
  </si>
  <si>
    <t>670401</t>
  </si>
  <si>
    <t>280205</t>
  </si>
  <si>
    <t>400301</t>
  </si>
  <si>
    <t>590901</t>
  </si>
  <si>
    <t>580104</t>
  </si>
  <si>
    <t>511602</t>
  </si>
  <si>
    <t>210800</t>
  </si>
  <si>
    <t>421501</t>
  </si>
  <si>
    <t>591302</t>
  </si>
  <si>
    <t>240801</t>
  </si>
  <si>
    <t>400400</t>
  </si>
  <si>
    <t>280503</t>
  </si>
  <si>
    <t>280300</t>
  </si>
  <si>
    <t>200701</t>
  </si>
  <si>
    <t>580212</t>
  </si>
  <si>
    <t>230901</t>
  </si>
  <si>
    <t>221301</t>
  </si>
  <si>
    <t>280220</t>
  </si>
  <si>
    <t>421504</t>
  </si>
  <si>
    <t>451001</t>
  </si>
  <si>
    <t>650501</t>
  </si>
  <si>
    <t>251101</t>
  </si>
  <si>
    <t>511901</t>
  </si>
  <si>
    <t>480101</t>
  </si>
  <si>
    <t>031101</t>
  </si>
  <si>
    <t>161501</t>
  </si>
  <si>
    <t>280212</t>
  </si>
  <si>
    <t>660701</t>
  </si>
  <si>
    <t>431101</t>
  </si>
  <si>
    <t>280406</t>
  </si>
  <si>
    <t>110901</t>
  </si>
  <si>
    <t>421101</t>
  </si>
  <si>
    <t>121401</t>
  </si>
  <si>
    <t>650701</t>
  </si>
  <si>
    <t>621001</t>
  </si>
  <si>
    <t>280523</t>
  </si>
  <si>
    <t>512001</t>
  </si>
  <si>
    <t>581012</t>
  </si>
  <si>
    <t>170801</t>
  </si>
  <si>
    <t>110304</t>
  </si>
  <si>
    <t>521200</t>
  </si>
  <si>
    <t>450801</t>
  </si>
  <si>
    <t>010615</t>
  </si>
  <si>
    <t>280225</t>
  </si>
  <si>
    <t>460901</t>
  </si>
  <si>
    <t>580211</t>
  </si>
  <si>
    <t>541001</t>
  </si>
  <si>
    <t>441000</t>
  </si>
  <si>
    <t>471101</t>
  </si>
  <si>
    <t>132201</t>
  </si>
  <si>
    <t>580208</t>
  </si>
  <si>
    <t>280410</t>
  </si>
  <si>
    <t>150801</t>
  </si>
  <si>
    <t>441101</t>
  </si>
  <si>
    <t>441201</t>
  </si>
  <si>
    <t>580306</t>
  </si>
  <si>
    <t>591401</t>
  </si>
  <si>
    <t>051301</t>
  </si>
  <si>
    <t>150901</t>
  </si>
  <si>
    <t>471201</t>
  </si>
  <si>
    <t>512101</t>
  </si>
  <si>
    <t>250401</t>
  </si>
  <si>
    <t>212001</t>
  </si>
  <si>
    <t>240901</t>
  </si>
  <si>
    <t>660801</t>
  </si>
  <si>
    <t>580207</t>
  </si>
  <si>
    <t>660900</t>
  </si>
  <si>
    <t>500108</t>
  </si>
  <si>
    <t>431201</t>
  </si>
  <si>
    <t>411501</t>
  </si>
  <si>
    <t>280405</t>
  </si>
  <si>
    <t>101601</t>
  </si>
  <si>
    <t>621101</t>
  </si>
  <si>
    <t>661100</t>
  </si>
  <si>
    <t>581015</t>
  </si>
  <si>
    <t>650101</t>
  </si>
  <si>
    <t>600402</t>
  </si>
  <si>
    <t>441600</t>
  </si>
  <si>
    <t>151001</t>
  </si>
  <si>
    <t>400601</t>
  </si>
  <si>
    <t>610901</t>
  </si>
  <si>
    <t>400800</t>
  </si>
  <si>
    <t>400701</t>
  </si>
  <si>
    <t>530301</t>
  </si>
  <si>
    <t>580103</t>
  </si>
  <si>
    <t>280204</t>
  </si>
  <si>
    <t>142201</t>
  </si>
  <si>
    <t>010623</t>
  </si>
  <si>
    <t>490801</t>
  </si>
  <si>
    <t>280229</t>
  </si>
  <si>
    <t>651501</t>
  </si>
  <si>
    <t>661301</t>
  </si>
  <si>
    <t>280501</t>
  </si>
  <si>
    <t>420303</t>
  </si>
  <si>
    <t>400900</t>
  </si>
  <si>
    <t>630202</t>
  </si>
  <si>
    <t>131101</t>
  </si>
  <si>
    <t>090501</t>
  </si>
  <si>
    <t>090901</t>
  </si>
  <si>
    <t>580404</t>
  </si>
  <si>
    <t>170901</t>
  </si>
  <si>
    <t>081200</t>
  </si>
  <si>
    <t>512201</t>
  </si>
  <si>
    <t>411504</t>
  </si>
  <si>
    <t>500304</t>
  </si>
  <si>
    <t>300000</t>
  </si>
  <si>
    <t>181101</t>
  </si>
  <si>
    <t>280211</t>
  </si>
  <si>
    <t>550101</t>
  </si>
  <si>
    <t>512300</t>
  </si>
  <si>
    <t>042400</t>
  </si>
  <si>
    <t>251400</t>
  </si>
  <si>
    <t>471400</t>
  </si>
  <si>
    <t>421201</t>
  </si>
  <si>
    <t>621201</t>
  </si>
  <si>
    <t>271201</t>
  </si>
  <si>
    <t>142301</t>
  </si>
  <si>
    <t>412901</t>
  </si>
  <si>
    <t>661401</t>
  </si>
  <si>
    <t>461300</t>
  </si>
  <si>
    <t>471601</t>
  </si>
  <si>
    <t>600601</t>
  </si>
  <si>
    <t>081501</t>
  </si>
  <si>
    <t>280506</t>
  </si>
  <si>
    <t>581002</t>
  </si>
  <si>
    <t>650901</t>
  </si>
  <si>
    <t>061601</t>
  </si>
  <si>
    <t>512501</t>
  </si>
  <si>
    <t>580224</t>
  </si>
  <si>
    <t>181201</t>
  </si>
  <si>
    <t>131201</t>
  </si>
  <si>
    <t>500308</t>
  </si>
  <si>
    <t>661500</t>
  </si>
  <si>
    <t>661601</t>
  </si>
  <si>
    <t>181302</t>
  </si>
  <si>
    <t>261201</t>
  </si>
  <si>
    <t>680601</t>
  </si>
  <si>
    <t>671201</t>
  </si>
  <si>
    <t>091101</t>
  </si>
  <si>
    <t>431301</t>
  </si>
  <si>
    <t>462001</t>
  </si>
  <si>
    <t>440401</t>
  </si>
  <si>
    <t>131301</t>
  </si>
  <si>
    <t>060601</t>
  </si>
  <si>
    <t>261401</t>
  </si>
  <si>
    <t>280518</t>
  </si>
  <si>
    <t>280504</t>
  </si>
  <si>
    <t>091200</t>
  </si>
  <si>
    <t>660809</t>
  </si>
  <si>
    <t>660802</t>
  </si>
  <si>
    <t>211103</t>
  </si>
  <si>
    <t>051101</t>
  </si>
  <si>
    <t>661904</t>
  </si>
  <si>
    <t>580206</t>
  </si>
  <si>
    <t>441800</t>
  </si>
  <si>
    <t>280404</t>
  </si>
  <si>
    <t>042901</t>
  </si>
  <si>
    <t>512902</t>
  </si>
  <si>
    <t>131500</t>
  </si>
  <si>
    <t>572301</t>
  </si>
  <si>
    <t>461801</t>
  </si>
  <si>
    <t>641401</t>
  </si>
  <si>
    <t>480503</t>
  </si>
  <si>
    <t>630902</t>
  </si>
  <si>
    <t>580903</t>
  </si>
  <si>
    <t>500401</t>
  </si>
  <si>
    <t>043001</t>
  </si>
  <si>
    <t>010402</t>
  </si>
  <si>
    <t>651503</t>
  </si>
  <si>
    <t>131701</t>
  </si>
  <si>
    <t>411701</t>
  </si>
  <si>
    <t>580901</t>
  </si>
  <si>
    <t>491200</t>
  </si>
  <si>
    <t>131801</t>
  </si>
  <si>
    <t>472001</t>
  </si>
  <si>
    <t>062401</t>
  </si>
  <si>
    <t>580602</t>
  </si>
  <si>
    <t>261600</t>
  </si>
  <si>
    <t>280221</t>
  </si>
  <si>
    <t>580209</t>
  </si>
  <si>
    <t>411800</t>
  </si>
  <si>
    <t>560603</t>
  </si>
  <si>
    <t>620901</t>
  </si>
  <si>
    <t>280208</t>
  </si>
  <si>
    <t>591301</t>
  </si>
  <si>
    <t>280403</t>
  </si>
  <si>
    <t>530515</t>
  </si>
  <si>
    <t>121502</t>
  </si>
  <si>
    <t>401201</t>
  </si>
  <si>
    <t>261701</t>
  </si>
  <si>
    <t>661800</t>
  </si>
  <si>
    <t>661901</t>
  </si>
  <si>
    <t>580205</t>
  </si>
  <si>
    <t>221001</t>
  </si>
  <si>
    <t>580305</t>
  </si>
  <si>
    <t>580910</t>
  </si>
  <si>
    <t>043200</t>
  </si>
  <si>
    <t>641501</t>
  </si>
  <si>
    <t>161201</t>
  </si>
  <si>
    <t>461901</t>
  </si>
  <si>
    <t>091402</t>
  </si>
  <si>
    <t>161401</t>
  </si>
  <si>
    <t>521800</t>
  </si>
  <si>
    <t>621601</t>
  </si>
  <si>
    <t>411603</t>
  </si>
  <si>
    <t>580504</t>
  </si>
  <si>
    <t>662001</t>
  </si>
  <si>
    <t>530501</t>
  </si>
  <si>
    <t>530600</t>
  </si>
  <si>
    <t>470901</t>
  </si>
  <si>
    <t>491501</t>
  </si>
  <si>
    <t>541201</t>
  </si>
  <si>
    <t>151401</t>
  </si>
  <si>
    <t>521701</t>
  </si>
  <si>
    <t>022401</t>
  </si>
  <si>
    <t>530202</t>
  </si>
  <si>
    <t>280206</t>
  </si>
  <si>
    <t>560701</t>
  </si>
  <si>
    <t>280252</t>
  </si>
  <si>
    <t>541401</t>
  </si>
  <si>
    <t>580701</t>
  </si>
  <si>
    <t>520302</t>
  </si>
  <si>
    <t>082001</t>
  </si>
  <si>
    <t>062601</t>
  </si>
  <si>
    <t>412000</t>
  </si>
  <si>
    <t>580601</t>
  </si>
  <si>
    <t>121601</t>
  </si>
  <si>
    <t>061501</t>
  </si>
  <si>
    <t>421601</t>
  </si>
  <si>
    <t>580801</t>
  </si>
  <si>
    <t>651201</t>
  </si>
  <si>
    <t>420702</t>
  </si>
  <si>
    <t>662101</t>
  </si>
  <si>
    <t>010601</t>
  </si>
  <si>
    <t>580235</t>
  </si>
  <si>
    <t>521401</t>
  </si>
  <si>
    <t>580413</t>
  </si>
  <si>
    <t>220101</t>
  </si>
  <si>
    <t>121702</t>
  </si>
  <si>
    <t>231101</t>
  </si>
  <si>
    <t>500301</t>
  </si>
  <si>
    <t>560501</t>
  </si>
  <si>
    <t>580906</t>
  </si>
  <si>
    <t>050701</t>
  </si>
  <si>
    <t>581005</t>
  </si>
  <si>
    <t>060201</t>
  </si>
  <si>
    <t>131602</t>
  </si>
  <si>
    <t>261001</t>
  </si>
  <si>
    <t>600801</t>
  </si>
  <si>
    <t>580304</t>
  </si>
  <si>
    <t>141101</t>
  </si>
  <si>
    <t>161801</t>
  </si>
  <si>
    <t>121701</t>
  </si>
  <si>
    <t>401001</t>
  </si>
  <si>
    <t>522001</t>
  </si>
  <si>
    <t>251501</t>
  </si>
  <si>
    <t>591502</t>
  </si>
  <si>
    <t>030601</t>
  </si>
  <si>
    <t>140207</t>
  </si>
  <si>
    <t>280502</t>
  </si>
  <si>
    <t>421800</t>
  </si>
  <si>
    <t>100501</t>
  </si>
  <si>
    <t>220701</t>
  </si>
  <si>
    <t>580201</t>
  </si>
  <si>
    <t>151501</t>
  </si>
  <si>
    <t>600903</t>
  </si>
  <si>
    <t>142500</t>
  </si>
  <si>
    <t>211901</t>
  </si>
  <si>
    <t>591201</t>
  </si>
  <si>
    <t>491700</t>
  </si>
  <si>
    <t>611001</t>
  </si>
  <si>
    <t>580913</t>
  </si>
  <si>
    <t>660302</t>
  </si>
  <si>
    <t>421902</t>
  </si>
  <si>
    <t>160101</t>
  </si>
  <si>
    <t>441903</t>
  </si>
  <si>
    <t>660401</t>
  </si>
  <si>
    <t>081003</t>
  </si>
  <si>
    <t>051901</t>
  </si>
  <si>
    <t>280202</t>
  </si>
  <si>
    <t>031501</t>
  </si>
  <si>
    <t>412300</t>
  </si>
  <si>
    <t>660805</t>
  </si>
  <si>
    <t>441301</t>
  </si>
  <si>
    <t>280213</t>
  </si>
  <si>
    <t>280224</t>
  </si>
  <si>
    <t>280230</t>
  </si>
  <si>
    <t>280251</t>
  </si>
  <si>
    <t>211701</t>
  </si>
  <si>
    <t>031601</t>
  </si>
  <si>
    <t>431701</t>
  </si>
  <si>
    <t>011003</t>
  </si>
  <si>
    <t>580302</t>
  </si>
  <si>
    <t>621801</t>
  </si>
  <si>
    <t>121901</t>
  </si>
  <si>
    <t>280223</t>
  </si>
  <si>
    <t>132101</t>
  </si>
  <si>
    <t>631201</t>
  </si>
  <si>
    <t>671501</t>
  </si>
  <si>
    <t>442101</t>
  </si>
  <si>
    <t>440102</t>
  </si>
  <si>
    <t>522101</t>
  </si>
  <si>
    <t>561006</t>
  </si>
  <si>
    <t>222000</t>
  </si>
  <si>
    <t>411902</t>
  </si>
  <si>
    <t>011200</t>
  </si>
  <si>
    <t>550301</t>
  </si>
  <si>
    <t>600101</t>
  </si>
  <si>
    <t>573002</t>
  </si>
  <si>
    <t>650801</t>
  </si>
  <si>
    <t>261901</t>
  </si>
  <si>
    <t>050301</t>
  </si>
  <si>
    <t>200901</t>
  </si>
  <si>
    <t>022601</t>
  </si>
  <si>
    <t>580102</t>
  </si>
  <si>
    <t>210302</t>
  </si>
  <si>
    <t>420101</t>
  </si>
  <si>
    <t>280227</t>
  </si>
  <si>
    <t>260803</t>
  </si>
  <si>
    <t>580509</t>
  </si>
  <si>
    <t>142801</t>
  </si>
  <si>
    <t>040204</t>
  </si>
  <si>
    <t>280401</t>
  </si>
  <si>
    <t>062901</t>
  </si>
  <si>
    <t>580902</t>
  </si>
  <si>
    <t>420701</t>
  </si>
  <si>
    <t>412801</t>
  </si>
  <si>
    <t>262001</t>
  </si>
  <si>
    <t>170301</t>
  </si>
  <si>
    <t>662200</t>
  </si>
  <si>
    <t>641701</t>
  </si>
  <si>
    <t>412902</t>
  </si>
  <si>
    <t>022101</t>
  </si>
  <si>
    <t>031401</t>
  </si>
  <si>
    <t>580232</t>
  </si>
  <si>
    <t>651402</t>
  </si>
  <si>
    <t>140203</t>
  </si>
  <si>
    <t>151701</t>
  </si>
  <si>
    <t>401501</t>
  </si>
  <si>
    <t>191401</t>
  </si>
  <si>
    <t>031701</t>
  </si>
  <si>
    <t>472506</t>
  </si>
  <si>
    <t>580109</t>
  </si>
  <si>
    <t>490804</t>
  </si>
  <si>
    <t>671002</t>
  </si>
  <si>
    <t>662300</t>
  </si>
  <si>
    <t>241701</t>
  </si>
  <si>
    <t>043501</t>
  </si>
  <si>
    <t>662402</t>
  </si>
  <si>
    <t>KIPP Beyond Charter School</t>
  </si>
  <si>
    <t>Earl Monroe New Renaissance Basketball Charter School</t>
  </si>
  <si>
    <t>Buffalo Commons Charter School</t>
  </si>
  <si>
    <t>Zeta Charter School - Mount Eden</t>
  </si>
  <si>
    <t>Zeta Charter School - Tremont Park</t>
  </si>
  <si>
    <t>Amber Charter School Inwood</t>
  </si>
  <si>
    <t xml:space="preserve">Achievement First Legacy Charter School </t>
  </si>
  <si>
    <t>Leaders In Our Neighborhood Charter School</t>
  </si>
  <si>
    <t>Achievement First Charter School 11</t>
  </si>
  <si>
    <t>Destine Preparatory Charter School</t>
  </si>
  <si>
    <t>DREAM Charter School Highbridge</t>
  </si>
  <si>
    <t>Family Life Academy Charter Schools High School</t>
  </si>
  <si>
    <t>Genessee Community Charter School - Flour City Campus</t>
  </si>
  <si>
    <t>Brooklyn Prospect Charter School - CSD 13.2</t>
  </si>
  <si>
    <t>Intellectus Preparatory Charter School</t>
  </si>
  <si>
    <t>Little Water Preparatory Charter School</t>
  </si>
  <si>
    <t>Our World Neighborhood Charter School 3</t>
  </si>
  <si>
    <t>Rochester Academy of Science Charter School</t>
  </si>
  <si>
    <t>South Shore Charter School</t>
  </si>
  <si>
    <t>Success Academy Charter School - NYC 3</t>
  </si>
  <si>
    <t>Success Academy Charter School - NYC 11</t>
  </si>
  <si>
    <t>Academy Charter School - Wyandanch, The</t>
  </si>
  <si>
    <t>KIPP Troy Prep Charter School</t>
  </si>
  <si>
    <t>KIPP Albany Community Charter School</t>
  </si>
  <si>
    <t>KIPP Capital Region Public Charter Schools</t>
  </si>
  <si>
    <t>Final 2022-23 Basic Tuition*</t>
  </si>
  <si>
    <t>Right of Use Asset</t>
  </si>
  <si>
    <t>Lease Liability</t>
  </si>
  <si>
    <t>LEASE LIABILITY, less current portion</t>
  </si>
  <si>
    <t>Abraham Wing School</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</si>
  <si>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</si>
  <si>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</si>
  <si>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</si>
  <si>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</si>
  <si>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</si>
  <si>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</si>
  <si>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</si>
  <si>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</si>
  <si>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</si>
  <si>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</si>
  <si>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</si>
  <si>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</si>
  <si>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</si>
  <si>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</si>
  <si>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</si>
  <si>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</si>
  <si>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</si>
  <si>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</si>
  <si>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</si>
  <si>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</si>
  <si>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</si>
  <si>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</si>
  <si>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</si>
  <si>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Auburn Enlarged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</si>
  <si>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</si>
  <si>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</si>
  <si>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</si>
  <si>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</si>
  <si>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</si>
  <si>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</si>
  <si>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</si>
  <si>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</si>
  <si>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</si>
  <si>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</si>
  <si>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</si>
  <si>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</si>
  <si>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</si>
  <si>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</si>
  <si>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</si>
  <si>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</si>
  <si>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</si>
  <si>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</si>
  <si>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</si>
  <si>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 Henderson Central School District</t>
  </si>
  <si>
    <t>Bellmore Union Free School District</t>
  </si>
  <si>
    <t>Bellmore-Merrick Central High School District</t>
  </si>
  <si>
    <t>Bemus Point Central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</si>
  <si>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</si>
  <si>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</si>
  <si>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</si>
  <si>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</si>
  <si>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</si>
  <si>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</si>
  <si>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Bloomfield Central School District</t>
  </si>
  <si>
    <t>Bolivar-Richburg Central School District</t>
  </si>
  <si>
    <t>Bolton Central School District</t>
  </si>
  <si>
    <t>Boquet Valley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</si>
  <si>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</si>
  <si>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</si>
  <si>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</si>
  <si>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</si>
  <si>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</si>
  <si>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</si>
  <si>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</si>
  <si>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</si>
  <si>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</si>
  <si>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</si>
  <si>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</si>
  <si>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</si>
  <si>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Brunswick Central School District</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</si>
  <si>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</si>
  <si>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</si>
  <si>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</si>
  <si>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</si>
  <si>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</si>
  <si>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</si>
  <si>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</si>
  <si>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</si>
  <si>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</si>
  <si>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</si>
  <si>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</si>
  <si>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</si>
  <si>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</si>
  <si>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</si>
  <si>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</si>
  <si>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Central School District</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</si>
  <si>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</si>
  <si>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</si>
  <si>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</si>
  <si>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</si>
  <si>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</si>
  <si>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</si>
  <si>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</si>
  <si>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</si>
  <si>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</si>
  <si>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</si>
  <si>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</si>
  <si>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</si>
  <si>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Central School District at Ilion-Mohawk</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</si>
  <si>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</si>
  <si>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</si>
  <si>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</si>
  <si>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</si>
  <si>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</si>
  <si>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</si>
  <si>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</si>
  <si>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</si>
  <si>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</si>
  <si>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</si>
  <si>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</si>
  <si>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</si>
  <si>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</si>
  <si>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</si>
  <si>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</si>
  <si>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</si>
  <si>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</si>
  <si>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</si>
  <si>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</si>
  <si>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</si>
  <si>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</si>
  <si>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</si>
  <si>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</si>
  <si>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</si>
  <si>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</si>
  <si>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</si>
  <si>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</si>
  <si>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Comsewogue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</si>
  <si>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</si>
  <si>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</si>
  <si>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</si>
  <si>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</si>
  <si>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</si>
  <si>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</si>
  <si>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</si>
  <si>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</si>
  <si>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</si>
  <si>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</si>
  <si>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</si>
  <si>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</si>
  <si>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Dansville Central School District</t>
  </si>
  <si>
    <t>Deer Park Union Free School District</t>
  </si>
  <si>
    <t>Delhi Central School District</t>
  </si>
  <si>
    <t>Depew Union Free School District</t>
  </si>
  <si>
    <t>Deposit Central School District</t>
  </si>
  <si>
    <t>DeRuyter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</si>
  <si>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</si>
  <si>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</si>
  <si>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</si>
  <si>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</si>
  <si>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</si>
  <si>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</si>
  <si>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</si>
  <si>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</si>
  <si>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</si>
  <si>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</si>
  <si>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</si>
  <si>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</si>
  <si>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</si>
  <si>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</si>
  <si>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</si>
  <si>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</si>
  <si>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t>
  </si>
  <si>
    <t>East Rochester Union Free School District</t>
  </si>
  <si>
    <t>East Rockaway Union Free School District</t>
  </si>
  <si>
    <t>East Syracuse-Minoa Central School District</t>
  </si>
  <si>
    <t>East Williston Union Free School District</t>
  </si>
  <si>
    <t>Eastchester Union Free School District</t>
  </si>
  <si>
    <t>Eastport-South Manor Central School District</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</si>
  <si>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</si>
  <si>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</si>
  <si>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</si>
  <si>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</si>
  <si>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</si>
  <si>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</si>
  <si>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</si>
  <si>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</si>
  <si>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</si>
  <si>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</si>
  <si>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</si>
  <si>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</si>
  <si>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</si>
  <si>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</si>
  <si>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</si>
  <si>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</si>
  <si>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</si>
  <si>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</si>
  <si>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</si>
  <si>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</si>
  <si>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</si>
  <si>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</si>
  <si>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</si>
  <si>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</si>
  <si>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</si>
  <si>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</si>
  <si>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</si>
  <si>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</si>
  <si>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</si>
  <si>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</si>
  <si>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</si>
  <si>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</si>
  <si>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</si>
  <si>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</si>
  <si>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</si>
  <si>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</si>
  <si>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</si>
  <si>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</si>
  <si>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</si>
  <si>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</si>
  <si>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</si>
  <si>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</si>
  <si>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</si>
  <si>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</si>
  <si>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</si>
  <si>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</si>
  <si>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</si>
  <si>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</si>
  <si>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</si>
  <si>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Germantown Central School District</t>
  </si>
  <si>
    <t>Gilbertsville-Mount Upton Central School District</t>
  </si>
  <si>
    <t>Gilboa-Conesville Central School District</t>
  </si>
  <si>
    <t>Glen Cove City School District</t>
  </si>
  <si>
    <t>Glens Falls City School District</t>
  </si>
  <si>
    <t>Gloversville Enlarged City School District</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</si>
  <si>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</si>
  <si>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</si>
  <si>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</si>
  <si>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</si>
  <si>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</si>
  <si>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</si>
  <si>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</si>
  <si>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</si>
  <si>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7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</si>
  <si>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</si>
  <si>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</si>
  <si>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</si>
  <si>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</si>
  <si>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</si>
  <si>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</si>
  <si>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</si>
  <si>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</si>
  <si>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</si>
  <si>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</si>
  <si>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</si>
  <si>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</si>
  <si>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</si>
  <si>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</si>
  <si>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</si>
  <si>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</si>
  <si>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</si>
  <si>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</si>
  <si>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</si>
  <si>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</si>
  <si>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</si>
  <si>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</si>
  <si>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</si>
  <si>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</si>
  <si>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Hempstead Union Free School District</t>
  </si>
  <si>
    <t>Hendrick Hudson Central School District</t>
  </si>
  <si>
    <t>Herkimer Central School District</t>
  </si>
  <si>
    <t>Hermon Dekalb Central School District</t>
  </si>
  <si>
    <t>Herricks Union Free School District</t>
  </si>
  <si>
    <t>Heuvelton Central School District</t>
  </si>
  <si>
    <t>Hewlett-Woodmere Union Free School District</t>
  </si>
  <si>
    <t>Hicksville Union Free School District</t>
  </si>
  <si>
    <t>Highland Central School District</t>
  </si>
  <si>
    <t>Highland Falls-Fort Montgomery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</si>
  <si>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</si>
  <si>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</si>
  <si>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</si>
  <si>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</si>
  <si>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</si>
  <si>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</si>
  <si>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</si>
  <si>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</si>
  <si>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</si>
  <si>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</si>
  <si>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</si>
  <si>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</si>
  <si>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</si>
  <si>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</si>
  <si>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</si>
  <si>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</si>
  <si>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</si>
  <si>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Ichabod Crane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</si>
  <si>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</si>
  <si>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</si>
  <si>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</si>
  <si>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</si>
  <si>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</si>
  <si>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</si>
  <si>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</si>
  <si>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</si>
  <si>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</si>
  <si>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</si>
  <si>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</si>
  <si>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</si>
  <si>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</si>
  <si>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</si>
  <si>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</si>
  <si>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</si>
  <si>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</si>
  <si>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</si>
  <si>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</si>
  <si>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</si>
  <si>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</si>
  <si>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Kenmore-Town of Tonawanda Union Free School District</t>
  </si>
  <si>
    <t>Keshequa Central School District</t>
  </si>
  <si>
    <t>Kings Park Central School District</t>
  </si>
  <si>
    <t>Kingston City School District</t>
  </si>
  <si>
    <t>Kiryas Joel Village Union Free School District</t>
  </si>
  <si>
    <t>Lackawanna City School District</t>
  </si>
  <si>
    <t>Lafargeville Central School District</t>
  </si>
  <si>
    <t>Lafayette Central School District</t>
  </si>
  <si>
    <t>Lake George Central School District</t>
  </si>
  <si>
    <t>Lake Placid Central School District</t>
  </si>
  <si>
    <t>Lake Pleasant Central School District</t>
  </si>
  <si>
    <t>Lake Shore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</si>
  <si>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</si>
  <si>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</si>
  <si>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</si>
  <si>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</si>
  <si>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</si>
  <si>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</si>
  <si>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</si>
  <si>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</si>
  <si>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</si>
  <si>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</si>
  <si>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</si>
  <si>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</si>
  <si>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</si>
  <si>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</si>
  <si>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</si>
  <si>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</si>
  <si>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</si>
  <si>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</si>
  <si>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</si>
  <si>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</si>
  <si>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</si>
  <si>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</si>
  <si>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and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</si>
  <si>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</si>
  <si>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</si>
  <si>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</si>
  <si>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</si>
  <si>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</si>
  <si>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</si>
  <si>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</si>
  <si>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</si>
  <si>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</si>
  <si>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</si>
  <si>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</si>
  <si>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</si>
  <si>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t>
  </si>
  <si>
    <t>Manhasset Union Free School District</t>
  </si>
  <si>
    <t>Marathon Central School District</t>
  </si>
  <si>
    <t>Marcellus Central School District</t>
  </si>
  <si>
    <t>Marcus Whitman Central School District</t>
  </si>
  <si>
    <t>Margaretville Central School District</t>
  </si>
  <si>
    <t>Marion Central School District</t>
  </si>
  <si>
    <t>Marlboro Central School District</t>
  </si>
  <si>
    <t>Maryvale Union Free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</si>
  <si>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</si>
  <si>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</si>
  <si>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</si>
  <si>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</si>
  <si>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</si>
  <si>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</si>
  <si>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</si>
  <si>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</si>
  <si>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</si>
  <si>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Academy and Central School District</t>
  </si>
  <si>
    <t>Middle Country Central School District</t>
  </si>
  <si>
    <t>Middleburgh Central School District</t>
  </si>
  <si>
    <t>Middletown Enlarged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</si>
  <si>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</si>
  <si>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</si>
  <si>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</si>
  <si>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</si>
  <si>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</si>
  <si>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</si>
  <si>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Mohonasen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</si>
  <si>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</si>
  <si>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</si>
  <si>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</si>
  <si>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</si>
  <si>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</si>
  <si>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</si>
  <si>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</si>
  <si>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</si>
  <si>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</si>
  <si>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</si>
  <si>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</si>
  <si>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Sinai Union Free School District</t>
  </si>
  <si>
    <t>Mount Vernon City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</si>
  <si>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</si>
  <si>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</si>
  <si>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</si>
  <si>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</si>
  <si>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</si>
  <si>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</si>
  <si>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</si>
  <si>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</si>
  <si>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Department of Education</t>
  </si>
  <si>
    <t>New York Mills Union Free School District</t>
  </si>
  <si>
    <t>Newark Central School District</t>
  </si>
  <si>
    <t>Newark Valley Central School District</t>
  </si>
  <si>
    <t>Newburgh Enlarged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</si>
  <si>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</si>
  <si>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</si>
  <si>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</si>
  <si>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</si>
  <si>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</si>
  <si>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</si>
  <si>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</si>
  <si>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</si>
  <si>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</si>
  <si>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Central School District</t>
  </si>
  <si>
    <t>North Greenbush Common School District</t>
  </si>
  <si>
    <t>North Merrick Union Free School District</t>
  </si>
  <si>
    <t>North Rockland Central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</si>
  <si>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</si>
  <si>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</si>
  <si>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</si>
  <si>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</si>
  <si>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</si>
  <si>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</si>
  <si>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</si>
  <si>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</si>
  <si>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</si>
  <si>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</si>
  <si>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</si>
  <si>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</si>
  <si>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</si>
  <si>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</si>
  <si>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</si>
  <si>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</si>
  <si>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</si>
  <si>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</si>
  <si>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</si>
  <si>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</si>
  <si>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</si>
  <si>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</si>
  <si>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Oppenheim-Ephratah-St. Johnsville Central School District</t>
  </si>
  <si>
    <t>Orchard Park Central School District</t>
  </si>
  <si>
    <t>Oriskany Central School District</t>
  </si>
  <si>
    <t>Ossining Union Free School District</t>
  </si>
  <si>
    <t>Oswego City School District</t>
  </si>
  <si>
    <t>Otselic Valley Central School District at Georgetown-South Otselic</t>
  </si>
  <si>
    <t>Owego-Apalachin Central School District</t>
  </si>
  <si>
    <t>Owen D. Young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</si>
  <si>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</si>
  <si>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</si>
  <si>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</si>
  <si>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</si>
  <si>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</si>
  <si>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</si>
  <si>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</si>
  <si>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</si>
  <si>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</si>
  <si>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</si>
  <si>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</si>
  <si>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</si>
  <si>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</si>
  <si>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</si>
  <si>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</si>
  <si>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</si>
  <si>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</si>
  <si>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</si>
  <si>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</si>
  <si>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</si>
  <si>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</si>
  <si>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t>
  </si>
  <si>
    <t>Pioneer Central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</si>
  <si>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</si>
  <si>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</si>
  <si>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</si>
  <si>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</si>
  <si>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</si>
  <si>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</si>
  <si>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</si>
  <si>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</si>
  <si>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</si>
  <si>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</si>
  <si>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</si>
  <si>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</si>
  <si>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</si>
  <si>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</si>
  <si>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</si>
  <si>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</si>
  <si>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(Academy) Central School District</t>
  </si>
  <si>
    <t>Putnam Central School District</t>
  </si>
  <si>
    <t>Putnam Valley Central School District</t>
  </si>
  <si>
    <t>Queensbury Union Free School District</t>
  </si>
  <si>
    <t>Quogue Union Free School District</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</si>
  <si>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</si>
  <si>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</si>
  <si>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</si>
  <si>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</si>
  <si>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</si>
  <si>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</si>
  <si>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</si>
  <si>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</si>
  <si>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</si>
  <si>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</si>
  <si>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</si>
  <si>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</si>
  <si>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</si>
  <si>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</si>
  <si>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</si>
  <si>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</si>
  <si>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</si>
  <si>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</si>
  <si>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</si>
  <si>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</si>
  <si>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</si>
  <si>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</si>
  <si>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</si>
  <si>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</si>
  <si>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</si>
  <si>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</si>
  <si>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</si>
  <si>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</si>
  <si>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</si>
  <si>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</si>
  <si>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</si>
  <si>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</si>
  <si>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</si>
  <si>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</si>
  <si>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</si>
  <si>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</si>
  <si>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Saratoga Springs City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</si>
  <si>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</si>
  <si>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</si>
  <si>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</si>
  <si>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</si>
  <si>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</si>
  <si>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</si>
  <si>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</si>
  <si>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</si>
  <si>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</si>
  <si>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</si>
  <si>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</si>
  <si>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</si>
  <si>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</si>
  <si>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</si>
  <si>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</si>
  <si>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</si>
  <si>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</si>
  <si>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</si>
  <si>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</si>
  <si>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</si>
  <si>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</si>
  <si>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</si>
  <si>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</si>
  <si>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</si>
  <si>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</si>
  <si>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</si>
  <si>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</si>
  <si>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</si>
  <si>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</si>
  <si>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</si>
  <si>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</si>
  <si>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</si>
  <si>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</si>
  <si>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</si>
  <si>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</si>
  <si>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</si>
  <si>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</si>
  <si>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</si>
  <si>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</si>
  <si>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</si>
  <si>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</si>
  <si>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t>
  </si>
  <si>
    <t>Spackenkill Union Free School District</t>
  </si>
  <si>
    <t>Spencerport Central School District</t>
  </si>
  <si>
    <t>Spencer-Van Etten Central School District</t>
  </si>
  <si>
    <t>Springs Union Free School District</t>
  </si>
  <si>
    <t>Springville-Griffith Institute Central School District</t>
  </si>
  <si>
    <t>Stamford Central School District</t>
  </si>
  <si>
    <t>Starpoint Central School District</t>
  </si>
  <si>
    <t>Stillwater Central School District</t>
  </si>
  <si>
    <t>Stockbridge Valley Central School District</t>
  </si>
  <si>
    <t>Suffern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</si>
  <si>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</si>
  <si>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</si>
  <si>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</si>
  <si>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</si>
  <si>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</si>
  <si>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</si>
  <si>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Tarrytown Union Free School District</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</si>
  <si>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</si>
  <si>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</si>
  <si>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</si>
  <si>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</si>
  <si>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</si>
  <si>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</si>
  <si>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</si>
  <si>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</si>
  <si>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</si>
  <si>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</si>
  <si>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</si>
  <si>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</si>
  <si>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</si>
  <si>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</si>
  <si>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</si>
  <si>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Unatego Central School District</t>
  </si>
  <si>
    <t>Union Springs Central School District</t>
  </si>
  <si>
    <t>Uniondale Union Free School District</t>
  </si>
  <si>
    <t>Union-Endicott Central School District</t>
  </si>
  <si>
    <t>Utica City School District</t>
  </si>
  <si>
    <t>Valhalla Union Free School District</t>
  </si>
  <si>
    <t>Valley Central School District</t>
  </si>
  <si>
    <t>Valley Stream 13 Union Free School District</t>
  </si>
  <si>
    <t>Valley Stream 24 Union Free School District</t>
  </si>
  <si>
    <t>Valley Stream 30 Union Free School District</t>
  </si>
  <si>
    <t>Valley Stream Central High School District</t>
  </si>
  <si>
    <t>Vernon-Verona-Sherrill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</si>
  <si>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</si>
  <si>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</si>
  <si>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</si>
  <si>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</si>
  <si>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</si>
  <si>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</si>
  <si>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</si>
  <si>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</si>
  <si>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</si>
  <si>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</si>
  <si>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</si>
  <si>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</si>
  <si>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</si>
  <si>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</si>
  <si>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</si>
  <si>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</si>
  <si>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</si>
  <si>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</si>
  <si>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</si>
  <si>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</si>
  <si>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</si>
  <si>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</si>
  <si>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Webutuck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</si>
  <si>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</si>
  <si>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</si>
  <si>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</si>
  <si>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</si>
  <si>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</si>
  <si>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</si>
  <si>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</si>
  <si>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</si>
  <si>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</si>
  <si>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Seneca Central School District</t>
  </si>
  <si>
    <t>West Valley Central School District</t>
  </si>
  <si>
    <t>Westbury Union Free School District</t>
  </si>
  <si>
    <t>Westfield Academy and Central School District</t>
  </si>
  <si>
    <t>Westhampton Beach Union Free School District</t>
  </si>
  <si>
    <t>Westhill Central School District</t>
  </si>
  <si>
    <t>Westmoreland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</si>
  <si>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</si>
  <si>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</si>
  <si>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</si>
  <si>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</si>
  <si>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</si>
  <si>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</si>
  <si>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</si>
  <si>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</si>
  <si>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</si>
  <si>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</si>
  <si>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</si>
  <si>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</si>
  <si>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</si>
  <si>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</si>
  <si>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</si>
  <si>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</si>
  <si>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</si>
  <si>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</si>
  <si>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</si>
  <si>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</si>
  <si>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Yorktown Central School District</t>
  </si>
  <si>
    <t>Final 2023-24 Basic Tuition*</t>
  </si>
  <si>
    <t>Nurses Middle College Charter School</t>
  </si>
  <si>
    <t>BRICK Buffalo Academy Charter School</t>
  </si>
  <si>
    <t>Ver. 20230530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</si>
</sst>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_(* #,##0.00_);_(* \(#,##0.00\);_(* &quot;-&quot;_);_(@_)"/>
    <numFmt numFmtId="166" formatCode="##,###"/>
    <numFmt numFmtId="167" formatCode="0.0"/>
    <numFmt numFmtId="168" formatCode="mm/dd/yy"/>
    <numFmt numFmtId="169" formatCode="0_);[Red]\(0\)"/>
    <numFmt numFmtId="170" formatCode="_(* #,##0.00_);_(* \(#,##0.00\);_(* \-??_);_(@_)"/>
    <numFmt numFmtId="171" formatCode="[&lt;=9999999]###\-####;\(###\)\ ###\-####"/>
    <numFmt numFmtId="172" formatCode="_(* #,##0_);_(* \(#,##0\);_(* &quot;-&quot;??_);_(@_)"/>
    <numFmt numFmtId="173" formatCode="_(* #,##0.0_);_(* \(#,##0.0\);_(* &quot;-&quot;_);_(@_)"/>
    <numFmt numFmtId="174" formatCode="0.0%"/>
    <numFmt numFmtId="175" formatCode="00"/>
  </numFmts>
  <fonts count="138">
    <font>
      <sz val="10"/>
      <name val="Arial"/>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b/>
      <u/>
      <sz val="14"/>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i/>
      <u/>
      <sz val="11.5"/>
      <color rgb="FFFF0000"/>
      <name val="Calibri"/>
      <family val="2"/>
      <scheme val="minor"/>
    </font>
    <font>
      <b/>
      <i/>
      <sz val="10"/>
      <name val="Arial"/>
      <family val="2"/>
    </font>
    <font>
      <sz val="11.5"/>
      <name val="Calibri"/>
      <family val="2"/>
    </font>
    <font>
      <b/>
      <sz val="11.5"/>
      <name val="Calibri"/>
      <family val="2"/>
    </font>
    <font>
      <sz val="11.5"/>
      <color rgb="FFFF0000"/>
      <name val="Calibri"/>
      <family val="2"/>
      <scheme val="minor"/>
    </font>
    <font>
      <b/>
      <sz val="11.5"/>
      <color rgb="FFFF0000"/>
      <name val="Calibri"/>
      <family val="2"/>
      <scheme val="minor"/>
    </font>
    <font>
      <b/>
      <sz val="12"/>
      <name val="Calibri"/>
      <family val="2"/>
      <scheme val="minor"/>
    </font>
    <font>
      <sz val="10"/>
      <name val="Calibri"/>
      <family val="2"/>
      <scheme val="minor"/>
    </font>
    <font>
      <b/>
      <sz val="14"/>
      <color theme="0"/>
      <name val="Calibri"/>
      <family val="2"/>
      <scheme val="minor"/>
    </font>
    <font>
      <b/>
      <sz val="16"/>
      <color theme="0"/>
      <name val="Calibri"/>
      <family val="2"/>
      <scheme val="minor"/>
    </font>
    <font>
      <b/>
      <sz val="11.5"/>
      <color theme="0"/>
      <name val="Calibri"/>
      <family val="2"/>
    </font>
    <font>
      <b/>
      <sz val="11.5"/>
      <color theme="1"/>
      <name val="Calibri"/>
      <family val="2"/>
    </font>
    <font>
      <sz val="12"/>
      <name val="Calibri"/>
      <family val="2"/>
      <scheme val="minor"/>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b/>
      <sz val="18"/>
      <name val="Calibri"/>
      <family val="2"/>
      <scheme val="minor"/>
    </font>
    <font>
      <b/>
      <sz val="10"/>
      <color theme="0"/>
      <name val="Arial"/>
      <family val="2"/>
    </font>
    <font>
      <b/>
      <sz val="10"/>
      <color theme="0"/>
      <name val="Calibri"/>
      <family val="2"/>
      <scheme val="minor"/>
    </font>
    <font>
      <sz val="10"/>
      <color theme="1"/>
      <name val="Calibri"/>
      <family val="2"/>
      <scheme val="minor"/>
    </font>
    <font>
      <sz val="10"/>
      <color theme="1"/>
      <name val="Calibri"/>
      <family val="2"/>
    </font>
    <font>
      <sz val="10"/>
      <color rgb="FF00B050"/>
      <name val="Arial"/>
      <family val="2"/>
    </font>
    <font>
      <sz val="10"/>
      <color theme="3"/>
      <name val="Arial"/>
      <family val="2"/>
    </font>
    <font>
      <sz val="8"/>
      <color rgb="FF000000"/>
      <name val="Tahoma"/>
      <family val="2"/>
    </font>
    <font>
      <i/>
      <sz val="11.5"/>
      <color indexed="8"/>
      <name val="Calibri"/>
      <family val="2"/>
      <scheme val="minor"/>
    </font>
    <font>
      <u/>
      <sz val="9"/>
      <color indexed="81"/>
      <name val="Tahoma"/>
      <family val="2"/>
    </font>
    <font>
      <i/>
      <u/>
      <sz val="11.5"/>
      <name val="Calibri"/>
      <family val="2"/>
      <scheme val="minor"/>
    </font>
    <font>
      <sz val="8"/>
      <color theme="0" tint="-0.499984740745262"/>
      <name val="Calibri"/>
      <family val="2"/>
      <scheme val="minor"/>
    </font>
    <font>
      <sz val="10"/>
      <name val="Times New Roman"/>
      <family val="1"/>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33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59999389629810485"/>
        <bgColor theme="4" tint="0.59999389629810485"/>
      </patternFill>
    </fill>
    <fill>
      <patternFill patternType="solid">
        <fgColor theme="3"/>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3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right style="thick">
        <color indexed="23"/>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ck">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style="thin">
        <color indexed="55"/>
      </left>
      <right style="thick">
        <color indexed="23"/>
      </right>
      <top style="thin">
        <color indexed="55"/>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right style="thick">
        <color indexed="23"/>
      </right>
      <top style="thin">
        <color indexed="23"/>
      </top>
      <bottom/>
      <diagonal/>
    </border>
    <border>
      <left/>
      <right style="thick">
        <color indexed="23"/>
      </right>
      <top/>
      <bottom style="thin">
        <color indexed="55"/>
      </bottom>
      <diagonal/>
    </border>
    <border>
      <left style="thin">
        <color indexed="23"/>
      </left>
      <right style="thick">
        <color indexed="23"/>
      </right>
      <top style="thin">
        <color indexed="55"/>
      </top>
      <bottom style="thin">
        <color indexed="55"/>
      </bottom>
      <diagonal/>
    </border>
    <border>
      <left/>
      <right style="thick">
        <color indexed="23"/>
      </right>
      <top style="thin">
        <color indexed="55"/>
      </top>
      <bottom/>
      <diagonal/>
    </border>
    <border>
      <left/>
      <right style="thick">
        <color indexed="23"/>
      </right>
      <top style="thin">
        <color indexed="55"/>
      </top>
      <bottom style="thin">
        <color indexed="55"/>
      </bottom>
      <diagonal/>
    </border>
    <border>
      <left style="thin">
        <color indexed="23"/>
      </left>
      <right style="thin">
        <color indexed="55"/>
      </right>
      <top style="thin">
        <color indexed="55"/>
      </top>
      <bottom style="thick">
        <color indexed="23"/>
      </bottom>
      <diagonal/>
    </border>
    <border>
      <left style="thin">
        <color indexed="23"/>
      </left>
      <right style="thick">
        <color indexed="23"/>
      </right>
      <top style="thin">
        <color indexed="55"/>
      </top>
      <bottom style="thick">
        <color indexed="23"/>
      </bottom>
      <diagonal/>
    </border>
    <border>
      <left style="thick">
        <color indexed="23"/>
      </left>
      <right/>
      <top style="thick">
        <color indexed="23"/>
      </top>
      <bottom/>
      <diagonal/>
    </border>
    <border>
      <left/>
      <right style="thick">
        <color indexed="23"/>
      </right>
      <top/>
      <bottom style="thin">
        <color indexed="23"/>
      </bottom>
      <diagonal/>
    </border>
    <border>
      <left style="thin">
        <color indexed="23"/>
      </left>
      <right/>
      <top style="thin">
        <color indexed="55"/>
      </top>
      <bottom style="thin">
        <color indexed="55"/>
      </bottom>
      <diagonal/>
    </border>
    <border>
      <left/>
      <right style="thin">
        <color indexed="23"/>
      </right>
      <top style="thin">
        <color indexed="23"/>
      </top>
      <bottom style="thin">
        <color indexed="23"/>
      </bottom>
      <diagonal/>
    </border>
    <border>
      <left/>
      <right style="thin">
        <color indexed="55"/>
      </right>
      <top style="thin">
        <color indexed="55"/>
      </top>
      <bottom style="thick">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right style="thick">
        <color indexed="55"/>
      </right>
      <top style="thin">
        <color indexed="55"/>
      </top>
      <bottom style="thin">
        <color indexed="55"/>
      </bottom>
      <diagonal/>
    </border>
    <border>
      <left style="thick">
        <color indexed="23"/>
      </left>
      <right/>
      <top/>
      <bottom style="thick">
        <color indexed="23"/>
      </bottom>
      <diagonal/>
    </border>
    <border>
      <left/>
      <right style="thick">
        <color indexed="23"/>
      </right>
      <top style="thick">
        <color indexed="23"/>
      </top>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medium">
        <color indexed="23"/>
      </left>
      <right style="medium">
        <color indexed="23"/>
      </right>
      <top/>
      <bottom/>
      <diagonal/>
    </border>
    <border>
      <left/>
      <right/>
      <top/>
      <bottom style="double">
        <color indexed="64"/>
      </bottom>
      <diagonal/>
    </border>
    <border>
      <left style="thick">
        <color indexed="23"/>
      </left>
      <right style="medium">
        <color indexed="23"/>
      </right>
      <top style="medium">
        <color indexed="23"/>
      </top>
      <bottom/>
      <diagonal/>
    </border>
    <border>
      <left style="thick">
        <color indexed="23"/>
      </left>
      <right style="medium">
        <color indexed="23"/>
      </right>
      <top/>
      <bottom/>
      <diagonal/>
    </border>
    <border>
      <left style="medium">
        <color indexed="23"/>
      </left>
      <right/>
      <top style="thin">
        <color indexed="23"/>
      </top>
      <bottom/>
      <diagonal/>
    </border>
    <border>
      <left/>
      <right style="medium">
        <color indexed="23"/>
      </right>
      <top style="thin">
        <color indexed="23"/>
      </top>
      <bottom/>
      <diagonal/>
    </border>
    <border>
      <left/>
      <right style="medium">
        <color indexed="23"/>
      </right>
      <top/>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ck">
        <color indexed="23"/>
      </left>
      <right/>
      <top style="thin">
        <color indexed="55"/>
      </top>
      <bottom style="thin">
        <color indexed="55"/>
      </bottom>
      <diagonal/>
    </border>
    <border>
      <left style="medium">
        <color indexed="23"/>
      </left>
      <right style="thin">
        <color indexed="55"/>
      </right>
      <top style="thin">
        <color indexed="55"/>
      </top>
      <bottom style="thick">
        <color indexed="23"/>
      </bottom>
      <diagonal/>
    </border>
    <border>
      <left/>
      <right style="thick">
        <color indexed="23"/>
      </right>
      <top style="thin">
        <color indexed="55"/>
      </top>
      <bottom style="thick">
        <color indexed="23"/>
      </bottom>
      <diagonal/>
    </border>
    <border>
      <left style="thick">
        <color indexed="23"/>
      </left>
      <right style="medium">
        <color indexed="23"/>
      </right>
      <top/>
      <bottom style="medium">
        <color indexed="23"/>
      </bottom>
      <diagonal/>
    </border>
    <border>
      <left/>
      <right/>
      <top style="thick">
        <color indexed="55"/>
      </top>
      <bottom/>
      <diagonal/>
    </border>
    <border>
      <left style="thin">
        <color indexed="55"/>
      </left>
      <right/>
      <top/>
      <bottom/>
      <diagonal/>
    </border>
    <border>
      <left style="thick">
        <color indexed="23"/>
      </left>
      <right style="thin">
        <color indexed="55"/>
      </right>
      <top style="thin">
        <color indexed="55"/>
      </top>
      <bottom style="thick">
        <color indexed="2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55"/>
      </right>
      <top/>
      <bottom/>
      <diagonal/>
    </border>
    <border>
      <left style="thick">
        <color indexed="23"/>
      </left>
      <right style="thin">
        <color indexed="23"/>
      </right>
      <top/>
      <bottom/>
      <diagonal/>
    </border>
    <border>
      <left style="thin">
        <color indexed="23"/>
      </left>
      <right style="medium">
        <color indexed="23"/>
      </right>
      <top/>
      <bottom/>
      <diagonal/>
    </border>
    <border>
      <left style="medium">
        <color indexed="23"/>
      </left>
      <right style="thick">
        <color indexed="23"/>
      </right>
      <top/>
      <bottom/>
      <diagonal/>
    </border>
    <border>
      <left style="thin">
        <color indexed="23"/>
      </left>
      <right/>
      <top/>
      <bottom/>
      <diagonal/>
    </border>
    <border>
      <left style="thick">
        <color indexed="23"/>
      </left>
      <right style="thin">
        <color indexed="23"/>
      </right>
      <top/>
      <bottom style="thin">
        <color indexed="23"/>
      </bottom>
      <diagonal/>
    </border>
    <border>
      <left style="medium">
        <color indexed="23"/>
      </left>
      <right style="thin">
        <color indexed="55"/>
      </right>
      <top/>
      <bottom style="thin">
        <color indexed="55"/>
      </bottom>
      <diagonal/>
    </border>
    <border>
      <left style="thin">
        <color indexed="23"/>
      </left>
      <right style="medium">
        <color indexed="23"/>
      </right>
      <top/>
      <bottom style="thin">
        <color indexed="23"/>
      </bottom>
      <diagonal/>
    </border>
    <border>
      <left style="medium">
        <color indexed="23"/>
      </left>
      <right style="thick">
        <color indexed="23"/>
      </right>
      <top/>
      <bottom style="thin">
        <color indexed="23"/>
      </bottom>
      <diagonal/>
    </border>
    <border>
      <left/>
      <right style="medium">
        <color indexed="23"/>
      </right>
      <top style="thin">
        <color indexed="55"/>
      </top>
      <bottom style="thin">
        <color indexed="55"/>
      </bottom>
      <diagonal/>
    </border>
    <border>
      <left style="thick">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23"/>
      </bottom>
      <diagonal/>
    </border>
    <border>
      <left/>
      <right style="medium">
        <color indexed="55"/>
      </right>
      <top style="thin">
        <color indexed="55"/>
      </top>
      <bottom style="thin">
        <color indexed="55"/>
      </bottom>
      <diagonal/>
    </border>
    <border>
      <left style="thick">
        <color indexed="64"/>
      </left>
      <right style="thick">
        <color indexed="64"/>
      </right>
      <top style="thick">
        <color indexed="64"/>
      </top>
      <bottom style="thick">
        <color indexed="64"/>
      </bottom>
      <diagonal/>
    </border>
    <border>
      <left style="thin">
        <color indexed="23"/>
      </left>
      <right style="medium">
        <color indexed="23"/>
      </right>
      <top style="thin">
        <color indexed="55"/>
      </top>
      <bottom style="thin">
        <color indexed="55"/>
      </bottom>
      <diagonal/>
    </border>
    <border>
      <left style="medium">
        <color indexed="23"/>
      </left>
      <right style="thick">
        <color indexed="23"/>
      </right>
      <top style="thin">
        <color indexed="55"/>
      </top>
      <bottom style="thin">
        <color indexed="55"/>
      </bottom>
      <diagonal/>
    </border>
    <border>
      <left style="thin">
        <color indexed="23"/>
      </left>
      <right style="medium">
        <color indexed="55"/>
      </right>
      <top style="thin">
        <color indexed="55"/>
      </top>
      <bottom style="thin">
        <color indexed="55"/>
      </bottom>
      <diagonal/>
    </border>
    <border>
      <left style="medium">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55"/>
      </bottom>
      <diagonal/>
    </border>
    <border>
      <left style="thin">
        <color indexed="23"/>
      </left>
      <right style="medium">
        <color indexed="55"/>
      </right>
      <top style="thin">
        <color indexed="55"/>
      </top>
      <bottom style="thick">
        <color indexed="23"/>
      </bottom>
      <diagonal/>
    </border>
    <border>
      <left style="thick">
        <color indexed="23"/>
      </left>
      <right/>
      <top style="thin">
        <color indexed="55"/>
      </top>
      <bottom style="thick">
        <color indexed="55"/>
      </bottom>
      <diagonal/>
    </border>
    <border>
      <left style="thin">
        <color indexed="23"/>
      </left>
      <right/>
      <top style="thin">
        <color indexed="55"/>
      </top>
      <bottom style="thick">
        <color indexed="55"/>
      </bottom>
      <diagonal/>
    </border>
    <border>
      <left style="thin">
        <color indexed="23"/>
      </left>
      <right style="medium">
        <color indexed="23"/>
      </right>
      <top style="thin">
        <color indexed="55"/>
      </top>
      <bottom style="thick">
        <color indexed="55"/>
      </bottom>
      <diagonal/>
    </border>
    <border>
      <left style="medium">
        <color indexed="23"/>
      </left>
      <right/>
      <top style="thin">
        <color indexed="55"/>
      </top>
      <bottom style="thick">
        <color indexed="55"/>
      </bottom>
      <diagonal/>
    </border>
    <border>
      <left style="thin">
        <color indexed="23"/>
      </left>
      <right style="medium">
        <color indexed="55"/>
      </right>
      <top style="thin">
        <color indexed="55"/>
      </top>
      <bottom style="thick">
        <color indexed="55"/>
      </bottom>
      <diagonal/>
    </border>
    <border>
      <left/>
      <right style="thick">
        <color indexed="23"/>
      </right>
      <top style="thin">
        <color indexed="55"/>
      </top>
      <bottom style="thick">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23"/>
      </right>
      <top style="thin">
        <color indexed="55"/>
      </top>
      <bottom style="thin">
        <color indexed="55"/>
      </bottom>
      <diagonal/>
    </border>
    <border>
      <left/>
      <right style="medium">
        <color indexed="23"/>
      </right>
      <top/>
      <bottom style="medium">
        <color indexed="23"/>
      </bottom>
      <diagonal/>
    </border>
    <border>
      <left style="thick">
        <color indexed="23"/>
      </left>
      <right/>
      <top/>
      <bottom style="thin">
        <color indexed="55"/>
      </bottom>
      <diagonal/>
    </border>
    <border>
      <left style="medium">
        <color indexed="55"/>
      </left>
      <right style="thin">
        <color indexed="23"/>
      </right>
      <top style="thin">
        <color indexed="55"/>
      </top>
      <bottom style="thin">
        <color indexed="23"/>
      </bottom>
      <diagonal/>
    </border>
    <border>
      <left style="medium">
        <color indexed="55"/>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ck">
        <color indexed="55"/>
      </bottom>
      <diagonal/>
    </border>
    <border>
      <left style="thin">
        <color indexed="55"/>
      </left>
      <right/>
      <top/>
      <bottom style="thick">
        <color indexed="55"/>
      </bottom>
      <diagonal/>
    </border>
    <border>
      <left/>
      <right/>
      <top/>
      <bottom style="thick">
        <color indexed="55"/>
      </bottom>
      <diagonal/>
    </border>
    <border>
      <left style="medium">
        <color indexed="55"/>
      </left>
      <right style="thin">
        <color indexed="55"/>
      </right>
      <top style="thin">
        <color indexed="55"/>
      </top>
      <bottom style="thick">
        <color indexed="55"/>
      </bottom>
      <diagonal/>
    </border>
    <border>
      <left style="thin">
        <color indexed="55"/>
      </left>
      <right style="thick">
        <color indexed="23"/>
      </right>
      <top style="thin">
        <color indexed="55"/>
      </top>
      <bottom style="thick">
        <color indexed="55"/>
      </bottom>
      <diagonal/>
    </border>
    <border>
      <left style="thick">
        <color indexed="23"/>
      </left>
      <right/>
      <top/>
      <bottom style="medium">
        <color indexed="64"/>
      </bottom>
      <diagonal/>
    </border>
    <border>
      <left style="medium">
        <color indexed="23"/>
      </left>
      <right style="thin">
        <color indexed="55"/>
      </right>
      <top style="thin">
        <color indexed="55"/>
      </top>
      <bottom style="medium">
        <color indexed="64"/>
      </bottom>
      <diagonal/>
    </border>
    <border>
      <left style="thin">
        <color indexed="23"/>
      </left>
      <right style="thin">
        <color indexed="55"/>
      </right>
      <top style="thin">
        <color indexed="55"/>
      </top>
      <bottom style="medium">
        <color indexed="64"/>
      </bottom>
      <diagonal/>
    </border>
    <border>
      <left style="thin">
        <color indexed="23"/>
      </left>
      <right style="medium">
        <color indexed="55"/>
      </right>
      <top style="thin">
        <color indexed="55"/>
      </top>
      <bottom style="medium">
        <color indexed="64"/>
      </bottom>
      <diagonal/>
    </border>
    <border>
      <left/>
      <right style="thin">
        <color indexed="55"/>
      </right>
      <top style="thin">
        <color indexed="55"/>
      </top>
      <bottom style="medium">
        <color indexed="64"/>
      </bottom>
      <diagonal/>
    </border>
    <border>
      <left style="thin">
        <color indexed="23"/>
      </left>
      <right style="thick">
        <color indexed="23"/>
      </right>
      <top style="thin">
        <color indexed="55"/>
      </top>
      <bottom style="medium">
        <color indexed="64"/>
      </bottom>
      <diagonal/>
    </border>
    <border>
      <left style="thick">
        <color indexed="23"/>
      </left>
      <right style="thin">
        <color indexed="55"/>
      </right>
      <top style="thin">
        <color indexed="55"/>
      </top>
      <bottom style="medium">
        <color indexed="64"/>
      </bottom>
      <diagonal/>
    </border>
    <border>
      <left style="thin">
        <color indexed="23"/>
      </left>
      <right style="medium">
        <color indexed="23"/>
      </right>
      <top style="thin">
        <color indexed="55"/>
      </top>
      <bottom style="medium">
        <color indexed="64"/>
      </bottom>
      <diagonal/>
    </border>
    <border>
      <left/>
      <right style="thick">
        <color indexed="23"/>
      </right>
      <top style="thin">
        <color indexed="55"/>
      </top>
      <bottom style="medium">
        <color indexed="64"/>
      </bottom>
      <diagonal/>
    </border>
    <border>
      <left/>
      <right style="medium">
        <color indexed="23"/>
      </right>
      <top/>
      <bottom style="medium">
        <color indexed="64"/>
      </bottom>
      <diagonal/>
    </border>
    <border>
      <left/>
      <right style="thin">
        <color indexed="64"/>
      </right>
      <top/>
      <bottom style="thin">
        <color indexed="64"/>
      </bottom>
      <diagonal/>
    </border>
    <border>
      <left/>
      <right style="medium">
        <color indexed="23"/>
      </right>
      <top style="thick">
        <color indexed="23"/>
      </top>
      <bottom/>
      <diagonal/>
    </border>
    <border>
      <left/>
      <right style="thick">
        <color indexed="55"/>
      </right>
      <top style="thick">
        <color indexed="23"/>
      </top>
      <bottom/>
      <diagonal/>
    </border>
    <border>
      <left style="thick">
        <color indexed="55"/>
      </left>
      <right/>
      <top style="thick">
        <color indexed="23"/>
      </top>
      <bottom/>
      <diagonal/>
    </border>
    <border>
      <left/>
      <right style="thick">
        <color indexed="55"/>
      </right>
      <top/>
      <bottom/>
      <diagonal/>
    </border>
    <border>
      <left style="thick">
        <color indexed="55"/>
      </left>
      <right/>
      <top style="thick">
        <color indexed="55"/>
      </top>
      <bottom/>
      <diagonal/>
    </border>
    <border>
      <left style="thick">
        <color indexed="55"/>
      </left>
      <right/>
      <top/>
      <bottom/>
      <diagonal/>
    </border>
    <border>
      <left/>
      <right style="thick">
        <color indexed="23"/>
      </right>
      <top style="medium">
        <color indexed="23"/>
      </top>
      <bottom/>
      <diagonal/>
    </border>
    <border>
      <left/>
      <right style="medium">
        <color indexed="23"/>
      </right>
      <top/>
      <bottom style="thick">
        <color indexed="23"/>
      </bottom>
      <diagonal/>
    </border>
    <border>
      <left style="thin">
        <color indexed="55"/>
      </left>
      <right style="medium">
        <color indexed="23"/>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style="medium">
        <color indexed="64"/>
      </top>
      <bottom style="thin">
        <color auto="1"/>
      </bottom>
      <diagonal/>
    </border>
    <border>
      <left/>
      <right style="thick">
        <color indexed="23"/>
      </right>
      <top style="thin">
        <color indexed="55"/>
      </top>
      <bottom style="thin">
        <color indexed="23"/>
      </bottom>
      <diagonal/>
    </border>
    <border>
      <left/>
      <right style="thick">
        <color indexed="23"/>
      </right>
      <top/>
      <bottom style="thick">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medium">
        <color indexed="23"/>
      </left>
      <right/>
      <top style="thin">
        <color indexed="23"/>
      </top>
      <bottom/>
      <diagonal/>
    </border>
    <border>
      <left/>
      <right style="medium">
        <color indexed="23"/>
      </right>
      <top style="thin">
        <color indexed="55"/>
      </top>
      <bottom/>
      <diagonal/>
    </border>
    <border>
      <left/>
      <right style="thick">
        <color indexed="23"/>
      </right>
      <top style="thin">
        <color indexed="55"/>
      </top>
      <bottom/>
      <diagonal/>
    </border>
    <border>
      <left style="thick">
        <color indexed="23"/>
      </left>
      <right style="thin">
        <color indexed="23"/>
      </right>
      <top style="thin">
        <color indexed="23"/>
      </top>
      <bottom/>
      <diagonal/>
    </border>
    <border>
      <left/>
      <right style="thin">
        <color indexed="23"/>
      </right>
      <top style="thin">
        <color indexed="23"/>
      </top>
      <bottom/>
      <diagonal/>
    </border>
    <border>
      <left style="thin">
        <color indexed="23"/>
      </left>
      <right style="medium">
        <color indexed="23"/>
      </right>
      <top style="thin">
        <color indexed="23"/>
      </top>
      <bottom/>
      <diagonal/>
    </border>
    <border>
      <left style="medium">
        <color indexed="23"/>
      </left>
      <right style="thick">
        <color indexed="23"/>
      </right>
      <top style="thin">
        <color indexed="23"/>
      </top>
      <bottom/>
      <diagonal/>
    </border>
    <border>
      <left style="medium">
        <color indexed="23"/>
      </left>
      <right style="thin">
        <color indexed="23"/>
      </right>
      <top/>
      <bottom style="thin">
        <color indexed="23"/>
      </bottom>
      <diagonal/>
    </border>
    <border>
      <left style="thick">
        <color indexed="23"/>
      </left>
      <right/>
      <top style="thin">
        <color indexed="23"/>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5"/>
      </top>
      <bottom style="thin">
        <color indexed="55"/>
      </bottom>
      <diagonal/>
    </border>
    <border>
      <left style="thin">
        <color auto="1"/>
      </left>
      <right style="thin">
        <color auto="1"/>
      </right>
      <top style="thin">
        <color auto="1"/>
      </top>
      <bottom style="thin">
        <color auto="1"/>
      </bottom>
      <diagonal/>
    </border>
    <border>
      <left style="medium">
        <color indexed="55"/>
      </left>
      <right style="thin">
        <color indexed="55"/>
      </right>
      <top style="thin">
        <color indexed="55"/>
      </top>
      <bottom style="thin">
        <color indexed="55"/>
      </bottom>
      <diagonal/>
    </border>
    <border>
      <left style="thick">
        <color indexed="23"/>
      </left>
      <right style="medium">
        <color indexed="23"/>
      </right>
      <top style="thick">
        <color indexed="23"/>
      </top>
      <bottom/>
      <diagonal/>
    </border>
    <border>
      <left/>
      <right style="medium">
        <color indexed="23"/>
      </right>
      <top style="thin">
        <color indexed="23"/>
      </top>
      <bottom/>
      <diagonal/>
    </border>
    <border>
      <left/>
      <right style="thick">
        <color indexed="23"/>
      </right>
      <top style="thin">
        <color indexed="23"/>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ck">
        <color indexed="23"/>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medium">
        <color indexed="23"/>
      </right>
      <top style="thin">
        <color indexed="55"/>
      </top>
      <bottom style="thin">
        <color indexed="55"/>
      </bottom>
      <diagonal/>
    </border>
    <border>
      <left/>
      <right style="thick">
        <color indexed="23"/>
      </right>
      <top style="thin">
        <color indexed="55"/>
      </top>
      <bottom style="thin">
        <color indexed="55"/>
      </bottom>
      <diagonal/>
    </border>
    <border>
      <left style="thin">
        <color indexed="55"/>
      </left>
      <right style="thin">
        <color indexed="55"/>
      </right>
      <top style="thin">
        <color indexed="55"/>
      </top>
      <bottom/>
      <diagonal/>
    </border>
    <border>
      <left style="thin">
        <color indexed="23"/>
      </left>
      <right style="thin">
        <color indexed="55"/>
      </right>
      <top style="thin">
        <color indexed="55"/>
      </top>
      <bottom style="thin">
        <color indexed="55"/>
      </bottom>
      <diagonal/>
    </border>
    <border>
      <left style="thin">
        <color indexed="23"/>
      </left>
      <right style="thick">
        <color indexed="23"/>
      </right>
      <top style="thin">
        <color indexed="55"/>
      </top>
      <bottom style="thin">
        <color indexed="55"/>
      </bottom>
      <diagonal/>
    </border>
    <border>
      <left style="thin">
        <color indexed="23"/>
      </left>
      <right/>
      <top style="thin">
        <color indexed="55"/>
      </top>
      <bottom style="thin">
        <color indexed="55"/>
      </bottom>
      <diagonal/>
    </border>
    <border>
      <left style="thick">
        <color indexed="23"/>
      </left>
      <right/>
      <top style="thin">
        <color indexed="55"/>
      </top>
      <bottom style="thin">
        <color indexed="55"/>
      </bottom>
      <diagonal/>
    </border>
    <border>
      <left/>
      <right/>
      <top style="thin">
        <color indexed="55"/>
      </top>
      <bottom/>
      <diagonal/>
    </border>
    <border>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right/>
      <top style="thin">
        <color indexed="55"/>
      </top>
      <bottom style="thick">
        <color indexed="23"/>
      </bottom>
      <diagonal/>
    </border>
    <border>
      <left style="medium">
        <color indexed="23"/>
      </left>
      <right/>
      <top style="thin">
        <color indexed="55"/>
      </top>
      <bottom style="thick">
        <color indexed="23"/>
      </bottom>
      <diagonal/>
    </border>
    <border>
      <left style="thin">
        <color indexed="23"/>
      </left>
      <right style="thin">
        <color indexed="23"/>
      </right>
      <top style="thin">
        <color indexed="55"/>
      </top>
      <bottom style="thick">
        <color indexed="23"/>
      </bottom>
      <diagonal/>
    </border>
    <border>
      <left style="medium">
        <color indexed="23"/>
      </left>
      <right style="thin">
        <color indexed="55"/>
      </right>
      <top style="thin">
        <color indexed="55"/>
      </top>
      <bottom style="thick">
        <color indexed="23"/>
      </bottom>
      <diagonal/>
    </border>
    <border>
      <left style="thin">
        <color indexed="23"/>
      </left>
      <right style="thin">
        <color indexed="55"/>
      </right>
      <top style="thin">
        <color indexed="55"/>
      </top>
      <bottom style="thick">
        <color indexed="23"/>
      </bottom>
      <diagonal/>
    </border>
    <border>
      <left/>
      <right style="thick">
        <color indexed="55"/>
      </right>
      <top style="thin">
        <color indexed="55"/>
      </top>
      <bottom style="thick">
        <color indexed="23"/>
      </bottom>
      <diagonal/>
    </border>
    <border>
      <left style="thick">
        <color indexed="55"/>
      </left>
      <right style="thin">
        <color indexed="55"/>
      </right>
      <top style="thin">
        <color indexed="55"/>
      </top>
      <bottom/>
      <diagonal/>
    </border>
    <border>
      <left style="thin">
        <color indexed="23"/>
      </left>
      <right style="thin">
        <color indexed="55"/>
      </right>
      <top style="thin">
        <color indexed="55"/>
      </top>
      <bottom/>
      <diagonal/>
    </border>
    <border>
      <left style="medium">
        <color indexed="23"/>
      </left>
      <right style="medium">
        <color indexed="23"/>
      </right>
      <top style="thin">
        <color indexed="55"/>
      </top>
      <bottom/>
      <diagonal/>
    </border>
    <border>
      <left/>
      <right style="thick">
        <color indexed="23"/>
      </right>
      <top style="thin">
        <color indexed="55"/>
      </top>
      <bottom style="medium">
        <color indexed="23"/>
      </bottom>
      <diagonal/>
    </border>
    <border>
      <left style="thin">
        <color indexed="55"/>
      </left>
      <right style="medium">
        <color indexed="55"/>
      </right>
      <top style="thin">
        <color indexed="55"/>
      </top>
      <bottom style="thin">
        <color indexed="55"/>
      </bottom>
      <diagonal/>
    </border>
    <border>
      <left style="thin">
        <color indexed="23"/>
      </left>
      <right style="thick">
        <color indexed="55"/>
      </right>
      <top style="thin">
        <color indexed="55"/>
      </top>
      <bottom style="thick">
        <color indexed="23"/>
      </bottom>
      <diagonal/>
    </border>
    <border>
      <left style="thick">
        <color indexed="55"/>
      </left>
      <right style="thin">
        <color indexed="55"/>
      </right>
      <top style="thin">
        <color indexed="55"/>
      </top>
      <bottom style="thick">
        <color indexed="23"/>
      </bottom>
      <diagonal/>
    </border>
    <border>
      <left style="thin">
        <color indexed="23"/>
      </left>
      <right/>
      <top style="thin">
        <color indexed="55"/>
      </top>
      <bottom style="thick">
        <color indexed="23"/>
      </bottom>
      <diagonal/>
    </border>
    <border>
      <left style="medium">
        <color indexed="23"/>
      </left>
      <right style="medium">
        <color indexed="23"/>
      </right>
      <top style="thin">
        <color indexed="55"/>
      </top>
      <bottom style="thick">
        <color indexed="23"/>
      </bottom>
      <diagonal/>
    </border>
    <border>
      <left/>
      <right style="thick">
        <color indexed="23"/>
      </right>
      <top style="thin">
        <color indexed="55"/>
      </top>
      <bottom style="thick">
        <color indexed="23"/>
      </bottom>
      <diagonal/>
    </border>
    <border>
      <left/>
      <right style="medium">
        <color indexed="23"/>
      </right>
      <top style="thin">
        <color indexed="55"/>
      </top>
      <bottom style="thin">
        <color indexed="55"/>
      </bottom>
      <diagonal/>
    </border>
    <border>
      <left/>
      <right style="medium">
        <color indexed="23"/>
      </right>
      <top style="thin">
        <color indexed="55"/>
      </top>
      <bottom style="thick">
        <color indexed="23"/>
      </bottom>
      <diagonal/>
    </border>
    <border>
      <left style="thin">
        <color indexed="55"/>
      </left>
      <right/>
      <top style="thin">
        <color indexed="55"/>
      </top>
      <bottom style="thick">
        <color indexed="23"/>
      </bottom>
      <diagonal/>
    </border>
    <border>
      <left style="thin">
        <color indexed="55"/>
      </left>
      <right style="thick">
        <color indexed="23"/>
      </right>
      <top style="thin">
        <color indexed="55"/>
      </top>
      <bottom style="thick">
        <color indexed="23"/>
      </bottom>
      <diagonal/>
    </border>
    <border>
      <left style="thick">
        <color indexed="23"/>
      </left>
      <right style="medium">
        <color indexed="23"/>
      </right>
      <top/>
      <bottom style="thick">
        <color indexed="23"/>
      </bottom>
      <diagonal/>
    </border>
    <border>
      <left style="thick">
        <color indexed="55"/>
      </left>
      <right/>
      <top/>
      <bottom style="thin">
        <color indexed="55"/>
      </bottom>
      <diagonal/>
    </border>
    <border>
      <left style="thin">
        <color theme="0"/>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23"/>
      </top>
      <bottom style="thin">
        <color indexed="23"/>
      </bottom>
      <diagonal/>
    </border>
    <border>
      <left/>
      <right style="thick">
        <color indexed="23"/>
      </right>
      <top style="thick">
        <color indexed="23"/>
      </top>
      <bottom style="thin">
        <color indexed="23"/>
      </bottom>
      <diagonal/>
    </border>
    <border>
      <left/>
      <right style="thin">
        <color indexed="64"/>
      </right>
      <top style="thin">
        <color indexed="64"/>
      </top>
      <bottom/>
      <diagonal/>
    </border>
    <border>
      <left style="medium">
        <color indexed="23"/>
      </left>
      <right style="medium">
        <color indexed="23"/>
      </right>
      <top style="thin">
        <color indexed="23"/>
      </top>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55"/>
      </right>
      <top style="thin">
        <color indexed="23"/>
      </top>
      <bottom style="thin">
        <color indexed="2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55"/>
      </right>
      <top style="thin">
        <color indexed="23"/>
      </top>
      <bottom style="thin">
        <color indexed="23"/>
      </bottom>
      <diagonal/>
    </border>
    <border>
      <left/>
      <right style="thin">
        <color indexed="55"/>
      </right>
      <top style="thin">
        <color indexed="23"/>
      </top>
      <bottom style="thin">
        <color indexed="55"/>
      </bottom>
      <diagonal/>
    </border>
    <border>
      <left/>
      <right style="thin">
        <color indexed="23"/>
      </right>
      <top style="thin">
        <color indexed="55"/>
      </top>
      <bottom style="thin">
        <color indexed="23"/>
      </bottom>
      <diagonal/>
    </border>
    <border>
      <left style="thin">
        <color indexed="23"/>
      </left>
      <right style="medium">
        <color indexed="23"/>
      </right>
      <top style="thin">
        <color indexed="55"/>
      </top>
      <bottom style="thin">
        <color indexed="23"/>
      </bottom>
      <diagonal/>
    </border>
    <border>
      <left/>
      <right style="thin">
        <color indexed="23"/>
      </right>
      <top style="thin">
        <color indexed="55"/>
      </top>
      <bottom style="thin">
        <color indexed="55"/>
      </bottom>
      <diagonal/>
    </border>
    <border>
      <left/>
      <right style="thin">
        <color indexed="23"/>
      </right>
      <top style="thin">
        <color indexed="55"/>
      </top>
      <bottom style="thick">
        <color indexed="23"/>
      </bottom>
      <diagonal/>
    </border>
    <border>
      <left style="thin">
        <color indexed="23"/>
      </left>
      <right style="medium">
        <color indexed="23"/>
      </right>
      <top style="thin">
        <color indexed="55"/>
      </top>
      <bottom style="thick">
        <color indexed="23"/>
      </bottom>
      <diagonal/>
    </border>
    <border>
      <left style="thin">
        <color indexed="23"/>
      </left>
      <right style="medium">
        <color indexed="55"/>
      </right>
      <top style="thin">
        <color indexed="55"/>
      </top>
      <bottom style="thin">
        <color indexed="23"/>
      </bottom>
      <diagonal/>
    </border>
    <border>
      <left style="thin">
        <color indexed="23"/>
      </left>
      <right style="thin">
        <color indexed="55"/>
      </right>
      <top style="thin">
        <color indexed="55"/>
      </top>
      <bottom style="thin">
        <color indexed="23"/>
      </bottom>
      <diagonal/>
    </border>
    <border>
      <left style="thin">
        <color indexed="55"/>
      </left>
      <right style="thin">
        <color indexed="55"/>
      </right>
      <top style="thin">
        <color indexed="55"/>
      </top>
      <bottom style="thin">
        <color indexed="23"/>
      </bottom>
      <diagonal/>
    </border>
    <border>
      <left style="thin">
        <color indexed="55"/>
      </left>
      <right style="medium">
        <color indexed="55"/>
      </right>
      <top style="thin">
        <color indexed="55"/>
      </top>
      <bottom style="thin">
        <color indexed="23"/>
      </bottom>
      <diagonal/>
    </border>
    <border>
      <left style="thin">
        <color indexed="55"/>
      </left>
      <right style="thin">
        <color indexed="55"/>
      </right>
      <top style="thin">
        <color indexed="55"/>
      </top>
      <bottom style="thick">
        <color indexed="23"/>
      </bottom>
      <diagonal/>
    </border>
    <border>
      <left style="thin">
        <color indexed="55"/>
      </left>
      <right style="medium">
        <color indexed="55"/>
      </right>
      <top style="thin">
        <color indexed="55"/>
      </top>
      <bottom style="thick">
        <color indexed="23"/>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style="thin">
        <color indexed="23"/>
      </left>
      <right style="thick">
        <color indexed="23"/>
      </right>
      <top style="thin">
        <color indexed="55"/>
      </top>
      <bottom style="thin">
        <color indexed="23"/>
      </bottom>
      <diagonal/>
    </border>
    <border>
      <left style="thin">
        <color indexed="23"/>
      </left>
      <right style="thick">
        <color indexed="23"/>
      </right>
      <top style="thin">
        <color indexed="55"/>
      </top>
      <bottom style="thick">
        <color indexed="23"/>
      </bottom>
      <diagonal/>
    </border>
    <border>
      <left style="thick">
        <color indexed="23"/>
      </left>
      <right style="thin">
        <color indexed="23"/>
      </right>
      <top style="thin">
        <color indexed="55"/>
      </top>
      <bottom style="thin">
        <color indexed="23"/>
      </bottom>
      <diagonal/>
    </border>
    <border>
      <left style="thick">
        <color indexed="23"/>
      </left>
      <right style="thin">
        <color indexed="23"/>
      </right>
      <top style="thin">
        <color indexed="55"/>
      </top>
      <bottom style="thick">
        <color indexed="23"/>
      </bottom>
      <diagonal/>
    </border>
    <border>
      <left/>
      <right style="thin">
        <color indexed="55"/>
      </right>
      <top style="thin">
        <color indexed="55"/>
      </top>
      <bottom style="thick">
        <color indexed="23"/>
      </bottom>
      <diagonal/>
    </border>
    <border>
      <left style="thin">
        <color indexed="64"/>
      </left>
      <right style="thin">
        <color indexed="64"/>
      </right>
      <top style="thin">
        <color indexed="64"/>
      </top>
      <bottom style="thin">
        <color indexed="64"/>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thin">
        <color indexed="55"/>
      </bottom>
      <diagonal/>
    </border>
    <border>
      <left style="thin">
        <color indexed="23"/>
      </left>
      <right style="thick">
        <color indexed="23"/>
      </right>
      <top style="thin">
        <color indexed="23"/>
      </top>
      <bottom style="thin">
        <color indexed="55"/>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s>
  <cellStyleXfs count="67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26" fillId="22" borderId="0">
      <alignment horizontal="left"/>
    </xf>
    <xf numFmtId="0" fontId="27" fillId="22" borderId="0">
      <alignment horizontal="right"/>
    </xf>
    <xf numFmtId="0" fontId="7" fillId="23" borderId="0">
      <alignment horizontal="center"/>
    </xf>
    <xf numFmtId="0" fontId="27" fillId="22" borderId="0">
      <alignment horizontal="right"/>
    </xf>
    <xf numFmtId="0" fontId="28" fillId="23" borderId="0">
      <alignment horizontal="left"/>
    </xf>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6" fillId="22" borderId="0">
      <alignment horizontal="left"/>
    </xf>
    <xf numFmtId="0" fontId="29" fillId="23" borderId="0">
      <alignment horizontal="left"/>
    </xf>
    <xf numFmtId="0" fontId="20" fillId="0" borderId="6" applyNumberFormat="0" applyFill="0" applyAlignment="0" applyProtection="0"/>
    <xf numFmtId="0" fontId="21" fillId="24" borderId="0" applyNumberFormat="0" applyBorder="0" applyAlignment="0" applyProtection="0"/>
    <xf numFmtId="0" fontId="30" fillId="0" borderId="0"/>
    <xf numFmtId="0" fontId="39" fillId="0" borderId="0"/>
    <xf numFmtId="0" fontId="9" fillId="25" borderId="7" applyNumberFormat="0" applyFont="0" applyAlignment="0" applyProtection="0"/>
    <xf numFmtId="0" fontId="22" fillId="20" borderId="8" applyNumberFormat="0" applyAlignment="0" applyProtection="0"/>
    <xf numFmtId="164" fontId="31" fillId="23" borderId="0">
      <alignment horizontal="right"/>
    </xf>
    <xf numFmtId="0" fontId="32" fillId="26" borderId="0">
      <alignment horizontal="center"/>
    </xf>
    <xf numFmtId="0" fontId="26" fillId="27" borderId="0"/>
    <xf numFmtId="0" fontId="33" fillId="23" borderId="0" applyBorder="0">
      <alignment horizontal="centerContinuous"/>
    </xf>
    <xf numFmtId="0" fontId="34" fillId="27" borderId="0" applyBorder="0">
      <alignment horizontal="centerContinuous"/>
    </xf>
    <xf numFmtId="0" fontId="29" fillId="24" borderId="0">
      <alignment horizontal="center"/>
    </xf>
    <xf numFmtId="49" fontId="6" fillId="23" borderId="0">
      <alignment horizontal="center"/>
    </xf>
    <xf numFmtId="0" fontId="27" fillId="22" borderId="0">
      <alignment horizontal="center"/>
    </xf>
    <xf numFmtId="0" fontId="27" fillId="22" borderId="0">
      <alignment horizontal="centerContinuous"/>
    </xf>
    <xf numFmtId="0" fontId="8" fillId="23" borderId="0">
      <alignment horizontal="left"/>
    </xf>
    <xf numFmtId="49" fontId="8" fillId="23" borderId="0">
      <alignment horizontal="center"/>
    </xf>
    <xf numFmtId="0" fontId="26" fillId="22" borderId="0">
      <alignment horizontal="left"/>
    </xf>
    <xf numFmtId="49" fontId="8" fillId="23" borderId="0">
      <alignment horizontal="left"/>
    </xf>
    <xf numFmtId="0" fontId="26" fillId="22" borderId="0">
      <alignment horizontal="centerContinuous"/>
    </xf>
    <xf numFmtId="0" fontId="26" fillId="22" borderId="0">
      <alignment horizontal="right"/>
    </xf>
    <xf numFmtId="49" fontId="29" fillId="23" borderId="0">
      <alignment horizontal="left"/>
    </xf>
    <xf numFmtId="0" fontId="27" fillId="22" borderId="0">
      <alignment horizontal="right"/>
    </xf>
    <xf numFmtId="0" fontId="8" fillId="7" borderId="0">
      <alignment horizontal="center"/>
    </xf>
    <xf numFmtId="0" fontId="35" fillId="7" borderId="0">
      <alignment horizontal="center"/>
    </xf>
    <xf numFmtId="0" fontId="40" fillId="0" borderId="0" applyNumberFormat="0" applyBorder="0" applyAlignment="0"/>
    <xf numFmtId="0" fontId="23" fillId="0" borderId="0" applyNumberFormat="0" applyFill="0" applyBorder="0" applyAlignment="0" applyProtection="0"/>
    <xf numFmtId="0" fontId="24" fillId="0" borderId="9" applyNumberFormat="0" applyFill="0" applyAlignment="0" applyProtection="0"/>
    <xf numFmtId="0" fontId="36" fillId="23" borderId="0">
      <alignment horizontal="center"/>
    </xf>
    <xf numFmtId="0" fontId="25" fillId="0" borderId="0" applyNumberForma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0" fontId="30" fillId="0" borderId="0"/>
    <xf numFmtId="166" fontId="26" fillId="30" borderId="0">
      <alignment vertical="center"/>
    </xf>
    <xf numFmtId="0" fontId="43" fillId="0" borderId="0">
      <alignment vertical="center"/>
    </xf>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45" fillId="30" borderId="0">
      <alignment horizontal="center" vertical="center"/>
    </xf>
    <xf numFmtId="0" fontId="30" fillId="0" borderId="0"/>
    <xf numFmtId="0" fontId="30" fillId="0" borderId="0"/>
    <xf numFmtId="0" fontId="46"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0" fontId="45" fillId="30" borderId="0"/>
    <xf numFmtId="41" fontId="46" fillId="0" borderId="0">
      <alignment horizontal="right" vertical="center"/>
    </xf>
    <xf numFmtId="166" fontId="46" fillId="0" borderId="0">
      <alignment horizontal="left" vertical="center" indent="1"/>
    </xf>
    <xf numFmtId="43" fontId="47" fillId="0" borderId="0" applyFont="0" applyFill="0" applyBorder="0" applyAlignment="0" applyProtection="0"/>
    <xf numFmtId="0" fontId="48" fillId="0" borderId="0"/>
    <xf numFmtId="0" fontId="39" fillId="0" borderId="0"/>
    <xf numFmtId="9" fontId="48" fillId="0" borderId="0" applyFont="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9" fillId="32" borderId="0" applyNumberFormat="0" applyBorder="0" applyAlignment="0" applyProtection="0"/>
    <xf numFmtId="0" fontId="9" fillId="3" borderId="0" applyNumberFormat="0" applyBorder="0" applyAlignment="0" applyProtection="0"/>
    <xf numFmtId="0" fontId="9" fillId="33" borderId="0" applyNumberFormat="0" applyBorder="0" applyAlignment="0" applyProtection="0"/>
    <xf numFmtId="0" fontId="9" fillId="4" borderId="0" applyNumberFormat="0" applyBorder="0" applyAlignment="0" applyProtection="0"/>
    <xf numFmtId="0" fontId="9" fillId="34"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6" borderId="0" applyNumberFormat="0" applyBorder="0" applyAlignment="0" applyProtection="0"/>
    <xf numFmtId="0" fontId="9" fillId="36" borderId="0" applyNumberFormat="0" applyBorder="0" applyAlignment="0" applyProtection="0"/>
    <xf numFmtId="0" fontId="9" fillId="7" borderId="0" applyNumberFormat="0" applyBorder="0" applyAlignment="0" applyProtection="0"/>
    <xf numFmtId="0" fontId="9" fillId="37"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9" borderId="0" applyNumberFormat="0" applyBorder="0" applyAlignment="0" applyProtection="0"/>
    <xf numFmtId="0" fontId="9" fillId="39" borderId="0" applyNumberFormat="0" applyBorder="0" applyAlignment="0" applyProtection="0"/>
    <xf numFmtId="0" fontId="9" fillId="10" borderId="0" applyNumberFormat="0" applyBorder="0" applyAlignment="0" applyProtection="0"/>
    <xf numFmtId="0" fontId="9" fillId="40"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11" borderId="0" applyNumberFormat="0" applyBorder="0" applyAlignment="0" applyProtection="0"/>
    <xf numFmtId="0" fontId="9" fillId="41"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10" fillId="12" borderId="0" applyNumberFormat="0" applyBorder="0" applyAlignment="0" applyProtection="0"/>
    <xf numFmtId="0" fontId="10" fillId="42" borderId="0" applyNumberFormat="0" applyBorder="0" applyAlignment="0" applyProtection="0"/>
    <xf numFmtId="0" fontId="10" fillId="9" borderId="0" applyNumberFormat="0" applyBorder="0" applyAlignment="0" applyProtection="0"/>
    <xf numFmtId="0" fontId="10" fillId="39" borderId="0" applyNumberFormat="0" applyBorder="0" applyAlignment="0" applyProtection="0"/>
    <xf numFmtId="0" fontId="10" fillId="10" borderId="0" applyNumberFormat="0" applyBorder="0" applyAlignment="0" applyProtection="0"/>
    <xf numFmtId="0" fontId="10" fillId="40"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5" borderId="0" applyNumberFormat="0" applyBorder="0" applyAlignment="0" applyProtection="0"/>
    <xf numFmtId="0" fontId="10" fillId="45"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 fillId="16" borderId="0" applyNumberFormat="0" applyBorder="0" applyAlignment="0" applyProtection="0"/>
    <xf numFmtId="0" fontId="10" fillId="46" borderId="0" applyNumberFormat="0" applyBorder="0" applyAlignment="0" applyProtection="0"/>
    <xf numFmtId="0" fontId="10" fillId="17" borderId="0" applyNumberFormat="0" applyBorder="0" applyAlignment="0" applyProtection="0"/>
    <xf numFmtId="0" fontId="10" fillId="47" borderId="0" applyNumberFormat="0" applyBorder="0" applyAlignment="0" applyProtection="0"/>
    <xf numFmtId="0" fontId="10" fillId="18" borderId="0" applyNumberFormat="0" applyBorder="0" applyAlignment="0" applyProtection="0"/>
    <xf numFmtId="0" fontId="10" fillId="48"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9" borderId="0" applyNumberFormat="0" applyBorder="0" applyAlignment="0" applyProtection="0"/>
    <xf numFmtId="0" fontId="10" fillId="49"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11" fillId="3" borderId="0" applyNumberFormat="0" applyBorder="0" applyAlignment="0" applyProtection="0"/>
    <xf numFmtId="0" fontId="11" fillId="3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5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168" fontId="4" fillId="0" borderId="0" applyFont="0" applyFill="0" applyBorder="0" applyAlignment="0" applyProtection="0"/>
    <xf numFmtId="0" fontId="53" fillId="4" borderId="0" applyNumberFormat="0" applyBorder="0" applyAlignment="0" applyProtection="0"/>
    <xf numFmtId="0" fontId="14" fillId="0" borderId="0" applyNumberFormat="0" applyFill="0" applyBorder="0" applyAlignment="0" applyProtection="0"/>
    <xf numFmtId="169" fontId="4" fillId="0" borderId="0" applyFont="0" applyFill="0" applyBorder="0" applyAlignment="0" applyProtection="0"/>
    <xf numFmtId="0" fontId="15" fillId="4" borderId="0" applyNumberFormat="0" applyBorder="0" applyAlignment="0" applyProtection="0"/>
    <xf numFmtId="0" fontId="15" fillId="3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57" fillId="0" borderId="6" applyNumberFormat="0" applyFill="0" applyAlignment="0" applyProtection="0"/>
    <xf numFmtId="0" fontId="58" fillId="21" borderId="2" applyNumberFormat="0" applyAlignment="0" applyProtection="0"/>
    <xf numFmtId="0" fontId="20" fillId="0" borderId="6"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1" fillId="24" borderId="0" applyNumberFormat="0" applyBorder="0" applyAlignment="0" applyProtection="0"/>
    <xf numFmtId="0" fontId="21" fillId="52" borderId="0" applyNumberFormat="0" applyBorder="0" applyAlignment="0" applyProtection="0"/>
    <xf numFmtId="0" fontId="62" fillId="24"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39" fillId="0" borderId="0"/>
    <xf numFmtId="0" fontId="3" fillId="0" borderId="0"/>
    <xf numFmtId="0" fontId="4" fillId="0" borderId="0"/>
    <xf numFmtId="0" fontId="46" fillId="0" borderId="0"/>
    <xf numFmtId="0" fontId="3" fillId="0" borderId="0"/>
    <xf numFmtId="0" fontId="3" fillId="0" borderId="0"/>
    <xf numFmtId="0" fontId="4" fillId="0" borderId="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9" fillId="0" borderId="0" applyFont="0" applyFill="0" applyBorder="0" applyAlignment="0" applyProtection="0"/>
    <xf numFmtId="0" fontId="32" fillId="0" borderId="0" applyNumberFormat="0" applyBorder="0" applyAlignment="0"/>
    <xf numFmtId="0" fontId="32" fillId="0" borderId="0" applyNumberFormat="0" applyBorder="0" applyAlignment="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49" fontId="4"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67" fillId="0" borderId="0" applyNumberFormat="0" applyFill="0" applyBorder="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25" fillId="0" borderId="0" applyNumberFormat="0" applyFill="0" applyBorder="0" applyAlignment="0" applyProtection="0"/>
    <xf numFmtId="0" fontId="68" fillId="3" borderId="0" applyNumberFormat="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8" fillId="0" borderId="0"/>
    <xf numFmtId="0" fontId="4" fillId="0" borderId="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0" fontId="4" fillId="0" borderId="0" applyFill="0" applyBorder="0" applyAlignment="0" applyProtection="0"/>
    <xf numFmtId="0" fontId="71" fillId="0" borderId="0" applyNumberFormat="0" applyFill="0" applyBorder="0" applyAlignment="0" applyProtection="0"/>
    <xf numFmtId="0" fontId="79" fillId="0" borderId="0" applyNumberFormat="0" applyFill="0" applyBorder="0" applyAlignment="0" applyProtection="0">
      <alignment vertical="top"/>
      <protection locked="0"/>
    </xf>
    <xf numFmtId="43" fontId="78" fillId="0" borderId="0" applyFont="0" applyFill="0" applyBorder="0" applyAlignment="0" applyProtection="0"/>
    <xf numFmtId="0" fontId="48" fillId="0" borderId="0"/>
    <xf numFmtId="9" fontId="48" fillId="0" borderId="0" applyFont="0" applyFill="0" applyBorder="0" applyAlignment="0" applyProtection="0"/>
    <xf numFmtId="0" fontId="31" fillId="0" borderId="0" applyNumberFormat="0" applyBorder="0" applyAlignment="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9" fillId="25" borderId="200" applyNumberFormat="0" applyFont="0" applyAlignment="0" applyProtection="0"/>
    <xf numFmtId="0" fontId="22" fillId="20" borderId="201" applyNumberFormat="0" applyAlignment="0" applyProtection="0"/>
    <xf numFmtId="0" fontId="24" fillId="0" borderId="202"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0" fontId="12" fillId="20" borderId="215" applyNumberFormat="0" applyAlignment="0" applyProtection="0"/>
    <xf numFmtId="0" fontId="12" fillId="20" borderId="2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2" fillId="20" borderId="215"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4" fillId="0" borderId="218"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20" borderId="217" applyNumberFormat="0" applyAlignment="0" applyProtection="0"/>
    <xf numFmtId="0" fontId="9" fillId="25" borderId="216" applyNumberFormat="0" applyFont="0" applyAlignment="0" applyProtection="0"/>
    <xf numFmtId="0" fontId="19" fillId="7"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109" fillId="0" borderId="0"/>
    <xf numFmtId="0" fontId="12" fillId="20" borderId="215" applyNumberFormat="0" applyAlignment="0" applyProtection="0"/>
    <xf numFmtId="0" fontId="110" fillId="0" borderId="0"/>
    <xf numFmtId="43" fontId="110" fillId="0" borderId="0" applyFont="0" applyFill="0" applyBorder="0" applyAlignment="0" applyProtection="0"/>
    <xf numFmtId="41" fontId="110" fillId="0" borderId="0" applyFont="0" applyFill="0" applyBorder="0" applyAlignment="0" applyProtection="0"/>
    <xf numFmtId="44" fontId="110" fillId="0" borderId="0" applyFont="0" applyFill="0" applyBorder="0" applyAlignment="0" applyProtection="0"/>
    <xf numFmtId="42" fontId="110" fillId="0" borderId="0" applyFont="0" applyFill="0" applyBorder="0" applyAlignment="0" applyProtection="0"/>
    <xf numFmtId="9" fontId="110" fillId="0" borderId="0" applyFont="0" applyFill="0" applyBorder="0" applyAlignment="0" applyProtection="0"/>
    <xf numFmtId="0" fontId="123" fillId="0" borderId="0" applyNumberFormat="0" applyFill="0" applyBorder="0" applyAlignment="0" applyProtection="0"/>
    <xf numFmtId="0" fontId="117" fillId="0" borderId="206" applyNumberFormat="0" applyFill="0" applyAlignment="0" applyProtection="0"/>
    <xf numFmtId="0" fontId="117" fillId="0" borderId="207" applyNumberFormat="0" applyFill="0" applyAlignment="0" applyProtection="0"/>
    <xf numFmtId="0" fontId="117" fillId="0" borderId="208" applyNumberFormat="0" applyFill="0" applyAlignment="0" applyProtection="0"/>
    <xf numFmtId="0" fontId="117" fillId="0" borderId="0" applyNumberFormat="0" applyFill="0" applyBorder="0" applyAlignment="0" applyProtection="0"/>
    <xf numFmtId="0" fontId="116" fillId="63" borderId="0" applyNumberFormat="0" applyBorder="0" applyAlignment="0" applyProtection="0"/>
    <xf numFmtId="0" fontId="112" fillId="64" borderId="0" applyNumberFormat="0" applyBorder="0" applyAlignment="0" applyProtection="0"/>
    <xf numFmtId="0" fontId="120" fillId="65" borderId="0" applyNumberFormat="0" applyBorder="0" applyAlignment="0" applyProtection="0"/>
    <xf numFmtId="0" fontId="118" fillId="66" borderId="209" applyNumberFormat="0" applyAlignment="0" applyProtection="0"/>
    <xf numFmtId="0" fontId="122" fillId="67" borderId="210" applyNumberFormat="0" applyAlignment="0" applyProtection="0"/>
    <xf numFmtId="0" fontId="113" fillId="67" borderId="209" applyNumberFormat="0" applyAlignment="0" applyProtection="0"/>
    <xf numFmtId="0" fontId="119" fillId="0" borderId="211" applyNumberFormat="0" applyFill="0" applyAlignment="0" applyProtection="0"/>
    <xf numFmtId="0" fontId="114" fillId="68" borderId="212" applyNumberFormat="0" applyAlignment="0" applyProtection="0"/>
    <xf numFmtId="0" fontId="124" fillId="0" borderId="0" applyNumberFormat="0" applyFill="0" applyBorder="0" applyAlignment="0" applyProtection="0"/>
    <xf numFmtId="0" fontId="110" fillId="69" borderId="213" applyNumberFormat="0" applyFont="0" applyAlignment="0" applyProtection="0"/>
    <xf numFmtId="0" fontId="115" fillId="0" borderId="0" applyNumberFormat="0" applyFill="0" applyBorder="0" applyAlignment="0" applyProtection="0"/>
    <xf numFmtId="0" fontId="121" fillId="0" borderId="214" applyNumberFormat="0" applyFill="0" applyAlignment="0" applyProtection="0"/>
    <xf numFmtId="0" fontId="111" fillId="70" borderId="0" applyNumberFormat="0" applyBorder="0" applyAlignment="0" applyProtection="0"/>
    <xf numFmtId="0" fontId="110" fillId="71" borderId="0" applyNumberFormat="0" applyBorder="0" applyAlignment="0" applyProtection="0"/>
    <xf numFmtId="0" fontId="110" fillId="72" borderId="0" applyNumberFormat="0" applyBorder="0" applyAlignment="0" applyProtection="0"/>
    <xf numFmtId="0" fontId="111" fillId="73" borderId="0" applyNumberFormat="0" applyBorder="0" applyAlignment="0" applyProtection="0"/>
    <xf numFmtId="0" fontId="111" fillId="74"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1" fillId="77" borderId="0" applyNumberFormat="0" applyBorder="0" applyAlignment="0" applyProtection="0"/>
    <xf numFmtId="0" fontId="111" fillId="78" borderId="0" applyNumberFormat="0" applyBorder="0" applyAlignment="0" applyProtection="0"/>
    <xf numFmtId="0" fontId="110" fillId="79" borderId="0" applyNumberFormat="0" applyBorder="0" applyAlignment="0" applyProtection="0"/>
    <xf numFmtId="0" fontId="110" fillId="80" borderId="0" applyNumberFormat="0" applyBorder="0" applyAlignment="0" applyProtection="0"/>
    <xf numFmtId="0" fontId="111" fillId="81" borderId="0" applyNumberFormat="0" applyBorder="0" applyAlignment="0" applyProtection="0"/>
    <xf numFmtId="0" fontId="111" fillId="82" borderId="0" applyNumberFormat="0" applyBorder="0" applyAlignment="0" applyProtection="0"/>
    <xf numFmtId="0" fontId="110" fillId="83" borderId="0" applyNumberFormat="0" applyBorder="0" applyAlignment="0" applyProtection="0"/>
    <xf numFmtId="0" fontId="110" fillId="84" borderId="0" applyNumberFormat="0" applyBorder="0" applyAlignment="0" applyProtection="0"/>
    <xf numFmtId="0" fontId="111" fillId="85" borderId="0" applyNumberFormat="0" applyBorder="0" applyAlignment="0" applyProtection="0"/>
    <xf numFmtId="0" fontId="111" fillId="86" borderId="0" applyNumberFormat="0" applyBorder="0" applyAlignment="0" applyProtection="0"/>
    <xf numFmtId="0" fontId="110" fillId="87" borderId="0" applyNumberFormat="0" applyBorder="0" applyAlignment="0" applyProtection="0"/>
    <xf numFmtId="0" fontId="110" fillId="88" borderId="0" applyNumberFormat="0" applyBorder="0" applyAlignment="0" applyProtection="0"/>
    <xf numFmtId="0" fontId="111" fillId="89" borderId="0" applyNumberFormat="0" applyBorder="0" applyAlignment="0" applyProtection="0"/>
    <xf numFmtId="0" fontId="111" fillId="90" borderId="0" applyNumberFormat="0" applyBorder="0" applyAlignment="0" applyProtection="0"/>
    <xf numFmtId="0" fontId="110" fillId="91" borderId="0" applyNumberFormat="0" applyBorder="0" applyAlignment="0" applyProtection="0"/>
    <xf numFmtId="0" fontId="110" fillId="92" borderId="0" applyNumberFormat="0" applyBorder="0" applyAlignment="0" applyProtection="0"/>
    <xf numFmtId="0" fontId="111" fillId="93" borderId="0" applyNumberFormat="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1142">
    <xf numFmtId="0" fontId="0" fillId="0" borderId="0" xfId="0"/>
    <xf numFmtId="0" fontId="73" fillId="0" borderId="0" xfId="0" applyFont="1" applyFill="1" applyProtection="1"/>
    <xf numFmtId="0" fontId="73" fillId="0" borderId="0" xfId="0" applyFont="1" applyFill="1" applyAlignment="1" applyProtection="1">
      <alignment horizontal="left" indent="1"/>
    </xf>
    <xf numFmtId="0" fontId="73" fillId="0" borderId="0" xfId="0" applyFont="1" applyFill="1" applyAlignment="1">
      <alignment horizontal="left" indent="1"/>
    </xf>
    <xf numFmtId="0" fontId="73" fillId="0" borderId="0" xfId="0" applyFont="1"/>
    <xf numFmtId="0" fontId="73" fillId="0" borderId="0" xfId="0" applyFont="1" applyAlignment="1">
      <alignment horizontal="center"/>
    </xf>
    <xf numFmtId="0" fontId="73" fillId="0" borderId="0" xfId="0" applyFont="1" applyAlignment="1">
      <alignment wrapText="1"/>
    </xf>
    <xf numFmtId="0" fontId="73" fillId="0" borderId="0" xfId="0" applyNumberFormat="1" applyFont="1"/>
    <xf numFmtId="0" fontId="73" fillId="0" borderId="58" xfId="0" applyFont="1" applyBorder="1" applyAlignment="1">
      <alignment horizontal="center"/>
    </xf>
    <xf numFmtId="0" fontId="73" fillId="0" borderId="53" xfId="0" applyFont="1" applyBorder="1" applyAlignment="1">
      <alignment horizontal="centerContinuous" wrapText="1"/>
    </xf>
    <xf numFmtId="0" fontId="73" fillId="0" borderId="54" xfId="0" applyFont="1" applyBorder="1" applyAlignment="1">
      <alignment horizontal="centerContinuous" wrapText="1"/>
    </xf>
    <xf numFmtId="0" fontId="75" fillId="0" borderId="60" xfId="0" applyFont="1" applyBorder="1" applyAlignment="1">
      <alignment horizontal="centerContinuous" wrapText="1"/>
    </xf>
    <xf numFmtId="0" fontId="77" fillId="56" borderId="60" xfId="0" applyFont="1" applyFill="1" applyBorder="1"/>
    <xf numFmtId="0" fontId="77" fillId="56" borderId="53" xfId="0" applyFont="1" applyFill="1" applyBorder="1"/>
    <xf numFmtId="0" fontId="75" fillId="56" borderId="53" xfId="0" applyFont="1" applyFill="1" applyBorder="1"/>
    <xf numFmtId="0" fontId="75" fillId="56" borderId="54" xfId="0" applyFont="1" applyFill="1" applyBorder="1" applyAlignment="1">
      <alignment horizontal="right"/>
    </xf>
    <xf numFmtId="0" fontId="73" fillId="0" borderId="0" xfId="0" applyFont="1" applyAlignment="1">
      <alignment horizontal="left"/>
    </xf>
    <xf numFmtId="0" fontId="75" fillId="56" borderId="62" xfId="0" applyFont="1" applyFill="1" applyBorder="1"/>
    <xf numFmtId="0" fontId="73" fillId="0" borderId="62" xfId="0" applyFont="1" applyBorder="1"/>
    <xf numFmtId="0" fontId="73" fillId="0" borderId="64" xfId="0" applyFont="1" applyBorder="1"/>
    <xf numFmtId="0" fontId="73" fillId="0" borderId="63" xfId="0" applyFont="1" applyBorder="1"/>
    <xf numFmtId="0" fontId="73" fillId="0" borderId="65" xfId="0" applyFont="1" applyBorder="1"/>
    <xf numFmtId="0" fontId="73" fillId="0" borderId="0" xfId="0" applyFont="1" applyBorder="1"/>
    <xf numFmtId="0" fontId="75" fillId="56" borderId="63" xfId="0" applyFont="1" applyFill="1" applyBorder="1" applyAlignment="1">
      <alignment horizontal="right"/>
    </xf>
    <xf numFmtId="0" fontId="74" fillId="0" borderId="0" xfId="0" applyNumberFormat="1" applyFont="1"/>
    <xf numFmtId="0" fontId="74" fillId="0" borderId="0" xfId="0" applyNumberFormat="1" applyFont="1" applyBorder="1"/>
    <xf numFmtId="0" fontId="73" fillId="28" borderId="0" xfId="2447" applyFont="1" applyFill="1" applyAlignment="1" applyProtection="1">
      <alignment vertical="top"/>
      <protection hidden="1"/>
    </xf>
    <xf numFmtId="0" fontId="73" fillId="28" borderId="0" xfId="2447" applyFont="1" applyFill="1" applyAlignment="1" applyProtection="1">
      <alignment vertical="top" wrapText="1"/>
      <protection hidden="1"/>
    </xf>
    <xf numFmtId="0" fontId="75" fillId="28" borderId="0" xfId="2447" applyFont="1" applyFill="1" applyBorder="1" applyAlignment="1" applyProtection="1">
      <alignment horizontal="left" vertical="top" wrapText="1"/>
      <protection hidden="1"/>
    </xf>
    <xf numFmtId="0" fontId="75" fillId="28" borderId="0" xfId="2447" applyFont="1" applyFill="1" applyBorder="1" applyAlignment="1" applyProtection="1">
      <alignment vertical="top"/>
      <protection hidden="1"/>
    </xf>
    <xf numFmtId="0" fontId="0" fillId="0" borderId="0" xfId="0" applyBorder="1"/>
    <xf numFmtId="0" fontId="0" fillId="55" borderId="0" xfId="0" applyFill="1"/>
    <xf numFmtId="0" fontId="75" fillId="0" borderId="0" xfId="0" applyFont="1"/>
    <xf numFmtId="0" fontId="85" fillId="0" borderId="0" xfId="0" applyNumberFormat="1" applyFont="1"/>
    <xf numFmtId="0" fontId="86" fillId="0" borderId="0" xfId="0" applyFont="1"/>
    <xf numFmtId="0" fontId="87" fillId="0" borderId="0" xfId="0" applyNumberFormat="1" applyFont="1"/>
    <xf numFmtId="0" fontId="73" fillId="0" borderId="0" xfId="0" applyFont="1" applyBorder="1" applyAlignment="1">
      <alignment horizontal="center"/>
    </xf>
    <xf numFmtId="0" fontId="75" fillId="0" borderId="0" xfId="0" applyFont="1" applyBorder="1" applyAlignment="1">
      <alignment horizontal="center" wrapText="1"/>
    </xf>
    <xf numFmtId="0" fontId="73" fillId="0" borderId="0" xfId="0" applyFont="1" applyBorder="1" applyAlignment="1">
      <alignment horizontal="center" wrapText="1"/>
    </xf>
    <xf numFmtId="0" fontId="73" fillId="0" borderId="0" xfId="0" applyFont="1" applyBorder="1" applyAlignment="1">
      <alignment wrapText="1"/>
    </xf>
    <xf numFmtId="0" fontId="0" fillId="0" borderId="0" xfId="0" applyBorder="1" applyAlignment="1">
      <alignment horizontal="center"/>
    </xf>
    <xf numFmtId="0" fontId="73" fillId="0" borderId="0" xfId="0" applyNumberFormat="1" applyFont="1" applyAlignment="1">
      <alignment horizontal="left" vertical="center"/>
    </xf>
    <xf numFmtId="0" fontId="73" fillId="0" borderId="0" xfId="0" applyFont="1" applyAlignment="1">
      <alignment horizontal="left" vertical="center"/>
    </xf>
    <xf numFmtId="43" fontId="73" fillId="56" borderId="65" xfId="2446" applyFont="1" applyFill="1" applyBorder="1" applyAlignment="1">
      <alignment horizontal="left" vertical="center"/>
    </xf>
    <xf numFmtId="0" fontId="75" fillId="56" borderId="62" xfId="0" applyFont="1" applyFill="1" applyBorder="1" applyAlignment="1">
      <alignment horizontal="left" vertical="center"/>
    </xf>
    <xf numFmtId="0" fontId="75" fillId="56" borderId="70" xfId="0" applyFont="1" applyFill="1" applyBorder="1"/>
    <xf numFmtId="0" fontId="73" fillId="56" borderId="62" xfId="0" applyFont="1" applyFill="1" applyBorder="1"/>
    <xf numFmtId="0" fontId="73" fillId="56" borderId="64" xfId="0" applyFont="1" applyFill="1" applyBorder="1"/>
    <xf numFmtId="41" fontId="73" fillId="0" borderId="0" xfId="0" applyNumberFormat="1" applyFont="1"/>
    <xf numFmtId="0" fontId="75" fillId="55" borderId="0" xfId="0" applyFont="1" applyFill="1" applyBorder="1" applyAlignment="1" applyProtection="1">
      <alignment horizontal="centerContinuous" vertical="center"/>
      <protection hidden="1"/>
    </xf>
    <xf numFmtId="3" fontId="73" fillId="0" borderId="0" xfId="0" applyNumberFormat="1" applyFont="1" applyFill="1" applyBorder="1" applyAlignment="1" applyProtection="1"/>
    <xf numFmtId="41" fontId="73" fillId="0" borderId="0" xfId="0" applyNumberFormat="1" applyFont="1" applyFill="1" applyBorder="1" applyAlignment="1" applyProtection="1">
      <alignment horizontal="right" vertical="center" wrapText="1"/>
    </xf>
    <xf numFmtId="41" fontId="73" fillId="0" borderId="27" xfId="0" applyNumberFormat="1" applyFont="1" applyFill="1" applyBorder="1" applyAlignment="1" applyProtection="1">
      <alignment horizontal="right" vertical="center"/>
    </xf>
    <xf numFmtId="0" fontId="73" fillId="0" borderId="0" xfId="0" applyFont="1" applyFill="1" applyBorder="1" applyAlignment="1" applyProtection="1">
      <alignment vertical="center" wrapText="1"/>
    </xf>
    <xf numFmtId="0" fontId="93" fillId="0" borderId="0" xfId="0" applyFont="1" applyFill="1" applyBorder="1" applyAlignment="1" applyProtection="1">
      <alignment vertical="top"/>
    </xf>
    <xf numFmtId="0" fontId="93" fillId="0" borderId="0" xfId="0" applyFont="1" applyBorder="1" applyAlignment="1" applyProtection="1">
      <alignment horizontal="left" vertical="top"/>
    </xf>
    <xf numFmtId="41" fontId="73" fillId="0" borderId="0" xfId="0" applyNumberFormat="1" applyFont="1" applyFill="1" applyBorder="1" applyAlignment="1" applyProtection="1">
      <alignment horizontal="right" vertical="center"/>
    </xf>
    <xf numFmtId="41" fontId="73" fillId="0" borderId="0" xfId="0" applyNumberFormat="1" applyFont="1" applyFill="1" applyBorder="1" applyAlignment="1" applyProtection="1">
      <alignment horizontal="right" wrapText="1"/>
    </xf>
    <xf numFmtId="0" fontId="93" fillId="0" borderId="0" xfId="0" applyFont="1" applyFill="1" applyBorder="1" applyAlignment="1" applyProtection="1">
      <alignment horizontal="left" vertical="top"/>
    </xf>
    <xf numFmtId="41" fontId="73" fillId="0" borderId="0" xfId="0" applyNumberFormat="1" applyFont="1" applyFill="1" applyBorder="1" applyAlignment="1" applyProtection="1">
      <alignment horizontal="right"/>
    </xf>
    <xf numFmtId="0" fontId="94" fillId="0" borderId="0" xfId="0" applyFont="1" applyBorder="1" applyAlignment="1" applyProtection="1">
      <alignment horizontal="left" vertical="top"/>
    </xf>
    <xf numFmtId="3" fontId="73" fillId="0" borderId="0" xfId="0" applyNumberFormat="1" applyFont="1" applyFill="1" applyAlignment="1" applyProtection="1"/>
    <xf numFmtId="0" fontId="73" fillId="0" borderId="0" xfId="0" applyFont="1" applyFill="1" applyAlignment="1" applyProtection="1"/>
    <xf numFmtId="41" fontId="73" fillId="0" borderId="0" xfId="0" applyNumberFormat="1" applyFont="1" applyFill="1" applyAlignment="1" applyProtection="1">
      <alignment horizontal="right"/>
    </xf>
    <xf numFmtId="41" fontId="73" fillId="0" borderId="0" xfId="0" applyNumberFormat="1" applyFont="1" applyFill="1" applyAlignment="1" applyProtection="1"/>
    <xf numFmtId="0" fontId="75" fillId="0" borderId="11" xfId="0" applyFont="1" applyFill="1" applyBorder="1" applyAlignment="1" applyProtection="1"/>
    <xf numFmtId="0" fontId="75" fillId="0" borderId="0" xfId="0" applyFont="1" applyFill="1" applyBorder="1" applyAlignment="1" applyProtection="1"/>
    <xf numFmtId="41" fontId="75" fillId="0" borderId="17" xfId="0" applyNumberFormat="1" applyFont="1" applyFill="1" applyBorder="1" applyAlignment="1" applyProtection="1">
      <alignment horizontal="right"/>
    </xf>
    <xf numFmtId="3" fontId="73" fillId="0" borderId="0" xfId="0" applyNumberFormat="1" applyFont="1" applyFill="1" applyAlignment="1" applyProtection="1">
      <alignment wrapText="1"/>
    </xf>
    <xf numFmtId="0" fontId="73" fillId="0" borderId="0" xfId="0" applyFont="1" applyFill="1" applyBorder="1" applyProtection="1"/>
    <xf numFmtId="41" fontId="75" fillId="0" borderId="42" xfId="0" applyNumberFormat="1" applyFont="1" applyFill="1" applyBorder="1" applyAlignment="1" applyProtection="1">
      <alignment horizontal="center"/>
    </xf>
    <xf numFmtId="41" fontId="75" fillId="0" borderId="0" xfId="0" applyNumberFormat="1" applyFont="1" applyFill="1" applyBorder="1" applyAlignment="1" applyProtection="1">
      <alignment horizontal="center"/>
    </xf>
    <xf numFmtId="41" fontId="75" fillId="0" borderId="12" xfId="0" applyNumberFormat="1" applyFont="1" applyFill="1" applyBorder="1" applyAlignment="1" applyProtection="1">
      <alignment horizontal="center"/>
    </xf>
    <xf numFmtId="0" fontId="75" fillId="0" borderId="16" xfId="0" applyFont="1" applyFill="1" applyBorder="1" applyAlignment="1" applyProtection="1"/>
    <xf numFmtId="0" fontId="75" fillId="0" borderId="17" xfId="0" applyFont="1" applyFill="1" applyBorder="1" applyAlignment="1" applyProtection="1"/>
    <xf numFmtId="0" fontId="73" fillId="0" borderId="17" xfId="0" applyFont="1" applyFill="1" applyBorder="1" applyProtection="1"/>
    <xf numFmtId="41" fontId="73" fillId="0" borderId="17" xfId="0" applyNumberFormat="1" applyFont="1" applyFill="1" applyBorder="1" applyAlignment="1" applyProtection="1">
      <alignment horizontal="right"/>
    </xf>
    <xf numFmtId="41" fontId="75" fillId="0" borderId="18" xfId="0" applyNumberFormat="1" applyFont="1" applyFill="1" applyBorder="1" applyAlignment="1" applyProtection="1">
      <alignment horizontal="center"/>
    </xf>
    <xf numFmtId="41" fontId="75" fillId="0" borderId="17" xfId="0" applyNumberFormat="1" applyFont="1" applyFill="1" applyBorder="1" applyAlignment="1" applyProtection="1">
      <alignment horizontal="center"/>
    </xf>
    <xf numFmtId="41" fontId="75" fillId="0" borderId="43" xfId="0" applyNumberFormat="1" applyFont="1" applyFill="1" applyBorder="1" applyAlignment="1" applyProtection="1">
      <alignment horizontal="center"/>
    </xf>
    <xf numFmtId="41" fontId="75" fillId="0" borderId="38" xfId="0" applyNumberFormat="1" applyFont="1" applyFill="1" applyBorder="1" applyAlignment="1" applyProtection="1">
      <alignment horizontal="center"/>
    </xf>
    <xf numFmtId="0" fontId="73" fillId="0" borderId="11" xfId="0" applyFont="1" applyFill="1" applyBorder="1" applyAlignment="1" applyProtection="1"/>
    <xf numFmtId="0" fontId="73" fillId="0" borderId="0" xfId="0" applyFont="1" applyFill="1" applyBorder="1" applyAlignment="1" applyProtection="1"/>
    <xf numFmtId="41" fontId="73" fillId="0" borderId="0" xfId="0" applyNumberFormat="1" applyFont="1" applyFill="1" applyBorder="1" applyProtection="1"/>
    <xf numFmtId="41" fontId="73" fillId="0" borderId="12" xfId="0" applyNumberFormat="1" applyFont="1" applyFill="1" applyBorder="1" applyProtection="1"/>
    <xf numFmtId="0" fontId="75" fillId="0" borderId="0" xfId="0" applyFont="1" applyFill="1" applyAlignment="1" applyProtection="1">
      <alignment horizontal="center" textRotation="60" wrapText="1"/>
    </xf>
    <xf numFmtId="0" fontId="73" fillId="0" borderId="13" xfId="0" applyFont="1" applyFill="1" applyBorder="1" applyAlignment="1" applyProtection="1"/>
    <xf numFmtId="0" fontId="73" fillId="0" borderId="14" xfId="0" applyFont="1" applyFill="1" applyBorder="1" applyAlignment="1" applyProtection="1"/>
    <xf numFmtId="0" fontId="75" fillId="0" borderId="14" xfId="0" applyFont="1" applyFill="1" applyBorder="1" applyAlignment="1" applyProtection="1">
      <alignment horizontal="left" wrapText="1"/>
    </xf>
    <xf numFmtId="41" fontId="75" fillId="0" borderId="14" xfId="0" applyNumberFormat="1" applyFont="1" applyFill="1" applyBorder="1" applyAlignment="1" applyProtection="1">
      <alignment horizontal="right" wrapText="1"/>
    </xf>
    <xf numFmtId="41" fontId="73" fillId="0" borderId="14" xfId="0" applyNumberFormat="1" applyFont="1" applyFill="1" applyBorder="1" applyAlignment="1" applyProtection="1">
      <alignment horizontal="center" wrapText="1"/>
    </xf>
    <xf numFmtId="41" fontId="73" fillId="0" borderId="30" xfId="0" applyNumberFormat="1" applyFont="1" applyFill="1" applyBorder="1" applyAlignment="1" applyProtection="1">
      <alignment horizontal="center" wrapText="1"/>
    </xf>
    <xf numFmtId="0" fontId="75" fillId="0" borderId="11" xfId="0" applyFont="1" applyFill="1" applyBorder="1" applyAlignment="1" applyProtection="1">
      <alignment vertical="center"/>
    </xf>
    <xf numFmtId="0" fontId="75" fillId="0" borderId="0" xfId="0" applyFont="1" applyFill="1" applyBorder="1" applyAlignment="1" applyProtection="1">
      <alignment vertical="center"/>
    </xf>
    <xf numFmtId="3" fontId="73" fillId="0" borderId="0" xfId="0" applyNumberFormat="1" applyFont="1" applyFill="1" applyBorder="1" applyAlignment="1" applyProtection="1">
      <alignment wrapText="1"/>
    </xf>
    <xf numFmtId="41" fontId="73" fillId="0" borderId="0" xfId="0" applyNumberFormat="1" applyFont="1" applyFill="1" applyBorder="1" applyAlignment="1" applyProtection="1">
      <alignment vertical="center" wrapText="1"/>
    </xf>
    <xf numFmtId="3" fontId="73" fillId="0" borderId="11" xfId="0" applyNumberFormat="1" applyFont="1" applyFill="1" applyBorder="1" applyAlignment="1" applyProtection="1"/>
    <xf numFmtId="0" fontId="73" fillId="0" borderId="0" xfId="0" applyFont="1" applyFill="1" applyBorder="1" applyAlignment="1" applyProtection="1">
      <alignment vertical="center"/>
    </xf>
    <xf numFmtId="41" fontId="73" fillId="0" borderId="20" xfId="0" applyNumberFormat="1" applyFont="1" applyFill="1" applyBorder="1" applyAlignment="1" applyProtection="1">
      <alignment vertical="center" wrapText="1"/>
    </xf>
    <xf numFmtId="41" fontId="73" fillId="0" borderId="31" xfId="0" applyNumberFormat="1" applyFont="1" applyFill="1" applyBorder="1" applyAlignment="1" applyProtection="1">
      <alignment vertical="center" wrapText="1"/>
    </xf>
    <xf numFmtId="41" fontId="73" fillId="29" borderId="29" xfId="0" applyNumberFormat="1" applyFont="1" applyFill="1" applyBorder="1" applyAlignment="1" applyProtection="1">
      <alignment vertical="center" wrapText="1"/>
      <protection locked="0"/>
    </xf>
    <xf numFmtId="41" fontId="73" fillId="0" borderId="21" xfId="0" applyNumberFormat="1" applyFont="1" applyFill="1" applyBorder="1" applyAlignment="1" applyProtection="1">
      <alignment vertical="center" wrapText="1"/>
    </xf>
    <xf numFmtId="41" fontId="73" fillId="0" borderId="29" xfId="0" applyNumberFormat="1" applyFont="1" applyFill="1" applyBorder="1" applyAlignment="1" applyProtection="1">
      <alignment vertical="center" wrapText="1"/>
    </xf>
    <xf numFmtId="41" fontId="73" fillId="0" borderId="32" xfId="0" applyNumberFormat="1" applyFont="1" applyFill="1" applyBorder="1" applyAlignment="1" applyProtection="1">
      <alignment vertical="center" wrapText="1"/>
    </xf>
    <xf numFmtId="41" fontId="73" fillId="0" borderId="23" xfId="0" applyNumberFormat="1" applyFont="1" applyFill="1" applyBorder="1" applyAlignment="1" applyProtection="1">
      <alignment vertical="center" wrapText="1"/>
    </xf>
    <xf numFmtId="41" fontId="73" fillId="0" borderId="34" xfId="0" applyNumberFormat="1" applyFont="1" applyFill="1" applyBorder="1" applyAlignment="1" applyProtection="1">
      <alignment vertical="center" wrapText="1"/>
    </xf>
    <xf numFmtId="41" fontId="91" fillId="29" borderId="29" xfId="0" applyNumberFormat="1" applyFont="1" applyFill="1" applyBorder="1" applyAlignment="1" applyProtection="1">
      <alignment vertical="center" wrapText="1"/>
      <protection locked="0"/>
    </xf>
    <xf numFmtId="41" fontId="73" fillId="0" borderId="22" xfId="0" applyNumberFormat="1" applyFont="1" applyFill="1" applyBorder="1" applyAlignment="1" applyProtection="1">
      <alignment vertical="center" wrapText="1"/>
    </xf>
    <xf numFmtId="41" fontId="73" fillId="0" borderId="33" xfId="0" applyNumberFormat="1" applyFont="1" applyFill="1" applyBorder="1" applyAlignment="1" applyProtection="1">
      <alignment vertical="center" wrapText="1"/>
    </xf>
    <xf numFmtId="0" fontId="75" fillId="0" borderId="24" xfId="0" applyFont="1" applyFill="1" applyBorder="1" applyAlignment="1" applyProtection="1">
      <alignment horizontal="left" vertical="center"/>
    </xf>
    <xf numFmtId="0" fontId="75" fillId="0" borderId="25" xfId="0" applyFont="1" applyFill="1" applyBorder="1" applyAlignment="1" applyProtection="1">
      <alignment horizontal="left" vertical="center"/>
    </xf>
    <xf numFmtId="3" fontId="73" fillId="0" borderId="26" xfId="0" applyNumberFormat="1" applyFont="1" applyFill="1" applyBorder="1" applyAlignment="1" applyProtection="1">
      <alignment wrapText="1"/>
    </xf>
    <xf numFmtId="41" fontId="73" fillId="0" borderId="25" xfId="0" applyNumberFormat="1" applyFont="1" applyFill="1" applyBorder="1" applyAlignment="1" applyProtection="1">
      <alignment horizontal="right" wrapText="1"/>
    </xf>
    <xf numFmtId="41" fontId="92" fillId="0" borderId="41" xfId="0" applyNumberFormat="1" applyFont="1" applyFill="1" applyBorder="1" applyAlignment="1" applyProtection="1">
      <alignment vertical="center" wrapText="1"/>
    </xf>
    <xf numFmtId="41" fontId="92" fillId="0" borderId="35" xfId="0" applyNumberFormat="1" applyFont="1" applyFill="1" applyBorder="1" applyAlignment="1" applyProtection="1">
      <alignment vertical="center" wrapText="1"/>
    </xf>
    <xf numFmtId="41" fontId="92" fillId="0" borderId="36" xfId="0" applyNumberFormat="1" applyFont="1" applyFill="1" applyBorder="1" applyAlignment="1" applyProtection="1">
      <alignment vertical="center" wrapText="1"/>
    </xf>
    <xf numFmtId="3" fontId="73" fillId="0" borderId="10" xfId="0" applyNumberFormat="1" applyFont="1" applyFill="1" applyBorder="1" applyAlignment="1" applyProtection="1">
      <alignment wrapText="1"/>
    </xf>
    <xf numFmtId="41" fontId="73" fillId="0" borderId="10" xfId="0" applyNumberFormat="1" applyFont="1" applyFill="1" applyBorder="1" applyAlignment="1" applyProtection="1">
      <alignment horizontal="right" wrapText="1"/>
    </xf>
    <xf numFmtId="41" fontId="73" fillId="0" borderId="12" xfId="0" applyNumberFormat="1" applyFont="1" applyFill="1" applyBorder="1" applyAlignment="1" applyProtection="1">
      <alignment vertical="center" wrapText="1"/>
    </xf>
    <xf numFmtId="0" fontId="75" fillId="0" borderId="0" xfId="0" applyFont="1" applyFill="1" applyBorder="1" applyAlignment="1" applyProtection="1">
      <alignment horizontal="left" vertical="center"/>
    </xf>
    <xf numFmtId="0" fontId="73" fillId="0" borderId="0" xfId="0" applyFont="1" applyFill="1" applyBorder="1" applyAlignment="1" applyProtection="1">
      <alignment horizontal="left" vertical="center"/>
    </xf>
    <xf numFmtId="41" fontId="73" fillId="0" borderId="29" xfId="0" applyNumberFormat="1" applyFont="1" applyFill="1" applyBorder="1" applyAlignment="1" applyProtection="1">
      <alignment horizontal="right" vertical="center"/>
    </xf>
    <xf numFmtId="41" fontId="73" fillId="0" borderId="21" xfId="0" applyNumberFormat="1" applyFont="1" applyFill="1" applyBorder="1" applyAlignment="1" applyProtection="1">
      <alignment horizontal="right" vertical="center"/>
    </xf>
    <xf numFmtId="0" fontId="80" fillId="0" borderId="0" xfId="0" applyFont="1" applyFill="1" applyBorder="1" applyAlignment="1" applyProtection="1">
      <alignment vertical="center" wrapText="1"/>
    </xf>
    <xf numFmtId="41" fontId="80" fillId="0" borderId="0" xfId="0" applyNumberFormat="1" applyFont="1" applyFill="1" applyBorder="1" applyAlignment="1" applyProtection="1">
      <alignment horizontal="right" vertical="center" wrapText="1"/>
    </xf>
    <xf numFmtId="0" fontId="75" fillId="0" borderId="46" xfId="0" applyFont="1" applyFill="1" applyBorder="1" applyAlignment="1" applyProtection="1">
      <alignment vertical="center"/>
    </xf>
    <xf numFmtId="0" fontId="75" fillId="0" borderId="25" xfId="0" applyFont="1" applyFill="1" applyBorder="1" applyAlignment="1" applyProtection="1">
      <alignment vertical="center"/>
    </xf>
    <xf numFmtId="3" fontId="73" fillId="0" borderId="25" xfId="0" applyNumberFormat="1" applyFont="1" applyFill="1" applyBorder="1" applyAlignment="1" applyProtection="1">
      <alignment wrapText="1"/>
    </xf>
    <xf numFmtId="41" fontId="73" fillId="0" borderId="0" xfId="0" applyNumberFormat="1" applyFont="1" applyFill="1" applyBorder="1" applyAlignment="1" applyProtection="1">
      <alignment wrapText="1"/>
    </xf>
    <xf numFmtId="41" fontId="73" fillId="0" borderId="12" xfId="0" applyNumberFormat="1" applyFont="1" applyFill="1" applyBorder="1" applyAlignment="1" applyProtection="1">
      <alignment wrapText="1"/>
    </xf>
    <xf numFmtId="41" fontId="73" fillId="0" borderId="0" xfId="0" applyNumberFormat="1" applyFont="1" applyFill="1" applyBorder="1" applyAlignment="1" applyProtection="1"/>
    <xf numFmtId="41" fontId="73" fillId="0" borderId="12" xfId="0" applyNumberFormat="1" applyFont="1" applyFill="1" applyBorder="1" applyAlignment="1" applyProtection="1"/>
    <xf numFmtId="41" fontId="73" fillId="0" borderId="20" xfId="0" applyNumberFormat="1" applyFont="1" applyFill="1" applyBorder="1" applyAlignment="1" applyProtection="1"/>
    <xf numFmtId="41" fontId="73" fillId="0" borderId="31" xfId="0" applyNumberFormat="1" applyFont="1" applyFill="1" applyBorder="1" applyAlignment="1" applyProtection="1"/>
    <xf numFmtId="41" fontId="75" fillId="0" borderId="19" xfId="0" applyNumberFormat="1" applyFont="1" applyFill="1" applyBorder="1" applyAlignment="1" applyProtection="1">
      <alignment horizontal="center"/>
    </xf>
    <xf numFmtId="41" fontId="73" fillId="0" borderId="44" xfId="0" applyNumberFormat="1" applyFont="1" applyFill="1" applyBorder="1" applyAlignment="1" applyProtection="1">
      <alignment vertical="center" wrapText="1"/>
    </xf>
    <xf numFmtId="41" fontId="73" fillId="0" borderId="25" xfId="0" applyNumberFormat="1" applyFont="1" applyFill="1" applyBorder="1" applyAlignment="1" applyProtection="1">
      <alignment vertical="center" wrapText="1"/>
    </xf>
    <xf numFmtId="41" fontId="92" fillId="0" borderId="0" xfId="0" applyNumberFormat="1" applyFont="1" applyFill="1" applyBorder="1" applyAlignment="1" applyProtection="1">
      <alignment vertical="center" wrapText="1"/>
    </xf>
    <xf numFmtId="41" fontId="92" fillId="0" borderId="23" xfId="0" applyNumberFormat="1" applyFont="1" applyFill="1" applyBorder="1" applyAlignment="1" applyProtection="1">
      <alignment vertical="center" wrapText="1"/>
    </xf>
    <xf numFmtId="41" fontId="92" fillId="0" borderId="25" xfId="0" applyNumberFormat="1" applyFont="1" applyFill="1" applyBorder="1" applyAlignment="1" applyProtection="1">
      <alignment vertical="center" wrapText="1"/>
    </xf>
    <xf numFmtId="3" fontId="73" fillId="0" borderId="0" xfId="0" applyNumberFormat="1" applyFont="1" applyFill="1" applyBorder="1" applyAlignment="1" applyProtection="1">
      <alignment vertical="center"/>
    </xf>
    <xf numFmtId="41" fontId="73" fillId="0" borderId="0" xfId="0" applyNumberFormat="1" applyFont="1" applyFill="1" applyBorder="1" applyAlignment="1" applyProtection="1">
      <alignment vertical="center"/>
    </xf>
    <xf numFmtId="41" fontId="73" fillId="0" borderId="23" xfId="0" applyNumberFormat="1" applyFont="1" applyFill="1" applyBorder="1" applyAlignment="1" applyProtection="1"/>
    <xf numFmtId="41" fontId="92" fillId="0" borderId="0" xfId="0" applyNumberFormat="1" applyFont="1" applyFill="1" applyBorder="1" applyAlignment="1" applyProtection="1">
      <alignment horizontal="center"/>
    </xf>
    <xf numFmtId="41" fontId="92" fillId="0" borderId="0" xfId="0" applyNumberFormat="1" applyFont="1" applyFill="1" applyBorder="1" applyAlignment="1" applyProtection="1"/>
    <xf numFmtId="0" fontId="73" fillId="55" borderId="0" xfId="2447" applyFont="1" applyFill="1" applyAlignment="1" applyProtection="1">
      <alignment vertical="top"/>
      <protection hidden="1"/>
    </xf>
    <xf numFmtId="0" fontId="73" fillId="55" borderId="0" xfId="2447" applyFont="1" applyFill="1" applyBorder="1" applyAlignment="1" applyProtection="1">
      <alignment vertical="top"/>
      <protection hidden="1"/>
    </xf>
    <xf numFmtId="0" fontId="75" fillId="55" borderId="0" xfId="2447" applyFont="1" applyFill="1" applyAlignment="1" applyProtection="1">
      <alignment vertical="center"/>
      <protection hidden="1"/>
    </xf>
    <xf numFmtId="0" fontId="75" fillId="28" borderId="0" xfId="2447" applyFont="1" applyFill="1" applyBorder="1" applyAlignment="1" applyProtection="1">
      <alignment vertical="top" wrapText="1"/>
      <protection hidden="1"/>
    </xf>
    <xf numFmtId="0" fontId="73" fillId="55" borderId="51" xfId="2447" applyFont="1" applyFill="1" applyBorder="1" applyAlignment="1" applyProtection="1">
      <alignment horizontal="center" vertical="center"/>
      <protection hidden="1"/>
    </xf>
    <xf numFmtId="0" fontId="0" fillId="55" borderId="0" xfId="0" applyFill="1" applyBorder="1"/>
    <xf numFmtId="0" fontId="75" fillId="0" borderId="0" xfId="0" applyFont="1" applyFill="1" applyBorder="1" applyProtection="1"/>
    <xf numFmtId="41" fontId="92" fillId="0" borderId="27" xfId="0" applyNumberFormat="1" applyFont="1" applyFill="1" applyBorder="1" applyAlignment="1" applyProtection="1">
      <alignment vertical="center" wrapText="1"/>
    </xf>
    <xf numFmtId="41" fontId="91" fillId="0" borderId="0" xfId="0" applyNumberFormat="1" applyFont="1" applyFill="1" applyBorder="1" applyAlignment="1" applyProtection="1"/>
    <xf numFmtId="41" fontId="92" fillId="0" borderId="27" xfId="0" applyNumberFormat="1" applyFont="1" applyFill="1" applyBorder="1" applyAlignment="1" applyProtection="1">
      <alignment horizontal="center"/>
    </xf>
    <xf numFmtId="41" fontId="73" fillId="0" borderId="0" xfId="0" applyNumberFormat="1" applyFont="1" applyFill="1" applyBorder="1" applyAlignment="1" applyProtection="1">
      <alignment horizontal="center" wrapText="1"/>
    </xf>
    <xf numFmtId="41" fontId="73" fillId="0" borderId="39" xfId="0" applyNumberFormat="1" applyFont="1" applyFill="1" applyBorder="1" applyAlignment="1" applyProtection="1">
      <alignment vertical="center" wrapText="1"/>
    </xf>
    <xf numFmtId="41" fontId="92" fillId="0" borderId="29" xfId="0" applyNumberFormat="1" applyFont="1" applyFill="1" applyBorder="1" applyAlignment="1" applyProtection="1">
      <alignment vertical="center" wrapText="1"/>
    </xf>
    <xf numFmtId="41" fontId="73" fillId="0" borderId="56" xfId="0" applyNumberFormat="1" applyFont="1" applyFill="1" applyBorder="1" applyAlignment="1" applyProtection="1">
      <alignment vertical="center" wrapText="1"/>
    </xf>
    <xf numFmtId="41" fontId="92" fillId="0" borderId="12" xfId="0" applyNumberFormat="1" applyFont="1" applyFill="1" applyBorder="1" applyAlignment="1" applyProtection="1">
      <alignment vertical="center" wrapText="1"/>
    </xf>
    <xf numFmtId="41" fontId="89" fillId="31" borderId="0" xfId="95" applyNumberFormat="1" applyFont="1" applyFill="1" applyBorder="1" applyAlignment="1" applyProtection="1">
      <alignment horizontal="centerContinuous" vertical="center"/>
    </xf>
    <xf numFmtId="0" fontId="73" fillId="54" borderId="58" xfId="0" applyFont="1" applyFill="1" applyBorder="1" applyProtection="1"/>
    <xf numFmtId="0" fontId="0" fillId="0" borderId="0" xfId="0" applyProtection="1"/>
    <xf numFmtId="0" fontId="73" fillId="57" borderId="58" xfId="0" applyFont="1" applyFill="1" applyBorder="1" applyProtection="1"/>
    <xf numFmtId="0" fontId="73" fillId="28" borderId="58" xfId="0" applyFont="1" applyFill="1" applyBorder="1" applyAlignment="1" applyProtection="1">
      <alignment wrapText="1"/>
    </xf>
    <xf numFmtId="0" fontId="73" fillId="55" borderId="0" xfId="45" applyFont="1" applyFill="1" applyProtection="1"/>
    <xf numFmtId="0" fontId="73" fillId="55" borderId="0" xfId="0" applyFont="1" applyFill="1" applyProtection="1"/>
    <xf numFmtId="0" fontId="74" fillId="55" borderId="0" xfId="45" applyFont="1" applyFill="1" applyAlignment="1" applyProtection="1">
      <alignment horizontal="centerContinuous"/>
    </xf>
    <xf numFmtId="0" fontId="74" fillId="55" borderId="0" xfId="45" applyFont="1" applyFill="1" applyBorder="1" applyAlignment="1" applyProtection="1">
      <alignment horizontal="centerContinuous"/>
    </xf>
    <xf numFmtId="0" fontId="75" fillId="55" borderId="0" xfId="0" applyFont="1" applyFill="1" applyBorder="1" applyAlignment="1" applyProtection="1">
      <alignment horizontal="center"/>
    </xf>
    <xf numFmtId="0" fontId="73" fillId="54" borderId="65" xfId="2447" applyFont="1" applyFill="1" applyBorder="1" applyAlignment="1" applyProtection="1">
      <alignment horizontal="left" vertical="top" wrapText="1"/>
      <protection locked="0"/>
    </xf>
    <xf numFmtId="0" fontId="75" fillId="0" borderId="0" xfId="0" applyFont="1" applyFill="1" applyBorder="1" applyAlignment="1" applyProtection="1">
      <alignment horizontal="centerContinuous" vertical="center"/>
      <protection hidden="1"/>
    </xf>
    <xf numFmtId="0" fontId="75" fillId="28" borderId="0" xfId="2447" applyFont="1" applyFill="1" applyBorder="1" applyAlignment="1" applyProtection="1">
      <alignment vertical="center"/>
      <protection hidden="1"/>
    </xf>
    <xf numFmtId="167" fontId="73" fillId="55" borderId="0" xfId="2447" applyNumberFormat="1" applyFont="1" applyFill="1" applyBorder="1" applyAlignment="1" applyProtection="1">
      <alignment horizontal="center" vertical="center" wrapText="1"/>
    </xf>
    <xf numFmtId="0" fontId="73" fillId="55" borderId="0" xfId="2447" applyFont="1" applyFill="1" applyBorder="1" applyAlignment="1" applyProtection="1">
      <alignment vertical="center"/>
      <protection hidden="1"/>
    </xf>
    <xf numFmtId="2" fontId="73" fillId="28" borderId="0" xfId="2447" applyNumberFormat="1" applyFont="1" applyFill="1" applyBorder="1" applyAlignment="1" applyProtection="1">
      <alignment horizontal="center" vertical="center" wrapText="1"/>
      <protection hidden="1"/>
    </xf>
    <xf numFmtId="0" fontId="83" fillId="55" borderId="0" xfId="0" applyFont="1" applyFill="1" applyBorder="1" applyAlignment="1" applyProtection="1">
      <alignment horizontal="centerContinuous" vertical="center"/>
      <protection hidden="1"/>
    </xf>
    <xf numFmtId="0" fontId="74" fillId="55" borderId="0" xfId="2447" applyFont="1" applyFill="1" applyBorder="1" applyAlignment="1" applyProtection="1">
      <alignment horizontal="center" vertical="center"/>
      <protection hidden="1"/>
    </xf>
    <xf numFmtId="0" fontId="75" fillId="56" borderId="60" xfId="0" applyFont="1" applyFill="1" applyBorder="1"/>
    <xf numFmtId="0" fontId="73" fillId="0" borderId="0" xfId="0" applyFont="1" applyFill="1" applyBorder="1" applyAlignment="1" applyProtection="1">
      <alignment horizontal="center"/>
    </xf>
    <xf numFmtId="0" fontId="73" fillId="0" borderId="0" xfId="0" applyFont="1" applyFill="1" applyAlignment="1" applyProtection="1">
      <alignment wrapText="1"/>
    </xf>
    <xf numFmtId="0" fontId="73" fillId="0" borderId="66" xfId="0" applyFont="1" applyFill="1" applyBorder="1" applyProtection="1"/>
    <xf numFmtId="0" fontId="73" fillId="0" borderId="57" xfId="0" applyFont="1" applyFill="1" applyBorder="1" applyProtection="1"/>
    <xf numFmtId="0" fontId="73" fillId="0" borderId="61" xfId="0" applyFont="1" applyFill="1" applyBorder="1" applyProtection="1"/>
    <xf numFmtId="0" fontId="73" fillId="0" borderId="49" xfId="0" applyFont="1" applyFill="1" applyBorder="1" applyProtection="1"/>
    <xf numFmtId="0" fontId="73" fillId="0" borderId="50" xfId="0" applyFont="1" applyFill="1" applyBorder="1" applyProtection="1"/>
    <xf numFmtId="0" fontId="95" fillId="0" borderId="49" xfId="0" applyFont="1" applyFill="1" applyBorder="1" applyProtection="1"/>
    <xf numFmtId="0" fontId="74" fillId="0" borderId="0" xfId="0" applyFont="1" applyFill="1" applyBorder="1" applyAlignment="1" applyProtection="1">
      <alignment horizontal="centerContinuous" vertical="center" wrapText="1"/>
    </xf>
    <xf numFmtId="0" fontId="74" fillId="0" borderId="0" xfId="0" applyFont="1" applyFill="1" applyBorder="1" applyAlignment="1" applyProtection="1">
      <alignment horizontal="centerContinuous" vertical="center"/>
    </xf>
    <xf numFmtId="0" fontId="95" fillId="0" borderId="0" xfId="0" applyFont="1" applyFill="1" applyBorder="1" applyAlignment="1" applyProtection="1">
      <alignment horizontal="centerContinuous" vertical="center"/>
    </xf>
    <xf numFmtId="0" fontId="95" fillId="0" borderId="50" xfId="0" applyFont="1" applyFill="1" applyBorder="1" applyProtection="1"/>
    <xf numFmtId="0" fontId="73" fillId="0" borderId="49" xfId="0" applyFont="1" applyFill="1" applyBorder="1" applyAlignment="1" applyProtection="1">
      <alignment wrapText="1"/>
    </xf>
    <xf numFmtId="0" fontId="73" fillId="0" borderId="71" xfId="0" applyFont="1" applyFill="1" applyBorder="1" applyProtection="1"/>
    <xf numFmtId="0" fontId="73" fillId="0" borderId="50" xfId="0" applyFont="1" applyFill="1" applyBorder="1" applyAlignment="1" applyProtection="1">
      <alignment wrapText="1"/>
    </xf>
    <xf numFmtId="0" fontId="75" fillId="0" borderId="0" xfId="0" quotePrefix="1" applyFont="1" applyFill="1" applyBorder="1" applyAlignment="1" applyProtection="1">
      <alignment horizontal="left"/>
    </xf>
    <xf numFmtId="0" fontId="73" fillId="0" borderId="59" xfId="0" applyFont="1" applyFill="1" applyBorder="1" applyProtection="1"/>
    <xf numFmtId="0" fontId="73" fillId="0" borderId="0" xfId="0" quotePrefix="1" applyFont="1" applyFill="1" applyBorder="1" applyAlignment="1" applyProtection="1">
      <alignment horizontal="left"/>
    </xf>
    <xf numFmtId="0" fontId="73" fillId="0" borderId="0" xfId="0" applyFont="1" applyFill="1" applyBorder="1" applyAlignment="1" applyProtection="1">
      <alignment horizontal="left"/>
    </xf>
    <xf numFmtId="0" fontId="90" fillId="0" borderId="0" xfId="2445" quotePrefix="1" applyFont="1" applyFill="1" applyBorder="1" applyAlignment="1" applyProtection="1">
      <alignment horizontal="left"/>
    </xf>
    <xf numFmtId="0" fontId="73" fillId="0" borderId="0" xfId="0" quotePrefix="1" applyFont="1" applyFill="1" applyBorder="1" applyAlignment="1" applyProtection="1"/>
    <xf numFmtId="0" fontId="73" fillId="0" borderId="0" xfId="0" applyFont="1" applyFill="1" applyBorder="1" applyAlignment="1" applyProtection="1">
      <alignment wrapText="1"/>
    </xf>
    <xf numFmtId="0" fontId="73" fillId="0" borderId="72" xfId="0" applyFont="1" applyFill="1" applyBorder="1" applyAlignment="1" applyProtection="1">
      <alignment wrapText="1"/>
    </xf>
    <xf numFmtId="0" fontId="73" fillId="0" borderId="72" xfId="0" applyFont="1" applyFill="1" applyBorder="1" applyProtection="1"/>
    <xf numFmtId="0" fontId="75" fillId="0" borderId="58" xfId="0" applyFont="1" applyBorder="1"/>
    <xf numFmtId="0" fontId="73" fillId="60" borderId="58" xfId="0" applyFont="1" applyFill="1" applyBorder="1" applyProtection="1"/>
    <xf numFmtId="0" fontId="75" fillId="0" borderId="58" xfId="0" applyFont="1" applyBorder="1" applyAlignment="1">
      <alignment horizontal="center"/>
    </xf>
    <xf numFmtId="0" fontId="73" fillId="58" borderId="58" xfId="0" applyFont="1" applyFill="1" applyBorder="1" applyAlignment="1">
      <alignment horizontal="center"/>
    </xf>
    <xf numFmtId="0" fontId="73" fillId="0" borderId="78" xfId="0" applyFont="1" applyBorder="1"/>
    <xf numFmtId="0" fontId="80" fillId="0" borderId="49" xfId="0" applyFont="1" applyBorder="1"/>
    <xf numFmtId="41" fontId="73" fillId="0" borderId="0" xfId="0" applyNumberFormat="1" applyFont="1" applyBorder="1"/>
    <xf numFmtId="0" fontId="73" fillId="0" borderId="50" xfId="0" applyFont="1" applyBorder="1"/>
    <xf numFmtId="0" fontId="97" fillId="0" borderId="71" xfId="0" applyFont="1" applyBorder="1"/>
    <xf numFmtId="41" fontId="73" fillId="0" borderId="72" xfId="0" applyNumberFormat="1" applyFont="1" applyBorder="1"/>
    <xf numFmtId="0" fontId="73" fillId="0" borderId="72" xfId="0" applyFont="1" applyBorder="1"/>
    <xf numFmtId="0" fontId="73" fillId="0" borderId="73" xfId="0" applyFont="1" applyBorder="1"/>
    <xf numFmtId="0" fontId="80" fillId="59" borderId="58" xfId="0" applyFont="1" applyFill="1" applyBorder="1"/>
    <xf numFmtId="0" fontId="73" fillId="59" borderId="58" xfId="0" applyFont="1" applyFill="1" applyBorder="1" applyAlignment="1">
      <alignment horizontal="center" vertical="center"/>
    </xf>
    <xf numFmtId="41" fontId="75" fillId="0" borderId="66" xfId="0" applyNumberFormat="1" applyFont="1" applyBorder="1"/>
    <xf numFmtId="41" fontId="73" fillId="0" borderId="78" xfId="0" applyNumberFormat="1" applyFont="1" applyBorder="1"/>
    <xf numFmtId="0" fontId="73" fillId="0" borderId="79" xfId="0" applyFont="1" applyBorder="1" applyAlignment="1">
      <alignment horizontal="center"/>
    </xf>
    <xf numFmtId="41" fontId="73" fillId="0" borderId="49" xfId="0" applyNumberFormat="1" applyFont="1" applyBorder="1"/>
    <xf numFmtId="0" fontId="73" fillId="0" borderId="50" xfId="0" applyFont="1" applyBorder="1" applyAlignment="1">
      <alignment horizontal="center"/>
    </xf>
    <xf numFmtId="41" fontId="73" fillId="0" borderId="71" xfId="0" applyNumberFormat="1" applyFont="1" applyBorder="1"/>
    <xf numFmtId="0" fontId="73" fillId="0" borderId="73" xfId="0" applyFont="1" applyBorder="1" applyAlignment="1">
      <alignment horizontal="center"/>
    </xf>
    <xf numFmtId="0" fontId="0" fillId="0" borderId="49" xfId="0" applyBorder="1"/>
    <xf numFmtId="0" fontId="73" fillId="0" borderId="49" xfId="0" applyFont="1" applyBorder="1"/>
    <xf numFmtId="0" fontId="82" fillId="61" borderId="67" xfId="0" applyFont="1" applyFill="1" applyBorder="1"/>
    <xf numFmtId="0" fontId="81" fillId="61" borderId="68" xfId="0" applyFont="1" applyFill="1" applyBorder="1"/>
    <xf numFmtId="0" fontId="81" fillId="61" borderId="69" xfId="0" applyFont="1" applyFill="1" applyBorder="1"/>
    <xf numFmtId="0" fontId="73" fillId="0" borderId="60" xfId="0" applyFont="1" applyBorder="1"/>
    <xf numFmtId="0" fontId="73" fillId="0" borderId="53" xfId="0" applyFont="1" applyBorder="1"/>
    <xf numFmtId="0" fontId="73" fillId="0" borderId="54" xfId="0" applyFont="1" applyBorder="1"/>
    <xf numFmtId="41" fontId="54" fillId="0" borderId="72" xfId="2445" applyNumberFormat="1" applyFont="1" applyBorder="1" applyAlignment="1" applyProtection="1"/>
    <xf numFmtId="172" fontId="73" fillId="0" borderId="0" xfId="2446" applyNumberFormat="1" applyFont="1"/>
    <xf numFmtId="0" fontId="75" fillId="56" borderId="71" xfId="0" applyFont="1" applyFill="1" applyBorder="1"/>
    <xf numFmtId="0" fontId="73" fillId="56" borderId="53" xfId="0" applyFont="1" applyFill="1" applyBorder="1" applyAlignment="1" applyProtection="1">
      <alignment horizontal="center"/>
      <protection locked="0"/>
    </xf>
    <xf numFmtId="41" fontId="75" fillId="0" borderId="89" xfId="0" applyNumberFormat="1" applyFont="1" applyFill="1" applyBorder="1" applyAlignment="1" applyProtection="1">
      <alignment horizontal="center"/>
    </xf>
    <xf numFmtId="41" fontId="75" fillId="29" borderId="17" xfId="0" applyNumberFormat="1" applyFont="1" applyFill="1" applyBorder="1" applyAlignment="1" applyProtection="1">
      <alignment horizontal="center"/>
      <protection locked="0"/>
    </xf>
    <xf numFmtId="41" fontId="75" fillId="29" borderId="76" xfId="0" applyNumberFormat="1" applyFont="1" applyFill="1" applyBorder="1" applyAlignment="1" applyProtection="1">
      <alignment horizontal="center"/>
      <protection locked="0"/>
    </xf>
    <xf numFmtId="41" fontId="75" fillId="0" borderId="82" xfId="0" applyNumberFormat="1" applyFont="1" applyFill="1" applyBorder="1" applyAlignment="1" applyProtection="1">
      <alignment horizontal="center"/>
    </xf>
    <xf numFmtId="41" fontId="73" fillId="0" borderId="88" xfId="0" applyNumberFormat="1" applyFont="1" applyFill="1" applyBorder="1" applyAlignment="1" applyProtection="1">
      <alignment vertical="center" wrapText="1"/>
    </xf>
    <xf numFmtId="41" fontId="75" fillId="0" borderId="88" xfId="0" applyNumberFormat="1" applyFont="1" applyFill="1" applyBorder="1" applyAlignment="1" applyProtection="1">
      <alignment horizontal="center"/>
    </xf>
    <xf numFmtId="41" fontId="75" fillId="0" borderId="12" xfId="0" applyNumberFormat="1" applyFont="1" applyFill="1" applyBorder="1" applyAlignment="1" applyProtection="1">
      <alignment vertical="center" wrapText="1"/>
    </xf>
    <xf numFmtId="41" fontId="75" fillId="0" borderId="88" xfId="0" applyNumberFormat="1" applyFont="1" applyFill="1" applyBorder="1" applyAlignment="1" applyProtection="1">
      <alignment vertical="center" wrapText="1"/>
    </xf>
    <xf numFmtId="41" fontId="75" fillId="0" borderId="75" xfId="0" applyNumberFormat="1" applyFont="1" applyFill="1" applyBorder="1" applyAlignment="1" applyProtection="1">
      <alignment horizontal="center"/>
    </xf>
    <xf numFmtId="0" fontId="73" fillId="0" borderId="85" xfId="0" applyFont="1" applyFill="1" applyBorder="1" applyProtection="1">
      <protection locked="0"/>
    </xf>
    <xf numFmtId="0" fontId="73" fillId="0" borderId="85" xfId="0" applyFont="1" applyFill="1" applyBorder="1" applyProtection="1"/>
    <xf numFmtId="41" fontId="73" fillId="0" borderId="38" xfId="0" applyNumberFormat="1" applyFont="1" applyFill="1" applyBorder="1" applyProtection="1"/>
    <xf numFmtId="41" fontId="73" fillId="0" borderId="17" xfId="0" applyNumberFormat="1" applyFont="1" applyFill="1" applyBorder="1" applyAlignment="1" applyProtection="1">
      <alignment horizontal="left"/>
    </xf>
    <xf numFmtId="41" fontId="73" fillId="0" borderId="17" xfId="0" applyNumberFormat="1" applyFont="1" applyFill="1" applyBorder="1" applyProtection="1"/>
    <xf numFmtId="0" fontId="75" fillId="0" borderId="17" xfId="0" applyFont="1" applyFill="1" applyBorder="1" applyProtection="1"/>
    <xf numFmtId="0" fontId="73" fillId="0" borderId="17" xfId="0" applyFont="1" applyFill="1" applyBorder="1" applyAlignment="1" applyProtection="1"/>
    <xf numFmtId="0" fontId="75" fillId="0" borderId="85" xfId="0" applyFont="1" applyFill="1" applyBorder="1" applyAlignment="1" applyProtection="1"/>
    <xf numFmtId="0" fontId="74" fillId="0" borderId="85" xfId="0" applyFont="1" applyFill="1" applyBorder="1" applyAlignment="1" applyProtection="1">
      <alignment horizontal="center" vertical="center"/>
    </xf>
    <xf numFmtId="0" fontId="74" fillId="0" borderId="12" xfId="0" applyFont="1" applyFill="1" applyBorder="1" applyAlignment="1" applyProtection="1">
      <alignment horizontal="centerContinuous"/>
    </xf>
    <xf numFmtId="0" fontId="74" fillId="0" borderId="0" xfId="0" applyFont="1" applyFill="1" applyBorder="1" applyAlignment="1" applyProtection="1">
      <alignment horizontal="centerContinuous"/>
    </xf>
    <xf numFmtId="0" fontId="75" fillId="0" borderId="84" xfId="0" applyFont="1" applyFill="1" applyBorder="1" applyAlignment="1" applyProtection="1"/>
    <xf numFmtId="0" fontId="74" fillId="0" borderId="37" xfId="0" applyFont="1" applyFill="1" applyBorder="1" applyAlignment="1" applyProtection="1">
      <alignment horizontal="centerContinuous"/>
    </xf>
    <xf numFmtId="3" fontId="72" fillId="0" borderId="0" xfId="0" applyNumberFormat="1" applyFont="1" applyFill="1" applyProtection="1"/>
    <xf numFmtId="41" fontId="72" fillId="0" borderId="0" xfId="0" applyNumberFormat="1" applyFont="1" applyFill="1" applyAlignment="1" applyProtection="1"/>
    <xf numFmtId="41" fontId="72" fillId="0" borderId="0" xfId="0" applyNumberFormat="1" applyFont="1" applyFill="1" applyAlignment="1" applyProtection="1">
      <alignment horizontal="right"/>
    </xf>
    <xf numFmtId="0" fontId="72" fillId="0" borderId="0" xfId="0" applyFont="1" applyFill="1" applyAlignment="1" applyProtection="1"/>
    <xf numFmtId="3" fontId="72" fillId="0" borderId="0" xfId="0" applyNumberFormat="1" applyFont="1" applyFill="1" applyAlignment="1" applyProtection="1"/>
    <xf numFmtId="0" fontId="74" fillId="0" borderId="37" xfId="0" applyFont="1" applyFill="1" applyBorder="1" applyAlignment="1" applyProtection="1">
      <alignment horizontal="centerContinuous" wrapText="1"/>
    </xf>
    <xf numFmtId="0" fontId="74" fillId="0" borderId="10" xfId="0" applyFont="1" applyFill="1" applyBorder="1" applyAlignment="1" applyProtection="1">
      <alignment horizontal="centerContinuous" wrapText="1"/>
    </xf>
    <xf numFmtId="0" fontId="74" fillId="0" borderId="47" xfId="0" applyFont="1" applyFill="1" applyBorder="1" applyAlignment="1" applyProtection="1">
      <alignment horizontal="centerContinuous" wrapText="1"/>
    </xf>
    <xf numFmtId="41" fontId="75" fillId="0" borderId="90" xfId="0" applyNumberFormat="1" applyFont="1" applyFill="1" applyBorder="1" applyAlignment="1" applyProtection="1">
      <alignment horizontal="center"/>
    </xf>
    <xf numFmtId="41" fontId="75" fillId="0" borderId="76" xfId="0" applyNumberFormat="1" applyFont="1" applyFill="1" applyBorder="1" applyAlignment="1" applyProtection="1">
      <alignment horizontal="center" wrapText="1"/>
    </xf>
    <xf numFmtId="41" fontId="75" fillId="0" borderId="17" xfId="0" applyNumberFormat="1" applyFont="1" applyFill="1" applyBorder="1" applyAlignment="1" applyProtection="1">
      <alignment horizontal="center" wrapText="1"/>
    </xf>
    <xf numFmtId="41" fontId="75" fillId="0" borderId="89" xfId="0" applyNumberFormat="1" applyFont="1" applyFill="1" applyBorder="1" applyAlignment="1" applyProtection="1">
      <alignment horizontal="center" wrapText="1"/>
    </xf>
    <xf numFmtId="41" fontId="75" fillId="0" borderId="38" xfId="0" applyNumberFormat="1" applyFont="1" applyFill="1" applyBorder="1" applyAlignment="1" applyProtection="1">
      <alignment horizontal="center" wrapText="1"/>
    </xf>
    <xf numFmtId="0" fontId="75" fillId="0" borderId="85" xfId="0" applyFont="1" applyFill="1" applyBorder="1" applyAlignment="1" applyProtection="1">
      <alignment horizontal="center" vertical="center"/>
    </xf>
    <xf numFmtId="0" fontId="75" fillId="0" borderId="85" xfId="0" applyFont="1" applyFill="1" applyBorder="1" applyAlignment="1" applyProtection="1">
      <alignment horizontal="center" textRotation="60" wrapText="1"/>
    </xf>
    <xf numFmtId="0" fontId="75" fillId="0" borderId="0" xfId="0" applyFont="1" applyFill="1" applyBorder="1" applyAlignment="1" applyProtection="1">
      <alignment vertical="top" wrapText="1"/>
    </xf>
    <xf numFmtId="0" fontId="75" fillId="0" borderId="12" xfId="0" applyFont="1" applyFill="1" applyBorder="1" applyAlignment="1" applyProtection="1">
      <alignment vertical="top" wrapText="1"/>
    </xf>
    <xf numFmtId="3" fontId="73" fillId="0" borderId="85" xfId="0" applyNumberFormat="1" applyFont="1" applyFill="1" applyBorder="1" applyAlignment="1" applyProtection="1">
      <alignment wrapText="1"/>
    </xf>
    <xf numFmtId="41" fontId="73" fillId="29" borderId="92" xfId="0" applyNumberFormat="1" applyFont="1" applyFill="1" applyBorder="1" applyAlignment="1" applyProtection="1">
      <alignment vertical="center" wrapText="1"/>
      <protection locked="0"/>
    </xf>
    <xf numFmtId="41" fontId="73" fillId="0" borderId="93" xfId="0" applyNumberFormat="1" applyFont="1" applyFill="1" applyBorder="1" applyAlignment="1" applyProtection="1">
      <alignment vertical="center" wrapText="1"/>
    </xf>
    <xf numFmtId="3" fontId="73" fillId="0" borderId="85" xfId="0" applyNumberFormat="1" applyFont="1" applyFill="1" applyBorder="1" applyAlignment="1" applyProtection="1">
      <alignment horizontal="center" wrapText="1"/>
      <protection locked="0"/>
    </xf>
    <xf numFmtId="3" fontId="72" fillId="0" borderId="0" xfId="0" applyNumberFormat="1" applyFont="1" applyFill="1" applyAlignment="1" applyProtection="1">
      <alignment vertical="center"/>
    </xf>
    <xf numFmtId="3" fontId="73" fillId="0" borderId="11" xfId="0" applyNumberFormat="1" applyFont="1" applyFill="1" applyBorder="1" applyAlignment="1" applyProtection="1">
      <alignment vertical="center"/>
    </xf>
    <xf numFmtId="41" fontId="73" fillId="0" borderId="92" xfId="0" applyNumberFormat="1" applyFont="1" applyFill="1" applyBorder="1" applyAlignment="1" applyProtection="1">
      <alignment vertical="center" wrapText="1"/>
    </xf>
    <xf numFmtId="3" fontId="73" fillId="0" borderId="85" xfId="0" applyNumberFormat="1" applyFont="1" applyFill="1" applyBorder="1" applyAlignment="1" applyProtection="1">
      <alignment horizontal="center" vertical="center" wrapText="1"/>
      <protection locked="0"/>
    </xf>
    <xf numFmtId="41" fontId="73" fillId="0" borderId="95" xfId="0" applyNumberFormat="1" applyFont="1" applyFill="1" applyBorder="1" applyAlignment="1" applyProtection="1">
      <alignment vertical="center" wrapText="1"/>
    </xf>
    <xf numFmtId="41" fontId="91" fillId="29" borderId="92" xfId="0" applyNumberFormat="1" applyFont="1" applyFill="1" applyBorder="1" applyAlignment="1" applyProtection="1">
      <alignment vertical="center" wrapText="1"/>
      <protection locked="0"/>
    </xf>
    <xf numFmtId="41" fontId="91" fillId="0" borderId="93" xfId="0" applyNumberFormat="1" applyFont="1" applyFill="1" applyBorder="1" applyAlignment="1" applyProtection="1">
      <alignment vertical="center" wrapText="1"/>
    </xf>
    <xf numFmtId="41" fontId="92" fillId="0" borderId="96" xfId="0" applyNumberFormat="1" applyFont="1" applyFill="1" applyBorder="1" applyAlignment="1" applyProtection="1">
      <alignment vertical="center" wrapText="1"/>
    </xf>
    <xf numFmtId="41" fontId="92" fillId="0" borderId="97" xfId="0" applyNumberFormat="1" applyFont="1" applyFill="1" applyBorder="1" applyAlignment="1" applyProtection="1">
      <alignment vertical="center" wrapText="1"/>
    </xf>
    <xf numFmtId="3" fontId="73" fillId="0" borderId="98" xfId="0" applyNumberFormat="1" applyFont="1" applyFill="1" applyBorder="1" applyAlignment="1" applyProtection="1">
      <alignment horizontal="center" wrapText="1"/>
      <protection locked="0"/>
    </xf>
    <xf numFmtId="41" fontId="73" fillId="0" borderId="99" xfId="0" applyNumberFormat="1" applyFont="1" applyFill="1" applyBorder="1" applyAlignment="1" applyProtection="1">
      <alignment horizontal="center" vertical="center" wrapText="1"/>
    </xf>
    <xf numFmtId="41" fontId="73" fillId="0" borderId="99" xfId="0" applyNumberFormat="1" applyFont="1" applyFill="1" applyBorder="1" applyAlignment="1" applyProtection="1">
      <alignment vertical="center" wrapText="1"/>
    </xf>
    <xf numFmtId="3" fontId="73" fillId="0" borderId="88" xfId="0" applyNumberFormat="1" applyFont="1" applyFill="1" applyBorder="1" applyAlignment="1" applyProtection="1">
      <alignment horizontal="center" wrapText="1"/>
      <protection locked="0"/>
    </xf>
    <xf numFmtId="41" fontId="73" fillId="0" borderId="0" xfId="0" applyNumberFormat="1" applyFont="1" applyFill="1" applyBorder="1" applyAlignment="1" applyProtection="1">
      <alignment horizontal="center" vertical="center" wrapText="1"/>
    </xf>
    <xf numFmtId="41" fontId="75" fillId="0" borderId="0" xfId="0" applyNumberFormat="1" applyFont="1" applyFill="1" applyBorder="1" applyAlignment="1" applyProtection="1">
      <alignment horizontal="center" vertical="center" wrapText="1"/>
    </xf>
    <xf numFmtId="41" fontId="73" fillId="0" borderId="93" xfId="0" applyNumberFormat="1" applyFont="1" applyFill="1" applyBorder="1" applyAlignment="1" applyProtection="1">
      <alignment horizontal="right" vertical="center"/>
    </xf>
    <xf numFmtId="165" fontId="73" fillId="0" borderId="0" xfId="0" applyNumberFormat="1" applyFont="1" applyFill="1" applyBorder="1" applyAlignment="1" applyProtection="1">
      <alignment horizontal="right" vertical="center"/>
    </xf>
    <xf numFmtId="165" fontId="73" fillId="0" borderId="0" xfId="0" applyNumberFormat="1" applyFont="1" applyFill="1" applyBorder="1" applyAlignment="1" applyProtection="1">
      <alignment horizontal="right" wrapText="1"/>
    </xf>
    <xf numFmtId="41" fontId="73" fillId="0" borderId="100" xfId="0" applyNumberFormat="1" applyFont="1" applyFill="1" applyBorder="1" applyAlignment="1" applyProtection="1">
      <alignment vertical="center" wrapText="1"/>
    </xf>
    <xf numFmtId="165" fontId="73" fillId="0" borderId="0" xfId="0" applyNumberFormat="1" applyFont="1" applyFill="1" applyBorder="1" applyAlignment="1" applyProtection="1">
      <alignment horizontal="right"/>
    </xf>
    <xf numFmtId="41" fontId="92" fillId="0" borderId="91" xfId="0" applyNumberFormat="1" applyFont="1" applyFill="1" applyBorder="1" applyAlignment="1" applyProtection="1">
      <alignment vertical="center" wrapText="1"/>
    </xf>
    <xf numFmtId="41" fontId="92" fillId="0" borderId="101" xfId="0" applyNumberFormat="1" applyFont="1" applyFill="1" applyBorder="1" applyAlignment="1" applyProtection="1">
      <alignment vertical="center" wrapText="1"/>
    </xf>
    <xf numFmtId="0" fontId="73" fillId="0" borderId="10" xfId="0" applyFont="1" applyFill="1" applyBorder="1" applyAlignment="1" applyProtection="1"/>
    <xf numFmtId="41" fontId="73" fillId="0" borderId="10" xfId="0" applyNumberFormat="1" applyFont="1" applyFill="1" applyBorder="1" applyAlignment="1" applyProtection="1">
      <alignment wrapText="1"/>
    </xf>
    <xf numFmtId="41" fontId="73" fillId="0" borderId="10" xfId="0" applyNumberFormat="1" applyFont="1" applyFill="1" applyBorder="1" applyAlignment="1" applyProtection="1">
      <alignment horizontal="center" wrapText="1"/>
    </xf>
    <xf numFmtId="173" fontId="81" fillId="0" borderId="0" xfId="0" applyNumberFormat="1" applyFont="1" applyFill="1" applyBorder="1" applyAlignment="1" applyProtection="1">
      <alignment horizontal="right"/>
      <protection hidden="1"/>
    </xf>
    <xf numFmtId="41" fontId="92" fillId="0" borderId="92" xfId="0" applyNumberFormat="1" applyFont="1" applyFill="1" applyBorder="1" applyAlignment="1" applyProtection="1"/>
    <xf numFmtId="41" fontId="92" fillId="0" borderId="21" xfId="0" applyNumberFormat="1" applyFont="1" applyFill="1" applyBorder="1" applyAlignment="1" applyProtection="1"/>
    <xf numFmtId="41" fontId="73" fillId="0" borderId="34" xfId="0" applyNumberFormat="1" applyFont="1" applyFill="1" applyBorder="1" applyAlignment="1" applyProtection="1"/>
    <xf numFmtId="41" fontId="92" fillId="0" borderId="92" xfId="0" applyNumberFormat="1" applyFont="1" applyFill="1" applyBorder="1" applyAlignment="1" applyProtection="1">
      <alignment horizontal="center"/>
    </xf>
    <xf numFmtId="41" fontId="92" fillId="0" borderId="56" xfId="0" applyNumberFormat="1" applyFont="1" applyFill="1" applyBorder="1" applyAlignment="1" applyProtection="1">
      <alignment horizontal="center"/>
    </xf>
    <xf numFmtId="0" fontId="73" fillId="0" borderId="25" xfId="0" applyFont="1" applyFill="1" applyBorder="1" applyAlignment="1" applyProtection="1"/>
    <xf numFmtId="41" fontId="73" fillId="0" borderId="25" xfId="0" applyNumberFormat="1" applyFont="1" applyFill="1" applyBorder="1" applyAlignment="1" applyProtection="1">
      <alignment horizontal="right"/>
    </xf>
    <xf numFmtId="41" fontId="92" fillId="0" borderId="25" xfId="0" applyNumberFormat="1" applyFont="1" applyFill="1" applyBorder="1" applyAlignment="1" applyProtection="1"/>
    <xf numFmtId="41" fontId="92" fillId="0" borderId="96" xfId="0" applyNumberFormat="1" applyFont="1" applyFill="1" applyBorder="1" applyAlignment="1" applyProtection="1">
      <alignment horizontal="center"/>
    </xf>
    <xf numFmtId="41" fontId="92" fillId="0" borderId="35" xfId="0" applyNumberFormat="1" applyFont="1" applyFill="1" applyBorder="1" applyAlignment="1" applyProtection="1">
      <alignment horizontal="center"/>
    </xf>
    <xf numFmtId="41" fontId="92" fillId="0" borderId="25" xfId="0" applyNumberFormat="1" applyFont="1" applyFill="1" applyBorder="1" applyAlignment="1" applyProtection="1">
      <alignment horizontal="center"/>
    </xf>
    <xf numFmtId="41" fontId="73" fillId="0" borderId="0" xfId="0" applyNumberFormat="1" applyFont="1" applyFill="1" applyBorder="1" applyAlignment="1" applyProtection="1">
      <alignment horizontal="center"/>
    </xf>
    <xf numFmtId="41" fontId="73" fillId="0" borderId="17" xfId="0" applyNumberFormat="1" applyFont="1" applyFill="1" applyBorder="1" applyAlignment="1" applyProtection="1">
      <alignment horizontal="center"/>
    </xf>
    <xf numFmtId="0" fontId="75" fillId="0" borderId="0" xfId="0" applyFont="1" applyFill="1" applyBorder="1" applyAlignment="1" applyProtection="1">
      <alignment horizontal="center"/>
    </xf>
    <xf numFmtId="0" fontId="73" fillId="0" borderId="0" xfId="0" applyFont="1" applyFill="1" applyBorder="1" applyAlignment="1" applyProtection="1">
      <alignment vertical="center" wrapText="1"/>
      <protection hidden="1"/>
    </xf>
    <xf numFmtId="41" fontId="73" fillId="0" borderId="27" xfId="0" applyNumberFormat="1" applyFont="1" applyFill="1" applyBorder="1" applyAlignment="1" applyProtection="1">
      <alignment horizontal="right" vertical="center"/>
      <protection hidden="1"/>
    </xf>
    <xf numFmtId="43" fontId="0" fillId="0" borderId="0" xfId="2446" applyFont="1"/>
    <xf numFmtId="0" fontId="4" fillId="0" borderId="0" xfId="0" applyFont="1" applyAlignment="1">
      <alignment horizontal="right"/>
    </xf>
    <xf numFmtId="43" fontId="75" fillId="56" borderId="65" xfId="2446" applyFont="1" applyFill="1" applyBorder="1" applyAlignment="1">
      <alignment horizontal="left" vertical="center"/>
    </xf>
    <xf numFmtId="0" fontId="73" fillId="56" borderId="65" xfId="0" applyFont="1" applyFill="1" applyBorder="1" applyAlignment="1">
      <alignment horizontal="center"/>
    </xf>
    <xf numFmtId="0" fontId="77" fillId="56" borderId="63" xfId="0" applyFont="1" applyFill="1" applyBorder="1"/>
    <xf numFmtId="43" fontId="75" fillId="56" borderId="65" xfId="2446" applyFont="1" applyFill="1" applyBorder="1" applyAlignment="1"/>
    <xf numFmtId="0" fontId="73" fillId="0" borderId="0" xfId="0" applyFont="1" applyAlignment="1">
      <alignment horizontal="right"/>
    </xf>
    <xf numFmtId="0" fontId="77" fillId="0" borderId="104" xfId="0" applyFont="1" applyBorder="1" applyAlignment="1">
      <alignment horizontal="right"/>
    </xf>
    <xf numFmtId="0" fontId="77" fillId="0" borderId="105" xfId="0" applyFont="1" applyBorder="1" applyAlignment="1">
      <alignment horizontal="right"/>
    </xf>
    <xf numFmtId="0" fontId="75" fillId="0" borderId="105" xfId="0" applyFont="1" applyBorder="1" applyAlignment="1">
      <alignment horizontal="right"/>
    </xf>
    <xf numFmtId="0" fontId="77" fillId="0" borderId="107" xfId="0" applyFont="1" applyBorder="1"/>
    <xf numFmtId="0" fontId="77" fillId="0" borderId="65" xfId="0" applyFont="1" applyBorder="1"/>
    <xf numFmtId="0" fontId="77" fillId="0" borderId="111" xfId="0" applyFont="1" applyBorder="1"/>
    <xf numFmtId="0" fontId="75" fillId="0" borderId="103" xfId="0" applyFont="1" applyBorder="1"/>
    <xf numFmtId="43" fontId="75" fillId="0" borderId="109" xfId="2446" applyFont="1" applyBorder="1"/>
    <xf numFmtId="0" fontId="75" fillId="0" borderId="102" xfId="0" applyFont="1" applyBorder="1"/>
    <xf numFmtId="0" fontId="75" fillId="56" borderId="102" xfId="0" applyFont="1" applyFill="1" applyBorder="1" applyAlignment="1">
      <alignment horizontal="center"/>
    </xf>
    <xf numFmtId="43" fontId="0" fillId="0" borderId="0" xfId="0" applyNumberFormat="1"/>
    <xf numFmtId="0" fontId="75" fillId="0" borderId="65" xfId="0" applyFont="1" applyBorder="1" applyAlignment="1">
      <alignment horizontal="center" vertical="center"/>
    </xf>
    <xf numFmtId="0" fontId="73" fillId="0" borderId="0" xfId="0" applyFont="1" applyProtection="1"/>
    <xf numFmtId="0" fontId="73" fillId="28" borderId="66" xfId="0" applyFont="1" applyFill="1" applyBorder="1" applyProtection="1"/>
    <xf numFmtId="0" fontId="73" fillId="28" borderId="78" xfId="0" applyFont="1" applyFill="1" applyBorder="1" applyProtection="1"/>
    <xf numFmtId="0" fontId="73" fillId="28" borderId="79" xfId="0" applyFont="1" applyFill="1" applyBorder="1" applyProtection="1"/>
    <xf numFmtId="0" fontId="73" fillId="28" borderId="49" xfId="0" applyFont="1" applyFill="1" applyBorder="1" applyProtection="1"/>
    <xf numFmtId="0" fontId="73" fillId="28" borderId="0" xfId="0" applyFont="1" applyFill="1" applyBorder="1" applyProtection="1"/>
    <xf numFmtId="0" fontId="73" fillId="28" borderId="50" xfId="0" applyFont="1" applyFill="1" applyBorder="1" applyProtection="1"/>
    <xf numFmtId="0" fontId="101" fillId="0" borderId="0" xfId="0" applyFont="1" applyProtection="1"/>
    <xf numFmtId="41" fontId="72" fillId="0" borderId="0" xfId="0" applyNumberFormat="1" applyFont="1" applyFill="1" applyBorder="1" applyAlignment="1" applyProtection="1"/>
    <xf numFmtId="41" fontId="72" fillId="0" borderId="0" xfId="0" applyNumberFormat="1" applyFont="1" applyFill="1" applyAlignment="1" applyProtection="1">
      <alignment horizontal="center"/>
    </xf>
    <xf numFmtId="0" fontId="95" fillId="0" borderId="11" xfId="0" applyFont="1" applyFill="1" applyBorder="1" applyAlignment="1" applyProtection="1"/>
    <xf numFmtId="0" fontId="95" fillId="0" borderId="0" xfId="0" applyFont="1" applyFill="1" applyBorder="1" applyAlignment="1" applyProtection="1"/>
    <xf numFmtId="0" fontId="74" fillId="0" borderId="0" xfId="0" applyFont="1" applyFill="1" applyBorder="1" applyProtection="1"/>
    <xf numFmtId="41" fontId="74" fillId="0" borderId="0" xfId="0" applyNumberFormat="1" applyFont="1" applyFill="1" applyBorder="1" applyAlignment="1" applyProtection="1">
      <alignment horizontal="right"/>
    </xf>
    <xf numFmtId="41" fontId="95" fillId="0" borderId="0" xfId="0" applyNumberFormat="1" applyFont="1" applyFill="1" applyBorder="1" applyProtection="1"/>
    <xf numFmtId="41" fontId="95" fillId="0" borderId="17" xfId="0" applyNumberFormat="1" applyFont="1" applyFill="1" applyBorder="1" applyProtection="1"/>
    <xf numFmtId="41" fontId="95" fillId="0" borderId="17" xfId="0" applyNumberFormat="1" applyFont="1" applyFill="1" applyBorder="1" applyAlignment="1" applyProtection="1">
      <alignment horizontal="left"/>
    </xf>
    <xf numFmtId="41" fontId="95" fillId="0" borderId="38" xfId="0" applyNumberFormat="1" applyFont="1" applyFill="1" applyBorder="1" applyAlignment="1" applyProtection="1">
      <alignment horizontal="left"/>
    </xf>
    <xf numFmtId="0" fontId="73" fillId="0" borderId="12" xfId="0" applyFont="1" applyFill="1" applyBorder="1" applyProtection="1"/>
    <xf numFmtId="41" fontId="75" fillId="0" borderId="112" xfId="0" applyNumberFormat="1" applyFont="1" applyFill="1" applyBorder="1" applyAlignment="1" applyProtection="1">
      <alignment vertical="center" wrapText="1"/>
    </xf>
    <xf numFmtId="41" fontId="75" fillId="0" borderId="113" xfId="0" applyNumberFormat="1" applyFont="1" applyFill="1" applyBorder="1" applyAlignment="1" applyProtection="1">
      <alignment horizontal="center"/>
    </xf>
    <xf numFmtId="41" fontId="75" fillId="0" borderId="114" xfId="0" applyNumberFormat="1" applyFont="1" applyFill="1" applyBorder="1" applyAlignment="1" applyProtection="1">
      <alignment horizontal="center"/>
    </xf>
    <xf numFmtId="41" fontId="75" fillId="0" borderId="115" xfId="0" applyNumberFormat="1" applyFont="1" applyFill="1" applyBorder="1" applyAlignment="1" applyProtection="1">
      <alignment horizontal="center"/>
    </xf>
    <xf numFmtId="41" fontId="75" fillId="0" borderId="116" xfId="0" applyNumberFormat="1" applyFont="1" applyFill="1" applyBorder="1" applyAlignment="1" applyProtection="1">
      <alignment horizontal="center"/>
    </xf>
    <xf numFmtId="0" fontId="75" fillId="0" borderId="85" xfId="0" applyFont="1" applyFill="1" applyBorder="1" applyProtection="1">
      <protection locked="0"/>
    </xf>
    <xf numFmtId="0" fontId="75" fillId="0" borderId="0" xfId="0" applyFont="1" applyFill="1" applyProtection="1"/>
    <xf numFmtId="41" fontId="75" fillId="0" borderId="117" xfId="0" applyNumberFormat="1" applyFont="1" applyFill="1" applyBorder="1" applyAlignment="1" applyProtection="1">
      <alignment vertical="center" wrapText="1"/>
    </xf>
    <xf numFmtId="41" fontId="75" fillId="0" borderId="43" xfId="0" applyNumberFormat="1" applyFont="1" applyFill="1" applyBorder="1" applyAlignment="1" applyProtection="1">
      <alignment vertical="center" wrapText="1"/>
    </xf>
    <xf numFmtId="41" fontId="75" fillId="0" borderId="118" xfId="0" applyNumberFormat="1" applyFont="1" applyFill="1" applyBorder="1" applyAlignment="1" applyProtection="1">
      <alignment vertical="center" wrapText="1"/>
    </xf>
    <xf numFmtId="41" fontId="75" fillId="0" borderId="119" xfId="0" applyNumberFormat="1" applyFont="1" applyFill="1" applyBorder="1" applyAlignment="1" applyProtection="1">
      <alignment horizontal="center"/>
    </xf>
    <xf numFmtId="41" fontId="75" fillId="0" borderId="120" xfId="0" applyNumberFormat="1" applyFont="1" applyFill="1" applyBorder="1" applyAlignment="1" applyProtection="1">
      <alignment horizontal="center"/>
    </xf>
    <xf numFmtId="41" fontId="73" fillId="0" borderId="38" xfId="0" applyNumberFormat="1" applyFont="1" applyFill="1" applyBorder="1" applyAlignment="1" applyProtection="1">
      <alignment horizontal="center"/>
    </xf>
    <xf numFmtId="0" fontId="75" fillId="0" borderId="11" xfId="0" applyFont="1" applyFill="1" applyBorder="1" applyAlignment="1" applyProtection="1">
      <alignment vertical="top" wrapText="1"/>
    </xf>
    <xf numFmtId="41" fontId="75" fillId="0" borderId="16" xfId="0" applyNumberFormat="1" applyFont="1" applyFill="1" applyBorder="1" applyAlignment="1" applyProtection="1">
      <alignment horizontal="center" wrapText="1"/>
    </xf>
    <xf numFmtId="41" fontId="73" fillId="0" borderId="12" xfId="0" applyNumberFormat="1" applyFont="1" applyFill="1" applyBorder="1" applyAlignment="1" applyProtection="1">
      <alignment horizontal="center" vertical="center" wrapText="1"/>
    </xf>
    <xf numFmtId="41" fontId="73" fillId="0" borderId="17" xfId="0" applyNumberFormat="1" applyFont="1" applyFill="1" applyBorder="1" applyAlignment="1" applyProtection="1">
      <alignment vertical="center" wrapText="1"/>
    </xf>
    <xf numFmtId="3" fontId="73" fillId="0" borderId="85" xfId="0" applyNumberFormat="1" applyFont="1" applyFill="1" applyBorder="1" applyAlignment="1" applyProtection="1">
      <alignment horizontal="center" wrapText="1"/>
    </xf>
    <xf numFmtId="41" fontId="73" fillId="0" borderId="121" xfId="0" applyNumberFormat="1" applyFont="1" applyFill="1" applyBorder="1" applyAlignment="1" applyProtection="1">
      <alignment vertical="center" wrapText="1"/>
    </xf>
    <xf numFmtId="41" fontId="73" fillId="0" borderId="122" xfId="0" applyNumberFormat="1" applyFont="1" applyFill="1" applyBorder="1" applyAlignment="1" applyProtection="1">
      <alignment vertical="center" wrapText="1"/>
    </xf>
    <xf numFmtId="41" fontId="73" fillId="0" borderId="1" xfId="0" applyNumberFormat="1" applyFont="1" applyFill="1" applyBorder="1" applyAlignment="1" applyProtection="1">
      <alignment vertical="center" wrapText="1"/>
    </xf>
    <xf numFmtId="41" fontId="73" fillId="0" borderId="123" xfId="0" applyNumberFormat="1" applyFont="1" applyFill="1" applyBorder="1" applyAlignment="1" applyProtection="1">
      <alignment vertical="center" wrapText="1"/>
    </xf>
    <xf numFmtId="41" fontId="73" fillId="0" borderId="40" xfId="0" applyNumberFormat="1" applyFont="1" applyFill="1" applyBorder="1" applyAlignment="1" applyProtection="1">
      <alignment vertical="center" wrapText="1"/>
    </xf>
    <xf numFmtId="41" fontId="73" fillId="0" borderId="124" xfId="0" applyNumberFormat="1" applyFont="1" applyFill="1" applyBorder="1" applyAlignment="1" applyProtection="1">
      <alignment vertical="center" wrapText="1"/>
    </xf>
    <xf numFmtId="41" fontId="73" fillId="0" borderId="126" xfId="0" applyNumberFormat="1" applyFont="1" applyFill="1" applyBorder="1" applyAlignment="1" applyProtection="1">
      <alignment vertical="center" wrapText="1"/>
    </xf>
    <xf numFmtId="41" fontId="73" fillId="0" borderId="127" xfId="0" applyNumberFormat="1" applyFont="1" applyFill="1" applyBorder="1" applyAlignment="1" applyProtection="1">
      <alignment vertical="center" wrapText="1"/>
    </xf>
    <xf numFmtId="3" fontId="73" fillId="0" borderId="0" xfId="0" applyNumberFormat="1" applyFont="1" applyFill="1" applyAlignment="1" applyProtection="1">
      <alignment vertical="center" wrapText="1"/>
    </xf>
    <xf numFmtId="41" fontId="73" fillId="0" borderId="28" xfId="0" applyNumberFormat="1" applyFont="1" applyFill="1" applyBorder="1" applyAlignment="1" applyProtection="1">
      <alignment vertical="center" wrapText="1"/>
    </xf>
    <xf numFmtId="41" fontId="91" fillId="0" borderId="121" xfId="0" applyNumberFormat="1" applyFont="1" applyFill="1" applyBorder="1" applyAlignment="1" applyProtection="1">
      <alignment vertical="center" wrapText="1"/>
    </xf>
    <xf numFmtId="41" fontId="91" fillId="0" borderId="34" xfId="0" applyNumberFormat="1" applyFont="1" applyFill="1" applyBorder="1" applyAlignment="1" applyProtection="1">
      <alignment vertical="center" wrapText="1"/>
    </xf>
    <xf numFmtId="41" fontId="91" fillId="0" borderId="1" xfId="0" applyNumberFormat="1" applyFont="1" applyFill="1" applyBorder="1" applyAlignment="1" applyProtection="1">
      <alignment vertical="center" wrapText="1"/>
    </xf>
    <xf numFmtId="41" fontId="91" fillId="0" borderId="123" xfId="0" applyNumberFormat="1" applyFont="1" applyFill="1" applyBorder="1" applyAlignment="1" applyProtection="1">
      <alignment vertical="center" wrapText="1"/>
    </xf>
    <xf numFmtId="41" fontId="91" fillId="0" borderId="40" xfId="0" applyNumberFormat="1" applyFont="1" applyFill="1" applyBorder="1" applyAlignment="1" applyProtection="1">
      <alignment vertical="center" wrapText="1"/>
    </xf>
    <xf numFmtId="41" fontId="91" fillId="0" borderId="124" xfId="0" applyNumberFormat="1" applyFont="1" applyFill="1" applyBorder="1" applyAlignment="1" applyProtection="1">
      <alignment vertical="center" wrapText="1"/>
    </xf>
    <xf numFmtId="41" fontId="73" fillId="0" borderId="128" xfId="0" applyNumberFormat="1" applyFont="1" applyFill="1" applyBorder="1" applyAlignment="1" applyProtection="1">
      <alignment vertical="center" wrapText="1"/>
    </xf>
    <xf numFmtId="41" fontId="73" fillId="0" borderId="80" xfId="0" applyNumberFormat="1" applyFont="1" applyFill="1" applyBorder="1" applyAlignment="1" applyProtection="1">
      <alignment vertical="center" wrapText="1"/>
    </xf>
    <xf numFmtId="41" fontId="73" fillId="0" borderId="129" xfId="0" applyNumberFormat="1" applyFont="1" applyFill="1" applyBorder="1" applyAlignment="1" applyProtection="1">
      <alignment vertical="center" wrapText="1"/>
    </xf>
    <xf numFmtId="41" fontId="73" fillId="0" borderId="130" xfId="0" applyNumberFormat="1" applyFont="1" applyFill="1" applyBorder="1" applyAlignment="1" applyProtection="1">
      <alignment vertical="center" wrapText="1"/>
    </xf>
    <xf numFmtId="41" fontId="73" fillId="0" borderId="81" xfId="0" applyNumberFormat="1" applyFont="1" applyFill="1" applyBorder="1" applyAlignment="1" applyProtection="1">
      <alignment vertical="center" wrapText="1"/>
    </xf>
    <xf numFmtId="41" fontId="92" fillId="0" borderId="131" xfId="0" applyNumberFormat="1" applyFont="1" applyFill="1" applyBorder="1" applyAlignment="1" applyProtection="1">
      <alignment vertical="center" wrapText="1"/>
    </xf>
    <xf numFmtId="41" fontId="92" fillId="0" borderId="132" xfId="0" applyNumberFormat="1" applyFont="1" applyFill="1" applyBorder="1" applyAlignment="1" applyProtection="1">
      <alignment vertical="center" wrapText="1"/>
    </xf>
    <xf numFmtId="41" fontId="92" fillId="0" borderId="133" xfId="0" applyNumberFormat="1" applyFont="1" applyFill="1" applyBorder="1" applyAlignment="1" applyProtection="1">
      <alignment vertical="center" wrapText="1"/>
    </xf>
    <xf numFmtId="41" fontId="92" fillId="0" borderId="134" xfId="0" applyNumberFormat="1" applyFont="1" applyFill="1" applyBorder="1" applyAlignment="1" applyProtection="1">
      <alignment vertical="center" wrapText="1"/>
    </xf>
    <xf numFmtId="41" fontId="92" fillId="0" borderId="135" xfId="0" applyNumberFormat="1" applyFont="1" applyFill="1" applyBorder="1" applyAlignment="1" applyProtection="1">
      <alignment vertical="center" wrapText="1"/>
    </xf>
    <xf numFmtId="41" fontId="92" fillId="0" borderId="136" xfId="0" applyNumberFormat="1" applyFont="1" applyFill="1" applyBorder="1" applyAlignment="1" applyProtection="1">
      <alignment vertical="center" wrapText="1"/>
    </xf>
    <xf numFmtId="41" fontId="92" fillId="0" borderId="137" xfId="0" applyNumberFormat="1" applyFont="1" applyFill="1" applyBorder="1" applyAlignment="1" applyProtection="1">
      <alignment vertical="center" wrapText="1"/>
    </xf>
    <xf numFmtId="3" fontId="73" fillId="0" borderId="0" xfId="0" applyNumberFormat="1" applyFont="1" applyFill="1" applyBorder="1" applyAlignment="1" applyProtection="1">
      <alignment horizontal="center" wrapText="1"/>
      <protection locked="0"/>
    </xf>
    <xf numFmtId="41" fontId="73" fillId="0" borderId="138" xfId="0" applyNumberFormat="1" applyFont="1" applyFill="1" applyBorder="1" applyAlignment="1" applyProtection="1">
      <alignment horizontal="right" vertical="center"/>
    </xf>
    <xf numFmtId="41" fontId="73" fillId="0" borderId="139" xfId="0" applyNumberFormat="1" applyFont="1" applyFill="1" applyBorder="1" applyAlignment="1" applyProtection="1">
      <alignment horizontal="right" vertical="center"/>
    </xf>
    <xf numFmtId="41" fontId="73" fillId="0" borderId="34" xfId="0" applyNumberFormat="1" applyFont="1" applyFill="1" applyBorder="1" applyAlignment="1" applyProtection="1">
      <alignment horizontal="right" vertical="center"/>
    </xf>
    <xf numFmtId="41" fontId="73" fillId="0" borderId="45" xfId="0" applyNumberFormat="1" applyFont="1" applyFill="1" applyBorder="1" applyAlignment="1" applyProtection="1">
      <alignment horizontal="right" vertical="center"/>
    </xf>
    <xf numFmtId="41" fontId="92" fillId="0" borderId="44" xfId="0" applyNumberFormat="1" applyFont="1" applyFill="1" applyBorder="1" applyAlignment="1" applyProtection="1">
      <alignment vertical="center" wrapText="1"/>
    </xf>
    <xf numFmtId="41" fontId="92" fillId="0" borderId="34" xfId="0" applyNumberFormat="1" applyFont="1" applyFill="1" applyBorder="1" applyAlignment="1" applyProtection="1">
      <alignment vertical="center" wrapText="1"/>
    </xf>
    <xf numFmtId="41" fontId="92" fillId="0" borderId="95" xfId="0" applyNumberFormat="1" applyFont="1" applyFill="1" applyBorder="1" applyAlignment="1" applyProtection="1">
      <alignment vertical="center" wrapText="1"/>
    </xf>
    <xf numFmtId="41" fontId="92" fillId="0" borderId="124" xfId="0" applyNumberFormat="1" applyFont="1" applyFill="1" applyBorder="1" applyAlignment="1" applyProtection="1">
      <alignment vertical="center" wrapText="1"/>
    </xf>
    <xf numFmtId="3" fontId="73" fillId="0" borderId="140" xfId="0" applyNumberFormat="1" applyFont="1" applyFill="1" applyBorder="1" applyAlignment="1" applyProtection="1">
      <alignment horizontal="center" wrapText="1"/>
      <protection locked="0"/>
    </xf>
    <xf numFmtId="3" fontId="73" fillId="0" borderId="74" xfId="0" applyNumberFormat="1" applyFont="1" applyFill="1" applyBorder="1" applyAlignment="1" applyProtection="1">
      <alignment horizontal="center" wrapText="1"/>
      <protection locked="0"/>
    </xf>
    <xf numFmtId="41" fontId="73" fillId="0" borderId="11" xfId="0" applyNumberFormat="1" applyFont="1" applyFill="1" applyBorder="1" applyAlignment="1" applyProtection="1">
      <alignment wrapText="1"/>
    </xf>
    <xf numFmtId="41" fontId="75" fillId="0" borderId="141" xfId="0" applyNumberFormat="1" applyFont="1" applyFill="1" applyBorder="1" applyAlignment="1" applyProtection="1"/>
    <xf numFmtId="41" fontId="73" fillId="0" borderId="48" xfId="0" applyNumberFormat="1" applyFont="1" applyFill="1" applyBorder="1" applyAlignment="1" applyProtection="1">
      <alignment vertical="center" wrapText="1"/>
    </xf>
    <xf numFmtId="41" fontId="73" fillId="0" borderId="15" xfId="0" applyNumberFormat="1" applyFont="1" applyFill="1" applyBorder="1" applyAlignment="1" applyProtection="1">
      <alignment vertical="center" wrapText="1"/>
    </xf>
    <xf numFmtId="41" fontId="73" fillId="0" borderId="14" xfId="0" applyNumberFormat="1" applyFont="1" applyFill="1" applyBorder="1" applyAlignment="1" applyProtection="1">
      <alignment vertical="center" wrapText="1"/>
    </xf>
    <xf numFmtId="41" fontId="73" fillId="0" borderId="142" xfId="0" applyNumberFormat="1" applyFont="1" applyFill="1" applyBorder="1" applyAlignment="1" applyProtection="1">
      <alignment vertical="center" wrapText="1"/>
    </xf>
    <xf numFmtId="41" fontId="73" fillId="0" borderId="116" xfId="0" applyNumberFormat="1" applyFont="1" applyFill="1" applyBorder="1" applyAlignment="1" applyProtection="1">
      <alignment vertical="center" wrapText="1"/>
    </xf>
    <xf numFmtId="41" fontId="92" fillId="0" borderId="56" xfId="0" applyNumberFormat="1" applyFont="1" applyFill="1" applyBorder="1" applyAlignment="1" applyProtection="1"/>
    <xf numFmtId="41" fontId="92" fillId="0" borderId="128" xfId="0" applyNumberFormat="1" applyFont="1" applyFill="1" applyBorder="1" applyAlignment="1" applyProtection="1"/>
    <xf numFmtId="41" fontId="92" fillId="0" borderId="29" xfId="0" applyNumberFormat="1" applyFont="1" applyFill="1" applyBorder="1" applyAlignment="1" applyProtection="1"/>
    <xf numFmtId="41" fontId="92" fillId="0" borderId="32" xfId="0" applyNumberFormat="1" applyFont="1" applyFill="1" applyBorder="1" applyAlignment="1" applyProtection="1"/>
    <xf numFmtId="41" fontId="92" fillId="0" borderId="93" xfId="0" applyNumberFormat="1" applyFont="1" applyFill="1" applyBorder="1" applyAlignment="1" applyProtection="1"/>
    <xf numFmtId="41" fontId="92" fillId="0" borderId="39" xfId="0" applyNumberFormat="1" applyFont="1" applyFill="1" applyBorder="1" applyAlignment="1" applyProtection="1"/>
    <xf numFmtId="41" fontId="92" fillId="0" borderId="116" xfId="0" applyNumberFormat="1" applyFont="1" applyFill="1" applyBorder="1" applyAlignment="1" applyProtection="1"/>
    <xf numFmtId="41" fontId="92" fillId="0" borderId="143" xfId="0" applyNumberFormat="1" applyFont="1" applyFill="1" applyBorder="1" applyAlignment="1" applyProtection="1"/>
    <xf numFmtId="41" fontId="92" fillId="0" borderId="80" xfId="0" applyNumberFormat="1" applyFont="1" applyFill="1" applyBorder="1" applyAlignment="1" applyProtection="1"/>
    <xf numFmtId="41" fontId="73" fillId="0" borderId="21" xfId="0" applyNumberFormat="1" applyFont="1" applyFill="1" applyBorder="1" applyAlignment="1" applyProtection="1"/>
    <xf numFmtId="41" fontId="92" fillId="0" borderId="128" xfId="0" applyNumberFormat="1" applyFont="1" applyFill="1" applyBorder="1" applyAlignment="1" applyProtection="1">
      <alignment horizontal="center"/>
    </xf>
    <xf numFmtId="41" fontId="92" fillId="0" borderId="29" xfId="0" applyNumberFormat="1" applyFont="1" applyFill="1" applyBorder="1" applyAlignment="1" applyProtection="1">
      <alignment horizontal="center"/>
    </xf>
    <xf numFmtId="41" fontId="92" fillId="0" borderId="32" xfId="0" applyNumberFormat="1" applyFont="1" applyFill="1" applyBorder="1" applyAlignment="1" applyProtection="1">
      <alignment horizontal="center"/>
    </xf>
    <xf numFmtId="41" fontId="92" fillId="0" borderId="95" xfId="0" applyNumberFormat="1" applyFont="1" applyFill="1" applyBorder="1" applyAlignment="1" applyProtection="1">
      <alignment horizontal="center"/>
    </xf>
    <xf numFmtId="41" fontId="92" fillId="0" borderId="100" xfId="0" applyNumberFormat="1" applyFont="1" applyFill="1" applyBorder="1" applyAlignment="1" applyProtection="1">
      <alignment horizontal="center"/>
    </xf>
    <xf numFmtId="41" fontId="92" fillId="0" borderId="144" xfId="0" applyNumberFormat="1" applyFont="1" applyFill="1" applyBorder="1" applyAlignment="1" applyProtection="1">
      <alignment horizontal="center"/>
    </xf>
    <xf numFmtId="41" fontId="92" fillId="0" borderId="21" xfId="0" applyNumberFormat="1" applyFont="1" applyFill="1" applyBorder="1" applyAlignment="1" applyProtection="1">
      <alignment horizontal="center"/>
    </xf>
    <xf numFmtId="41" fontId="92" fillId="0" borderId="131" xfId="0" applyNumberFormat="1" applyFont="1" applyFill="1" applyBorder="1" applyAlignment="1" applyProtection="1">
      <alignment horizontal="center"/>
    </xf>
    <xf numFmtId="41" fontId="92" fillId="0" borderId="41" xfId="0" applyNumberFormat="1" applyFont="1" applyFill="1" applyBorder="1" applyAlignment="1" applyProtection="1">
      <alignment horizontal="center"/>
    </xf>
    <xf numFmtId="41" fontId="92" fillId="0" borderId="36" xfId="0" applyNumberFormat="1" applyFont="1" applyFill="1" applyBorder="1" applyAlignment="1" applyProtection="1">
      <alignment horizontal="center"/>
    </xf>
    <xf numFmtId="41" fontId="92" fillId="0" borderId="132" xfId="0" applyNumberFormat="1" applyFont="1" applyFill="1" applyBorder="1" applyAlignment="1" applyProtection="1">
      <alignment horizontal="center"/>
    </xf>
    <xf numFmtId="41" fontId="92" fillId="0" borderId="145" xfId="0" applyNumberFormat="1" applyFont="1" applyFill="1" applyBorder="1" applyAlignment="1" applyProtection="1">
      <alignment horizontal="center"/>
    </xf>
    <xf numFmtId="41" fontId="92" fillId="0" borderId="146" xfId="0" applyNumberFormat="1" applyFont="1" applyFill="1" applyBorder="1" applyAlignment="1" applyProtection="1">
      <alignment horizontal="center"/>
    </xf>
    <xf numFmtId="41" fontId="92" fillId="0" borderId="147" xfId="0" applyNumberFormat="1" applyFont="1" applyFill="1" applyBorder="1" applyAlignment="1" applyProtection="1">
      <alignment horizontal="center"/>
    </xf>
    <xf numFmtId="41" fontId="92" fillId="0" borderId="148" xfId="0" applyNumberFormat="1" applyFont="1" applyFill="1" applyBorder="1" applyAlignment="1" applyProtection="1">
      <alignment horizontal="center"/>
    </xf>
    <xf numFmtId="41" fontId="92" fillId="0" borderId="149" xfId="0" applyNumberFormat="1" applyFont="1" applyFill="1" applyBorder="1" applyAlignment="1" applyProtection="1">
      <alignment horizontal="center"/>
    </xf>
    <xf numFmtId="3" fontId="73" fillId="0" borderId="98" xfId="0" applyNumberFormat="1" applyFont="1" applyFill="1" applyBorder="1" applyAlignment="1" applyProtection="1">
      <protection locked="0"/>
    </xf>
    <xf numFmtId="41" fontId="73" fillId="0" borderId="10" xfId="0" applyNumberFormat="1" applyFont="1" applyFill="1" applyBorder="1" applyAlignment="1" applyProtection="1"/>
    <xf numFmtId="41" fontId="73" fillId="0" borderId="0" xfId="0" applyNumberFormat="1" applyFont="1" applyFill="1" applyAlignment="1" applyProtection="1">
      <alignment horizontal="center"/>
    </xf>
    <xf numFmtId="0" fontId="73" fillId="55" borderId="0" xfId="2447" applyFont="1" applyFill="1" applyAlignment="1" applyProtection="1">
      <alignment vertical="top" wrapText="1"/>
      <protection hidden="1"/>
    </xf>
    <xf numFmtId="3" fontId="73" fillId="0" borderId="150" xfId="0" applyNumberFormat="1" applyFont="1" applyFill="1" applyBorder="1" applyAlignment="1" applyProtection="1"/>
    <xf numFmtId="0" fontId="93" fillId="0" borderId="72" xfId="0" applyFont="1" applyBorder="1" applyAlignment="1" applyProtection="1">
      <alignment horizontal="left" vertical="top"/>
    </xf>
    <xf numFmtId="3" fontId="73" fillId="0" borderId="72" xfId="0" applyNumberFormat="1" applyFont="1" applyFill="1" applyBorder="1" applyAlignment="1" applyProtection="1">
      <alignment wrapText="1"/>
    </xf>
    <xf numFmtId="0" fontId="73" fillId="0" borderId="72" xfId="0" applyFont="1" applyFill="1" applyBorder="1" applyAlignment="1" applyProtection="1">
      <alignment horizontal="left" vertical="center"/>
    </xf>
    <xf numFmtId="41" fontId="73" fillId="0" borderId="72" xfId="0" applyNumberFormat="1" applyFont="1" applyFill="1" applyBorder="1" applyAlignment="1" applyProtection="1">
      <alignment horizontal="right" vertical="center"/>
    </xf>
    <xf numFmtId="41" fontId="73" fillId="0" borderId="72" xfId="0" applyNumberFormat="1" applyFont="1" applyFill="1" applyBorder="1" applyAlignment="1" applyProtection="1">
      <alignment vertical="center" wrapText="1"/>
    </xf>
    <xf numFmtId="41" fontId="73" fillId="0" borderId="151" xfId="0" applyNumberFormat="1" applyFont="1" applyFill="1" applyBorder="1" applyAlignment="1" applyProtection="1">
      <alignment vertical="center" wrapText="1"/>
    </xf>
    <xf numFmtId="41" fontId="73" fillId="0" borderId="152" xfId="0" applyNumberFormat="1" applyFont="1" applyFill="1" applyBorder="1" applyAlignment="1" applyProtection="1">
      <alignment vertical="center" wrapText="1"/>
    </xf>
    <xf numFmtId="41" fontId="73" fillId="0" borderId="153" xfId="0" applyNumberFormat="1" applyFont="1" applyFill="1" applyBorder="1" applyAlignment="1" applyProtection="1">
      <alignment vertical="center" wrapText="1"/>
    </xf>
    <xf numFmtId="41" fontId="73" fillId="0" borderId="154" xfId="0" applyNumberFormat="1" applyFont="1" applyFill="1" applyBorder="1" applyAlignment="1" applyProtection="1">
      <alignment vertical="center" wrapText="1"/>
    </xf>
    <xf numFmtId="41" fontId="73" fillId="0" borderId="155" xfId="0" applyNumberFormat="1" applyFont="1" applyFill="1" applyBorder="1" applyAlignment="1" applyProtection="1">
      <alignment vertical="center" wrapText="1"/>
    </xf>
    <xf numFmtId="41" fontId="73" fillId="0" borderId="156" xfId="0" applyNumberFormat="1" applyFont="1" applyFill="1" applyBorder="1" applyAlignment="1" applyProtection="1">
      <alignment vertical="center" wrapText="1"/>
    </xf>
    <xf numFmtId="41" fontId="73" fillId="0" borderId="157" xfId="0" applyNumberFormat="1" applyFont="1" applyFill="1" applyBorder="1" applyAlignment="1" applyProtection="1">
      <alignment vertical="center" wrapText="1"/>
    </xf>
    <xf numFmtId="41" fontId="73" fillId="0" borderId="158" xfId="0" applyNumberFormat="1" applyFont="1" applyFill="1" applyBorder="1" applyAlignment="1" applyProtection="1">
      <alignment vertical="center" wrapText="1"/>
    </xf>
    <xf numFmtId="3" fontId="73" fillId="0" borderId="159" xfId="0" applyNumberFormat="1" applyFont="1" applyFill="1" applyBorder="1" applyAlignment="1" applyProtection="1">
      <alignment horizontal="center" wrapText="1"/>
      <protection locked="0"/>
    </xf>
    <xf numFmtId="0" fontId="4" fillId="0" borderId="0" xfId="0" applyFont="1"/>
    <xf numFmtId="0" fontId="73" fillId="0" borderId="0" xfId="0" applyFont="1" applyFill="1" applyAlignment="1" applyProtection="1">
      <alignment vertical="top"/>
      <protection hidden="1"/>
    </xf>
    <xf numFmtId="0" fontId="73" fillId="0" borderId="0" xfId="0" applyFont="1" applyFill="1" applyAlignment="1" applyProtection="1">
      <alignment horizontal="centerContinuous" vertical="center"/>
      <protection hidden="1"/>
    </xf>
    <xf numFmtId="0" fontId="84" fillId="0" borderId="0" xfId="0" applyFont="1" applyFill="1" applyAlignment="1" applyProtection="1">
      <alignment horizontal="center" vertical="top"/>
      <protection hidden="1"/>
    </xf>
    <xf numFmtId="43" fontId="75" fillId="0" borderId="0" xfId="0" applyNumberFormat="1" applyFont="1" applyFill="1" applyBorder="1" applyAlignment="1" applyProtection="1">
      <alignment horizontal="center" vertical="center"/>
    </xf>
    <xf numFmtId="0" fontId="75" fillId="0" borderId="0" xfId="0" applyFont="1" applyFill="1" applyBorder="1" applyAlignment="1" applyProtection="1">
      <alignment horizontal="center" vertical="center"/>
    </xf>
    <xf numFmtId="0" fontId="75" fillId="0" borderId="0" xfId="0" applyFont="1" applyFill="1" applyBorder="1" applyProtection="1">
      <protection hidden="1"/>
    </xf>
    <xf numFmtId="0" fontId="73" fillId="0" borderId="0" xfId="0" applyFont="1" applyFill="1" applyProtection="1">
      <protection hidden="1"/>
    </xf>
    <xf numFmtId="0" fontId="74" fillId="0" borderId="0" xfId="0" applyFont="1" applyFill="1" applyBorder="1" applyAlignment="1" applyProtection="1">
      <alignment horizontal="centerContinuous" vertical="center"/>
      <protection hidden="1"/>
    </xf>
    <xf numFmtId="0" fontId="73" fillId="0" borderId="65" xfId="0" applyFont="1" applyBorder="1" applyAlignment="1">
      <alignment horizontal="center"/>
    </xf>
    <xf numFmtId="3" fontId="103" fillId="0" borderId="0" xfId="0" applyNumberFormat="1" applyFont="1" applyFill="1" applyAlignment="1" applyProtection="1"/>
    <xf numFmtId="3" fontId="103" fillId="0" borderId="0" xfId="0" applyNumberFormat="1" applyFont="1" applyFill="1" applyProtection="1"/>
    <xf numFmtId="3" fontId="103" fillId="0" borderId="0" xfId="0" applyNumberFormat="1" applyFont="1" applyFill="1" applyAlignment="1" applyProtection="1">
      <alignment vertical="center"/>
    </xf>
    <xf numFmtId="0" fontId="103" fillId="0" borderId="0" xfId="0" applyFont="1"/>
    <xf numFmtId="0" fontId="73" fillId="0" borderId="77" xfId="0" applyFont="1" applyBorder="1" applyAlignment="1">
      <alignment horizontal="center"/>
    </xf>
    <xf numFmtId="0" fontId="73" fillId="0" borderId="102" xfId="0" applyFont="1" applyBorder="1" applyAlignment="1">
      <alignment horizontal="center"/>
    </xf>
    <xf numFmtId="41" fontId="73" fillId="0" borderId="92" xfId="0" applyNumberFormat="1" applyFont="1" applyFill="1" applyBorder="1" applyAlignment="1" applyProtection="1"/>
    <xf numFmtId="0" fontId="77" fillId="0" borderId="0" xfId="0" applyFont="1"/>
    <xf numFmtId="0" fontId="77" fillId="0" borderId="65" xfId="0" applyFont="1" applyBorder="1" applyAlignment="1">
      <alignment horizontal="right"/>
    </xf>
    <xf numFmtId="0" fontId="77" fillId="0" borderId="65" xfId="0" applyFont="1" applyFill="1" applyBorder="1" applyAlignment="1">
      <alignment horizontal="right"/>
    </xf>
    <xf numFmtId="0" fontId="75" fillId="0" borderId="0" xfId="0" applyFont="1" applyFill="1" applyBorder="1" applyAlignment="1" applyProtection="1">
      <alignment horizontal="left"/>
      <protection hidden="1"/>
    </xf>
    <xf numFmtId="0" fontId="0" fillId="0" borderId="72" xfId="0" applyBorder="1"/>
    <xf numFmtId="0" fontId="75" fillId="0" borderId="160" xfId="0" applyFont="1" applyFill="1" applyBorder="1" applyAlignment="1" applyProtection="1">
      <alignment horizontal="left"/>
      <protection hidden="1"/>
    </xf>
    <xf numFmtId="0" fontId="73" fillId="0" borderId="0" xfId="0" applyNumberFormat="1" applyFont="1" applyFill="1" applyBorder="1" applyAlignment="1" applyProtection="1">
      <alignment horizontal="left" vertical="center" wrapText="1"/>
    </xf>
    <xf numFmtId="41" fontId="73" fillId="0" borderId="47" xfId="0" applyNumberFormat="1" applyFont="1" applyFill="1" applyBorder="1" applyAlignment="1" applyProtection="1">
      <alignment horizontal="center" wrapText="1"/>
    </xf>
    <xf numFmtId="3" fontId="73" fillId="0" borderId="84" xfId="0" applyNumberFormat="1" applyFont="1" applyFill="1" applyBorder="1" applyAlignment="1" applyProtection="1">
      <alignment horizontal="center" wrapText="1"/>
      <protection locked="0"/>
    </xf>
    <xf numFmtId="41" fontId="73" fillId="0" borderId="162" xfId="0" applyNumberFormat="1" applyFont="1" applyFill="1" applyBorder="1" applyAlignment="1" applyProtection="1">
      <alignment wrapText="1"/>
    </xf>
    <xf numFmtId="41" fontId="73" fillId="0" borderId="163" xfId="0" applyNumberFormat="1" applyFont="1" applyFill="1" applyBorder="1" applyAlignment="1" applyProtection="1">
      <alignment horizontal="center" wrapText="1"/>
    </xf>
    <xf numFmtId="41" fontId="73" fillId="0" borderId="164" xfId="0" applyNumberFormat="1" applyFont="1" applyFill="1" applyBorder="1" applyAlignment="1" applyProtection="1">
      <alignment vertical="center" wrapText="1"/>
    </xf>
    <xf numFmtId="41" fontId="73" fillId="0" borderId="165" xfId="0" applyNumberFormat="1" applyFont="1" applyFill="1" applyBorder="1" applyAlignment="1" applyProtection="1">
      <alignment horizontal="center" vertical="center" wrapText="1"/>
    </xf>
    <xf numFmtId="41" fontId="73" fillId="0" borderId="166" xfId="0" applyNumberFormat="1" applyFont="1" applyFill="1" applyBorder="1" applyAlignment="1" applyProtection="1">
      <alignment horizontal="center" vertical="center" wrapText="1"/>
    </xf>
    <xf numFmtId="41" fontId="73" fillId="0" borderId="167" xfId="0" applyNumberFormat="1" applyFont="1" applyFill="1" applyBorder="1" applyAlignment="1" applyProtection="1">
      <alignment horizontal="center" vertical="center" wrapText="1"/>
    </xf>
    <xf numFmtId="0" fontId="74" fillId="0" borderId="88" xfId="0" applyFont="1" applyFill="1" applyBorder="1" applyAlignment="1" applyProtection="1">
      <alignment horizontal="centerContinuous"/>
    </xf>
    <xf numFmtId="41" fontId="73" fillId="0" borderId="89" xfId="0" applyNumberFormat="1" applyFont="1" applyFill="1" applyBorder="1" applyProtection="1"/>
    <xf numFmtId="41" fontId="73" fillId="0" borderId="88" xfId="0" applyNumberFormat="1" applyFont="1" applyFill="1" applyBorder="1" applyProtection="1"/>
    <xf numFmtId="41" fontId="73" fillId="0" borderId="168" xfId="0" applyNumberFormat="1" applyFont="1" applyFill="1" applyBorder="1" applyAlignment="1" applyProtection="1">
      <alignment vertical="center" wrapText="1"/>
    </xf>
    <xf numFmtId="41" fontId="73" fillId="0" borderId="169" xfId="0" applyNumberFormat="1" applyFont="1" applyFill="1" applyBorder="1" applyAlignment="1" applyProtection="1">
      <alignment vertical="center" wrapText="1"/>
    </xf>
    <xf numFmtId="41" fontId="92" fillId="0" borderId="88" xfId="0" applyNumberFormat="1" applyFont="1" applyFill="1" applyBorder="1" applyAlignment="1" applyProtection="1">
      <alignment vertical="center" wrapText="1"/>
    </xf>
    <xf numFmtId="41" fontId="92" fillId="0" borderId="168" xfId="0" applyNumberFormat="1" applyFont="1" applyFill="1" applyBorder="1" applyAlignment="1" applyProtection="1">
      <alignment vertical="center" wrapText="1"/>
    </xf>
    <xf numFmtId="41" fontId="73" fillId="0" borderId="161" xfId="0" applyNumberFormat="1" applyFont="1" applyFill="1" applyBorder="1" applyAlignment="1" applyProtection="1">
      <alignment wrapText="1"/>
    </xf>
    <xf numFmtId="41" fontId="73" fillId="0" borderId="88" xfId="0" applyNumberFormat="1" applyFont="1" applyFill="1" applyBorder="1" applyAlignment="1" applyProtection="1">
      <alignment wrapText="1"/>
    </xf>
    <xf numFmtId="41" fontId="73" fillId="0" borderId="88" xfId="0" applyNumberFormat="1" applyFont="1" applyFill="1" applyBorder="1" applyAlignment="1" applyProtection="1"/>
    <xf numFmtId="41" fontId="91" fillId="0" borderId="88" xfId="0" applyNumberFormat="1" applyFont="1" applyFill="1" applyBorder="1" applyAlignment="1" applyProtection="1"/>
    <xf numFmtId="41" fontId="92" fillId="0" borderId="88" xfId="0" applyNumberFormat="1" applyFont="1" applyFill="1" applyBorder="1" applyAlignment="1" applyProtection="1"/>
    <xf numFmtId="41" fontId="92" fillId="0" borderId="168" xfId="0" applyNumberFormat="1" applyFont="1" applyFill="1" applyBorder="1" applyAlignment="1" applyProtection="1"/>
    <xf numFmtId="0" fontId="73" fillId="0" borderId="0" xfId="0" applyFont="1" applyFill="1" applyAlignment="1" applyProtection="1">
      <alignment horizontal="centerContinuous"/>
    </xf>
    <xf numFmtId="43" fontId="73" fillId="0" borderId="0" xfId="2446" applyFont="1" applyFill="1" applyProtection="1"/>
    <xf numFmtId="0" fontId="73" fillId="0" borderId="0" xfId="0" applyFont="1" applyFill="1" applyAlignment="1" applyProtection="1">
      <alignment vertical="center"/>
    </xf>
    <xf numFmtId="0" fontId="73" fillId="0" borderId="0" xfId="0" applyFont="1" applyFill="1" applyBorder="1" applyAlignment="1" applyProtection="1">
      <alignment horizontal="left" indent="1"/>
    </xf>
    <xf numFmtId="0" fontId="74" fillId="0" borderId="11" xfId="0" applyFont="1" applyFill="1" applyBorder="1" applyAlignment="1" applyProtection="1">
      <alignment horizontal="centerContinuous" vertical="center"/>
    </xf>
    <xf numFmtId="0" fontId="74" fillId="0" borderId="12" xfId="0" applyFont="1" applyFill="1" applyBorder="1" applyAlignment="1" applyProtection="1">
      <alignment horizontal="centerContinuous" vertical="center"/>
    </xf>
    <xf numFmtId="0" fontId="75" fillId="0" borderId="85" xfId="0" applyFont="1" applyFill="1" applyBorder="1" applyAlignment="1" applyProtection="1">
      <alignment horizontal="centerContinuous" vertical="center"/>
    </xf>
    <xf numFmtId="0" fontId="73" fillId="55" borderId="0" xfId="2447" applyFont="1" applyFill="1" applyBorder="1" applyAlignment="1" applyProtection="1">
      <alignment horizontal="center" vertical="center"/>
      <protection hidden="1"/>
    </xf>
    <xf numFmtId="0" fontId="73" fillId="55" borderId="0" xfId="2447" applyFont="1" applyFill="1" applyAlignment="1" applyProtection="1">
      <alignment horizontal="center" vertical="center"/>
      <protection hidden="1"/>
    </xf>
    <xf numFmtId="0" fontId="84" fillId="0" borderId="0" xfId="0" applyFont="1" applyFill="1" applyBorder="1" applyAlignment="1" applyProtection="1">
      <alignment horizontal="center" vertical="top"/>
      <protection hidden="1"/>
    </xf>
    <xf numFmtId="0" fontId="73" fillId="0" borderId="0" xfId="0" applyFont="1" applyFill="1" applyBorder="1" applyAlignment="1" applyProtection="1">
      <alignment horizontal="center"/>
      <protection locked="0"/>
    </xf>
    <xf numFmtId="0" fontId="73" fillId="0" borderId="170" xfId="0" applyFont="1" applyFill="1" applyBorder="1" applyAlignment="1" applyProtection="1">
      <alignment horizontal="center"/>
    </xf>
    <xf numFmtId="0" fontId="73" fillId="0" borderId="170" xfId="0" applyFont="1" applyFill="1" applyBorder="1" applyAlignment="1" applyProtection="1">
      <alignment horizontal="center" vertical="center"/>
    </xf>
    <xf numFmtId="0" fontId="75" fillId="0" borderId="170" xfId="0" applyFont="1" applyFill="1" applyBorder="1" applyAlignment="1" applyProtection="1">
      <alignment horizontal="center"/>
    </xf>
    <xf numFmtId="0" fontId="75" fillId="0" borderId="170" xfId="0" applyFont="1" applyFill="1" applyBorder="1" applyAlignment="1" applyProtection="1">
      <alignment horizontal="center" vertical="center"/>
    </xf>
    <xf numFmtId="0" fontId="73" fillId="0" borderId="170" xfId="0" applyFont="1" applyFill="1" applyBorder="1" applyAlignment="1" applyProtection="1">
      <alignment horizontal="center" wrapText="1"/>
    </xf>
    <xf numFmtId="0" fontId="104" fillId="62" borderId="68" xfId="0" applyFont="1" applyFill="1" applyBorder="1" applyAlignment="1" applyProtection="1">
      <alignment horizontal="centerContinuous" vertical="top"/>
      <protection hidden="1"/>
    </xf>
    <xf numFmtId="0" fontId="75" fillId="0" borderId="51" xfId="0" applyFont="1" applyFill="1" applyBorder="1" applyAlignment="1" applyProtection="1">
      <alignment horizontal="left"/>
      <protection hidden="1"/>
    </xf>
    <xf numFmtId="0" fontId="73" fillId="0" borderId="170" xfId="0" applyFont="1" applyFill="1" applyBorder="1" applyAlignment="1" applyProtection="1">
      <alignment vertical="center"/>
    </xf>
    <xf numFmtId="0" fontId="82" fillId="55" borderId="0" xfId="0" applyFont="1" applyFill="1" applyBorder="1" applyAlignment="1" applyProtection="1">
      <alignment horizontal="centerContinuous" vertical="top"/>
      <protection hidden="1"/>
    </xf>
    <xf numFmtId="0" fontId="104" fillId="55" borderId="0" xfId="0" applyFont="1" applyFill="1" applyBorder="1" applyAlignment="1" applyProtection="1">
      <alignment horizontal="centerContinuous" vertical="top"/>
      <protection hidden="1"/>
    </xf>
    <xf numFmtId="0" fontId="81" fillId="55" borderId="0" xfId="0" applyFont="1" applyFill="1" applyBorder="1" applyAlignment="1" applyProtection="1">
      <alignment horizontal="centerContinuous"/>
    </xf>
    <xf numFmtId="43" fontId="81" fillId="55" borderId="0" xfId="2446" applyFont="1" applyFill="1" applyBorder="1" applyAlignment="1" applyProtection="1">
      <alignment horizontal="centerContinuous"/>
    </xf>
    <xf numFmtId="0" fontId="82" fillId="62" borderId="53" xfId="0" applyFont="1" applyFill="1" applyBorder="1" applyAlignment="1" applyProtection="1">
      <alignment horizontal="centerContinuous" vertical="center"/>
      <protection hidden="1"/>
    </xf>
    <xf numFmtId="41" fontId="89" fillId="62" borderId="65" xfId="95" applyNumberFormat="1" applyFont="1" applyFill="1" applyBorder="1" applyAlignment="1">
      <alignment horizontal="centerContinuous" vertical="center"/>
    </xf>
    <xf numFmtId="0" fontId="105" fillId="62" borderId="62" xfId="0" applyFont="1" applyFill="1" applyBorder="1" applyAlignment="1" applyProtection="1">
      <alignment horizontal="centerContinuous" vertical="center"/>
      <protection hidden="1"/>
    </xf>
    <xf numFmtId="0" fontId="105" fillId="62" borderId="53" xfId="0" applyFont="1" applyFill="1" applyBorder="1" applyAlignment="1" applyProtection="1">
      <alignment horizontal="centerContinuous" vertical="center"/>
      <protection hidden="1"/>
    </xf>
    <xf numFmtId="0" fontId="82" fillId="62" borderId="63" xfId="0" applyFont="1" applyFill="1" applyBorder="1" applyAlignment="1" applyProtection="1">
      <alignment horizontal="centerContinuous" vertical="center"/>
      <protection hidden="1"/>
    </xf>
    <xf numFmtId="0" fontId="73" fillId="28" borderId="0" xfId="2447" applyFont="1" applyFill="1" applyBorder="1" applyAlignment="1" applyProtection="1">
      <alignment horizontal="left" vertical="top" indent="1"/>
      <protection hidden="1"/>
    </xf>
    <xf numFmtId="0" fontId="73" fillId="28" borderId="0" xfId="2447" applyFont="1" applyFill="1" applyBorder="1" applyAlignment="1" applyProtection="1">
      <alignment horizontal="left" vertical="center" indent="1"/>
      <protection hidden="1"/>
    </xf>
    <xf numFmtId="41" fontId="73" fillId="0" borderId="88" xfId="0" applyNumberFormat="1" applyFont="1" applyFill="1" applyBorder="1" applyAlignment="1" applyProtection="1">
      <alignment vertical="center"/>
    </xf>
    <xf numFmtId="41" fontId="73" fillId="0" borderId="0" xfId="0" applyNumberFormat="1" applyFont="1" applyFill="1" applyBorder="1" applyAlignment="1" applyProtection="1">
      <alignment horizontal="center" vertical="center"/>
    </xf>
    <xf numFmtId="41" fontId="73" fillId="0" borderId="12" xfId="0" applyNumberFormat="1" applyFont="1" applyFill="1" applyBorder="1" applyAlignment="1" applyProtection="1">
      <alignment horizontal="center" vertical="center"/>
    </xf>
    <xf numFmtId="0" fontId="0" fillId="0" borderId="0" xfId="0" applyAlignment="1">
      <alignment vertical="center"/>
    </xf>
    <xf numFmtId="41" fontId="75" fillId="0" borderId="90" xfId="0" applyNumberFormat="1" applyFont="1" applyFill="1" applyBorder="1" applyAlignment="1" applyProtection="1">
      <alignment horizontal="center" wrapText="1"/>
    </xf>
    <xf numFmtId="41" fontId="75" fillId="0" borderId="120" xfId="0" applyNumberFormat="1" applyFont="1" applyFill="1" applyBorder="1" applyAlignment="1" applyProtection="1">
      <alignment horizontal="center" wrapText="1"/>
    </xf>
    <xf numFmtId="41" fontId="91" fillId="0" borderId="27" xfId="0" applyNumberFormat="1" applyFont="1" applyFill="1" applyBorder="1" applyAlignment="1" applyProtection="1">
      <alignment vertical="center" wrapText="1"/>
    </xf>
    <xf numFmtId="41" fontId="75" fillId="54" borderId="17" xfId="0" applyNumberFormat="1" applyFont="1" applyFill="1" applyBorder="1" applyAlignment="1" applyProtection="1">
      <alignment horizontal="center"/>
      <protection locked="0"/>
    </xf>
    <xf numFmtId="41" fontId="73" fillId="0" borderId="29" xfId="0" applyNumberFormat="1" applyFont="1" applyFill="1" applyBorder="1" applyAlignment="1" applyProtection="1"/>
    <xf numFmtId="3" fontId="103" fillId="0" borderId="0" xfId="0" applyNumberFormat="1" applyFont="1" applyFill="1" applyBorder="1" applyProtection="1"/>
    <xf numFmtId="41" fontId="73" fillId="0" borderId="173" xfId="0" applyNumberFormat="1" applyFont="1" applyFill="1" applyBorder="1" applyAlignment="1" applyProtection="1">
      <alignment vertical="center" wrapText="1"/>
    </xf>
    <xf numFmtId="41" fontId="73" fillId="0" borderId="12" xfId="0" applyNumberFormat="1" applyFont="1" applyFill="1" applyBorder="1" applyAlignment="1" applyProtection="1">
      <alignment horizontal="center" wrapText="1"/>
    </xf>
    <xf numFmtId="41" fontId="92" fillId="0" borderId="12" xfId="0" applyNumberFormat="1" applyFont="1" applyFill="1" applyBorder="1" applyAlignment="1" applyProtection="1">
      <alignment horizontal="center"/>
    </xf>
    <xf numFmtId="41" fontId="92" fillId="0" borderId="174" xfId="0" applyNumberFormat="1" applyFont="1" applyFill="1" applyBorder="1" applyAlignment="1" applyProtection="1">
      <alignment horizontal="center"/>
    </xf>
    <xf numFmtId="0" fontId="73" fillId="0" borderId="160" xfId="0" applyFont="1" applyFill="1" applyBorder="1" applyProtection="1"/>
    <xf numFmtId="3" fontId="73" fillId="0" borderId="0" xfId="0" applyNumberFormat="1" applyFont="1" applyFill="1" applyBorder="1" applyAlignment="1" applyProtection="1">
      <alignment horizontal="right"/>
    </xf>
    <xf numFmtId="41" fontId="73" fillId="55" borderId="0" xfId="0" applyNumberFormat="1" applyFont="1" applyFill="1" applyBorder="1" applyAlignment="1" applyProtection="1">
      <alignment horizontal="right" vertical="center"/>
      <protection locked="0"/>
    </xf>
    <xf numFmtId="41" fontId="73" fillId="55" borderId="175" xfId="0" applyNumberFormat="1" applyFont="1" applyFill="1" applyBorder="1" applyAlignment="1" applyProtection="1">
      <alignment horizontal="right" vertical="center" wrapText="1"/>
    </xf>
    <xf numFmtId="0" fontId="54" fillId="0" borderId="0" xfId="2445" applyFont="1" applyFill="1" applyAlignment="1" applyProtection="1"/>
    <xf numFmtId="0" fontId="73" fillId="0" borderId="0" xfId="0" quotePrefix="1" applyFont="1" applyFill="1" applyBorder="1" applyAlignment="1" applyProtection="1">
      <alignment horizontal="left" vertical="top" wrapText="1"/>
    </xf>
    <xf numFmtId="0" fontId="73" fillId="0" borderId="171" xfId="0" applyFont="1" applyFill="1" applyBorder="1" applyProtection="1"/>
    <xf numFmtId="0" fontId="54" fillId="0" borderId="176" xfId="2445" applyFont="1" applyFill="1" applyBorder="1" applyAlignment="1" applyProtection="1">
      <alignment horizontal="left" vertical="top"/>
    </xf>
    <xf numFmtId="0" fontId="73" fillId="0" borderId="176" xfId="0" applyFont="1" applyFill="1" applyBorder="1" applyAlignment="1" applyProtection="1">
      <alignment horizontal="left" vertical="top" wrapText="1"/>
    </xf>
    <xf numFmtId="0" fontId="73" fillId="0" borderId="58" xfId="0" applyFont="1" applyFill="1" applyBorder="1" applyAlignment="1" applyProtection="1">
      <alignment wrapText="1"/>
    </xf>
    <xf numFmtId="0" fontId="74" fillId="55" borderId="0" xfId="2447" applyFont="1" applyFill="1" applyBorder="1" applyAlignment="1" applyProtection="1">
      <alignment horizontal="center" vertical="center" wrapText="1"/>
      <protection hidden="1"/>
    </xf>
    <xf numFmtId="0" fontId="74" fillId="28" borderId="0" xfId="0" applyFont="1" applyFill="1" applyBorder="1" applyAlignment="1" applyProtection="1">
      <alignment wrapText="1"/>
    </xf>
    <xf numFmtId="0" fontId="74" fillId="0" borderId="0" xfId="0" applyFont="1" applyFill="1" applyBorder="1" applyAlignment="1" applyProtection="1">
      <alignment wrapText="1"/>
    </xf>
    <xf numFmtId="0" fontId="100" fillId="55" borderId="50" xfId="0" applyFont="1" applyFill="1" applyBorder="1" applyAlignment="1" applyProtection="1"/>
    <xf numFmtId="0" fontId="73" fillId="55" borderId="73" xfId="0" applyFont="1" applyFill="1" applyBorder="1" applyAlignment="1" applyProtection="1">
      <alignment horizontal="left" vertical="top" wrapText="1"/>
    </xf>
    <xf numFmtId="0" fontId="73" fillId="55" borderId="0" xfId="2447" applyFont="1" applyFill="1" applyAlignment="1" applyProtection="1">
      <alignment horizontal="centerContinuous" vertical="top"/>
      <protection hidden="1"/>
    </xf>
    <xf numFmtId="0" fontId="73" fillId="55" borderId="0" xfId="2447" applyFont="1" applyFill="1" applyBorder="1" applyAlignment="1" applyProtection="1">
      <alignment horizontal="centerContinuous" vertical="top"/>
      <protection hidden="1"/>
    </xf>
    <xf numFmtId="0" fontId="0" fillId="55" borderId="0" xfId="0" applyFill="1" applyAlignment="1">
      <alignment horizontal="centerContinuous"/>
    </xf>
    <xf numFmtId="41" fontId="73" fillId="0" borderId="19" xfId="0" applyNumberFormat="1" applyFont="1" applyFill="1" applyBorder="1" applyAlignment="1" applyProtection="1">
      <alignment horizontal="center"/>
    </xf>
    <xf numFmtId="0" fontId="75" fillId="0" borderId="183" xfId="0" applyFont="1" applyFill="1" applyBorder="1" applyAlignment="1" applyProtection="1"/>
    <xf numFmtId="0" fontId="73" fillId="0" borderId="183" xfId="0" applyFont="1" applyFill="1" applyBorder="1" applyProtection="1"/>
    <xf numFmtId="41" fontId="73" fillId="0" borderId="183" xfId="0" applyNumberFormat="1" applyFont="1" applyFill="1" applyBorder="1" applyAlignment="1" applyProtection="1">
      <alignment horizontal="right"/>
    </xf>
    <xf numFmtId="41" fontId="75" fillId="0" borderId="183" xfId="0" applyNumberFormat="1" applyFont="1" applyFill="1" applyBorder="1" applyAlignment="1" applyProtection="1">
      <alignment horizontal="center"/>
    </xf>
    <xf numFmtId="41" fontId="75" fillId="0" borderId="184" xfId="0" applyNumberFormat="1" applyFont="1" applyFill="1" applyBorder="1" applyAlignment="1" applyProtection="1">
      <alignment horizontal="center"/>
    </xf>
    <xf numFmtId="41" fontId="75" fillId="0" borderId="185" xfId="0" applyNumberFormat="1" applyFont="1" applyFill="1" applyBorder="1" applyAlignment="1" applyProtection="1">
      <alignment vertical="center" wrapText="1"/>
    </xf>
    <xf numFmtId="41" fontId="75" fillId="0" borderId="186" xfId="0" applyNumberFormat="1" applyFont="1" applyFill="1" applyBorder="1" applyAlignment="1" applyProtection="1">
      <alignment vertical="center" wrapText="1"/>
    </xf>
    <xf numFmtId="41" fontId="75" fillId="0" borderId="187" xfId="0" applyNumberFormat="1" applyFont="1" applyFill="1" applyBorder="1" applyAlignment="1" applyProtection="1">
      <alignment horizontal="center"/>
    </xf>
    <xf numFmtId="41" fontId="75" fillId="0" borderId="188" xfId="0" applyNumberFormat="1" applyFont="1" applyFill="1" applyBorder="1" applyAlignment="1" applyProtection="1">
      <alignment horizontal="center"/>
    </xf>
    <xf numFmtId="41" fontId="75" fillId="0" borderId="189" xfId="0" applyNumberFormat="1" applyFont="1" applyFill="1" applyBorder="1" applyAlignment="1" applyProtection="1">
      <alignment horizontal="center"/>
    </xf>
    <xf numFmtId="41" fontId="75" fillId="0" borderId="190" xfId="0" applyNumberFormat="1" applyFont="1" applyFill="1" applyBorder="1" applyAlignment="1" applyProtection="1">
      <alignment horizontal="center"/>
    </xf>
    <xf numFmtId="41" fontId="75" fillId="0" borderId="76" xfId="0" applyNumberFormat="1" applyFont="1" applyFill="1" applyBorder="1" applyAlignment="1" applyProtection="1">
      <alignment horizontal="center"/>
    </xf>
    <xf numFmtId="41" fontId="75" fillId="0" borderId="117" xfId="0" applyNumberFormat="1" applyFont="1" applyFill="1" applyBorder="1" applyAlignment="1" applyProtection="1">
      <alignment horizontal="center"/>
    </xf>
    <xf numFmtId="41" fontId="75" fillId="0" borderId="191" xfId="0" applyNumberFormat="1" applyFont="1" applyFill="1" applyBorder="1" applyAlignment="1" applyProtection="1">
      <alignment horizontal="center"/>
    </xf>
    <xf numFmtId="0" fontId="75" fillId="0" borderId="192" xfId="0" applyFont="1" applyFill="1" applyBorder="1" applyAlignment="1" applyProtection="1"/>
    <xf numFmtId="0" fontId="73" fillId="0" borderId="50" xfId="0" applyFont="1" applyBorder="1" applyProtection="1"/>
    <xf numFmtId="0" fontId="75" fillId="55" borderId="49" xfId="0" applyFont="1" applyFill="1" applyBorder="1" applyAlignment="1" applyProtection="1">
      <alignment horizontal="center"/>
    </xf>
    <xf numFmtId="0" fontId="75" fillId="55" borderId="50" xfId="0" applyFont="1" applyFill="1" applyBorder="1" applyAlignment="1" applyProtection="1">
      <alignment horizontal="center"/>
    </xf>
    <xf numFmtId="165" fontId="73" fillId="0" borderId="27" xfId="0" applyNumberFormat="1" applyFont="1" applyFill="1" applyBorder="1" applyAlignment="1" applyProtection="1">
      <alignment horizontal="right" vertical="center"/>
      <protection hidden="1"/>
    </xf>
    <xf numFmtId="41" fontId="73" fillId="0" borderId="94" xfId="0" applyNumberFormat="1" applyFont="1" applyFill="1" applyBorder="1" applyAlignment="1" applyProtection="1">
      <alignment horizontal="right" vertical="center" wrapText="1"/>
      <protection hidden="1"/>
    </xf>
    <xf numFmtId="41" fontId="73" fillId="55" borderId="175" xfId="0" applyNumberFormat="1" applyFont="1" applyFill="1" applyBorder="1" applyAlignment="1" applyProtection="1">
      <alignment horizontal="right" vertical="center" wrapText="1"/>
      <protection hidden="1"/>
    </xf>
    <xf numFmtId="165" fontId="91" fillId="0" borderId="27" xfId="0" applyNumberFormat="1" applyFont="1" applyFill="1" applyBorder="1" applyAlignment="1" applyProtection="1">
      <alignment horizontal="right" vertical="center"/>
      <protection hidden="1"/>
    </xf>
    <xf numFmtId="165" fontId="73" fillId="0" borderId="0" xfId="0" applyNumberFormat="1" applyFont="1" applyFill="1" applyBorder="1" applyAlignment="1" applyProtection="1">
      <alignment horizontal="right" vertical="center"/>
      <protection hidden="1"/>
    </xf>
    <xf numFmtId="165" fontId="73" fillId="0" borderId="0" xfId="0" applyNumberFormat="1" applyFont="1" applyFill="1" applyBorder="1" applyAlignment="1" applyProtection="1">
      <alignment horizontal="right" wrapText="1"/>
      <protection hidden="1"/>
    </xf>
    <xf numFmtId="165" fontId="73" fillId="0" borderId="0" xfId="0" applyNumberFormat="1" applyFont="1" applyFill="1" applyBorder="1" applyAlignment="1" applyProtection="1">
      <alignment horizontal="right"/>
      <protection hidden="1"/>
    </xf>
    <xf numFmtId="165" fontId="73" fillId="0" borderId="56" xfId="0" applyNumberFormat="1" applyFont="1" applyFill="1" applyBorder="1" applyAlignment="1" applyProtection="1">
      <alignment vertical="center" wrapText="1"/>
      <protection hidden="1"/>
    </xf>
    <xf numFmtId="167" fontId="73" fillId="55" borderId="176" xfId="2447" applyNumberFormat="1" applyFont="1" applyFill="1" applyBorder="1" applyAlignment="1" applyProtection="1">
      <alignment horizontal="center" vertical="top" wrapText="1"/>
    </xf>
    <xf numFmtId="0" fontId="0" fillId="55" borderId="176" xfId="0" applyFill="1" applyBorder="1" applyAlignment="1">
      <alignment horizontal="centerContinuous"/>
    </xf>
    <xf numFmtId="41" fontId="75" fillId="55" borderId="176" xfId="95" applyNumberFormat="1" applyFont="1" applyFill="1" applyBorder="1" applyAlignment="1">
      <alignment horizontal="centerContinuous" vertical="center"/>
    </xf>
    <xf numFmtId="0" fontId="82" fillId="62" borderId="178" xfId="2447" applyFont="1" applyFill="1" applyBorder="1" applyAlignment="1" applyProtection="1">
      <alignment horizontal="centerContinuous" vertical="top" wrapText="1"/>
      <protection hidden="1"/>
    </xf>
    <xf numFmtId="41" fontId="75" fillId="55" borderId="176" xfId="95" applyNumberFormat="1" applyFont="1" applyFill="1" applyBorder="1" applyAlignment="1">
      <alignment horizontal="center" vertical="center"/>
    </xf>
    <xf numFmtId="167" fontId="73" fillId="55" borderId="176" xfId="2447" applyNumberFormat="1" applyFont="1" applyFill="1" applyBorder="1" applyAlignment="1" applyProtection="1">
      <alignment horizontal="center" vertical="center" wrapText="1"/>
    </xf>
    <xf numFmtId="0" fontId="75" fillId="55" borderId="0" xfId="0" applyFont="1" applyFill="1" applyBorder="1" applyAlignment="1" applyProtection="1">
      <alignment horizontal="centerContinuous" vertical="center" wrapText="1"/>
    </xf>
    <xf numFmtId="0" fontId="74" fillId="55" borderId="50" xfId="0" applyFont="1" applyFill="1" applyBorder="1" applyAlignment="1" applyProtection="1">
      <alignment horizontal="centerContinuous" vertical="center" wrapText="1"/>
    </xf>
    <xf numFmtId="0" fontId="75" fillId="55" borderId="49" xfId="0" applyFont="1" applyFill="1" applyBorder="1" applyAlignment="1">
      <alignment horizontal="centerContinuous" vertical="center"/>
    </xf>
    <xf numFmtId="0" fontId="75" fillId="55" borderId="0" xfId="0" applyFont="1" applyFill="1" applyBorder="1" applyAlignment="1">
      <alignment horizontal="centerContinuous" vertical="center"/>
    </xf>
    <xf numFmtId="0" fontId="75" fillId="55" borderId="50" xfId="0" applyFont="1" applyFill="1" applyBorder="1" applyAlignment="1">
      <alignment horizontal="centerContinuous" vertical="center"/>
    </xf>
    <xf numFmtId="0" fontId="54" fillId="0" borderId="58" xfId="2445" applyFont="1" applyFill="1" applyBorder="1" applyAlignment="1" applyProtection="1">
      <alignment horizontal="left"/>
    </xf>
    <xf numFmtId="0" fontId="75" fillId="55" borderId="0" xfId="45" applyFont="1" applyFill="1" applyBorder="1" applyAlignment="1" applyProtection="1"/>
    <xf numFmtId="0" fontId="75" fillId="55" borderId="176" xfId="45" applyFont="1" applyFill="1" applyBorder="1" applyAlignment="1" applyProtection="1">
      <alignment horizontal="center" wrapText="1"/>
    </xf>
    <xf numFmtId="43" fontId="0" fillId="0" borderId="198" xfId="2446" applyFont="1" applyBorder="1"/>
    <xf numFmtId="0" fontId="0" fillId="0" borderId="198" xfId="0" applyBorder="1"/>
    <xf numFmtId="0" fontId="77" fillId="0" borderId="65" xfId="0" applyFont="1" applyBorder="1" applyAlignment="1">
      <alignment horizontal="center"/>
    </xf>
    <xf numFmtId="0" fontId="77" fillId="0" borderId="65" xfId="0" applyFont="1" applyFill="1" applyBorder="1" applyAlignment="1">
      <alignment horizontal="center"/>
    </xf>
    <xf numFmtId="41" fontId="91" fillId="29" borderId="219" xfId="1134" applyNumberFormat="1" applyFont="1" applyFill="1" applyBorder="1" applyAlignment="1" applyProtection="1">
      <alignment vertical="center" wrapText="1"/>
      <protection locked="0"/>
    </xf>
    <xf numFmtId="43" fontId="73" fillId="29" borderId="205" xfId="1134" applyNumberFormat="1" applyFont="1" applyFill="1" applyBorder="1" applyAlignment="1" applyProtection="1">
      <alignment vertical="center" wrapText="1"/>
      <protection locked="0"/>
    </xf>
    <xf numFmtId="41" fontId="73" fillId="29" borderId="204" xfId="1134" applyNumberFormat="1" applyFont="1" applyFill="1" applyBorder="1" applyAlignment="1" applyProtection="1">
      <alignment vertical="center" wrapText="1"/>
      <protection locked="0"/>
    </xf>
    <xf numFmtId="41" fontId="91" fillId="29" borderId="205" xfId="1134" applyNumberFormat="1" applyFont="1" applyFill="1" applyBorder="1" applyAlignment="1" applyProtection="1">
      <alignment vertical="center" wrapText="1"/>
      <protection locked="0"/>
    </xf>
    <xf numFmtId="41" fontId="73" fillId="29" borderId="205" xfId="1134" applyNumberFormat="1" applyFont="1" applyFill="1" applyBorder="1" applyAlignment="1" applyProtection="1">
      <alignment vertical="center" wrapText="1"/>
      <protection locked="0"/>
    </xf>
    <xf numFmtId="41" fontId="73" fillId="29" borderId="219" xfId="1134" applyNumberFormat="1" applyFont="1" applyFill="1" applyBorder="1" applyAlignment="1" applyProtection="1">
      <alignment vertical="center" wrapText="1"/>
      <protection locked="0"/>
    </xf>
    <xf numFmtId="167" fontId="73" fillId="54" borderId="176" xfId="2447" applyNumberFormat="1" applyFont="1" applyFill="1" applyBorder="1" applyAlignment="1" applyProtection="1">
      <alignment horizontal="center" vertical="top" wrapText="1"/>
      <protection locked="0"/>
    </xf>
    <xf numFmtId="41" fontId="73" fillId="0" borderId="221" xfId="0" applyNumberFormat="1" applyFont="1" applyFill="1" applyBorder="1" applyAlignment="1" applyProtection="1">
      <alignment horizontal="right" vertical="center"/>
    </xf>
    <xf numFmtId="172" fontId="73" fillId="0" borderId="0" xfId="0" applyNumberFormat="1" applyFont="1"/>
    <xf numFmtId="0" fontId="73" fillId="0" borderId="0" xfId="0" applyFont="1" applyFill="1" applyBorder="1" applyAlignment="1" applyProtection="1">
      <alignment vertical="top" wrapText="1"/>
    </xf>
    <xf numFmtId="0" fontId="73" fillId="0" borderId="17" xfId="0" applyFont="1" applyFill="1" applyBorder="1" applyAlignment="1" applyProtection="1">
      <alignment vertical="top" wrapText="1"/>
    </xf>
    <xf numFmtId="0" fontId="73" fillId="0" borderId="203" xfId="0" applyFont="1" applyFill="1" applyBorder="1" applyProtection="1"/>
    <xf numFmtId="0" fontId="4" fillId="0" borderId="58" xfId="2445" applyFont="1" applyFill="1" applyBorder="1" applyAlignment="1" applyProtection="1">
      <alignment wrapText="1"/>
    </xf>
    <xf numFmtId="0" fontId="79" fillId="0" borderId="176" xfId="2445" applyFill="1" applyBorder="1" applyAlignment="1" applyProtection="1">
      <alignment horizontal="left" vertical="top"/>
    </xf>
    <xf numFmtId="0" fontId="79" fillId="0" borderId="220" xfId="2445" applyBorder="1" applyAlignment="1" applyProtection="1"/>
    <xf numFmtId="41" fontId="73" fillId="0" borderId="16" xfId="0" applyNumberFormat="1" applyFont="1" applyFill="1" applyBorder="1" applyAlignment="1" applyProtection="1">
      <alignment horizontal="center"/>
    </xf>
    <xf numFmtId="0" fontId="73" fillId="0" borderId="38" xfId="0" applyFont="1" applyFill="1" applyBorder="1" applyProtection="1"/>
    <xf numFmtId="41" fontId="73" fillId="0" borderId="183" xfId="0" applyNumberFormat="1" applyFont="1" applyFill="1" applyBorder="1" applyAlignment="1" applyProtection="1">
      <alignment horizontal="center" wrapText="1"/>
    </xf>
    <xf numFmtId="41" fontId="73" fillId="0" borderId="192" xfId="0" applyNumberFormat="1" applyFont="1" applyFill="1" applyBorder="1" applyAlignment="1" applyProtection="1">
      <alignment horizontal="center" wrapText="1"/>
    </xf>
    <xf numFmtId="41" fontId="73" fillId="0" borderId="141" xfId="0" applyNumberFormat="1" applyFont="1" applyFill="1" applyBorder="1" applyAlignment="1" applyProtection="1">
      <alignment vertical="center" wrapText="1"/>
    </xf>
    <xf numFmtId="0" fontId="0" fillId="0" borderId="11" xfId="0" applyBorder="1"/>
    <xf numFmtId="0" fontId="0" fillId="0" borderId="75" xfId="0" applyBorder="1"/>
    <xf numFmtId="0" fontId="0" fillId="0" borderId="85" xfId="0" applyBorder="1" applyAlignment="1">
      <alignment horizontal="centerContinuous"/>
    </xf>
    <xf numFmtId="0" fontId="0" fillId="0" borderId="37" xfId="0" applyBorder="1"/>
    <xf numFmtId="0" fontId="74" fillId="0" borderId="10" xfId="0" applyFont="1" applyFill="1" applyBorder="1" applyAlignment="1" applyProtection="1">
      <alignment horizontal="centerContinuous"/>
    </xf>
    <xf numFmtId="0" fontId="74" fillId="0" borderId="161" xfId="0" applyFont="1" applyFill="1" applyBorder="1" applyAlignment="1" applyProtection="1">
      <alignment horizontal="centerContinuous"/>
    </xf>
    <xf numFmtId="0" fontId="74" fillId="0" borderId="47" xfId="0" applyFont="1" applyFill="1" applyBorder="1" applyAlignment="1" applyProtection="1">
      <alignment horizontal="centerContinuous"/>
    </xf>
    <xf numFmtId="0" fontId="75" fillId="0" borderId="222" xfId="0" applyFont="1" applyFill="1" applyBorder="1" applyAlignment="1" applyProtection="1">
      <alignment horizontal="centerContinuous"/>
    </xf>
    <xf numFmtId="0" fontId="73" fillId="0" borderId="16" xfId="0" applyFont="1" applyFill="1" applyBorder="1" applyAlignment="1" applyProtection="1"/>
    <xf numFmtId="41" fontId="75" fillId="0" borderId="223" xfId="0" applyNumberFormat="1" applyFont="1" applyFill="1" applyBorder="1" applyAlignment="1" applyProtection="1">
      <alignment horizontal="center"/>
    </xf>
    <xf numFmtId="41" fontId="75" fillId="0" borderId="223" xfId="0" applyNumberFormat="1" applyFont="1" applyFill="1" applyBorder="1" applyAlignment="1" applyProtection="1">
      <alignment vertical="center" wrapText="1"/>
    </xf>
    <xf numFmtId="41" fontId="75" fillId="0" borderId="224" xfId="0" applyNumberFormat="1" applyFont="1" applyFill="1" applyBorder="1" applyAlignment="1" applyProtection="1">
      <alignment vertical="center" wrapText="1"/>
    </xf>
    <xf numFmtId="0" fontId="73" fillId="0" borderId="192" xfId="0" applyFont="1" applyFill="1" applyBorder="1" applyAlignment="1" applyProtection="1"/>
    <xf numFmtId="0" fontId="73" fillId="0" borderId="183" xfId="0" applyFont="1" applyFill="1" applyBorder="1" applyAlignment="1" applyProtection="1"/>
    <xf numFmtId="0" fontId="75" fillId="0" borderId="183" xfId="0" applyFont="1" applyFill="1" applyBorder="1" applyAlignment="1" applyProtection="1">
      <alignment horizontal="left" wrapText="1"/>
    </xf>
    <xf numFmtId="41" fontId="75" fillId="0" borderId="183" xfId="0" applyNumberFormat="1" applyFont="1" applyFill="1" applyBorder="1" applyAlignment="1" applyProtection="1">
      <alignment horizontal="right" wrapText="1"/>
    </xf>
    <xf numFmtId="41" fontId="73" fillId="0" borderId="223" xfId="0" applyNumberFormat="1" applyFont="1" applyFill="1" applyBorder="1" applyAlignment="1" applyProtection="1">
      <alignment horizontal="center" wrapText="1"/>
    </xf>
    <xf numFmtId="41" fontId="73" fillId="0" borderId="224" xfId="0" applyNumberFormat="1" applyFont="1" applyFill="1" applyBorder="1" applyAlignment="1" applyProtection="1">
      <alignment horizontal="center" wrapText="1"/>
    </xf>
    <xf numFmtId="41" fontId="73" fillId="0" borderId="225" xfId="0" applyNumberFormat="1" applyFont="1" applyFill="1" applyBorder="1" applyAlignment="1" applyProtection="1">
      <alignment horizontal="right" vertical="center"/>
      <protection hidden="1"/>
    </xf>
    <xf numFmtId="41" fontId="73" fillId="0" borderId="205" xfId="0" applyNumberFormat="1" applyFont="1" applyFill="1" applyBorder="1" applyAlignment="1" applyProtection="1">
      <alignment vertical="center" wrapText="1"/>
    </xf>
    <xf numFmtId="41" fontId="73" fillId="0" borderId="225" xfId="0" applyNumberFormat="1" applyFont="1" applyFill="1" applyBorder="1" applyAlignment="1" applyProtection="1">
      <alignment vertical="center" wrapText="1"/>
    </xf>
    <xf numFmtId="41" fontId="73" fillId="0" borderId="226" xfId="0" applyNumberFormat="1" applyFont="1" applyFill="1" applyBorder="1" applyAlignment="1" applyProtection="1">
      <alignment vertical="center" wrapText="1"/>
    </xf>
    <xf numFmtId="41" fontId="73" fillId="0" borderId="227" xfId="0" applyNumberFormat="1" applyFont="1" applyFill="1" applyBorder="1" applyAlignment="1" applyProtection="1">
      <alignment vertical="center" wrapText="1"/>
    </xf>
    <xf numFmtId="41" fontId="73" fillId="0" borderId="228" xfId="0" applyNumberFormat="1" applyFont="1" applyFill="1" applyBorder="1" applyAlignment="1" applyProtection="1">
      <alignment vertical="center" wrapText="1"/>
    </xf>
    <xf numFmtId="41" fontId="73" fillId="0" borderId="229" xfId="0" applyNumberFormat="1" applyFont="1" applyFill="1" applyBorder="1" applyAlignment="1" applyProtection="1">
      <alignment vertical="center" wrapText="1"/>
    </xf>
    <xf numFmtId="41" fontId="73" fillId="0" borderId="230" xfId="0" applyNumberFormat="1" applyFont="1" applyFill="1" applyBorder="1" applyAlignment="1" applyProtection="1">
      <alignment vertical="center" wrapText="1"/>
    </xf>
    <xf numFmtId="41" fontId="73" fillId="0" borderId="231" xfId="0" applyNumberFormat="1" applyFont="1" applyFill="1" applyBorder="1" applyAlignment="1" applyProtection="1">
      <alignment vertical="center" wrapText="1"/>
    </xf>
    <xf numFmtId="41" fontId="73" fillId="29" borderId="219" xfId="0" applyNumberFormat="1" applyFont="1" applyFill="1" applyBorder="1" applyAlignment="1" applyProtection="1">
      <alignment vertical="center" wrapText="1"/>
      <protection locked="0"/>
    </xf>
    <xf numFmtId="41" fontId="73" fillId="0" borderId="232" xfId="0" applyNumberFormat="1" applyFont="1" applyFill="1" applyBorder="1" applyAlignment="1" applyProtection="1">
      <alignment horizontal="right" vertical="center" wrapText="1"/>
    </xf>
    <xf numFmtId="41" fontId="73" fillId="0" borderId="233" xfId="0" applyNumberFormat="1" applyFont="1" applyFill="1" applyBorder="1" applyAlignment="1" applyProtection="1">
      <alignment vertical="center" wrapText="1"/>
    </xf>
    <xf numFmtId="41" fontId="73" fillId="0" borderId="234" xfId="0" applyNumberFormat="1" applyFont="1" applyFill="1" applyBorder="1" applyAlignment="1" applyProtection="1">
      <alignment vertical="center" wrapText="1"/>
    </xf>
    <xf numFmtId="41" fontId="73" fillId="0" borderId="235" xfId="0" applyNumberFormat="1" applyFont="1" applyFill="1" applyBorder="1" applyAlignment="1" applyProtection="1">
      <alignment vertical="center" wrapText="1"/>
    </xf>
    <xf numFmtId="41" fontId="73" fillId="29" borderId="205" xfId="0" applyNumberFormat="1" applyFont="1" applyFill="1" applyBorder="1" applyAlignment="1" applyProtection="1">
      <alignment vertical="center" wrapText="1"/>
      <protection locked="0"/>
    </xf>
    <xf numFmtId="41" fontId="73" fillId="29" borderId="225" xfId="0" applyNumberFormat="1" applyFont="1" applyFill="1" applyBorder="1" applyAlignment="1" applyProtection="1">
      <alignment vertical="center" wrapText="1"/>
      <protection locked="0"/>
    </xf>
    <xf numFmtId="41" fontId="73" fillId="29" borderId="204" xfId="0" applyNumberFormat="1" applyFont="1" applyFill="1" applyBorder="1" applyAlignment="1" applyProtection="1">
      <alignment vertical="center" wrapText="1"/>
      <protection locked="0"/>
    </xf>
    <xf numFmtId="41" fontId="73" fillId="29" borderId="233" xfId="0" applyNumberFormat="1" applyFont="1" applyFill="1" applyBorder="1" applyAlignment="1" applyProtection="1">
      <alignment vertical="center" wrapText="1"/>
      <protection locked="0"/>
    </xf>
    <xf numFmtId="41" fontId="73" fillId="0" borderId="219" xfId="0" applyNumberFormat="1" applyFont="1" applyFill="1" applyBorder="1" applyAlignment="1" applyProtection="1">
      <alignment vertical="center" wrapText="1"/>
    </xf>
    <xf numFmtId="41" fontId="73" fillId="0" borderId="236" xfId="0" applyNumberFormat="1" applyFont="1" applyFill="1" applyBorder="1" applyAlignment="1" applyProtection="1">
      <alignment vertical="center" wrapText="1"/>
    </xf>
    <xf numFmtId="41" fontId="91" fillId="29" borderId="219" xfId="0" applyNumberFormat="1" applyFont="1" applyFill="1" applyBorder="1" applyAlignment="1" applyProtection="1">
      <alignment vertical="center" wrapText="1"/>
      <protection locked="0"/>
    </xf>
    <xf numFmtId="41" fontId="91" fillId="29" borderId="205" xfId="0" applyNumberFormat="1" applyFont="1" applyFill="1" applyBorder="1" applyAlignment="1" applyProtection="1">
      <alignment vertical="center" wrapText="1"/>
      <protection locked="0"/>
    </xf>
    <xf numFmtId="41" fontId="91" fillId="29" borderId="225" xfId="0" applyNumberFormat="1" applyFont="1" applyFill="1" applyBorder="1" applyAlignment="1" applyProtection="1">
      <alignment vertical="center" wrapText="1"/>
      <protection locked="0"/>
    </xf>
    <xf numFmtId="41" fontId="91" fillId="0" borderId="226" xfId="0" applyNumberFormat="1" applyFont="1" applyFill="1" applyBorder="1" applyAlignment="1" applyProtection="1">
      <alignment vertical="center" wrapText="1"/>
    </xf>
    <xf numFmtId="41" fontId="91" fillId="29" borderId="204" xfId="0" applyNumberFormat="1" applyFont="1" applyFill="1" applyBorder="1" applyAlignment="1" applyProtection="1">
      <alignment vertical="center" wrapText="1"/>
      <protection locked="0"/>
    </xf>
    <xf numFmtId="41" fontId="91" fillId="29" borderId="233" xfId="0" applyNumberFormat="1" applyFont="1" applyFill="1" applyBorder="1" applyAlignment="1" applyProtection="1">
      <alignment vertical="center" wrapText="1"/>
      <protection locked="0"/>
    </xf>
    <xf numFmtId="41" fontId="91" fillId="0" borderId="227" xfId="0" applyNumberFormat="1" applyFont="1" applyFill="1" applyBorder="1" applyAlignment="1" applyProtection="1">
      <alignment vertical="center" wrapText="1"/>
    </xf>
    <xf numFmtId="41" fontId="91" fillId="0" borderId="228" xfId="0" applyNumberFormat="1" applyFont="1" applyFill="1" applyBorder="1" applyAlignment="1" applyProtection="1">
      <alignment vertical="center" wrapText="1"/>
    </xf>
    <xf numFmtId="41" fontId="91" fillId="0" borderId="229" xfId="0" applyNumberFormat="1" applyFont="1" applyFill="1" applyBorder="1" applyAlignment="1" applyProtection="1">
      <alignment vertical="center" wrapText="1"/>
    </xf>
    <xf numFmtId="41" fontId="91" fillId="0" borderId="230" xfId="0" applyNumberFormat="1" applyFont="1" applyFill="1" applyBorder="1" applyAlignment="1" applyProtection="1">
      <alignment vertical="center" wrapText="1"/>
    </xf>
    <xf numFmtId="41" fontId="91" fillId="0" borderId="231" xfId="0" applyNumberFormat="1" applyFont="1" applyFill="1" applyBorder="1" applyAlignment="1" applyProtection="1">
      <alignment vertical="center" wrapText="1"/>
    </xf>
    <xf numFmtId="41" fontId="73" fillId="0" borderId="237" xfId="0" applyNumberFormat="1" applyFont="1" applyFill="1" applyBorder="1" applyAlignment="1" applyProtection="1">
      <alignment vertical="center" wrapText="1"/>
    </xf>
    <xf numFmtId="41" fontId="73" fillId="0" borderId="186" xfId="0" applyNumberFormat="1" applyFont="1" applyFill="1" applyBorder="1" applyAlignment="1" applyProtection="1">
      <alignment vertical="center" wrapText="1"/>
    </xf>
    <xf numFmtId="41" fontId="73" fillId="0" borderId="238" xfId="0" applyNumberFormat="1" applyFont="1" applyFill="1" applyBorder="1" applyAlignment="1" applyProtection="1">
      <alignment vertical="center" wrapText="1"/>
    </xf>
    <xf numFmtId="41" fontId="73" fillId="0" borderId="239" xfId="0" applyNumberFormat="1" applyFont="1" applyFill="1" applyBorder="1" applyAlignment="1" applyProtection="1">
      <alignment vertical="center" wrapText="1"/>
    </xf>
    <xf numFmtId="41" fontId="92" fillId="0" borderId="240" xfId="0" applyNumberFormat="1" applyFont="1" applyFill="1" applyBorder="1" applyAlignment="1" applyProtection="1">
      <alignment vertical="center" wrapText="1"/>
    </xf>
    <xf numFmtId="41" fontId="92" fillId="0" borderId="241" xfId="0" applyNumberFormat="1" applyFont="1" applyFill="1" applyBorder="1" applyAlignment="1" applyProtection="1">
      <alignment vertical="center" wrapText="1"/>
    </xf>
    <xf numFmtId="41" fontId="92" fillId="0" borderId="242" xfId="0" applyNumberFormat="1" applyFont="1" applyFill="1" applyBorder="1" applyAlignment="1" applyProtection="1">
      <alignment vertical="center" wrapText="1"/>
    </xf>
    <xf numFmtId="41" fontId="92" fillId="0" borderId="243" xfId="0" applyNumberFormat="1" applyFont="1" applyFill="1" applyBorder="1" applyAlignment="1" applyProtection="1">
      <alignment vertical="center" wrapText="1"/>
    </xf>
    <xf numFmtId="41" fontId="92" fillId="0" borderId="244" xfId="0" applyNumberFormat="1" applyFont="1" applyFill="1" applyBorder="1" applyAlignment="1" applyProtection="1">
      <alignment vertical="center" wrapText="1"/>
    </xf>
    <xf numFmtId="41" fontId="92" fillId="0" borderId="245" xfId="0" applyNumberFormat="1" applyFont="1" applyFill="1" applyBorder="1" applyAlignment="1" applyProtection="1">
      <alignment vertical="center" wrapText="1"/>
    </xf>
    <xf numFmtId="41" fontId="92" fillId="0" borderId="246" xfId="0" applyNumberFormat="1" applyFont="1" applyFill="1" applyBorder="1" applyAlignment="1" applyProtection="1">
      <alignment vertical="center" wrapText="1"/>
    </xf>
    <xf numFmtId="41" fontId="92" fillId="0" borderId="247" xfId="0" applyNumberFormat="1" applyFont="1" applyFill="1" applyBorder="1" applyAlignment="1" applyProtection="1">
      <alignment vertical="center" wrapText="1"/>
    </xf>
    <xf numFmtId="41" fontId="92" fillId="0" borderId="237" xfId="0" applyNumberFormat="1" applyFont="1" applyFill="1" applyBorder="1" applyAlignment="1" applyProtection="1">
      <alignment vertical="center" wrapText="1"/>
    </xf>
    <xf numFmtId="41" fontId="92" fillId="0" borderId="248" xfId="0" applyNumberFormat="1" applyFont="1" applyFill="1" applyBorder="1" applyAlignment="1" applyProtection="1">
      <alignment vertical="center" wrapText="1"/>
    </xf>
    <xf numFmtId="41" fontId="92" fillId="0" borderId="249" xfId="0" applyNumberFormat="1" applyFont="1" applyFill="1" applyBorder="1" applyAlignment="1" applyProtection="1">
      <alignment vertical="center" wrapText="1"/>
    </xf>
    <xf numFmtId="165" fontId="73" fillId="0" borderId="225" xfId="0" applyNumberFormat="1" applyFont="1" applyFill="1" applyBorder="1" applyAlignment="1" applyProtection="1">
      <alignment horizontal="right" vertical="center"/>
      <protection hidden="1"/>
    </xf>
    <xf numFmtId="41" fontId="73" fillId="29" borderId="230" xfId="0" applyNumberFormat="1" applyFont="1" applyFill="1" applyBorder="1" applyAlignment="1" applyProtection="1">
      <alignment vertical="center" wrapText="1"/>
      <protection locked="0"/>
    </xf>
    <xf numFmtId="41" fontId="73" fillId="0" borderId="221" xfId="0" applyNumberFormat="1" applyFont="1" applyFill="1" applyBorder="1" applyAlignment="1" applyProtection="1">
      <alignment vertical="center" wrapText="1"/>
    </xf>
    <xf numFmtId="41" fontId="73" fillId="0" borderId="250" xfId="0" applyNumberFormat="1" applyFont="1" applyFill="1" applyBorder="1" applyAlignment="1" applyProtection="1">
      <alignment vertical="center" wrapText="1"/>
    </xf>
    <xf numFmtId="165" fontId="91" fillId="0" borderId="225" xfId="0" applyNumberFormat="1" applyFont="1" applyFill="1" applyBorder="1" applyAlignment="1" applyProtection="1">
      <alignment horizontal="right" vertical="center"/>
      <protection hidden="1"/>
    </xf>
    <xf numFmtId="41" fontId="91" fillId="0" borderId="250" xfId="0" applyNumberFormat="1" applyFont="1" applyFill="1" applyBorder="1" applyAlignment="1" applyProtection="1">
      <alignment vertical="center" wrapText="1"/>
    </xf>
    <xf numFmtId="41" fontId="73" fillId="0" borderId="230" xfId="0" applyNumberFormat="1" applyFont="1" applyFill="1" applyBorder="1" applyAlignment="1" applyProtection="1">
      <alignment horizontal="right" vertical="center"/>
    </xf>
    <xf numFmtId="41" fontId="73" fillId="0" borderId="225" xfId="0" applyNumberFormat="1" applyFont="1" applyFill="1" applyBorder="1" applyAlignment="1" applyProtection="1">
      <alignment horizontal="right" vertical="center"/>
    </xf>
    <xf numFmtId="41" fontId="73" fillId="0" borderId="250" xfId="0" applyNumberFormat="1" applyFont="1" applyFill="1" applyBorder="1" applyAlignment="1" applyProtection="1">
      <alignment horizontal="right" vertical="center"/>
    </xf>
    <xf numFmtId="41" fontId="73" fillId="0" borderId="227" xfId="0" applyNumberFormat="1" applyFont="1" applyFill="1" applyBorder="1" applyAlignment="1" applyProtection="1">
      <alignment horizontal="right" vertical="center"/>
    </xf>
    <xf numFmtId="41" fontId="73" fillId="0" borderId="228" xfId="0" applyNumberFormat="1" applyFont="1" applyFill="1" applyBorder="1" applyAlignment="1" applyProtection="1">
      <alignment horizontal="right" vertical="center"/>
    </xf>
    <xf numFmtId="41" fontId="73" fillId="0" borderId="226" xfId="0" applyNumberFormat="1" applyFont="1" applyFill="1" applyBorder="1" applyAlignment="1" applyProtection="1">
      <alignment horizontal="right" vertical="center"/>
    </xf>
    <xf numFmtId="41" fontId="73" fillId="0" borderId="231" xfId="0" applyNumberFormat="1" applyFont="1" applyFill="1" applyBorder="1" applyAlignment="1" applyProtection="1">
      <alignment horizontal="right" vertical="center"/>
    </xf>
    <xf numFmtId="41" fontId="73" fillId="0" borderId="219" xfId="0" applyNumberFormat="1" applyFont="1" applyFill="1" applyBorder="1" applyAlignment="1" applyProtection="1">
      <alignment horizontal="right" vertical="center"/>
    </xf>
    <xf numFmtId="41" fontId="73" fillId="0" borderId="205" xfId="0" applyNumberFormat="1" applyFont="1" applyFill="1" applyBorder="1" applyAlignment="1" applyProtection="1">
      <alignment horizontal="right" vertical="center"/>
    </xf>
    <xf numFmtId="41" fontId="92" fillId="0" borderId="219" xfId="0" applyNumberFormat="1" applyFont="1" applyFill="1" applyBorder="1" applyAlignment="1" applyProtection="1">
      <alignment vertical="center" wrapText="1"/>
    </xf>
    <xf numFmtId="41" fontId="92" fillId="0" borderId="251" xfId="0" applyNumberFormat="1" applyFont="1" applyFill="1" applyBorder="1" applyAlignment="1" applyProtection="1">
      <alignment vertical="center" wrapText="1"/>
    </xf>
    <xf numFmtId="41" fontId="92" fillId="0" borderId="252" xfId="0" applyNumberFormat="1" applyFont="1" applyFill="1" applyBorder="1" applyAlignment="1" applyProtection="1">
      <alignment vertical="center" wrapText="1"/>
    </xf>
    <xf numFmtId="41" fontId="92" fillId="0" borderId="253" xfId="0" applyNumberFormat="1" applyFont="1" applyFill="1" applyBorder="1" applyAlignment="1" applyProtection="1">
      <alignment vertical="center" wrapText="1"/>
    </xf>
    <xf numFmtId="41" fontId="92" fillId="0" borderId="254" xfId="0" applyNumberFormat="1" applyFont="1" applyFill="1" applyBorder="1" applyAlignment="1" applyProtection="1">
      <alignment vertical="center" wrapText="1"/>
    </xf>
    <xf numFmtId="41" fontId="92" fillId="0" borderId="255" xfId="0" applyNumberFormat="1" applyFont="1" applyFill="1" applyBorder="1" applyAlignment="1" applyProtection="1">
      <alignment vertical="center" wrapText="1"/>
    </xf>
    <xf numFmtId="41" fontId="73" fillId="0" borderId="256" xfId="0" applyNumberFormat="1" applyFont="1" applyFill="1" applyBorder="1" applyAlignment="1" applyProtection="1">
      <alignment vertical="center"/>
    </xf>
    <xf numFmtId="41" fontId="73" fillId="0" borderId="230" xfId="0" applyNumberFormat="1" applyFont="1" applyFill="1" applyBorder="1" applyAlignment="1" applyProtection="1">
      <alignment vertical="center"/>
    </xf>
    <xf numFmtId="41" fontId="73" fillId="0" borderId="205" xfId="0" applyNumberFormat="1" applyFont="1" applyFill="1" applyBorder="1" applyAlignment="1" applyProtection="1">
      <alignment vertical="center"/>
    </xf>
    <xf numFmtId="41" fontId="73" fillId="0" borderId="256" xfId="0" applyNumberFormat="1" applyFont="1" applyFill="1" applyBorder="1" applyAlignment="1" applyProtection="1"/>
    <xf numFmtId="41" fontId="73" fillId="0" borderId="230" xfId="0" applyNumberFormat="1" applyFont="1" applyFill="1" applyBorder="1" applyAlignment="1" applyProtection="1"/>
    <xf numFmtId="41" fontId="73" fillId="0" borderId="205" xfId="0" applyNumberFormat="1" applyFont="1" applyFill="1" applyBorder="1" applyAlignment="1" applyProtection="1"/>
    <xf numFmtId="41" fontId="92" fillId="0" borderId="256" xfId="0" applyNumberFormat="1" applyFont="1" applyFill="1" applyBorder="1" applyAlignment="1" applyProtection="1"/>
    <xf numFmtId="41" fontId="92" fillId="0" borderId="205" xfId="0" applyNumberFormat="1" applyFont="1" applyFill="1" applyBorder="1" applyAlignment="1" applyProtection="1"/>
    <xf numFmtId="41" fontId="92" fillId="0" borderId="225" xfId="0" applyNumberFormat="1" applyFont="1" applyFill="1" applyBorder="1" applyAlignment="1" applyProtection="1"/>
    <xf numFmtId="41" fontId="92" fillId="0" borderId="227" xfId="0" applyNumberFormat="1" applyFont="1" applyFill="1" applyBorder="1" applyAlignment="1" applyProtection="1"/>
    <xf numFmtId="41" fontId="73" fillId="0" borderId="219" xfId="0" applyNumberFormat="1" applyFont="1" applyFill="1" applyBorder="1" applyAlignment="1" applyProtection="1"/>
    <xf numFmtId="41" fontId="73" fillId="0" borderId="231" xfId="0" applyNumberFormat="1" applyFont="1" applyFill="1" applyBorder="1" applyAlignment="1" applyProtection="1"/>
    <xf numFmtId="41" fontId="92" fillId="0" borderId="256" xfId="0" applyNumberFormat="1" applyFont="1" applyFill="1" applyBorder="1" applyAlignment="1" applyProtection="1">
      <alignment horizontal="center"/>
    </xf>
    <xf numFmtId="41" fontId="92" fillId="0" borderId="205" xfId="0" applyNumberFormat="1" applyFont="1" applyFill="1" applyBorder="1" applyAlignment="1" applyProtection="1">
      <alignment horizontal="center"/>
    </xf>
    <xf numFmtId="41" fontId="92" fillId="0" borderId="233" xfId="0" applyNumberFormat="1" applyFont="1" applyFill="1" applyBorder="1" applyAlignment="1" applyProtection="1">
      <alignment horizontal="center"/>
    </xf>
    <xf numFmtId="41" fontId="92" fillId="0" borderId="226" xfId="0" applyNumberFormat="1" applyFont="1" applyFill="1" applyBorder="1" applyAlignment="1" applyProtection="1">
      <alignment vertical="center" wrapText="1"/>
    </xf>
    <xf numFmtId="41" fontId="92" fillId="0" borderId="227" xfId="0" applyNumberFormat="1" applyFont="1" applyFill="1" applyBorder="1" applyAlignment="1" applyProtection="1">
      <alignment vertical="center" wrapText="1"/>
    </xf>
    <xf numFmtId="41" fontId="92" fillId="0" borderId="257" xfId="0" applyNumberFormat="1" applyFont="1" applyFill="1" applyBorder="1" applyAlignment="1" applyProtection="1">
      <alignment horizontal="center"/>
    </xf>
    <xf numFmtId="41" fontId="92" fillId="0" borderId="243" xfId="0" applyNumberFormat="1" applyFont="1" applyFill="1" applyBorder="1" applyAlignment="1" applyProtection="1">
      <alignment horizontal="center"/>
    </xf>
    <xf numFmtId="41" fontId="92" fillId="0" borderId="244" xfId="0" applyNumberFormat="1" applyFont="1" applyFill="1" applyBorder="1" applyAlignment="1" applyProtection="1">
      <alignment horizontal="center"/>
    </xf>
    <xf numFmtId="41" fontId="92" fillId="0" borderId="258" xfId="0" applyNumberFormat="1" applyFont="1" applyFill="1" applyBorder="1" applyAlignment="1" applyProtection="1">
      <alignment vertical="center" wrapText="1"/>
    </xf>
    <xf numFmtId="41" fontId="92" fillId="0" borderId="259" xfId="0" applyNumberFormat="1" applyFont="1" applyFill="1" applyBorder="1" applyAlignment="1" applyProtection="1">
      <alignment vertical="center" wrapText="1"/>
    </xf>
    <xf numFmtId="3" fontId="73" fillId="0" borderId="260" xfId="0" applyNumberFormat="1" applyFont="1" applyFill="1" applyBorder="1" applyAlignment="1" applyProtection="1">
      <alignment horizontal="center" wrapText="1"/>
      <protection locked="0"/>
    </xf>
    <xf numFmtId="0" fontId="0" fillId="0" borderId="12" xfId="0" applyBorder="1"/>
    <xf numFmtId="41" fontId="73" fillId="0" borderId="165" xfId="0" applyNumberFormat="1" applyFont="1" applyFill="1" applyBorder="1" applyAlignment="1" applyProtection="1">
      <alignment vertical="center" wrapText="1"/>
    </xf>
    <xf numFmtId="41" fontId="73" fillId="0" borderId="166" xfId="0" applyNumberFormat="1" applyFont="1" applyFill="1" applyBorder="1" applyAlignment="1" applyProtection="1">
      <alignment vertical="center" wrapText="1"/>
    </xf>
    <xf numFmtId="41" fontId="73" fillId="0" borderId="261" xfId="0" applyNumberFormat="1" applyFont="1" applyFill="1" applyBorder="1" applyAlignment="1" applyProtection="1">
      <alignment vertical="center" wrapText="1"/>
    </xf>
    <xf numFmtId="41" fontId="73" fillId="0" borderId="37" xfId="0" applyNumberFormat="1" applyFont="1" applyFill="1" applyBorder="1" applyAlignment="1" applyProtection="1">
      <alignment wrapText="1"/>
    </xf>
    <xf numFmtId="41" fontId="73" fillId="29" borderId="221" xfId="0" applyNumberFormat="1" applyFont="1" applyFill="1" applyBorder="1" applyAlignment="1" applyProtection="1">
      <alignment vertical="center" wrapText="1"/>
      <protection locked="0"/>
    </xf>
    <xf numFmtId="0" fontId="0" fillId="0" borderId="0" xfId="0" applyFill="1"/>
    <xf numFmtId="0" fontId="0" fillId="0" borderId="0" xfId="0" applyFill="1" applyBorder="1"/>
    <xf numFmtId="0" fontId="75" fillId="0" borderId="0" xfId="0" applyFont="1" applyFill="1" applyBorder="1" applyAlignment="1" applyProtection="1">
      <alignment horizontal="left"/>
    </xf>
    <xf numFmtId="0" fontId="75" fillId="0" borderId="0" xfId="0" applyFont="1" applyFill="1"/>
    <xf numFmtId="0" fontId="77" fillId="0" borderId="176" xfId="0" applyFont="1" applyFill="1" applyBorder="1" applyAlignment="1">
      <alignment horizontal="left" indent="1"/>
    </xf>
    <xf numFmtId="0" fontId="75" fillId="0" borderId="176" xfId="0" applyFont="1" applyFill="1" applyBorder="1" applyAlignment="1" applyProtection="1">
      <alignment horizontal="left" vertical="center" indent="1"/>
    </xf>
    <xf numFmtId="0" fontId="75" fillId="0" borderId="176" xfId="0" applyFont="1" applyFill="1" applyBorder="1" applyAlignment="1" applyProtection="1">
      <alignment horizontal="left" indent="1"/>
    </xf>
    <xf numFmtId="0" fontId="73" fillId="0" borderId="176" xfId="0" applyFont="1" applyFill="1" applyBorder="1" applyAlignment="1" applyProtection="1">
      <alignment horizontal="left" indent="1"/>
    </xf>
    <xf numFmtId="0" fontId="103" fillId="0" borderId="0" xfId="0" applyFont="1" applyFill="1"/>
    <xf numFmtId="0" fontId="126" fillId="94" borderId="0" xfId="0" applyFont="1" applyFill="1" applyBorder="1" applyAlignment="1">
      <alignment vertical="top"/>
    </xf>
    <xf numFmtId="0" fontId="127" fillId="94" borderId="262" xfId="0" applyFont="1" applyFill="1" applyBorder="1" applyAlignment="1">
      <alignment vertical="top"/>
    </xf>
    <xf numFmtId="0" fontId="127" fillId="94" borderId="262" xfId="0" applyFont="1" applyFill="1" applyBorder="1" applyAlignment="1">
      <alignment horizontal="center" vertical="top"/>
    </xf>
    <xf numFmtId="0" fontId="73" fillId="0" borderId="176" xfId="0" applyFont="1" applyFill="1" applyBorder="1" applyAlignment="1" applyProtection="1">
      <alignment horizontal="left" indent="1"/>
      <protection hidden="1"/>
    </xf>
    <xf numFmtId="0" fontId="125" fillId="0" borderId="0" xfId="1134" applyFont="1" applyFill="1" applyBorder="1" applyAlignment="1" applyProtection="1">
      <alignment horizontal="center" vertical="center" wrapText="1"/>
    </xf>
    <xf numFmtId="0" fontId="106" fillId="62" borderId="176" xfId="0" applyFont="1" applyFill="1" applyBorder="1" applyAlignment="1">
      <alignment horizontal="center"/>
    </xf>
    <xf numFmtId="0" fontId="107" fillId="55" borderId="176" xfId="0" quotePrefix="1" applyFont="1" applyFill="1" applyBorder="1" applyAlignment="1">
      <alignment horizontal="center"/>
    </xf>
    <xf numFmtId="0" fontId="107" fillId="55" borderId="176" xfId="0" applyFont="1" applyFill="1" applyBorder="1" applyAlignment="1">
      <alignment horizontal="center"/>
    </xf>
    <xf numFmtId="0" fontId="73" fillId="28" borderId="263" xfId="2447" applyFont="1" applyFill="1" applyBorder="1" applyAlignment="1" applyProtection="1">
      <alignment vertical="top"/>
      <protection hidden="1"/>
    </xf>
    <xf numFmtId="0" fontId="82" fillId="62" borderId="176" xfId="2447" applyFont="1" applyFill="1" applyBorder="1" applyAlignment="1" applyProtection="1">
      <alignment horizontal="centerContinuous" vertical="top" wrapText="1"/>
      <protection hidden="1"/>
    </xf>
    <xf numFmtId="0" fontId="73" fillId="55" borderId="263" xfId="2447" applyFont="1" applyFill="1" applyBorder="1" applyAlignment="1" applyProtection="1">
      <alignment horizontal="center" vertical="center"/>
      <protection hidden="1"/>
    </xf>
    <xf numFmtId="0" fontId="81" fillId="62" borderId="263" xfId="2447" applyFont="1" applyFill="1" applyBorder="1" applyAlignment="1" applyProtection="1">
      <alignment horizontal="centerContinuous" vertical="top"/>
      <protection hidden="1"/>
    </xf>
    <xf numFmtId="0" fontId="81" fillId="62" borderId="179" xfId="2447" applyFont="1" applyFill="1" applyBorder="1" applyAlignment="1" applyProtection="1">
      <alignment horizontal="centerContinuous" vertical="top"/>
      <protection hidden="1"/>
    </xf>
    <xf numFmtId="0" fontId="0" fillId="55" borderId="263" xfId="0" applyFill="1" applyBorder="1"/>
    <xf numFmtId="0" fontId="73" fillId="28" borderId="176" xfId="2447" applyFont="1" applyFill="1" applyBorder="1" applyAlignment="1" applyProtection="1">
      <alignment horizontal="left" vertical="top" indent="1"/>
      <protection hidden="1"/>
    </xf>
    <xf numFmtId="0" fontId="73" fillId="28" borderId="176" xfId="2447" applyFont="1" applyFill="1" applyBorder="1" applyAlignment="1" applyProtection="1">
      <alignment horizontal="left" vertical="center" indent="1"/>
      <protection hidden="1"/>
    </xf>
    <xf numFmtId="0" fontId="75" fillId="28" borderId="176" xfId="2447" applyFont="1" applyFill="1" applyBorder="1" applyAlignment="1" applyProtection="1">
      <alignment vertical="center"/>
      <protection hidden="1"/>
    </xf>
    <xf numFmtId="41" fontId="73" fillId="0" borderId="176" xfId="0" applyNumberFormat="1" applyFont="1" applyFill="1" applyBorder="1" applyAlignment="1" applyProtection="1">
      <alignment horizontal="center"/>
    </xf>
    <xf numFmtId="0" fontId="73" fillId="0" borderId="176" xfId="0" applyFont="1" applyBorder="1" applyAlignment="1">
      <alignment horizontal="center"/>
    </xf>
    <xf numFmtId="41" fontId="73" fillId="0" borderId="196" xfId="0" applyNumberFormat="1" applyFont="1" applyFill="1" applyBorder="1" applyAlignment="1" applyProtection="1">
      <alignment horizontal="center"/>
    </xf>
    <xf numFmtId="0" fontId="77" fillId="0" borderId="105" xfId="0" applyFont="1" applyBorder="1" applyAlignment="1">
      <alignment horizontal="center"/>
    </xf>
    <xf numFmtId="0" fontId="4" fillId="0" borderId="193" xfId="0" applyFont="1" applyBorder="1" applyAlignment="1">
      <alignment horizontal="center"/>
    </xf>
    <xf numFmtId="0" fontId="0" fillId="0" borderId="194" xfId="0" applyBorder="1" applyAlignment="1">
      <alignment horizontal="center"/>
    </xf>
    <xf numFmtId="0" fontId="4" fillId="0" borderId="195" xfId="0" applyFont="1" applyBorder="1" applyAlignment="1">
      <alignment horizontal="center"/>
    </xf>
    <xf numFmtId="0" fontId="0" fillId="0" borderId="197" xfId="0" applyBorder="1" applyAlignment="1">
      <alignment horizontal="center"/>
    </xf>
    <xf numFmtId="0" fontId="75" fillId="0" borderId="104" xfId="0" applyFont="1" applyBorder="1" applyAlignment="1">
      <alignment horizontal="center"/>
    </xf>
    <xf numFmtId="0" fontId="77" fillId="0" borderId="172" xfId="0" applyFont="1" applyBorder="1" applyAlignment="1">
      <alignment horizontal="center"/>
    </xf>
    <xf numFmtId="0" fontId="77" fillId="0" borderId="266" xfId="0" applyFont="1" applyFill="1" applyBorder="1" applyAlignment="1">
      <alignment horizontal="left"/>
    </xf>
    <xf numFmtId="0" fontId="0" fillId="0" borderId="265" xfId="0" applyFill="1" applyBorder="1" applyAlignment="1">
      <alignment horizontal="center"/>
    </xf>
    <xf numFmtId="0" fontId="43" fillId="0" borderId="267" xfId="0" applyFont="1" applyFill="1" applyBorder="1" applyAlignment="1">
      <alignment horizontal="center"/>
    </xf>
    <xf numFmtId="0" fontId="74" fillId="0" borderId="17" xfId="0" applyFont="1" applyFill="1" applyBorder="1" applyAlignment="1" applyProtection="1"/>
    <xf numFmtId="0" fontId="83" fillId="0" borderId="10" xfId="0" applyFont="1" applyFill="1" applyBorder="1" applyAlignment="1" applyProtection="1">
      <alignment vertical="center"/>
    </xf>
    <xf numFmtId="0" fontId="83" fillId="0" borderId="46" xfId="0" applyFont="1" applyFill="1" applyBorder="1" applyAlignment="1" applyProtection="1">
      <alignment vertical="center"/>
    </xf>
    <xf numFmtId="0" fontId="83" fillId="0" borderId="25" xfId="0" applyFont="1" applyFill="1" applyBorder="1" applyAlignment="1" applyProtection="1">
      <alignment vertical="center"/>
    </xf>
    <xf numFmtId="0" fontId="73" fillId="0" borderId="37" xfId="0" applyFont="1" applyFill="1" applyBorder="1" applyProtection="1"/>
    <xf numFmtId="0" fontId="83" fillId="55" borderId="10" xfId="0" applyFont="1" applyFill="1" applyBorder="1" applyAlignment="1" applyProtection="1">
      <alignment horizontal="center" vertical="center"/>
    </xf>
    <xf numFmtId="0" fontId="88" fillId="57" borderId="176" xfId="2447" applyFont="1" applyFill="1" applyBorder="1" applyAlignment="1" applyProtection="1">
      <alignment horizontal="left" vertical="top" wrapText="1" indent="1"/>
    </xf>
    <xf numFmtId="0" fontId="88" fillId="55" borderId="263" xfId="2447" applyFont="1" applyFill="1" applyBorder="1" applyAlignment="1" applyProtection="1">
      <alignment vertical="top" wrapText="1"/>
    </xf>
    <xf numFmtId="0" fontId="72" fillId="0" borderId="0" xfId="0" applyNumberFormat="1" applyFont="1" applyFill="1" applyAlignment="1" applyProtection="1"/>
    <xf numFmtId="1" fontId="72" fillId="0" borderId="0" xfId="0" applyNumberFormat="1" applyFont="1" applyFill="1" applyAlignment="1"/>
    <xf numFmtId="0" fontId="74" fillId="0" borderId="0" xfId="0" applyNumberFormat="1" applyFont="1" applyFill="1" applyAlignment="1" applyProtection="1">
      <alignment horizontal="centerContinuous"/>
    </xf>
    <xf numFmtId="0" fontId="73" fillId="0" borderId="0" xfId="0" applyNumberFormat="1" applyFont="1" applyFill="1" applyAlignment="1" applyProtection="1"/>
    <xf numFmtId="41" fontId="75" fillId="0" borderId="0" xfId="0" applyNumberFormat="1" applyFont="1" applyFill="1" applyBorder="1" applyAlignment="1" applyProtection="1"/>
    <xf numFmtId="0" fontId="74" fillId="0" borderId="0" xfId="0" applyNumberFormat="1" applyFont="1" applyFill="1" applyAlignment="1" applyProtection="1">
      <alignment wrapText="1"/>
    </xf>
    <xf numFmtId="0" fontId="75" fillId="0" borderId="72" xfId="0" applyNumberFormat="1" applyFont="1" applyFill="1" applyBorder="1" applyAlignment="1" applyProtection="1">
      <alignment horizontal="center" wrapText="1"/>
    </xf>
    <xf numFmtId="0" fontId="75" fillId="0" borderId="0" xfId="0" applyNumberFormat="1" applyFont="1" applyFill="1" applyAlignment="1" applyProtection="1">
      <alignment horizontal="center" wrapText="1"/>
    </xf>
    <xf numFmtId="0" fontId="75" fillId="0" borderId="0" xfId="0" applyNumberFormat="1" applyFont="1" applyFill="1" applyBorder="1" applyAlignment="1" applyProtection="1">
      <alignment horizontal="center" wrapText="1"/>
    </xf>
    <xf numFmtId="0" fontId="87" fillId="0" borderId="0" xfId="0" applyNumberFormat="1" applyFont="1" applyFill="1" applyAlignment="1" applyProtection="1">
      <alignment horizontal="left"/>
    </xf>
    <xf numFmtId="0" fontId="87" fillId="0" borderId="0" xfId="0" applyNumberFormat="1" applyFont="1" applyFill="1" applyAlignment="1" applyProtection="1">
      <alignment wrapText="1"/>
    </xf>
    <xf numFmtId="0" fontId="87" fillId="0" borderId="0" xfId="0" applyNumberFormat="1" applyFont="1" applyFill="1" applyAlignment="1" applyProtection="1">
      <alignment horizontal="center" wrapText="1"/>
    </xf>
    <xf numFmtId="41" fontId="75" fillId="0" borderId="0" xfId="0" applyNumberFormat="1" applyFont="1" applyFill="1" applyAlignment="1" applyProtection="1">
      <alignment wrapText="1"/>
    </xf>
    <xf numFmtId="41" fontId="73" fillId="0" borderId="0" xfId="0" applyNumberFormat="1" applyFont="1" applyFill="1" applyAlignment="1" applyProtection="1">
      <alignment wrapText="1"/>
    </xf>
    <xf numFmtId="0" fontId="73" fillId="0" borderId="0" xfId="0" applyNumberFormat="1" applyFont="1" applyFill="1" applyAlignment="1" applyProtection="1">
      <alignment wrapText="1"/>
    </xf>
    <xf numFmtId="42" fontId="73" fillId="0" borderId="0" xfId="0" applyNumberFormat="1" applyFont="1" applyFill="1" applyAlignment="1" applyProtection="1">
      <alignment wrapText="1"/>
    </xf>
    <xf numFmtId="0" fontId="75" fillId="0" borderId="0" xfId="0" applyNumberFormat="1" applyFont="1" applyFill="1" applyAlignment="1" applyProtection="1">
      <alignment horizontal="left" wrapText="1"/>
    </xf>
    <xf numFmtId="0" fontId="87" fillId="0" borderId="0" xfId="0" applyNumberFormat="1" applyFont="1" applyFill="1" applyAlignment="1" applyProtection="1"/>
    <xf numFmtId="0" fontId="75" fillId="0" borderId="0" xfId="0" applyNumberFormat="1" applyFont="1" applyFill="1" applyAlignment="1" applyProtection="1">
      <alignment horizontal="left"/>
    </xf>
    <xf numFmtId="41" fontId="75" fillId="0" borderId="83" xfId="0" applyNumberFormat="1" applyFont="1" applyFill="1" applyBorder="1" applyAlignment="1" applyProtection="1"/>
    <xf numFmtId="0" fontId="75" fillId="0" borderId="0" xfId="0" applyNumberFormat="1" applyFont="1" applyFill="1" applyAlignment="1" applyProtection="1">
      <alignment wrapText="1"/>
    </xf>
    <xf numFmtId="41" fontId="91" fillId="0" borderId="0" xfId="0" applyNumberFormat="1" applyFont="1" applyFill="1" applyBorder="1" applyAlignment="1" applyProtection="1">
      <alignment wrapText="1"/>
    </xf>
    <xf numFmtId="0" fontId="75" fillId="0" borderId="0" xfId="0" applyNumberFormat="1" applyFont="1" applyFill="1" applyAlignment="1" applyProtection="1"/>
    <xf numFmtId="41" fontId="91" fillId="0" borderId="0" xfId="0" applyNumberFormat="1" applyFont="1" applyFill="1" applyAlignment="1" applyProtection="1">
      <alignment wrapText="1"/>
    </xf>
    <xf numFmtId="41" fontId="75" fillId="0" borderId="83" xfId="0" applyNumberFormat="1" applyFont="1" applyFill="1" applyBorder="1" applyAlignment="1" applyProtection="1">
      <alignment wrapText="1"/>
    </xf>
    <xf numFmtId="0" fontId="75" fillId="0" borderId="176" xfId="0" applyFont="1" applyBorder="1" applyAlignment="1">
      <alignment horizontal="center"/>
    </xf>
    <xf numFmtId="43" fontId="73" fillId="0" borderId="0" xfId="0" applyNumberFormat="1" applyFont="1" applyBorder="1" applyAlignment="1">
      <alignment horizontal="center"/>
    </xf>
    <xf numFmtId="43" fontId="73" fillId="0" borderId="198" xfId="0" applyNumberFormat="1" applyFont="1" applyBorder="1" applyAlignment="1">
      <alignment horizontal="center"/>
    </xf>
    <xf numFmtId="43" fontId="0" fillId="0" borderId="78" xfId="2446" applyFont="1" applyBorder="1"/>
    <xf numFmtId="43" fontId="73" fillId="0" borderId="78" xfId="0" applyNumberFormat="1" applyFont="1" applyBorder="1" applyAlignment="1">
      <alignment horizontal="center"/>
    </xf>
    <xf numFmtId="0" fontId="0" fillId="0" borderId="78" xfId="0" applyBorder="1"/>
    <xf numFmtId="0" fontId="75" fillId="56" borderId="176" xfId="0" applyFont="1" applyFill="1" applyBorder="1" applyAlignment="1">
      <alignment horizontal="center"/>
    </xf>
    <xf numFmtId="0" fontId="73" fillId="0" borderId="177" xfId="0" applyFont="1" applyBorder="1"/>
    <xf numFmtId="0" fontId="0" fillId="0" borderId="270" xfId="0" applyBorder="1"/>
    <xf numFmtId="0" fontId="73" fillId="0" borderId="59" xfId="0" applyFont="1" applyBorder="1"/>
    <xf numFmtId="0" fontId="103" fillId="0" borderId="59" xfId="0" applyFont="1" applyFill="1" applyBorder="1"/>
    <xf numFmtId="0" fontId="0" fillId="0" borderId="160" xfId="0" applyBorder="1"/>
    <xf numFmtId="0" fontId="73" fillId="0" borderId="263" xfId="0" applyFont="1" applyBorder="1"/>
    <xf numFmtId="0" fontId="103" fillId="0" borderId="263" xfId="0" applyFont="1" applyFill="1" applyBorder="1"/>
    <xf numFmtId="0" fontId="0" fillId="0" borderId="179" xfId="0" applyBorder="1"/>
    <xf numFmtId="0" fontId="103" fillId="0" borderId="77" xfId="0" applyFont="1" applyFill="1" applyBorder="1" applyAlignment="1">
      <alignment horizontal="center"/>
    </xf>
    <xf numFmtId="0" fontId="103" fillId="0" borderId="178" xfId="0" applyFont="1" applyFill="1" applyBorder="1"/>
    <xf numFmtId="0" fontId="75" fillId="55" borderId="49" xfId="0" applyFont="1" applyFill="1" applyBorder="1" applyAlignment="1" applyProtection="1">
      <alignment horizontal="centerContinuous" vertical="center" wrapText="1"/>
    </xf>
    <xf numFmtId="0" fontId="107" fillId="0" borderId="176" xfId="0" applyFont="1" applyBorder="1" applyAlignment="1">
      <alignment horizontal="center" vertical="center" wrapText="1"/>
    </xf>
    <xf numFmtId="0" fontId="73" fillId="97" borderId="272" xfId="0" applyFont="1" applyFill="1" applyBorder="1" applyAlignment="1" applyProtection="1">
      <alignment vertical="top"/>
    </xf>
    <xf numFmtId="41" fontId="73" fillId="29" borderId="230" xfId="1134" applyNumberFormat="1" applyFont="1" applyFill="1" applyBorder="1" applyAlignment="1" applyProtection="1">
      <alignment vertical="center" wrapText="1"/>
      <protection locked="0"/>
    </xf>
    <xf numFmtId="41" fontId="73" fillId="0" borderId="139" xfId="0" applyNumberFormat="1" applyFont="1" applyFill="1" applyBorder="1" applyAlignment="1" applyProtection="1">
      <alignment vertical="center" wrapText="1"/>
    </xf>
    <xf numFmtId="0" fontId="72" fillId="0" borderId="0" xfId="0" applyNumberFormat="1" applyFont="1" applyFill="1" applyAlignment="1" applyProtection="1">
      <alignment horizontal="left"/>
    </xf>
    <xf numFmtId="0" fontId="73" fillId="0" borderId="176" xfId="0" applyFont="1" applyFill="1" applyBorder="1" applyAlignment="1">
      <alignment horizontal="center"/>
    </xf>
    <xf numFmtId="0" fontId="75" fillId="56" borderId="264" xfId="0" applyFont="1" applyFill="1" applyBorder="1" applyAlignment="1">
      <alignment horizontal="center"/>
    </xf>
    <xf numFmtId="41" fontId="130" fillId="0" borderId="0" xfId="0" applyNumberFormat="1" applyFont="1" applyFill="1" applyAlignment="1" applyProtection="1">
      <alignment horizontal="center"/>
      <protection hidden="1"/>
    </xf>
    <xf numFmtId="0" fontId="103" fillId="54" borderId="104" xfId="0" applyFont="1" applyFill="1" applyBorder="1"/>
    <xf numFmtId="0" fontId="103" fillId="54" borderId="193" xfId="0" applyFont="1" applyFill="1" applyBorder="1"/>
    <xf numFmtId="0" fontId="103" fillId="54" borderId="195" xfId="0" applyFont="1" applyFill="1" applyBorder="1"/>
    <xf numFmtId="41" fontId="73" fillId="29" borderId="229" xfId="0" applyNumberFormat="1" applyFont="1" applyFill="1" applyBorder="1" applyAlignment="1" applyProtection="1">
      <alignment vertical="center" wrapText="1"/>
      <protection locked="0"/>
    </xf>
    <xf numFmtId="0" fontId="73" fillId="56" borderId="176" xfId="0" applyFont="1" applyFill="1" applyBorder="1"/>
    <xf numFmtId="0" fontId="79" fillId="0" borderId="0" xfId="2445" applyFill="1" applyAlignment="1" applyProtection="1"/>
    <xf numFmtId="0" fontId="79" fillId="0" borderId="0" xfId="2445" applyAlignment="1" applyProtection="1"/>
    <xf numFmtId="0" fontId="73" fillId="56" borderId="176" xfId="0" applyFont="1" applyFill="1" applyBorder="1" applyProtection="1">
      <protection locked="0"/>
    </xf>
    <xf numFmtId="41" fontId="73" fillId="55" borderId="289" xfId="1134" applyNumberFormat="1" applyFont="1" applyFill="1" applyBorder="1" applyAlignment="1" applyProtection="1">
      <alignment vertical="top"/>
    </xf>
    <xf numFmtId="0" fontId="0" fillId="0" borderId="174" xfId="0" applyBorder="1" applyAlignment="1">
      <alignment wrapText="1"/>
    </xf>
    <xf numFmtId="41" fontId="73" fillId="0" borderId="301" xfId="0" applyNumberFormat="1" applyFont="1" applyFill="1" applyBorder="1" applyAlignment="1" applyProtection="1">
      <alignment vertical="center" wrapText="1"/>
    </xf>
    <xf numFmtId="41" fontId="75" fillId="0" borderId="300" xfId="1134" applyNumberFormat="1" applyFont="1" applyFill="1" applyBorder="1" applyAlignment="1" applyProtection="1">
      <alignment vertical="top"/>
    </xf>
    <xf numFmtId="41" fontId="73" fillId="0" borderId="141" xfId="1134" applyNumberFormat="1" applyFont="1" applyFill="1" applyBorder="1" applyAlignment="1" applyProtection="1">
      <alignment vertical="top"/>
    </xf>
    <xf numFmtId="41" fontId="75" fillId="55" borderId="299" xfId="1134" applyNumberFormat="1" applyFont="1" applyFill="1" applyBorder="1" applyAlignment="1" applyProtection="1">
      <alignment vertical="top"/>
    </xf>
    <xf numFmtId="41" fontId="73" fillId="55" borderId="141" xfId="1134" applyNumberFormat="1" applyFont="1" applyFill="1" applyBorder="1" applyAlignment="1" applyProtection="1">
      <alignment vertical="top"/>
    </xf>
    <xf numFmtId="41" fontId="73" fillId="55" borderId="299" xfId="1134" applyNumberFormat="1" applyFont="1" applyFill="1" applyBorder="1" applyAlignment="1" applyProtection="1">
      <alignment vertical="top"/>
    </xf>
    <xf numFmtId="0" fontId="0" fillId="0" borderId="12" xfId="0" applyBorder="1" applyAlignment="1">
      <alignment wrapText="1"/>
    </xf>
    <xf numFmtId="41" fontId="73" fillId="0" borderId="11" xfId="1134" applyNumberFormat="1" applyFont="1" applyFill="1" applyBorder="1" applyAlignment="1" applyProtection="1">
      <alignment vertical="top"/>
    </xf>
    <xf numFmtId="3" fontId="75" fillId="0" borderId="47" xfId="0" applyNumberFormat="1" applyFont="1" applyFill="1" applyBorder="1" applyAlignment="1" applyProtection="1">
      <alignment horizontal="center" wrapText="1"/>
      <protection locked="0"/>
    </xf>
    <xf numFmtId="41" fontId="75" fillId="0" borderId="298" xfId="1134" applyNumberFormat="1" applyFont="1" applyFill="1" applyBorder="1" applyAlignment="1" applyProtection="1">
      <alignment vertical="top"/>
    </xf>
    <xf numFmtId="41" fontId="75" fillId="55" borderId="297" xfId="1134" applyNumberFormat="1" applyFont="1" applyFill="1" applyBorder="1" applyAlignment="1" applyProtection="1">
      <alignment vertical="top"/>
    </xf>
    <xf numFmtId="41" fontId="73" fillId="55" borderId="297" xfId="1134" applyNumberFormat="1" applyFont="1" applyFill="1" applyBorder="1" applyAlignment="1" applyProtection="1">
      <alignment vertical="top"/>
    </xf>
    <xf numFmtId="0" fontId="0" fillId="0" borderId="47" xfId="0" applyBorder="1"/>
    <xf numFmtId="0" fontId="0" fillId="0" borderId="10" xfId="0" applyBorder="1"/>
    <xf numFmtId="0" fontId="75" fillId="0" borderId="10" xfId="1134" applyFont="1" applyFill="1" applyBorder="1" applyAlignment="1" applyProtection="1">
      <alignment vertical="top"/>
    </xf>
    <xf numFmtId="0" fontId="75" fillId="0" borderId="37" xfId="1134" applyFont="1" applyFill="1" applyBorder="1" applyAlignment="1" applyProtection="1">
      <alignment vertical="top"/>
    </xf>
    <xf numFmtId="3" fontId="75" fillId="0" borderId="85" xfId="0" applyNumberFormat="1" applyFont="1" applyFill="1" applyBorder="1" applyAlignment="1" applyProtection="1">
      <alignment horizontal="center" wrapText="1"/>
      <protection locked="0"/>
    </xf>
    <xf numFmtId="0" fontId="73" fillId="0" borderId="296" xfId="0" applyFont="1" applyFill="1" applyBorder="1" applyProtection="1"/>
    <xf numFmtId="0" fontId="73" fillId="0" borderId="77" xfId="0" applyFont="1" applyFill="1" applyBorder="1" applyAlignment="1" applyProtection="1">
      <alignment horizontal="left" indent="1"/>
    </xf>
    <xf numFmtId="0" fontId="73" fillId="54" borderId="176" xfId="0" applyFont="1" applyFill="1" applyBorder="1" applyAlignment="1" applyProtection="1">
      <alignment horizontal="left" indent="1"/>
      <protection locked="0"/>
    </xf>
    <xf numFmtId="0" fontId="73" fillId="0" borderId="296" xfId="0" applyFont="1" applyFill="1" applyBorder="1" applyAlignment="1" applyProtection="1">
      <alignment horizontal="left" indent="1"/>
    </xf>
    <xf numFmtId="0" fontId="73" fillId="0" borderId="176" xfId="0" applyFont="1" applyFill="1" applyBorder="1" applyAlignment="1" applyProtection="1">
      <protection hidden="1"/>
    </xf>
    <xf numFmtId="0" fontId="73" fillId="54" borderId="176" xfId="1134" applyFont="1" applyFill="1" applyBorder="1" applyAlignment="1" applyProtection="1">
      <alignment horizontal="left" indent="1"/>
      <protection locked="0"/>
    </xf>
    <xf numFmtId="0" fontId="73" fillId="0" borderId="176" xfId="0" applyFont="1" applyFill="1" applyBorder="1" applyAlignment="1" applyProtection="1">
      <alignment wrapText="1"/>
      <protection hidden="1"/>
    </xf>
    <xf numFmtId="0" fontId="75" fillId="0" borderId="176" xfId="0" applyFont="1" applyFill="1" applyBorder="1" applyProtection="1"/>
    <xf numFmtId="0" fontId="73" fillId="0" borderId="276" xfId="0" applyFont="1" applyFill="1" applyBorder="1" applyProtection="1"/>
    <xf numFmtId="0" fontId="102" fillId="0" borderId="263" xfId="0" applyFont="1" applyFill="1" applyBorder="1" applyAlignment="1" applyProtection="1">
      <alignment horizontal="centerContinuous"/>
    </xf>
    <xf numFmtId="0" fontId="102" fillId="0" borderId="176" xfId="0" applyFont="1" applyFill="1" applyBorder="1" applyAlignment="1" applyProtection="1">
      <alignment horizontal="centerContinuous"/>
    </xf>
    <xf numFmtId="0" fontId="102" fillId="0" borderId="178" xfId="0" applyFont="1" applyFill="1" applyBorder="1" applyAlignment="1" applyProtection="1">
      <alignment horizontal="centerContinuous" wrapText="1"/>
    </xf>
    <xf numFmtId="0" fontId="73" fillId="0" borderId="270" xfId="0" applyFont="1" applyFill="1" applyBorder="1" applyProtection="1"/>
    <xf numFmtId="0" fontId="73" fillId="0" borderId="275" xfId="0" applyFont="1" applyFill="1" applyBorder="1" applyProtection="1"/>
    <xf numFmtId="0" fontId="73" fillId="0" borderId="179" xfId="0" applyFont="1" applyFill="1" applyBorder="1" applyAlignment="1" applyProtection="1">
      <alignment horizontal="center" vertical="center"/>
    </xf>
    <xf numFmtId="0" fontId="73" fillId="0" borderId="263" xfId="0" applyFont="1" applyFill="1" applyBorder="1" applyAlignment="1" applyProtection="1">
      <alignment horizontal="center" vertical="center"/>
    </xf>
    <xf numFmtId="0" fontId="75" fillId="0" borderId="52" xfId="0" applyFont="1" applyFill="1" applyBorder="1" applyProtection="1">
      <protection hidden="1"/>
    </xf>
    <xf numFmtId="0" fontId="73" fillId="0" borderId="176" xfId="0" applyFont="1" applyFill="1" applyBorder="1" applyAlignment="1" applyProtection="1">
      <alignment horizontal="center" vertical="center"/>
    </xf>
    <xf numFmtId="0" fontId="80" fillId="0" borderId="176" xfId="0" applyFont="1" applyFill="1" applyBorder="1" applyAlignment="1" applyProtection="1">
      <alignment horizontal="center" wrapText="1"/>
    </xf>
    <xf numFmtId="0" fontId="73" fillId="0" borderId="176" xfId="0" applyFont="1" applyFill="1" applyBorder="1" applyAlignment="1" applyProtection="1">
      <alignment horizontal="center" wrapText="1"/>
    </xf>
    <xf numFmtId="0" fontId="102" fillId="0" borderId="276" xfId="0" applyFont="1" applyFill="1" applyBorder="1" applyAlignment="1" applyProtection="1">
      <alignment horizontal="left"/>
      <protection hidden="1"/>
    </xf>
    <xf numFmtId="0" fontId="75" fillId="0" borderId="176" xfId="0" applyFont="1" applyFill="1" applyBorder="1" applyAlignment="1" applyProtection="1">
      <alignment horizontal="centerContinuous" vertical="center"/>
    </xf>
    <xf numFmtId="0" fontId="75" fillId="0" borderId="176" xfId="0" applyFont="1" applyFill="1" applyBorder="1" applyAlignment="1" applyProtection="1">
      <alignment horizontal="centerContinuous"/>
    </xf>
    <xf numFmtId="0" fontId="102" fillId="0" borderId="52" xfId="0" applyFont="1" applyFill="1" applyBorder="1" applyAlignment="1" applyProtection="1">
      <alignment horizontal="left"/>
      <protection hidden="1"/>
    </xf>
    <xf numFmtId="41" fontId="89" fillId="0" borderId="179" xfId="95" applyNumberFormat="1" applyFont="1" applyFill="1" applyBorder="1" applyAlignment="1" applyProtection="1">
      <alignment horizontal="centerContinuous" vertical="center"/>
    </xf>
    <xf numFmtId="41" fontId="89" fillId="0" borderId="263" xfId="95" applyNumberFormat="1" applyFont="1" applyFill="1" applyBorder="1" applyAlignment="1" applyProtection="1">
      <alignment horizontal="centerContinuous" vertical="center"/>
    </xf>
    <xf numFmtId="41" fontId="75" fillId="0" borderId="179" xfId="95" applyNumberFormat="1" applyFont="1" applyFill="1" applyBorder="1" applyAlignment="1" applyProtection="1">
      <alignment horizontal="centerContinuous" vertical="center"/>
    </xf>
    <xf numFmtId="41" fontId="75" fillId="0" borderId="263" xfId="95" applyNumberFormat="1" applyFont="1" applyFill="1" applyBorder="1" applyAlignment="1" applyProtection="1">
      <alignment horizontal="centerContinuous" vertical="center"/>
    </xf>
    <xf numFmtId="41" fontId="102" fillId="0" borderId="178" xfId="95" applyNumberFormat="1" applyFont="1" applyFill="1" applyBorder="1" applyAlignment="1" applyProtection="1">
      <alignment horizontal="centerContinuous" vertical="center" wrapText="1"/>
    </xf>
    <xf numFmtId="0" fontId="102" fillId="0" borderId="176" xfId="0" applyFont="1" applyFill="1" applyBorder="1" applyAlignment="1" applyProtection="1">
      <alignment horizontal="center"/>
    </xf>
    <xf numFmtId="0" fontId="75" fillId="0" borderId="270" xfId="0" applyFont="1" applyFill="1" applyBorder="1" applyAlignment="1" applyProtection="1">
      <alignment horizontal="left"/>
      <protection hidden="1"/>
    </xf>
    <xf numFmtId="0" fontId="102" fillId="0" borderId="275" xfId="0" applyFont="1" applyFill="1" applyBorder="1" applyAlignment="1" applyProtection="1">
      <alignment horizontal="left"/>
      <protection hidden="1"/>
    </xf>
    <xf numFmtId="0" fontId="81" fillId="55" borderId="295" xfId="0" applyFont="1" applyFill="1" applyBorder="1" applyAlignment="1" applyProtection="1">
      <alignment horizontal="centerContinuous"/>
    </xf>
    <xf numFmtId="0" fontId="82" fillId="55" borderId="52" xfId="0" applyFont="1" applyFill="1" applyBorder="1" applyAlignment="1" applyProtection="1">
      <alignment horizontal="centerContinuous" vertical="top"/>
      <protection hidden="1"/>
    </xf>
    <xf numFmtId="0" fontId="81" fillId="62" borderId="294" xfId="0" applyFont="1" applyFill="1" applyBorder="1" applyAlignment="1" applyProtection="1">
      <alignment horizontal="centerContinuous"/>
    </xf>
    <xf numFmtId="43" fontId="81" fillId="62" borderId="280" xfId="2446" applyFont="1" applyFill="1" applyBorder="1" applyAlignment="1" applyProtection="1">
      <alignment horizontal="centerContinuous"/>
    </xf>
    <xf numFmtId="0" fontId="81" fillId="62" borderId="280" xfId="0" applyFont="1" applyFill="1" applyBorder="1" applyAlignment="1" applyProtection="1">
      <alignment horizontal="centerContinuous"/>
    </xf>
    <xf numFmtId="0" fontId="104" fillId="62" borderId="280" xfId="0" applyFont="1" applyFill="1" applyBorder="1" applyAlignment="1" applyProtection="1">
      <alignment horizontal="centerContinuous" vertical="top"/>
      <protection hidden="1"/>
    </xf>
    <xf numFmtId="0" fontId="82" fillId="62" borderId="280" xfId="0" applyFont="1" applyFill="1" applyBorder="1" applyAlignment="1" applyProtection="1">
      <alignment horizontal="centerContinuous" vertical="top"/>
      <protection hidden="1"/>
    </xf>
    <xf numFmtId="0" fontId="82" fillId="62" borderId="279" xfId="0" applyFont="1" applyFill="1" applyBorder="1" applyAlignment="1" applyProtection="1">
      <alignment horizontal="centerContinuous" vertical="top"/>
      <protection hidden="1"/>
    </xf>
    <xf numFmtId="0" fontId="73" fillId="0" borderId="179" xfId="0" applyFont="1" applyFill="1" applyBorder="1" applyProtection="1"/>
    <xf numFmtId="0" fontId="75" fillId="0" borderId="178" xfId="0" applyFont="1" applyFill="1" applyBorder="1" applyProtection="1"/>
    <xf numFmtId="0" fontId="75" fillId="0" borderId="178" xfId="0" applyFont="1" applyFill="1" applyBorder="1" applyAlignment="1" applyProtection="1">
      <alignment horizontal="left"/>
      <protection hidden="1"/>
    </xf>
    <xf numFmtId="0" fontId="73" fillId="54" borderId="176" xfId="1134" applyFont="1" applyFill="1" applyBorder="1" applyAlignment="1" applyProtection="1">
      <alignment horizontal="center"/>
      <protection locked="0"/>
    </xf>
    <xf numFmtId="0" fontId="75" fillId="0" borderId="179" xfId="0" applyFont="1" applyFill="1" applyBorder="1" applyAlignment="1" applyProtection="1">
      <alignment horizontal="left"/>
      <protection hidden="1"/>
    </xf>
    <xf numFmtId="0" fontId="75" fillId="0" borderId="176" xfId="0" applyFont="1" applyFill="1" applyBorder="1" applyAlignment="1" applyProtection="1">
      <alignment horizontal="center" vertical="center"/>
    </xf>
    <xf numFmtId="0" fontId="74" fillId="0" borderId="179" xfId="0" applyFont="1" applyFill="1" applyBorder="1" applyAlignment="1" applyProtection="1">
      <alignment horizontal="left" wrapText="1"/>
      <protection hidden="1"/>
    </xf>
    <xf numFmtId="0" fontId="73" fillId="0" borderId="57" xfId="0" applyFont="1" applyFill="1" applyBorder="1" applyAlignment="1" applyProtection="1">
      <alignment vertical="center"/>
    </xf>
    <xf numFmtId="43" fontId="81" fillId="62" borderId="198" xfId="2446" applyFont="1" applyFill="1" applyBorder="1" applyAlignment="1" applyProtection="1">
      <alignment horizontal="centerContinuous"/>
    </xf>
    <xf numFmtId="0" fontId="81" fillId="62" borderId="198" xfId="0" applyFont="1" applyFill="1" applyBorder="1" applyAlignment="1" applyProtection="1">
      <alignment horizontal="centerContinuous"/>
    </xf>
    <xf numFmtId="0" fontId="104" fillId="62" borderId="198" xfId="0" applyFont="1" applyFill="1" applyBorder="1" applyAlignment="1" applyProtection="1">
      <alignment horizontal="centerContinuous" vertical="top"/>
      <protection hidden="1"/>
    </xf>
    <xf numFmtId="0" fontId="82" fillId="62" borderId="198" xfId="0" applyFont="1" applyFill="1" applyBorder="1" applyAlignment="1" applyProtection="1">
      <alignment horizontal="centerContinuous" vertical="top"/>
      <protection hidden="1"/>
    </xf>
    <xf numFmtId="41" fontId="0" fillId="0" borderId="0" xfId="0" applyNumberFormat="1"/>
    <xf numFmtId="41" fontId="75" fillId="0" borderId="293" xfId="1134" applyNumberFormat="1" applyFont="1" applyFill="1" applyBorder="1" applyAlignment="1" applyProtection="1">
      <alignment vertical="top"/>
    </xf>
    <xf numFmtId="41" fontId="75" fillId="0" borderId="292" xfId="1134" applyNumberFormat="1" applyFont="1" applyFill="1" applyBorder="1" applyAlignment="1" applyProtection="1">
      <alignment vertical="top"/>
    </xf>
    <xf numFmtId="41" fontId="75" fillId="0" borderId="244" xfId="1134" applyNumberFormat="1" applyFont="1" applyFill="1" applyBorder="1" applyAlignment="1" applyProtection="1">
      <alignment vertical="top"/>
    </xf>
    <xf numFmtId="41" fontId="75" fillId="55" borderId="291" xfId="1134" applyNumberFormat="1" applyFont="1" applyFill="1" applyBorder="1" applyAlignment="1" applyProtection="1">
      <alignment vertical="top"/>
    </xf>
    <xf numFmtId="41" fontId="75" fillId="55" borderId="290" xfId="1134" applyNumberFormat="1" applyFont="1" applyFill="1" applyBorder="1" applyAlignment="1" applyProtection="1">
      <alignment vertical="top"/>
    </xf>
    <xf numFmtId="41" fontId="75" fillId="55" borderId="289" xfId="1134" applyNumberFormat="1" applyFont="1" applyFill="1" applyBorder="1" applyAlignment="1" applyProtection="1">
      <alignment vertical="top"/>
    </xf>
    <xf numFmtId="41" fontId="73" fillId="55" borderId="291" xfId="1134" applyNumberFormat="1" applyFont="1" applyFill="1" applyBorder="1" applyAlignment="1" applyProtection="1">
      <alignment vertical="top"/>
    </xf>
    <xf numFmtId="41" fontId="73" fillId="55" borderId="290" xfId="1134" applyNumberFormat="1" applyFont="1" applyFill="1" applyBorder="1" applyAlignment="1" applyProtection="1">
      <alignment vertical="top"/>
    </xf>
    <xf numFmtId="41" fontId="73" fillId="55" borderId="288" xfId="1134" applyNumberFormat="1" applyFont="1" applyFill="1" applyBorder="1" applyAlignment="1" applyProtection="1">
      <alignment vertical="top"/>
    </xf>
    <xf numFmtId="41" fontId="75" fillId="0" borderId="287" xfId="1134" applyNumberFormat="1" applyFont="1" applyFill="1" applyBorder="1" applyAlignment="1" applyProtection="1">
      <alignment vertical="top"/>
    </xf>
    <xf numFmtId="41" fontId="75" fillId="0" borderId="286" xfId="1134" applyNumberFormat="1" applyFont="1" applyFill="1" applyBorder="1" applyAlignment="1" applyProtection="1">
      <alignment vertical="top"/>
    </xf>
    <xf numFmtId="41" fontId="75" fillId="55" borderId="284" xfId="1134" applyNumberFormat="1" applyFont="1" applyFill="1" applyBorder="1" applyAlignment="1" applyProtection="1">
      <alignment vertical="top"/>
    </xf>
    <xf numFmtId="41" fontId="75" fillId="55" borderId="283" xfId="1134" applyNumberFormat="1" applyFont="1" applyFill="1" applyBorder="1" applyAlignment="1" applyProtection="1">
      <alignment vertical="top"/>
    </xf>
    <xf numFmtId="41" fontId="73" fillId="29" borderId="126" xfId="1134" applyNumberFormat="1" applyFont="1" applyFill="1" applyBorder="1" applyAlignment="1" applyProtection="1">
      <alignment vertical="top" wrapText="1"/>
      <protection locked="0"/>
    </xf>
    <xf numFmtId="41" fontId="73" fillId="29" borderId="285" xfId="1134" applyNumberFormat="1" applyFont="1" applyFill="1" applyBorder="1" applyAlignment="1" applyProtection="1">
      <alignment vertical="top" wrapText="1"/>
      <protection locked="0"/>
    </xf>
    <xf numFmtId="41" fontId="73" fillId="55" borderId="284" xfId="1134" applyNumberFormat="1" applyFont="1" applyFill="1" applyBorder="1" applyAlignment="1" applyProtection="1">
      <alignment vertical="top"/>
    </xf>
    <xf numFmtId="41" fontId="73" fillId="29" borderId="130" xfId="1134" applyNumberFormat="1" applyFont="1" applyFill="1" applyBorder="1" applyAlignment="1" applyProtection="1">
      <alignment vertical="top"/>
      <protection locked="0"/>
    </xf>
    <xf numFmtId="41" fontId="73" fillId="29" borderId="123" xfId="1134" applyNumberFormat="1" applyFont="1" applyFill="1" applyBorder="1" applyAlignment="1" applyProtection="1">
      <alignment vertical="top"/>
      <protection locked="0"/>
    </xf>
    <xf numFmtId="41" fontId="73" fillId="55" borderId="283" xfId="1134" applyNumberFormat="1" applyFont="1" applyFill="1" applyBorder="1" applyAlignment="1" applyProtection="1">
      <alignment vertical="top"/>
    </xf>
    <xf numFmtId="41" fontId="73" fillId="29" borderId="282" xfId="1134" applyNumberFormat="1" applyFont="1" applyFill="1" applyBorder="1" applyAlignment="1" applyProtection="1">
      <alignment vertical="top"/>
      <protection locked="0"/>
    </xf>
    <xf numFmtId="41" fontId="73" fillId="29" borderId="281" xfId="1134" applyNumberFormat="1" applyFont="1" applyFill="1" applyBorder="1" applyAlignment="1" applyProtection="1">
      <alignment vertical="top"/>
      <protection locked="0"/>
    </xf>
    <xf numFmtId="0" fontId="98" fillId="0" borderId="0" xfId="0" applyFont="1" applyFill="1" applyBorder="1" applyAlignment="1" applyProtection="1">
      <alignment horizontal="center" vertical="center"/>
    </xf>
    <xf numFmtId="0" fontId="75" fillId="59" borderId="278" xfId="0" applyFont="1" applyFill="1" applyBorder="1" applyAlignment="1">
      <alignment horizontal="left" indent="1"/>
    </xf>
    <xf numFmtId="0" fontId="73" fillId="54" borderId="176" xfId="0" applyFont="1" applyFill="1" applyBorder="1" applyAlignment="1" applyProtection="1">
      <alignment horizontal="center"/>
      <protection locked="0"/>
    </xf>
    <xf numFmtId="0" fontId="75" fillId="0" borderId="176" xfId="0" applyFont="1" applyFill="1" applyBorder="1" applyAlignment="1" applyProtection="1">
      <alignment horizontal="center"/>
    </xf>
    <xf numFmtId="0" fontId="75" fillId="0" borderId="11" xfId="1134" applyFont="1" applyFill="1" applyBorder="1" applyAlignment="1" applyProtection="1">
      <alignment vertical="top"/>
    </xf>
    <xf numFmtId="0" fontId="75" fillId="0" borderId="0" xfId="1134" applyFont="1" applyFill="1" applyBorder="1" applyAlignment="1" applyProtection="1">
      <alignment vertical="top"/>
    </xf>
    <xf numFmtId="0" fontId="73" fillId="0" borderId="0" xfId="1134" applyFont="1" applyFill="1" applyBorder="1" applyAlignment="1" applyProtection="1">
      <alignment vertical="top"/>
    </xf>
    <xf numFmtId="41" fontId="73" fillId="0" borderId="0" xfId="1134" applyNumberFormat="1" applyFont="1" applyFill="1" applyBorder="1" applyAlignment="1" applyProtection="1">
      <alignment horizontal="right" vertical="top"/>
    </xf>
    <xf numFmtId="41" fontId="73" fillId="0" borderId="0" xfId="1134" applyNumberFormat="1" applyFont="1" applyFill="1" applyBorder="1" applyAlignment="1" applyProtection="1">
      <alignment vertical="top"/>
    </xf>
    <xf numFmtId="41" fontId="73" fillId="0" borderId="0" xfId="1134" applyNumberFormat="1" applyFont="1" applyFill="1" applyBorder="1" applyAlignment="1" applyProtection="1">
      <alignment horizontal="right" vertical="top" wrapText="1"/>
    </xf>
    <xf numFmtId="3" fontId="73" fillId="0" borderId="11" xfId="1134" applyNumberFormat="1" applyFont="1" applyFill="1" applyBorder="1" applyAlignment="1" applyProtection="1">
      <alignment vertical="top"/>
    </xf>
    <xf numFmtId="3" fontId="73" fillId="0" borderId="0" xfId="1134" applyNumberFormat="1" applyFont="1" applyFill="1" applyBorder="1" applyAlignment="1" applyProtection="1">
      <alignment vertical="top"/>
    </xf>
    <xf numFmtId="41" fontId="73" fillId="29" borderId="273" xfId="1134" applyNumberFormat="1" applyFont="1" applyFill="1" applyBorder="1" applyAlignment="1" applyProtection="1">
      <alignment vertical="top" wrapText="1"/>
      <protection locked="0"/>
    </xf>
    <xf numFmtId="0" fontId="93" fillId="0" borderId="0" xfId="1134" applyFont="1" applyBorder="1" applyAlignment="1" applyProtection="1">
      <alignment horizontal="left" vertical="top"/>
    </xf>
    <xf numFmtId="0" fontId="75" fillId="0" borderId="46" xfId="1134" applyFont="1" applyFill="1" applyBorder="1" applyAlignment="1" applyProtection="1">
      <alignment vertical="top"/>
    </xf>
    <xf numFmtId="0" fontId="75" fillId="0" borderId="25" xfId="1134" applyFont="1" applyFill="1" applyBorder="1" applyAlignment="1" applyProtection="1">
      <alignment vertical="top"/>
    </xf>
    <xf numFmtId="0" fontId="73" fillId="0" borderId="10" xfId="1134" applyFont="1" applyFill="1" applyBorder="1" applyAlignment="1" applyProtection="1">
      <alignment vertical="top"/>
    </xf>
    <xf numFmtId="41" fontId="73" fillId="0" borderId="20" xfId="1134" applyNumberFormat="1" applyFont="1" applyFill="1" applyBorder="1" applyAlignment="1" applyProtection="1">
      <alignment vertical="top"/>
    </xf>
    <xf numFmtId="41" fontId="73" fillId="0" borderId="25" xfId="1134" applyNumberFormat="1" applyFont="1" applyFill="1" applyBorder="1" applyAlignment="1" applyProtection="1">
      <alignment horizontal="right" vertical="top"/>
    </xf>
    <xf numFmtId="41" fontId="73" fillId="0" borderId="10" xfId="1134" applyNumberFormat="1" applyFont="1" applyFill="1" applyBorder="1" applyAlignment="1" applyProtection="1">
      <alignment horizontal="right" vertical="top"/>
    </xf>
    <xf numFmtId="41" fontId="73" fillId="0" borderId="10" xfId="1134" applyNumberFormat="1" applyFont="1" applyFill="1" applyBorder="1" applyAlignment="1" applyProtection="1">
      <alignment vertical="top"/>
    </xf>
    <xf numFmtId="3" fontId="73" fillId="55" borderId="0" xfId="1134" applyNumberFormat="1" applyFont="1" applyFill="1" applyBorder="1" applyAlignment="1" applyProtection="1">
      <alignment vertical="top"/>
    </xf>
    <xf numFmtId="0" fontId="73" fillId="55" borderId="0" xfId="1134" applyFont="1" applyFill="1" applyBorder="1" applyAlignment="1" applyProtection="1">
      <alignment vertical="top"/>
    </xf>
    <xf numFmtId="41" fontId="73" fillId="55" borderId="274" xfId="1134" applyNumberFormat="1" applyFont="1" applyFill="1" applyBorder="1" applyAlignment="1" applyProtection="1">
      <alignment vertical="top"/>
    </xf>
    <xf numFmtId="41" fontId="73" fillId="55" borderId="20" xfId="1134" applyNumberFormat="1" applyFont="1" applyFill="1" applyBorder="1" applyAlignment="1" applyProtection="1">
      <alignment vertical="top"/>
    </xf>
    <xf numFmtId="3" fontId="75" fillId="0" borderId="0" xfId="1134" applyNumberFormat="1" applyFont="1" applyFill="1" applyBorder="1" applyAlignment="1" applyProtection="1">
      <alignment vertical="top"/>
    </xf>
    <xf numFmtId="41" fontId="75" fillId="0" borderId="0" xfId="1134" applyNumberFormat="1" applyFont="1" applyFill="1" applyBorder="1" applyAlignment="1" applyProtection="1">
      <alignment horizontal="right" vertical="top"/>
    </xf>
    <xf numFmtId="41" fontId="75" fillId="55" borderId="274" xfId="1134" applyNumberFormat="1" applyFont="1" applyFill="1" applyBorder="1" applyAlignment="1" applyProtection="1">
      <alignment vertical="top"/>
    </xf>
    <xf numFmtId="41" fontId="75" fillId="0" borderId="25" xfId="1134" applyNumberFormat="1" applyFont="1" applyFill="1" applyBorder="1" applyAlignment="1" applyProtection="1">
      <alignment horizontal="right" vertical="top"/>
    </xf>
    <xf numFmtId="41" fontId="73" fillId="0" borderId="25" xfId="1134" applyNumberFormat="1" applyFont="1" applyFill="1" applyBorder="1" applyAlignment="1" applyProtection="1">
      <alignment vertical="top"/>
    </xf>
    <xf numFmtId="41" fontId="75" fillId="0" borderId="242" xfId="1134" applyNumberFormat="1" applyFont="1" applyFill="1" applyBorder="1" applyAlignment="1" applyProtection="1">
      <alignment vertical="top"/>
    </xf>
    <xf numFmtId="41" fontId="73" fillId="29" borderId="277" xfId="1134" applyNumberFormat="1" applyFont="1" applyFill="1" applyBorder="1" applyAlignment="1" applyProtection="1">
      <alignment vertical="top"/>
      <protection locked="0"/>
    </xf>
    <xf numFmtId="41" fontId="73" fillId="29" borderId="81" xfId="1134" applyNumberFormat="1" applyFont="1" applyFill="1" applyBorder="1" applyAlignment="1" applyProtection="1">
      <alignment vertical="top"/>
      <protection locked="0"/>
    </xf>
    <xf numFmtId="0" fontId="126" fillId="94" borderId="262" xfId="0" applyFont="1" applyFill="1" applyBorder="1" applyAlignment="1">
      <alignment horizontal="center" vertical="top" wrapText="1"/>
    </xf>
    <xf numFmtId="0" fontId="127" fillId="94" borderId="262" xfId="0" applyFont="1" applyFill="1" applyBorder="1" applyAlignment="1">
      <alignment horizontal="center" vertical="top" wrapText="1"/>
    </xf>
    <xf numFmtId="0" fontId="0" fillId="0" borderId="0" xfId="0" applyAlignment="1">
      <alignment vertical="center" wrapText="1"/>
    </xf>
    <xf numFmtId="3" fontId="0" fillId="0" borderId="0" xfId="0" applyNumberFormat="1" applyAlignment="1">
      <alignment horizontal="center" vertical="center" wrapText="1"/>
    </xf>
    <xf numFmtId="174" fontId="73" fillId="97" borderId="303" xfId="2502" applyNumberFormat="1" applyFont="1" applyFill="1" applyBorder="1" applyAlignment="1" applyProtection="1">
      <alignment vertical="top" wrapText="1"/>
      <protection locked="0"/>
    </xf>
    <xf numFmtId="174" fontId="73" fillId="97" borderId="215" xfId="2502" applyNumberFormat="1" applyFont="1" applyFill="1" applyBorder="1" applyAlignment="1" applyProtection="1">
      <alignment vertical="top" wrapText="1"/>
      <protection locked="0"/>
    </xf>
    <xf numFmtId="0" fontId="73" fillId="97" borderId="123" xfId="0" applyFont="1" applyFill="1" applyBorder="1" applyAlignment="1" applyProtection="1">
      <alignment vertical="top" wrapText="1"/>
    </xf>
    <xf numFmtId="41" fontId="73" fillId="97" borderId="130" xfId="0" applyNumberFormat="1" applyFont="1" applyFill="1" applyBorder="1" applyAlignment="1" applyProtection="1">
      <alignment vertical="center" wrapText="1"/>
    </xf>
    <xf numFmtId="174" fontId="73" fillId="97" borderId="304" xfId="2502" applyNumberFormat="1" applyFont="1" applyFill="1" applyBorder="1" applyAlignment="1" applyProtection="1">
      <alignment vertical="center" wrapText="1"/>
    </xf>
    <xf numFmtId="174" fontId="73" fillId="97" borderId="80" xfId="2502" applyNumberFormat="1" applyFont="1" applyFill="1" applyBorder="1" applyAlignment="1" applyProtection="1">
      <alignment vertical="center" wrapText="1"/>
    </xf>
    <xf numFmtId="41" fontId="73" fillId="97" borderId="305" xfId="0" applyNumberFormat="1" applyFont="1" applyFill="1" applyBorder="1" applyAlignment="1" applyProtection="1">
      <alignment vertical="center" wrapText="1"/>
    </xf>
    <xf numFmtId="41" fontId="75" fillId="0" borderId="302" xfId="0" applyNumberFormat="1" applyFont="1" applyFill="1" applyBorder="1" applyAlignment="1" applyProtection="1">
      <alignment horizontal="center"/>
    </xf>
    <xf numFmtId="0" fontId="77" fillId="0" borderId="66" xfId="0" applyFont="1" applyBorder="1"/>
    <xf numFmtId="0" fontId="0" fillId="0" borderId="79" xfId="0" applyBorder="1"/>
    <xf numFmtId="0" fontId="129" fillId="95" borderId="220" xfId="0" applyFont="1" applyFill="1" applyBorder="1"/>
    <xf numFmtId="0" fontId="0" fillId="0" borderId="220" xfId="0" applyBorder="1"/>
    <xf numFmtId="0" fontId="129" fillId="98" borderId="220" xfId="0" applyFont="1" applyFill="1" applyBorder="1"/>
    <xf numFmtId="0" fontId="73" fillId="0" borderId="220" xfId="0" applyFont="1" applyBorder="1"/>
    <xf numFmtId="4" fontId="73" fillId="0" borderId="125" xfId="0" applyNumberFormat="1" applyFont="1" applyFill="1" applyBorder="1" applyAlignment="1" applyProtection="1">
      <alignment horizontal="center" wrapText="1"/>
    </xf>
    <xf numFmtId="172" fontId="73" fillId="0" borderId="302" xfId="0" applyNumberFormat="1" applyFont="1" applyFill="1" applyBorder="1" applyProtection="1"/>
    <xf numFmtId="43" fontId="73" fillId="0" borderId="302" xfId="2446" applyFont="1" applyFill="1" applyBorder="1" applyProtection="1"/>
    <xf numFmtId="172" fontId="73" fillId="0" borderId="302" xfId="2446" applyNumberFormat="1" applyFont="1" applyFill="1" applyBorder="1" applyProtection="1"/>
    <xf numFmtId="0" fontId="128" fillId="95" borderId="306" xfId="0" applyFont="1" applyFill="1" applyBorder="1"/>
    <xf numFmtId="0" fontId="128" fillId="95" borderId="306" xfId="0" applyFont="1" applyFill="1" applyBorder="1" applyAlignment="1">
      <alignment horizontal="center"/>
    </xf>
    <xf numFmtId="0" fontId="128" fillId="98" borderId="306" xfId="0" applyFont="1" applyFill="1" applyBorder="1"/>
    <xf numFmtId="0" fontId="128" fillId="98" borderId="307" xfId="0" applyFont="1" applyFill="1" applyBorder="1"/>
    <xf numFmtId="0" fontId="128" fillId="95" borderId="307" xfId="0" applyFont="1" applyFill="1" applyBorder="1"/>
    <xf numFmtId="0" fontId="128" fillId="98" borderId="306" xfId="0" applyFont="1" applyFill="1" applyBorder="1" applyAlignment="1">
      <alignment horizontal="center"/>
    </xf>
    <xf numFmtId="175" fontId="128" fillId="98" borderId="306" xfId="0" applyNumberFormat="1" applyFont="1" applyFill="1" applyBorder="1" applyAlignment="1">
      <alignment horizontal="center"/>
    </xf>
    <xf numFmtId="0" fontId="128" fillId="98" borderId="306" xfId="0" applyNumberFormat="1" applyFont="1" applyFill="1" applyBorder="1" applyAlignment="1">
      <alignment horizontal="center"/>
    </xf>
    <xf numFmtId="1" fontId="128" fillId="95" borderId="306" xfId="0" applyNumberFormat="1" applyFont="1" applyFill="1" applyBorder="1" applyAlignment="1">
      <alignment horizontal="center"/>
    </xf>
    <xf numFmtId="0" fontId="104" fillId="62" borderId="68" xfId="0" applyFont="1" applyFill="1" applyBorder="1" applyAlignment="1" applyProtection="1">
      <alignment horizontal="centerContinuous" vertical="top" wrapText="1"/>
      <protection hidden="1"/>
    </xf>
    <xf numFmtId="172" fontId="73" fillId="54" borderId="176" xfId="2446" applyNumberFormat="1" applyFont="1" applyFill="1" applyBorder="1" applyAlignment="1" applyProtection="1">
      <alignment horizontal="center"/>
    </xf>
    <xf numFmtId="0" fontId="136" fillId="0" borderId="73" xfId="0" applyFont="1" applyFill="1" applyBorder="1" applyAlignment="1" applyProtection="1">
      <alignment horizontal="right"/>
    </xf>
    <xf numFmtId="0" fontId="137" fillId="0" borderId="308" xfId="0" applyFont="1" applyBorder="1" applyAlignment="1">
      <alignment vertical="top"/>
    </xf>
    <xf numFmtId="41" fontId="73" fillId="0" borderId="0" xfId="0" applyNumberFormat="1" applyFont="1" applyFill="1" applyBorder="1" applyAlignment="1" applyProtection="1">
      <alignment vertical="center" wrapText="1"/>
      <protection locked="0"/>
    </xf>
    <xf numFmtId="0" fontId="137" fillId="0" borderId="309" xfId="0" applyFont="1" applyBorder="1" applyAlignment="1">
      <alignment horizontal="center" vertical="top"/>
    </xf>
    <xf numFmtId="0" fontId="137" fillId="0" borderId="310" xfId="0" applyFont="1" applyBorder="1" applyAlignment="1">
      <alignment vertical="top"/>
    </xf>
    <xf numFmtId="3" fontId="137" fillId="0" borderId="310" xfId="0" applyNumberFormat="1" applyFont="1" applyBorder="1" applyAlignment="1">
      <alignment horizontal="right" vertical="top"/>
    </xf>
    <xf numFmtId="3" fontId="137" fillId="0" borderId="311" xfId="0" applyNumberFormat="1" applyFont="1" applyBorder="1" applyAlignment="1">
      <alignment horizontal="right" vertical="top"/>
    </xf>
    <xf numFmtId="0" fontId="137" fillId="0" borderId="312" xfId="0" applyFont="1" applyBorder="1" applyAlignment="1">
      <alignment horizontal="center" vertical="top"/>
    </xf>
    <xf numFmtId="3" fontId="137" fillId="0" borderId="308" xfId="0" applyNumberFormat="1" applyFont="1" applyBorder="1" applyAlignment="1">
      <alignment horizontal="right" vertical="top"/>
    </xf>
    <xf numFmtId="3" fontId="137" fillId="0" borderId="313" xfId="0" applyNumberFormat="1" applyFont="1" applyBorder="1" applyAlignment="1">
      <alignment horizontal="right" vertical="top"/>
    </xf>
    <xf numFmtId="0" fontId="137" fillId="0" borderId="312" xfId="0" quotePrefix="1" applyFont="1" applyBorder="1" applyAlignment="1">
      <alignment horizontal="center" vertical="top"/>
    </xf>
    <xf numFmtId="0" fontId="137" fillId="0" borderId="314" xfId="0" applyFont="1" applyBorder="1" applyAlignment="1">
      <alignment horizontal="center" vertical="top"/>
    </xf>
    <xf numFmtId="0" fontId="137" fillId="0" borderId="315" xfId="0" applyFont="1" applyBorder="1" applyAlignment="1">
      <alignment vertical="top"/>
    </xf>
    <xf numFmtId="3" fontId="137" fillId="0" borderId="315" xfId="0" applyNumberFormat="1" applyFont="1" applyBorder="1" applyAlignment="1">
      <alignment horizontal="right" vertical="top"/>
    </xf>
    <xf numFmtId="3" fontId="137" fillId="0" borderId="316" xfId="0" applyNumberFormat="1" applyFont="1" applyBorder="1" applyAlignment="1">
      <alignment horizontal="right" vertical="top"/>
    </xf>
    <xf numFmtId="0" fontId="137" fillId="0" borderId="302" xfId="0" applyFont="1" applyBorder="1" applyAlignment="1">
      <alignment vertical="top"/>
    </xf>
    <xf numFmtId="3" fontId="137" fillId="0" borderId="302" xfId="0" applyNumberFormat="1" applyFont="1" applyBorder="1" applyAlignment="1">
      <alignment horizontal="right" vertical="top"/>
    </xf>
    <xf numFmtId="0" fontId="137" fillId="0" borderId="193" xfId="0" applyFont="1" applyBorder="1" applyAlignment="1">
      <alignment horizontal="center" vertical="top"/>
    </xf>
    <xf numFmtId="3" fontId="137" fillId="0" borderId="194" xfId="0" applyNumberFormat="1" applyFont="1" applyBorder="1" applyAlignment="1">
      <alignment horizontal="right" vertical="top"/>
    </xf>
    <xf numFmtId="0" fontId="137" fillId="0" borderId="195" xfId="0" applyFont="1" applyBorder="1" applyAlignment="1">
      <alignment horizontal="center" vertical="top"/>
    </xf>
    <xf numFmtId="0" fontId="137" fillId="0" borderId="196" xfId="0" applyFont="1" applyBorder="1" applyAlignment="1">
      <alignment vertical="top"/>
    </xf>
    <xf numFmtId="3" fontId="137" fillId="0" borderId="196" xfId="0" applyNumberFormat="1" applyFont="1" applyBorder="1" applyAlignment="1">
      <alignment horizontal="right" vertical="top"/>
    </xf>
    <xf numFmtId="3" fontId="137" fillId="0" borderId="197" xfId="0" applyNumberFormat="1" applyFont="1" applyBorder="1" applyAlignment="1">
      <alignment horizontal="right" vertical="top"/>
    </xf>
    <xf numFmtId="0" fontId="73" fillId="0" borderId="52" xfId="0" quotePrefix="1" applyFont="1" applyFill="1" applyBorder="1" applyAlignment="1" applyProtection="1">
      <alignment horizontal="left" vertical="top" wrapText="1"/>
    </xf>
    <xf numFmtId="0" fontId="73" fillId="0" borderId="0" xfId="0" applyFont="1" applyFill="1" applyBorder="1" applyAlignment="1" applyProtection="1">
      <alignment horizontal="left" vertical="top" wrapText="1"/>
    </xf>
    <xf numFmtId="0" fontId="74" fillId="0" borderId="0" xfId="0" applyFont="1" applyFill="1" applyBorder="1" applyAlignment="1" applyProtection="1">
      <alignment horizontal="center" wrapText="1"/>
    </xf>
    <xf numFmtId="0" fontId="125" fillId="0" borderId="0" xfId="1134" applyFont="1" applyFill="1" applyBorder="1" applyAlignment="1" applyProtection="1">
      <alignment horizontal="center" vertical="center" wrapText="1"/>
      <protection hidden="1"/>
    </xf>
    <xf numFmtId="0" fontId="73" fillId="0" borderId="178" xfId="0" applyFont="1" applyFill="1" applyBorder="1" applyAlignment="1" applyProtection="1">
      <alignment horizontal="left" indent="1"/>
      <protection locked="0"/>
    </xf>
    <xf numFmtId="0" fontId="73" fillId="0" borderId="179" xfId="0" applyFont="1" applyFill="1" applyBorder="1" applyAlignment="1" applyProtection="1">
      <alignment horizontal="left" indent="1"/>
      <protection locked="0"/>
    </xf>
    <xf numFmtId="0" fontId="73" fillId="0" borderId="0" xfId="0" applyFont="1" applyFill="1" applyAlignment="1" applyProtection="1">
      <alignment horizontal="left" vertical="top" wrapText="1"/>
    </xf>
    <xf numFmtId="0" fontId="131" fillId="0" borderId="0" xfId="0" applyFont="1" applyAlignment="1" applyProtection="1">
      <alignment horizontal="center" vertical="center" wrapText="1"/>
      <protection hidden="1"/>
    </xf>
    <xf numFmtId="0" fontId="73" fillId="0" borderId="176" xfId="1134" applyFont="1" applyFill="1" applyBorder="1" applyAlignment="1" applyProtection="1">
      <alignment horizontal="left" vertical="center" indent="1"/>
      <protection locked="0"/>
    </xf>
    <xf numFmtId="171" fontId="73" fillId="0" borderId="176" xfId="1134" applyNumberFormat="1" applyFont="1" applyFill="1" applyBorder="1" applyAlignment="1" applyProtection="1">
      <alignment horizontal="left" vertical="center" indent="1"/>
      <protection locked="0"/>
    </xf>
    <xf numFmtId="0" fontId="73" fillId="57" borderId="178" xfId="0" applyFont="1" applyFill="1" applyBorder="1" applyAlignment="1" applyProtection="1">
      <alignment horizontal="left" wrapText="1" indent="1"/>
    </xf>
    <xf numFmtId="0" fontId="73" fillId="57" borderId="263" xfId="0" applyFont="1" applyFill="1" applyBorder="1" applyAlignment="1" applyProtection="1">
      <alignment horizontal="left" wrapText="1" indent="1"/>
    </xf>
    <xf numFmtId="0" fontId="73" fillId="57" borderId="179" xfId="0" applyFont="1" applyFill="1" applyBorder="1" applyAlignment="1" applyProtection="1">
      <alignment horizontal="left" wrapText="1" indent="1"/>
    </xf>
    <xf numFmtId="0" fontId="88" fillId="57" borderId="178" xfId="2447" applyFont="1" applyFill="1" applyBorder="1" applyAlignment="1" applyProtection="1">
      <alignment horizontal="left" vertical="top" wrapText="1" indent="1"/>
    </xf>
    <xf numFmtId="0" fontId="88" fillId="57" borderId="263" xfId="2447" applyFont="1" applyFill="1" applyBorder="1" applyAlignment="1" applyProtection="1">
      <alignment horizontal="left" vertical="top" wrapText="1" indent="1"/>
    </xf>
    <xf numFmtId="0" fontId="88" fillId="57" borderId="179" xfId="2447" applyFont="1" applyFill="1" applyBorder="1" applyAlignment="1" applyProtection="1">
      <alignment horizontal="left" vertical="top" wrapText="1" indent="1"/>
    </xf>
    <xf numFmtId="0" fontId="88" fillId="57" borderId="64" xfId="2447" applyFont="1" applyFill="1" applyBorder="1" applyAlignment="1" applyProtection="1">
      <alignment horizontal="left" vertical="top" wrapText="1" indent="1"/>
    </xf>
    <xf numFmtId="0" fontId="88" fillId="55" borderId="264" xfId="2447" applyFont="1" applyFill="1" applyBorder="1" applyAlignment="1" applyProtection="1">
      <alignment horizontal="left" vertical="top" wrapText="1"/>
    </xf>
    <xf numFmtId="0" fontId="88" fillId="55" borderId="77" xfId="2447" applyFont="1" applyFill="1" applyBorder="1" applyAlignment="1" applyProtection="1">
      <alignment horizontal="left" vertical="top" wrapText="1"/>
    </xf>
    <xf numFmtId="3" fontId="73" fillId="29" borderId="0" xfId="1134" applyNumberFormat="1" applyFont="1" applyFill="1" applyBorder="1" applyAlignment="1" applyProtection="1">
      <protection locked="0"/>
    </xf>
    <xf numFmtId="0" fontId="74" fillId="0" borderId="11" xfId="0" applyFont="1" applyFill="1" applyBorder="1" applyAlignment="1" applyProtection="1">
      <alignment horizontal="center"/>
    </xf>
    <xf numFmtId="0" fontId="74" fillId="0" borderId="0" xfId="0" applyFont="1" applyFill="1" applyBorder="1" applyAlignment="1" applyProtection="1">
      <alignment horizontal="center"/>
    </xf>
    <xf numFmtId="0" fontId="74" fillId="0" borderId="12" xfId="0" applyFont="1" applyFill="1" applyBorder="1" applyAlignment="1" applyProtection="1">
      <alignment horizontal="center"/>
    </xf>
    <xf numFmtId="3" fontId="73" fillId="0" borderId="0" xfId="0" applyNumberFormat="1" applyFont="1" applyFill="1" applyBorder="1" applyAlignment="1" applyProtection="1">
      <alignment vertical="center" wrapText="1"/>
    </xf>
    <xf numFmtId="41" fontId="75" fillId="0" borderId="184" xfId="0" applyNumberFormat="1" applyFont="1" applyFill="1" applyBorder="1" applyAlignment="1" applyProtection="1">
      <alignment horizontal="center" wrapText="1"/>
    </xf>
    <xf numFmtId="41" fontId="75" fillId="0" borderId="183" xfId="0" applyNumberFormat="1" applyFont="1" applyFill="1" applyBorder="1" applyAlignment="1" applyProtection="1">
      <alignment horizontal="center" wrapText="1"/>
    </xf>
    <xf numFmtId="41" fontId="75" fillId="0" borderId="224" xfId="0" applyNumberFormat="1" applyFont="1" applyFill="1" applyBorder="1" applyAlignment="1" applyProtection="1">
      <alignment horizontal="center" wrapText="1"/>
    </xf>
    <xf numFmtId="41" fontId="75" fillId="0" borderId="192" xfId="0" applyNumberFormat="1" applyFont="1" applyFill="1" applyBorder="1" applyAlignment="1" applyProtection="1">
      <alignment horizontal="center"/>
    </xf>
    <xf numFmtId="41" fontId="75" fillId="0" borderId="183" xfId="0" applyNumberFormat="1" applyFont="1" applyFill="1" applyBorder="1" applyAlignment="1" applyProtection="1">
      <alignment horizontal="center"/>
    </xf>
    <xf numFmtId="41" fontId="75" fillId="0" borderId="223" xfId="0" applyNumberFormat="1" applyFont="1" applyFill="1" applyBorder="1" applyAlignment="1" applyProtection="1">
      <alignment horizontal="center"/>
    </xf>
    <xf numFmtId="41" fontId="75" fillId="0" borderId="224" xfId="0" applyNumberFormat="1" applyFont="1" applyFill="1" applyBorder="1" applyAlignment="1" applyProtection="1">
      <alignment horizontal="center"/>
    </xf>
    <xf numFmtId="0" fontId="73" fillId="0" borderId="11" xfId="0" applyFont="1" applyFill="1" applyBorder="1" applyAlignment="1" applyProtection="1">
      <alignment vertical="top" wrapText="1"/>
    </xf>
    <xf numFmtId="0" fontId="73" fillId="0" borderId="0" xfId="0" applyFont="1" applyFill="1" applyBorder="1" applyAlignment="1" applyProtection="1">
      <alignment vertical="top" wrapText="1"/>
    </xf>
    <xf numFmtId="0" fontId="73" fillId="0" borderId="16" xfId="0" applyFont="1" applyFill="1" applyBorder="1" applyAlignment="1" applyProtection="1">
      <alignment vertical="top" wrapText="1"/>
    </xf>
    <xf numFmtId="0" fontId="73" fillId="0" borderId="17" xfId="0" applyFont="1" applyFill="1" applyBorder="1" applyAlignment="1" applyProtection="1">
      <alignment vertical="top" wrapText="1"/>
    </xf>
    <xf numFmtId="41" fontId="73" fillId="0" borderId="0" xfId="0" applyNumberFormat="1" applyFont="1" applyFill="1" applyBorder="1" applyAlignment="1" applyProtection="1">
      <alignment horizontal="center" vertical="top" wrapText="1"/>
    </xf>
    <xf numFmtId="41" fontId="73" fillId="0" borderId="17" xfId="0" applyNumberFormat="1" applyFont="1" applyFill="1" applyBorder="1" applyAlignment="1" applyProtection="1">
      <alignment horizontal="center" vertical="top" wrapText="1"/>
    </xf>
    <xf numFmtId="41" fontId="73" fillId="0" borderId="88" xfId="0" applyNumberFormat="1" applyFont="1" applyFill="1" applyBorder="1" applyAlignment="1" applyProtection="1">
      <alignment horizontal="center"/>
    </xf>
    <xf numFmtId="41" fontId="73" fillId="0" borderId="89" xfId="0" applyNumberFormat="1" applyFont="1" applyFill="1" applyBorder="1" applyAlignment="1" applyProtection="1">
      <alignment horizontal="center"/>
    </xf>
    <xf numFmtId="41" fontId="75" fillId="0" borderId="223" xfId="0" applyNumberFormat="1" applyFont="1" applyFill="1" applyBorder="1" applyAlignment="1" applyProtection="1">
      <alignment horizontal="center" wrapText="1"/>
    </xf>
    <xf numFmtId="0" fontId="73" fillId="97" borderId="271" xfId="0" applyFont="1" applyFill="1" applyBorder="1" applyAlignment="1" applyProtection="1">
      <alignment horizontal="center" vertical="top" wrapText="1"/>
    </xf>
    <xf numFmtId="0" fontId="73" fillId="97" borderId="82" xfId="0" applyFont="1" applyFill="1" applyBorder="1" applyAlignment="1" applyProtection="1">
      <alignment horizontal="center" vertical="top" wrapText="1"/>
    </xf>
    <xf numFmtId="0" fontId="73" fillId="97" borderId="90" xfId="0" applyFont="1" applyFill="1" applyBorder="1" applyAlignment="1" applyProtection="1">
      <alignment horizontal="center" vertical="top" wrapText="1"/>
    </xf>
    <xf numFmtId="0" fontId="73" fillId="57" borderId="183" xfId="0" applyFont="1" applyFill="1" applyBorder="1" applyAlignment="1" applyProtection="1">
      <alignment horizontal="center" vertical="center" wrapText="1"/>
    </xf>
    <xf numFmtId="0" fontId="73" fillId="57" borderId="224" xfId="0" applyFont="1" applyFill="1" applyBorder="1" applyAlignment="1" applyProtection="1">
      <alignment horizontal="center" vertical="center" wrapText="1"/>
    </xf>
    <xf numFmtId="0" fontId="73" fillId="57" borderId="0" xfId="0" applyFont="1" applyFill="1" applyBorder="1" applyAlignment="1" applyProtection="1">
      <alignment horizontal="center" vertical="center" wrapText="1"/>
    </xf>
    <xf numFmtId="0" fontId="73" fillId="57" borderId="12" xfId="0" applyFont="1" applyFill="1" applyBorder="1" applyAlignment="1" applyProtection="1">
      <alignment horizontal="center" vertical="center" wrapText="1"/>
    </xf>
    <xf numFmtId="0" fontId="73" fillId="57" borderId="17" xfId="0" applyFont="1" applyFill="1" applyBorder="1" applyAlignment="1" applyProtection="1">
      <alignment horizontal="center" vertical="center" wrapText="1"/>
    </xf>
    <xf numFmtId="0" fontId="73" fillId="57" borderId="38" xfId="0" applyFont="1" applyFill="1" applyBorder="1" applyAlignment="1" applyProtection="1">
      <alignment horizontal="center" vertical="center" wrapText="1"/>
    </xf>
    <xf numFmtId="0" fontId="74" fillId="0" borderId="0" xfId="0" applyNumberFormat="1" applyFont="1" applyFill="1" applyAlignment="1" applyProtection="1">
      <alignment horizontal="center" wrapText="1"/>
      <protection hidden="1"/>
    </xf>
    <xf numFmtId="0" fontId="74" fillId="0" borderId="0" xfId="0" applyNumberFormat="1" applyFont="1" applyFill="1" applyAlignment="1" applyProtection="1">
      <alignment horizontal="center"/>
      <protection hidden="1"/>
    </xf>
    <xf numFmtId="0" fontId="87" fillId="0" borderId="0" xfId="0" applyNumberFormat="1" applyFont="1" applyFill="1" applyAlignment="1" applyProtection="1">
      <alignment horizontal="center" wrapText="1"/>
    </xf>
    <xf numFmtId="41" fontId="75" fillId="0" borderId="13" xfId="0" applyNumberFormat="1" applyFont="1" applyFill="1" applyBorder="1" applyAlignment="1" applyProtection="1">
      <alignment horizontal="center"/>
    </xf>
    <xf numFmtId="41" fontId="75" fillId="0" borderId="14" xfId="0" applyNumberFormat="1" applyFont="1" applyFill="1" applyBorder="1" applyAlignment="1" applyProtection="1">
      <alignment horizontal="center"/>
    </xf>
    <xf numFmtId="41" fontId="75" fillId="0" borderId="30" xfId="0" applyNumberFormat="1" applyFont="1" applyFill="1" applyBorder="1" applyAlignment="1" applyProtection="1">
      <alignment horizontal="center"/>
    </xf>
    <xf numFmtId="0" fontId="75" fillId="0" borderId="180" xfId="0" applyFont="1" applyFill="1" applyBorder="1" applyAlignment="1" applyProtection="1">
      <alignment horizontal="center" vertical="top" wrapText="1"/>
    </xf>
    <xf numFmtId="0" fontId="75" fillId="0" borderId="181" xfId="0" applyFont="1" applyFill="1" applyBorder="1" applyAlignment="1" applyProtection="1">
      <alignment horizontal="center" vertical="top" wrapText="1"/>
    </xf>
    <xf numFmtId="0" fontId="75" fillId="0" borderId="182" xfId="0" applyFont="1" applyFill="1" applyBorder="1" applyAlignment="1" applyProtection="1">
      <alignment horizontal="center" vertical="top" wrapText="1"/>
    </xf>
    <xf numFmtId="0" fontId="74" fillId="0" borderId="37" xfId="0" applyFont="1" applyFill="1" applyBorder="1" applyAlignment="1" applyProtection="1">
      <alignment horizontal="center"/>
    </xf>
    <xf numFmtId="0" fontId="74" fillId="0" borderId="10" xfId="0" applyFont="1" applyFill="1" applyBorder="1" applyAlignment="1" applyProtection="1">
      <alignment horizontal="center"/>
    </xf>
    <xf numFmtId="41" fontId="75" fillId="0" borderId="86" xfId="0" applyNumberFormat="1" applyFont="1" applyFill="1" applyBorder="1" applyAlignment="1" applyProtection="1">
      <alignment horizontal="center"/>
    </xf>
    <xf numFmtId="41" fontId="75" fillId="0" borderId="87" xfId="0" applyNumberFormat="1" applyFont="1" applyFill="1" applyBorder="1" applyAlignment="1" applyProtection="1">
      <alignment horizontal="center"/>
    </xf>
    <xf numFmtId="0" fontId="74" fillId="0" borderId="47" xfId="0" applyFont="1" applyFill="1" applyBorder="1" applyAlignment="1" applyProtection="1">
      <alignment horizontal="center"/>
    </xf>
    <xf numFmtId="0" fontId="74" fillId="0" borderId="25" xfId="0" applyFont="1" applyFill="1" applyBorder="1" applyAlignment="1" applyProtection="1">
      <alignment horizontal="center"/>
    </xf>
    <xf numFmtId="0" fontId="74" fillId="0" borderId="174" xfId="0" applyFont="1" applyFill="1" applyBorder="1" applyAlignment="1" applyProtection="1">
      <alignment horizontal="center"/>
    </xf>
    <xf numFmtId="0" fontId="74" fillId="0" borderId="268" xfId="0" applyFont="1" applyFill="1" applyBorder="1" applyAlignment="1" applyProtection="1">
      <alignment horizontal="center"/>
    </xf>
    <xf numFmtId="0" fontId="74" fillId="0" borderId="269" xfId="0" applyFont="1" applyFill="1" applyBorder="1" applyAlignment="1" applyProtection="1">
      <alignment horizontal="center"/>
    </xf>
    <xf numFmtId="0" fontId="73" fillId="28" borderId="71" xfId="0" applyFont="1" applyFill="1" applyBorder="1" applyAlignment="1" applyProtection="1">
      <alignment horizontal="left" vertical="top"/>
    </xf>
    <xf numFmtId="0" fontId="73" fillId="28" borderId="72" xfId="0" applyFont="1" applyFill="1" applyBorder="1" applyAlignment="1" applyProtection="1">
      <alignment horizontal="left" vertical="top"/>
    </xf>
    <xf numFmtId="0" fontId="74" fillId="28" borderId="49" xfId="0" applyFont="1" applyFill="1" applyBorder="1" applyAlignment="1" applyProtection="1">
      <alignment horizontal="center"/>
    </xf>
    <xf numFmtId="0" fontId="74" fillId="28" borderId="0" xfId="0" applyFont="1" applyFill="1" applyBorder="1" applyAlignment="1" applyProtection="1">
      <alignment horizontal="center"/>
    </xf>
    <xf numFmtId="0" fontId="74" fillId="28" borderId="50" xfId="0" applyFont="1" applyFill="1" applyBorder="1" applyAlignment="1" applyProtection="1">
      <alignment horizontal="center"/>
    </xf>
    <xf numFmtId="0" fontId="76" fillId="55" borderId="49" xfId="0" applyFont="1" applyFill="1" applyBorder="1" applyAlignment="1" applyProtection="1">
      <alignment horizontal="center"/>
    </xf>
    <xf numFmtId="0" fontId="76" fillId="55" borderId="0" xfId="0" applyFont="1" applyFill="1" applyBorder="1" applyAlignment="1" applyProtection="1">
      <alignment horizontal="center"/>
    </xf>
    <xf numFmtId="0" fontId="76" fillId="55" borderId="50" xfId="0" applyFont="1" applyFill="1" applyBorder="1" applyAlignment="1" applyProtection="1">
      <alignment horizontal="center"/>
    </xf>
    <xf numFmtId="0" fontId="73" fillId="28" borderId="49" xfId="0" applyFont="1" applyFill="1" applyBorder="1" applyAlignment="1" applyProtection="1">
      <alignment horizontal="left" vertical="top" wrapText="1"/>
    </xf>
    <xf numFmtId="0" fontId="73" fillId="28" borderId="0" xfId="0" applyFont="1" applyFill="1" applyBorder="1" applyAlignment="1" applyProtection="1">
      <alignment horizontal="left" vertical="top" wrapText="1"/>
    </xf>
    <xf numFmtId="7" fontId="73" fillId="54" borderId="50" xfId="0" applyNumberFormat="1" applyFont="1" applyFill="1" applyBorder="1" applyAlignment="1" applyProtection="1">
      <alignment horizontal="left" vertical="center" indent="1"/>
      <protection locked="0"/>
    </xf>
    <xf numFmtId="0" fontId="73" fillId="28" borderId="49" xfId="0" applyFont="1" applyFill="1" applyBorder="1" applyAlignment="1" applyProtection="1">
      <alignment horizontal="left"/>
    </xf>
    <xf numFmtId="0" fontId="73" fillId="28" borderId="0" xfId="0" applyFont="1" applyFill="1" applyBorder="1" applyAlignment="1" applyProtection="1">
      <alignment horizontal="left"/>
    </xf>
    <xf numFmtId="0" fontId="103" fillId="0" borderId="196" xfId="0" applyFont="1" applyFill="1" applyBorder="1" applyAlignment="1">
      <alignment horizontal="left"/>
    </xf>
    <xf numFmtId="0" fontId="103" fillId="0" borderId="197" xfId="0" applyFont="1" applyFill="1" applyBorder="1" applyAlignment="1">
      <alignment horizontal="left"/>
    </xf>
    <xf numFmtId="0" fontId="73" fillId="0" borderId="55" xfId="0" applyFont="1" applyBorder="1" applyAlignment="1">
      <alignment horizontal="center" wrapText="1"/>
    </xf>
    <xf numFmtId="0" fontId="73" fillId="0" borderId="77" xfId="0" applyFont="1" applyBorder="1" applyAlignment="1">
      <alignment horizontal="center" wrapText="1"/>
    </xf>
    <xf numFmtId="0" fontId="77" fillId="0" borderId="106" xfId="0" applyFont="1" applyBorder="1" applyAlignment="1">
      <alignment vertical="center" wrapText="1"/>
    </xf>
    <xf numFmtId="0" fontId="77" fillId="0" borderId="108" xfId="0" applyFont="1" applyBorder="1" applyAlignment="1">
      <alignment vertical="center" wrapText="1"/>
    </xf>
    <xf numFmtId="0" fontId="77" fillId="0" borderId="110" xfId="0" applyFont="1" applyBorder="1" applyAlignment="1">
      <alignment vertical="center" wrapText="1"/>
    </xf>
    <xf numFmtId="0" fontId="4" fillId="0" borderId="67" xfId="0" applyFont="1" applyFill="1" applyBorder="1" applyAlignment="1">
      <alignment horizontal="center" wrapText="1"/>
    </xf>
    <xf numFmtId="0" fontId="4" fillId="0" borderId="68" xfId="0" applyFont="1" applyFill="1" applyBorder="1" applyAlignment="1">
      <alignment horizontal="center" wrapText="1"/>
    </xf>
    <xf numFmtId="0" fontId="4" fillId="0" borderId="69" xfId="0" applyFont="1" applyFill="1" applyBorder="1" applyAlignment="1">
      <alignment horizontal="center" wrapText="1"/>
    </xf>
    <xf numFmtId="0" fontId="126" fillId="96" borderId="67" xfId="0" applyFont="1" applyFill="1" applyBorder="1" applyAlignment="1">
      <alignment horizontal="center"/>
    </xf>
    <xf numFmtId="0" fontId="126" fillId="96" borderId="68" xfId="0" applyFont="1" applyFill="1" applyBorder="1" applyAlignment="1">
      <alignment horizontal="center"/>
    </xf>
    <xf numFmtId="0" fontId="126" fillId="96" borderId="69" xfId="0" applyFont="1" applyFill="1" applyBorder="1" applyAlignment="1">
      <alignment horizontal="center"/>
    </xf>
    <xf numFmtId="0" fontId="77" fillId="0" borderId="67" xfId="0" applyFont="1" applyBorder="1" applyAlignment="1">
      <alignment horizontal="center"/>
    </xf>
    <xf numFmtId="0" fontId="77" fillId="0" borderId="68" xfId="0" applyFont="1" applyBorder="1" applyAlignment="1">
      <alignment horizontal="center"/>
    </xf>
    <xf numFmtId="0" fontId="77" fillId="0" borderId="69" xfId="0" applyFont="1" applyBorder="1" applyAlignment="1">
      <alignment horizontal="center"/>
    </xf>
    <xf numFmtId="0" fontId="103" fillId="0" borderId="105" xfId="0" applyFont="1" applyFill="1" applyBorder="1" applyAlignment="1">
      <alignment horizontal="left"/>
    </xf>
    <xf numFmtId="0" fontId="103" fillId="0" borderId="172" xfId="0" applyFont="1" applyFill="1" applyBorder="1" applyAlignment="1">
      <alignment horizontal="left"/>
    </xf>
    <xf numFmtId="0" fontId="103" fillId="0" borderId="176" xfId="0" applyFont="1" applyFill="1" applyBorder="1" applyAlignment="1">
      <alignment horizontal="left"/>
    </xf>
    <xf numFmtId="0" fontId="103" fillId="0" borderId="194" xfId="0" applyFont="1" applyFill="1" applyBorder="1" applyAlignment="1">
      <alignment horizontal="left"/>
    </xf>
  </cellXfs>
  <cellStyles count="6755">
    <cellStyle name="20% - Accent1" xfId="1" builtinId="30" customBuiltin="1"/>
    <cellStyle name="20% - Accent1 2" xfId="98" xr:uid="{00000000-0005-0000-0000-000001000000}"/>
    <cellStyle name="20% - Accent1 2 2" xfId="99" xr:uid="{00000000-0005-0000-0000-000002000000}"/>
    <cellStyle name="20% - Accent1 3" xfId="4760" xr:uid="{00000000-0005-0000-0000-000003000000}"/>
    <cellStyle name="20% - Accent2" xfId="2" builtinId="34" customBuiltin="1"/>
    <cellStyle name="20% - Accent2 2" xfId="100" xr:uid="{00000000-0005-0000-0000-000005000000}"/>
    <cellStyle name="20% - Accent2 2 2" xfId="101" xr:uid="{00000000-0005-0000-0000-000006000000}"/>
    <cellStyle name="20% - Accent2 3" xfId="4764" xr:uid="{00000000-0005-0000-0000-000007000000}"/>
    <cellStyle name="20% - Accent3" xfId="3" builtinId="38" customBuiltin="1"/>
    <cellStyle name="20% - Accent3 2" xfId="102" xr:uid="{00000000-0005-0000-0000-000009000000}"/>
    <cellStyle name="20% - Accent3 2 2" xfId="103" xr:uid="{00000000-0005-0000-0000-00000A000000}"/>
    <cellStyle name="20% - Accent3 3" xfId="4768" xr:uid="{00000000-0005-0000-0000-00000B000000}"/>
    <cellStyle name="20% - Accent4" xfId="4" builtinId="42" customBuiltin="1"/>
    <cellStyle name="20% - Accent4 2" xfId="104" xr:uid="{00000000-0005-0000-0000-00000D000000}"/>
    <cellStyle name="20% - Accent4 2 2" xfId="105" xr:uid="{00000000-0005-0000-0000-00000E000000}"/>
    <cellStyle name="20% - Accent4 3" xfId="4772" xr:uid="{00000000-0005-0000-0000-00000F000000}"/>
    <cellStyle name="20% - Accent5" xfId="5" builtinId="46" customBuiltin="1"/>
    <cellStyle name="20% - Accent5 2" xfId="106" xr:uid="{00000000-0005-0000-0000-000011000000}"/>
    <cellStyle name="20% - Accent5 2 2" xfId="107" xr:uid="{00000000-0005-0000-0000-000012000000}"/>
    <cellStyle name="20% - Accent5 3" xfId="4776" xr:uid="{00000000-0005-0000-0000-000013000000}"/>
    <cellStyle name="20% - Accent6" xfId="6" builtinId="50" customBuiltin="1"/>
    <cellStyle name="20% - Accent6 2" xfId="108" xr:uid="{00000000-0005-0000-0000-000015000000}"/>
    <cellStyle name="20% - Accent6 2 2" xfId="109" xr:uid="{00000000-0005-0000-0000-000016000000}"/>
    <cellStyle name="20% - Accent6 3" xfId="4780" xr:uid="{00000000-0005-0000-0000-000017000000}"/>
    <cellStyle name="20% - akcent 1" xfId="110" xr:uid="{00000000-0005-0000-0000-000018000000}"/>
    <cellStyle name="20% - akcent 2" xfId="111" xr:uid="{00000000-0005-0000-0000-000019000000}"/>
    <cellStyle name="20% - akcent 3" xfId="112" xr:uid="{00000000-0005-0000-0000-00001A000000}"/>
    <cellStyle name="20% - akcent 4" xfId="113" xr:uid="{00000000-0005-0000-0000-00001B000000}"/>
    <cellStyle name="20% - akcent 5" xfId="114" xr:uid="{00000000-0005-0000-0000-00001C000000}"/>
    <cellStyle name="20% - akcent 6" xfId="115" xr:uid="{00000000-0005-0000-0000-00001D000000}"/>
    <cellStyle name="40% - Accent1" xfId="7" builtinId="31" customBuiltin="1"/>
    <cellStyle name="40% - Accent1 2" xfId="116" xr:uid="{00000000-0005-0000-0000-00001F000000}"/>
    <cellStyle name="40% - Accent1 2 2" xfId="117" xr:uid="{00000000-0005-0000-0000-000020000000}"/>
    <cellStyle name="40% - Accent1 3" xfId="4761" xr:uid="{00000000-0005-0000-0000-000021000000}"/>
    <cellStyle name="40% - Accent2" xfId="8" builtinId="35" customBuiltin="1"/>
    <cellStyle name="40% - Accent2 2" xfId="118" xr:uid="{00000000-0005-0000-0000-000023000000}"/>
    <cellStyle name="40% - Accent2 2 2" xfId="119" xr:uid="{00000000-0005-0000-0000-000024000000}"/>
    <cellStyle name="40% - Accent2 3" xfId="4765" xr:uid="{00000000-0005-0000-0000-000025000000}"/>
    <cellStyle name="40% - Accent3" xfId="9" builtinId="39" customBuiltin="1"/>
    <cellStyle name="40% - Accent3 2" xfId="120" xr:uid="{00000000-0005-0000-0000-000027000000}"/>
    <cellStyle name="40% - Accent3 2 2" xfId="121" xr:uid="{00000000-0005-0000-0000-000028000000}"/>
    <cellStyle name="40% - Accent3 3" xfId="4769" xr:uid="{00000000-0005-0000-0000-000029000000}"/>
    <cellStyle name="40% - Accent4" xfId="10" builtinId="43" customBuiltin="1"/>
    <cellStyle name="40% - Accent4 2" xfId="122" xr:uid="{00000000-0005-0000-0000-00002B000000}"/>
    <cellStyle name="40% - Accent4 2 2" xfId="123" xr:uid="{00000000-0005-0000-0000-00002C000000}"/>
    <cellStyle name="40% - Accent4 3" xfId="4773" xr:uid="{00000000-0005-0000-0000-00002D000000}"/>
    <cellStyle name="40% - Accent5" xfId="11" builtinId="47" customBuiltin="1"/>
    <cellStyle name="40% - Accent5 2" xfId="124" xr:uid="{00000000-0005-0000-0000-00002F000000}"/>
    <cellStyle name="40% - Accent5 2 2" xfId="125" xr:uid="{00000000-0005-0000-0000-000030000000}"/>
    <cellStyle name="40% - Accent5 3" xfId="4777" xr:uid="{00000000-0005-0000-0000-000031000000}"/>
    <cellStyle name="40% - Accent6" xfId="12" builtinId="51" customBuiltin="1"/>
    <cellStyle name="40% - Accent6 2" xfId="126" xr:uid="{00000000-0005-0000-0000-000033000000}"/>
    <cellStyle name="40% - Accent6 2 2" xfId="127" xr:uid="{00000000-0005-0000-0000-000034000000}"/>
    <cellStyle name="40% - Accent6 3" xfId="4781" xr:uid="{00000000-0005-0000-0000-000035000000}"/>
    <cellStyle name="40% - akcent 1" xfId="128" xr:uid="{00000000-0005-0000-0000-000036000000}"/>
    <cellStyle name="40% - akcent 2" xfId="129" xr:uid="{00000000-0005-0000-0000-000037000000}"/>
    <cellStyle name="40% - akcent 3" xfId="130" xr:uid="{00000000-0005-0000-0000-000038000000}"/>
    <cellStyle name="40% - akcent 4" xfId="131" xr:uid="{00000000-0005-0000-0000-000039000000}"/>
    <cellStyle name="40% - akcent 5" xfId="132" xr:uid="{00000000-0005-0000-0000-00003A000000}"/>
    <cellStyle name="40% - akcent 6" xfId="133" xr:uid="{00000000-0005-0000-0000-00003B000000}"/>
    <cellStyle name="60% - Accent1" xfId="13" builtinId="32" customBuiltin="1"/>
    <cellStyle name="60% - Accent1 2" xfId="134" xr:uid="{00000000-0005-0000-0000-00003D000000}"/>
    <cellStyle name="60% - Accent1 2 2" xfId="135" xr:uid="{00000000-0005-0000-0000-00003E000000}"/>
    <cellStyle name="60% - Accent1 3" xfId="4762" xr:uid="{00000000-0005-0000-0000-00003F000000}"/>
    <cellStyle name="60% - Accent2" xfId="14" builtinId="36" customBuiltin="1"/>
    <cellStyle name="60% - Accent2 2" xfId="136" xr:uid="{00000000-0005-0000-0000-000041000000}"/>
    <cellStyle name="60% - Accent2 2 2" xfId="137" xr:uid="{00000000-0005-0000-0000-000042000000}"/>
    <cellStyle name="60% - Accent2 3" xfId="4766" xr:uid="{00000000-0005-0000-0000-000043000000}"/>
    <cellStyle name="60% - Accent3" xfId="15" builtinId="40" customBuiltin="1"/>
    <cellStyle name="60% - Accent3 2" xfId="138" xr:uid="{00000000-0005-0000-0000-000045000000}"/>
    <cellStyle name="60% - Accent3 2 2" xfId="139" xr:uid="{00000000-0005-0000-0000-000046000000}"/>
    <cellStyle name="60% - Accent3 3" xfId="4770" xr:uid="{00000000-0005-0000-0000-000047000000}"/>
    <cellStyle name="60% - Accent4" xfId="16" builtinId="44" customBuiltin="1"/>
    <cellStyle name="60% - Accent4 2" xfId="140" xr:uid="{00000000-0005-0000-0000-000049000000}"/>
    <cellStyle name="60% - Accent4 2 2" xfId="141" xr:uid="{00000000-0005-0000-0000-00004A000000}"/>
    <cellStyle name="60% - Accent4 3" xfId="4774" xr:uid="{00000000-0005-0000-0000-00004B000000}"/>
    <cellStyle name="60% - Accent5" xfId="17" builtinId="48" customBuiltin="1"/>
    <cellStyle name="60% - Accent5 2" xfId="142" xr:uid="{00000000-0005-0000-0000-00004D000000}"/>
    <cellStyle name="60% - Accent5 2 2" xfId="143" xr:uid="{00000000-0005-0000-0000-00004E000000}"/>
    <cellStyle name="60% - Accent5 3" xfId="4778" xr:uid="{00000000-0005-0000-0000-00004F000000}"/>
    <cellStyle name="60% - Accent6" xfId="18" builtinId="52" customBuiltin="1"/>
    <cellStyle name="60% - Accent6 2" xfId="144" xr:uid="{00000000-0005-0000-0000-000051000000}"/>
    <cellStyle name="60% - Accent6 2 2" xfId="145" xr:uid="{00000000-0005-0000-0000-000052000000}"/>
    <cellStyle name="60% - Accent6 3" xfId="4782" xr:uid="{00000000-0005-0000-0000-000053000000}"/>
    <cellStyle name="60% - akcent 1" xfId="146" xr:uid="{00000000-0005-0000-0000-000054000000}"/>
    <cellStyle name="60% - akcent 2" xfId="147" xr:uid="{00000000-0005-0000-0000-000055000000}"/>
    <cellStyle name="60% - akcent 3" xfId="148" xr:uid="{00000000-0005-0000-0000-000056000000}"/>
    <cellStyle name="60% - akcent 4" xfId="149" xr:uid="{00000000-0005-0000-0000-000057000000}"/>
    <cellStyle name="60% - akcent 5" xfId="150" xr:uid="{00000000-0005-0000-0000-000058000000}"/>
    <cellStyle name="60% - akcent 6" xfId="151" xr:uid="{00000000-0005-0000-0000-000059000000}"/>
    <cellStyle name="Accent1" xfId="19" builtinId="29" customBuiltin="1"/>
    <cellStyle name="Accent1 2" xfId="152" xr:uid="{00000000-0005-0000-0000-00005B000000}"/>
    <cellStyle name="Accent1 2 2" xfId="153" xr:uid="{00000000-0005-0000-0000-00005C000000}"/>
    <cellStyle name="Accent1 3" xfId="4759" xr:uid="{00000000-0005-0000-0000-00005D000000}"/>
    <cellStyle name="Accent2" xfId="20" builtinId="33" customBuiltin="1"/>
    <cellStyle name="Accent2 2" xfId="154" xr:uid="{00000000-0005-0000-0000-00005F000000}"/>
    <cellStyle name="Accent2 2 2" xfId="155" xr:uid="{00000000-0005-0000-0000-000060000000}"/>
    <cellStyle name="Accent2 3" xfId="4763" xr:uid="{00000000-0005-0000-0000-000061000000}"/>
    <cellStyle name="Accent3" xfId="21" builtinId="37" customBuiltin="1"/>
    <cellStyle name="Accent3 2" xfId="156" xr:uid="{00000000-0005-0000-0000-000063000000}"/>
    <cellStyle name="Accent3 2 2" xfId="157" xr:uid="{00000000-0005-0000-0000-000064000000}"/>
    <cellStyle name="Accent3 3" xfId="4767" xr:uid="{00000000-0005-0000-0000-000065000000}"/>
    <cellStyle name="Accent4" xfId="22" builtinId="41" customBuiltin="1"/>
    <cellStyle name="Accent4 2" xfId="158" xr:uid="{00000000-0005-0000-0000-000067000000}"/>
    <cellStyle name="Accent4 2 2" xfId="159" xr:uid="{00000000-0005-0000-0000-000068000000}"/>
    <cellStyle name="Accent4 3" xfId="4771" xr:uid="{00000000-0005-0000-0000-000069000000}"/>
    <cellStyle name="Accent5" xfId="23" builtinId="45" customBuiltin="1"/>
    <cellStyle name="Accent5 2" xfId="160" xr:uid="{00000000-0005-0000-0000-00006B000000}"/>
    <cellStyle name="Accent5 2 2" xfId="161" xr:uid="{00000000-0005-0000-0000-00006C000000}"/>
    <cellStyle name="Accent5 3" xfId="4775" xr:uid="{00000000-0005-0000-0000-00006D000000}"/>
    <cellStyle name="Accent6" xfId="24" builtinId="49" customBuiltin="1"/>
    <cellStyle name="Accent6 2" xfId="162" xr:uid="{00000000-0005-0000-0000-00006F000000}"/>
    <cellStyle name="Accent6 2 2" xfId="163" xr:uid="{00000000-0005-0000-0000-000070000000}"/>
    <cellStyle name="Accent6 3" xfId="4779" xr:uid="{00000000-0005-0000-0000-000071000000}"/>
    <cellStyle name="Akcent 1" xfId="164" xr:uid="{00000000-0005-0000-0000-000072000000}"/>
    <cellStyle name="Akcent 2" xfId="165" xr:uid="{00000000-0005-0000-0000-000073000000}"/>
    <cellStyle name="Akcent 3" xfId="166" xr:uid="{00000000-0005-0000-0000-000074000000}"/>
    <cellStyle name="Akcent 4" xfId="167" xr:uid="{00000000-0005-0000-0000-000075000000}"/>
    <cellStyle name="Akcent 5" xfId="168" xr:uid="{00000000-0005-0000-0000-000076000000}"/>
    <cellStyle name="Akcent 6" xfId="169" xr:uid="{00000000-0005-0000-0000-000077000000}"/>
    <cellStyle name="Bad" xfId="25" builtinId="27" customBuiltin="1"/>
    <cellStyle name="Bad 2" xfId="170" xr:uid="{00000000-0005-0000-0000-000079000000}"/>
    <cellStyle name="Bad 2 2" xfId="171" xr:uid="{00000000-0005-0000-0000-00007A000000}"/>
    <cellStyle name="Bad 3" xfId="4748" xr:uid="{00000000-0005-0000-0000-00007B000000}"/>
    <cellStyle name="BottomTotalRow1" xfId="76" xr:uid="{00000000-0005-0000-0000-00007C000000}"/>
    <cellStyle name="Calculation" xfId="26" builtinId="22" customBuiltin="1"/>
    <cellStyle name="Calculation 2" xfId="172" xr:uid="{00000000-0005-0000-0000-00007E000000}"/>
    <cellStyle name="Calculation 2 10" xfId="173" xr:uid="{00000000-0005-0000-0000-00007F000000}"/>
    <cellStyle name="Calculation 2 10 10" xfId="174" xr:uid="{00000000-0005-0000-0000-000080000000}"/>
    <cellStyle name="Calculation 2 10 10 2" xfId="2581" xr:uid="{00000000-0005-0000-0000-000081000000}"/>
    <cellStyle name="Calculation 2 10 10 3" xfId="3156" xr:uid="{00000000-0005-0000-0000-000082000000}"/>
    <cellStyle name="Calculation 2 10 11" xfId="175" xr:uid="{00000000-0005-0000-0000-000083000000}"/>
    <cellStyle name="Calculation 2 10 11 2" xfId="2582" xr:uid="{00000000-0005-0000-0000-000084000000}"/>
    <cellStyle name="Calculation 2 10 11 3" xfId="2483" xr:uid="{00000000-0005-0000-0000-000085000000}"/>
    <cellStyle name="Calculation 2 10 12" xfId="176" xr:uid="{00000000-0005-0000-0000-000086000000}"/>
    <cellStyle name="Calculation 2 10 12 2" xfId="2583" xr:uid="{00000000-0005-0000-0000-000087000000}"/>
    <cellStyle name="Calculation 2 10 12 3" xfId="3155" xr:uid="{00000000-0005-0000-0000-000088000000}"/>
    <cellStyle name="Calculation 2 10 13" xfId="177" xr:uid="{00000000-0005-0000-0000-000089000000}"/>
    <cellStyle name="Calculation 2 10 13 2" xfId="2584" xr:uid="{00000000-0005-0000-0000-00008A000000}"/>
    <cellStyle name="Calculation 2 10 13 3" xfId="2497" xr:uid="{00000000-0005-0000-0000-00008B000000}"/>
    <cellStyle name="Calculation 2 10 14" xfId="178" xr:uid="{00000000-0005-0000-0000-00008C000000}"/>
    <cellStyle name="Calculation 2 10 14 2" xfId="2585" xr:uid="{00000000-0005-0000-0000-00008D000000}"/>
    <cellStyle name="Calculation 2 10 14 3" xfId="3154" xr:uid="{00000000-0005-0000-0000-00008E000000}"/>
    <cellStyle name="Calculation 2 10 15" xfId="179" xr:uid="{00000000-0005-0000-0000-00008F000000}"/>
    <cellStyle name="Calculation 2 10 15 2" xfId="2586" xr:uid="{00000000-0005-0000-0000-000090000000}"/>
    <cellStyle name="Calculation 2 10 15 3" xfId="2482" xr:uid="{00000000-0005-0000-0000-000091000000}"/>
    <cellStyle name="Calculation 2 10 16" xfId="180" xr:uid="{00000000-0005-0000-0000-000092000000}"/>
    <cellStyle name="Calculation 2 10 16 2" xfId="2587" xr:uid="{00000000-0005-0000-0000-000093000000}"/>
    <cellStyle name="Calculation 2 10 16 3" xfId="3153" xr:uid="{00000000-0005-0000-0000-000094000000}"/>
    <cellStyle name="Calculation 2 10 17" xfId="181" xr:uid="{00000000-0005-0000-0000-000095000000}"/>
    <cellStyle name="Calculation 2 10 17 2" xfId="2588" xr:uid="{00000000-0005-0000-0000-000096000000}"/>
    <cellStyle name="Calculation 2 10 17 3" xfId="3152" xr:uid="{00000000-0005-0000-0000-000097000000}"/>
    <cellStyle name="Calculation 2 10 18" xfId="182" xr:uid="{00000000-0005-0000-0000-000098000000}"/>
    <cellStyle name="Calculation 2 10 18 2" xfId="2589" xr:uid="{00000000-0005-0000-0000-000099000000}"/>
    <cellStyle name="Calculation 2 10 18 3" xfId="3013" xr:uid="{00000000-0005-0000-0000-00009A000000}"/>
    <cellStyle name="Calculation 2 10 19" xfId="183" xr:uid="{00000000-0005-0000-0000-00009B000000}"/>
    <cellStyle name="Calculation 2 10 19 2" xfId="2590" xr:uid="{00000000-0005-0000-0000-00009C000000}"/>
    <cellStyle name="Calculation 2 10 19 3" xfId="3012" xr:uid="{00000000-0005-0000-0000-00009D000000}"/>
    <cellStyle name="Calculation 2 10 2" xfId="184" xr:uid="{00000000-0005-0000-0000-00009E000000}"/>
    <cellStyle name="Calculation 2 10 2 2" xfId="2591" xr:uid="{00000000-0005-0000-0000-00009F000000}"/>
    <cellStyle name="Calculation 2 10 2 3" xfId="3011" xr:uid="{00000000-0005-0000-0000-0000A0000000}"/>
    <cellStyle name="Calculation 2 10 20" xfId="185" xr:uid="{00000000-0005-0000-0000-0000A1000000}"/>
    <cellStyle name="Calculation 2 10 20 2" xfId="2592" xr:uid="{00000000-0005-0000-0000-0000A2000000}"/>
    <cellStyle name="Calculation 2 10 20 3" xfId="3010" xr:uid="{00000000-0005-0000-0000-0000A3000000}"/>
    <cellStyle name="Calculation 2 10 21" xfId="186" xr:uid="{00000000-0005-0000-0000-0000A4000000}"/>
    <cellStyle name="Calculation 2 10 21 2" xfId="2593" xr:uid="{00000000-0005-0000-0000-0000A5000000}"/>
    <cellStyle name="Calculation 2 10 21 3" xfId="3009" xr:uid="{00000000-0005-0000-0000-0000A6000000}"/>
    <cellStyle name="Calculation 2 10 22" xfId="187" xr:uid="{00000000-0005-0000-0000-0000A7000000}"/>
    <cellStyle name="Calculation 2 10 22 2" xfId="2594" xr:uid="{00000000-0005-0000-0000-0000A8000000}"/>
    <cellStyle name="Calculation 2 10 22 3" xfId="3008" xr:uid="{00000000-0005-0000-0000-0000A9000000}"/>
    <cellStyle name="Calculation 2 10 23" xfId="188" xr:uid="{00000000-0005-0000-0000-0000AA000000}"/>
    <cellStyle name="Calculation 2 10 23 2" xfId="2595" xr:uid="{00000000-0005-0000-0000-0000AB000000}"/>
    <cellStyle name="Calculation 2 10 23 3" xfId="4735" xr:uid="{00000000-0005-0000-0000-0000AC000000}"/>
    <cellStyle name="Calculation 2 10 24" xfId="2580" xr:uid="{00000000-0005-0000-0000-0000AD000000}"/>
    <cellStyle name="Calculation 2 10 25" xfId="3157" xr:uid="{00000000-0005-0000-0000-0000AE000000}"/>
    <cellStyle name="Calculation 2 10 3" xfId="189" xr:uid="{00000000-0005-0000-0000-0000AF000000}"/>
    <cellStyle name="Calculation 2 10 3 2" xfId="2596" xr:uid="{00000000-0005-0000-0000-0000B0000000}"/>
    <cellStyle name="Calculation 2 10 3 3" xfId="3007" xr:uid="{00000000-0005-0000-0000-0000B1000000}"/>
    <cellStyle name="Calculation 2 10 4" xfId="190" xr:uid="{00000000-0005-0000-0000-0000B2000000}"/>
    <cellStyle name="Calculation 2 10 4 2" xfId="2597" xr:uid="{00000000-0005-0000-0000-0000B3000000}"/>
    <cellStyle name="Calculation 2 10 4 3" xfId="3006" xr:uid="{00000000-0005-0000-0000-0000B4000000}"/>
    <cellStyle name="Calculation 2 10 5" xfId="191" xr:uid="{00000000-0005-0000-0000-0000B5000000}"/>
    <cellStyle name="Calculation 2 10 5 2" xfId="2598" xr:uid="{00000000-0005-0000-0000-0000B6000000}"/>
    <cellStyle name="Calculation 2 10 5 3" xfId="3005" xr:uid="{00000000-0005-0000-0000-0000B7000000}"/>
    <cellStyle name="Calculation 2 10 6" xfId="192" xr:uid="{00000000-0005-0000-0000-0000B8000000}"/>
    <cellStyle name="Calculation 2 10 6 2" xfId="2599" xr:uid="{00000000-0005-0000-0000-0000B9000000}"/>
    <cellStyle name="Calculation 2 10 6 3" xfId="3004" xr:uid="{00000000-0005-0000-0000-0000BA000000}"/>
    <cellStyle name="Calculation 2 10 7" xfId="193" xr:uid="{00000000-0005-0000-0000-0000BB000000}"/>
    <cellStyle name="Calculation 2 10 7 2" xfId="2600" xr:uid="{00000000-0005-0000-0000-0000BC000000}"/>
    <cellStyle name="Calculation 2 10 7 3" xfId="3003" xr:uid="{00000000-0005-0000-0000-0000BD000000}"/>
    <cellStyle name="Calculation 2 10 8" xfId="194" xr:uid="{00000000-0005-0000-0000-0000BE000000}"/>
    <cellStyle name="Calculation 2 10 8 2" xfId="2601" xr:uid="{00000000-0005-0000-0000-0000BF000000}"/>
    <cellStyle name="Calculation 2 10 8 3" xfId="3002" xr:uid="{00000000-0005-0000-0000-0000C0000000}"/>
    <cellStyle name="Calculation 2 10 9" xfId="195" xr:uid="{00000000-0005-0000-0000-0000C1000000}"/>
    <cellStyle name="Calculation 2 10 9 2" xfId="2602" xr:uid="{00000000-0005-0000-0000-0000C2000000}"/>
    <cellStyle name="Calculation 2 10 9 3" xfId="3001" xr:uid="{00000000-0005-0000-0000-0000C3000000}"/>
    <cellStyle name="Calculation 2 11" xfId="196" xr:uid="{00000000-0005-0000-0000-0000C4000000}"/>
    <cellStyle name="Calculation 2 11 10" xfId="197" xr:uid="{00000000-0005-0000-0000-0000C5000000}"/>
    <cellStyle name="Calculation 2 11 10 2" xfId="2604" xr:uid="{00000000-0005-0000-0000-0000C6000000}"/>
    <cellStyle name="Calculation 2 11 10 3" xfId="2999" xr:uid="{00000000-0005-0000-0000-0000C7000000}"/>
    <cellStyle name="Calculation 2 11 11" xfId="198" xr:uid="{00000000-0005-0000-0000-0000C8000000}"/>
    <cellStyle name="Calculation 2 11 11 2" xfId="2605" xr:uid="{00000000-0005-0000-0000-0000C9000000}"/>
    <cellStyle name="Calculation 2 11 11 3" xfId="2998" xr:uid="{00000000-0005-0000-0000-0000CA000000}"/>
    <cellStyle name="Calculation 2 11 12" xfId="199" xr:uid="{00000000-0005-0000-0000-0000CB000000}"/>
    <cellStyle name="Calculation 2 11 12 2" xfId="2606" xr:uid="{00000000-0005-0000-0000-0000CC000000}"/>
    <cellStyle name="Calculation 2 11 12 3" xfId="2997" xr:uid="{00000000-0005-0000-0000-0000CD000000}"/>
    <cellStyle name="Calculation 2 11 13" xfId="200" xr:uid="{00000000-0005-0000-0000-0000CE000000}"/>
    <cellStyle name="Calculation 2 11 13 2" xfId="2607" xr:uid="{00000000-0005-0000-0000-0000CF000000}"/>
    <cellStyle name="Calculation 2 11 13 3" xfId="2996" xr:uid="{00000000-0005-0000-0000-0000D0000000}"/>
    <cellStyle name="Calculation 2 11 14" xfId="201" xr:uid="{00000000-0005-0000-0000-0000D1000000}"/>
    <cellStyle name="Calculation 2 11 14 2" xfId="2608" xr:uid="{00000000-0005-0000-0000-0000D2000000}"/>
    <cellStyle name="Calculation 2 11 14 3" xfId="2995" xr:uid="{00000000-0005-0000-0000-0000D3000000}"/>
    <cellStyle name="Calculation 2 11 15" xfId="202" xr:uid="{00000000-0005-0000-0000-0000D4000000}"/>
    <cellStyle name="Calculation 2 11 15 2" xfId="2609" xr:uid="{00000000-0005-0000-0000-0000D5000000}"/>
    <cellStyle name="Calculation 2 11 15 3" xfId="2994" xr:uid="{00000000-0005-0000-0000-0000D6000000}"/>
    <cellStyle name="Calculation 2 11 16" xfId="203" xr:uid="{00000000-0005-0000-0000-0000D7000000}"/>
    <cellStyle name="Calculation 2 11 16 2" xfId="2610" xr:uid="{00000000-0005-0000-0000-0000D8000000}"/>
    <cellStyle name="Calculation 2 11 16 3" xfId="2993" xr:uid="{00000000-0005-0000-0000-0000D9000000}"/>
    <cellStyle name="Calculation 2 11 17" xfId="204" xr:uid="{00000000-0005-0000-0000-0000DA000000}"/>
    <cellStyle name="Calculation 2 11 17 2" xfId="2611" xr:uid="{00000000-0005-0000-0000-0000DB000000}"/>
    <cellStyle name="Calculation 2 11 17 3" xfId="2992" xr:uid="{00000000-0005-0000-0000-0000DC000000}"/>
    <cellStyle name="Calculation 2 11 18" xfId="205" xr:uid="{00000000-0005-0000-0000-0000DD000000}"/>
    <cellStyle name="Calculation 2 11 18 2" xfId="2612" xr:uid="{00000000-0005-0000-0000-0000DE000000}"/>
    <cellStyle name="Calculation 2 11 18 3" xfId="2991" xr:uid="{00000000-0005-0000-0000-0000DF000000}"/>
    <cellStyle name="Calculation 2 11 19" xfId="206" xr:uid="{00000000-0005-0000-0000-0000E0000000}"/>
    <cellStyle name="Calculation 2 11 19 2" xfId="2613" xr:uid="{00000000-0005-0000-0000-0000E1000000}"/>
    <cellStyle name="Calculation 2 11 19 3" xfId="2990" xr:uid="{00000000-0005-0000-0000-0000E2000000}"/>
    <cellStyle name="Calculation 2 11 2" xfId="207" xr:uid="{00000000-0005-0000-0000-0000E3000000}"/>
    <cellStyle name="Calculation 2 11 2 2" xfId="2614" xr:uid="{00000000-0005-0000-0000-0000E4000000}"/>
    <cellStyle name="Calculation 2 11 2 3" xfId="2989" xr:uid="{00000000-0005-0000-0000-0000E5000000}"/>
    <cellStyle name="Calculation 2 11 20" xfId="208" xr:uid="{00000000-0005-0000-0000-0000E6000000}"/>
    <cellStyle name="Calculation 2 11 20 2" xfId="2615" xr:uid="{00000000-0005-0000-0000-0000E7000000}"/>
    <cellStyle name="Calculation 2 11 20 3" xfId="2988" xr:uid="{00000000-0005-0000-0000-0000E8000000}"/>
    <cellStyle name="Calculation 2 11 21" xfId="209" xr:uid="{00000000-0005-0000-0000-0000E9000000}"/>
    <cellStyle name="Calculation 2 11 21 2" xfId="2616" xr:uid="{00000000-0005-0000-0000-0000EA000000}"/>
    <cellStyle name="Calculation 2 11 21 3" xfId="2987" xr:uid="{00000000-0005-0000-0000-0000EB000000}"/>
    <cellStyle name="Calculation 2 11 22" xfId="210" xr:uid="{00000000-0005-0000-0000-0000EC000000}"/>
    <cellStyle name="Calculation 2 11 22 2" xfId="2617" xr:uid="{00000000-0005-0000-0000-0000ED000000}"/>
    <cellStyle name="Calculation 2 11 22 3" xfId="2986" xr:uid="{00000000-0005-0000-0000-0000EE000000}"/>
    <cellStyle name="Calculation 2 11 23" xfId="211" xr:uid="{00000000-0005-0000-0000-0000EF000000}"/>
    <cellStyle name="Calculation 2 11 23 2" xfId="2618" xr:uid="{00000000-0005-0000-0000-0000F0000000}"/>
    <cellStyle name="Calculation 2 11 23 3" xfId="2985" xr:uid="{00000000-0005-0000-0000-0000F1000000}"/>
    <cellStyle name="Calculation 2 11 24" xfId="2603" xr:uid="{00000000-0005-0000-0000-0000F2000000}"/>
    <cellStyle name="Calculation 2 11 25" xfId="3000" xr:uid="{00000000-0005-0000-0000-0000F3000000}"/>
    <cellStyle name="Calculation 2 11 3" xfId="212" xr:uid="{00000000-0005-0000-0000-0000F4000000}"/>
    <cellStyle name="Calculation 2 11 3 2" xfId="2619" xr:uid="{00000000-0005-0000-0000-0000F5000000}"/>
    <cellStyle name="Calculation 2 11 3 3" xfId="2984" xr:uid="{00000000-0005-0000-0000-0000F6000000}"/>
    <cellStyle name="Calculation 2 11 4" xfId="213" xr:uid="{00000000-0005-0000-0000-0000F7000000}"/>
    <cellStyle name="Calculation 2 11 4 2" xfId="2620" xr:uid="{00000000-0005-0000-0000-0000F8000000}"/>
    <cellStyle name="Calculation 2 11 4 3" xfId="4731" xr:uid="{00000000-0005-0000-0000-0000F9000000}"/>
    <cellStyle name="Calculation 2 11 5" xfId="214" xr:uid="{00000000-0005-0000-0000-0000FA000000}"/>
    <cellStyle name="Calculation 2 11 5 2" xfId="2621" xr:uid="{00000000-0005-0000-0000-0000FB000000}"/>
    <cellStyle name="Calculation 2 11 5 3" xfId="2983" xr:uid="{00000000-0005-0000-0000-0000FC000000}"/>
    <cellStyle name="Calculation 2 11 6" xfId="215" xr:uid="{00000000-0005-0000-0000-0000FD000000}"/>
    <cellStyle name="Calculation 2 11 6 2" xfId="2622" xr:uid="{00000000-0005-0000-0000-0000FE000000}"/>
    <cellStyle name="Calculation 2 11 6 3" xfId="2982" xr:uid="{00000000-0005-0000-0000-0000FF000000}"/>
    <cellStyle name="Calculation 2 11 7" xfId="216" xr:uid="{00000000-0005-0000-0000-000000010000}"/>
    <cellStyle name="Calculation 2 11 7 2" xfId="2623" xr:uid="{00000000-0005-0000-0000-000001010000}"/>
    <cellStyle name="Calculation 2 11 7 3" xfId="2981" xr:uid="{00000000-0005-0000-0000-000002010000}"/>
    <cellStyle name="Calculation 2 11 8" xfId="217" xr:uid="{00000000-0005-0000-0000-000003010000}"/>
    <cellStyle name="Calculation 2 11 8 2" xfId="2624" xr:uid="{00000000-0005-0000-0000-000004010000}"/>
    <cellStyle name="Calculation 2 11 8 3" xfId="2980" xr:uid="{00000000-0005-0000-0000-000005010000}"/>
    <cellStyle name="Calculation 2 11 9" xfId="218" xr:uid="{00000000-0005-0000-0000-000006010000}"/>
    <cellStyle name="Calculation 2 11 9 2" xfId="2625" xr:uid="{00000000-0005-0000-0000-000007010000}"/>
    <cellStyle name="Calculation 2 11 9 3" xfId="2979" xr:uid="{00000000-0005-0000-0000-000008010000}"/>
    <cellStyle name="Calculation 2 12" xfId="219" xr:uid="{00000000-0005-0000-0000-000009010000}"/>
    <cellStyle name="Calculation 2 12 10" xfId="220" xr:uid="{00000000-0005-0000-0000-00000A010000}"/>
    <cellStyle name="Calculation 2 12 10 2" xfId="2627" xr:uid="{00000000-0005-0000-0000-00000B010000}"/>
    <cellStyle name="Calculation 2 12 10 3" xfId="2977" xr:uid="{00000000-0005-0000-0000-00000C010000}"/>
    <cellStyle name="Calculation 2 12 11" xfId="221" xr:uid="{00000000-0005-0000-0000-00000D010000}"/>
    <cellStyle name="Calculation 2 12 11 2" xfId="2628" xr:uid="{00000000-0005-0000-0000-00000E010000}"/>
    <cellStyle name="Calculation 2 12 11 3" xfId="2976" xr:uid="{00000000-0005-0000-0000-00000F010000}"/>
    <cellStyle name="Calculation 2 12 12" xfId="222" xr:uid="{00000000-0005-0000-0000-000010010000}"/>
    <cellStyle name="Calculation 2 12 12 2" xfId="2629" xr:uid="{00000000-0005-0000-0000-000011010000}"/>
    <cellStyle name="Calculation 2 12 12 3" xfId="4730" xr:uid="{00000000-0005-0000-0000-000012010000}"/>
    <cellStyle name="Calculation 2 12 13" xfId="223" xr:uid="{00000000-0005-0000-0000-000013010000}"/>
    <cellStyle name="Calculation 2 12 13 2" xfId="2630" xr:uid="{00000000-0005-0000-0000-000014010000}"/>
    <cellStyle name="Calculation 2 12 13 3" xfId="2975" xr:uid="{00000000-0005-0000-0000-000015010000}"/>
    <cellStyle name="Calculation 2 12 14" xfId="224" xr:uid="{00000000-0005-0000-0000-000016010000}"/>
    <cellStyle name="Calculation 2 12 14 2" xfId="2631" xr:uid="{00000000-0005-0000-0000-000017010000}"/>
    <cellStyle name="Calculation 2 12 14 3" xfId="2974" xr:uid="{00000000-0005-0000-0000-000018010000}"/>
    <cellStyle name="Calculation 2 12 15" xfId="225" xr:uid="{00000000-0005-0000-0000-000019010000}"/>
    <cellStyle name="Calculation 2 12 15 2" xfId="2632" xr:uid="{00000000-0005-0000-0000-00001A010000}"/>
    <cellStyle name="Calculation 2 12 15 3" xfId="2973" xr:uid="{00000000-0005-0000-0000-00001B010000}"/>
    <cellStyle name="Calculation 2 12 16" xfId="226" xr:uid="{00000000-0005-0000-0000-00001C010000}"/>
    <cellStyle name="Calculation 2 12 16 2" xfId="2633" xr:uid="{00000000-0005-0000-0000-00001D010000}"/>
    <cellStyle name="Calculation 2 12 16 3" xfId="2972" xr:uid="{00000000-0005-0000-0000-00001E010000}"/>
    <cellStyle name="Calculation 2 12 17" xfId="227" xr:uid="{00000000-0005-0000-0000-00001F010000}"/>
    <cellStyle name="Calculation 2 12 17 2" xfId="2634" xr:uid="{00000000-0005-0000-0000-000020010000}"/>
    <cellStyle name="Calculation 2 12 17 3" xfId="2971" xr:uid="{00000000-0005-0000-0000-000021010000}"/>
    <cellStyle name="Calculation 2 12 18" xfId="228" xr:uid="{00000000-0005-0000-0000-000022010000}"/>
    <cellStyle name="Calculation 2 12 18 2" xfId="2635" xr:uid="{00000000-0005-0000-0000-000023010000}"/>
    <cellStyle name="Calculation 2 12 18 3" xfId="2970" xr:uid="{00000000-0005-0000-0000-000024010000}"/>
    <cellStyle name="Calculation 2 12 19" xfId="229" xr:uid="{00000000-0005-0000-0000-000025010000}"/>
    <cellStyle name="Calculation 2 12 19 2" xfId="2636" xr:uid="{00000000-0005-0000-0000-000026010000}"/>
    <cellStyle name="Calculation 2 12 19 3" xfId="2969" xr:uid="{00000000-0005-0000-0000-000027010000}"/>
    <cellStyle name="Calculation 2 12 2" xfId="230" xr:uid="{00000000-0005-0000-0000-000028010000}"/>
    <cellStyle name="Calculation 2 12 2 2" xfId="2637" xr:uid="{00000000-0005-0000-0000-000029010000}"/>
    <cellStyle name="Calculation 2 12 2 3" xfId="2968" xr:uid="{00000000-0005-0000-0000-00002A010000}"/>
    <cellStyle name="Calculation 2 12 20" xfId="231" xr:uid="{00000000-0005-0000-0000-00002B010000}"/>
    <cellStyle name="Calculation 2 12 20 2" xfId="2638" xr:uid="{00000000-0005-0000-0000-00002C010000}"/>
    <cellStyle name="Calculation 2 12 20 3" xfId="2967" xr:uid="{00000000-0005-0000-0000-00002D010000}"/>
    <cellStyle name="Calculation 2 12 21" xfId="232" xr:uid="{00000000-0005-0000-0000-00002E010000}"/>
    <cellStyle name="Calculation 2 12 21 2" xfId="2639" xr:uid="{00000000-0005-0000-0000-00002F010000}"/>
    <cellStyle name="Calculation 2 12 21 3" xfId="2966" xr:uid="{00000000-0005-0000-0000-000030010000}"/>
    <cellStyle name="Calculation 2 12 22" xfId="233" xr:uid="{00000000-0005-0000-0000-000031010000}"/>
    <cellStyle name="Calculation 2 12 22 2" xfId="2640" xr:uid="{00000000-0005-0000-0000-000032010000}"/>
    <cellStyle name="Calculation 2 12 22 3" xfId="2965" xr:uid="{00000000-0005-0000-0000-000033010000}"/>
    <cellStyle name="Calculation 2 12 23" xfId="234" xr:uid="{00000000-0005-0000-0000-000034010000}"/>
    <cellStyle name="Calculation 2 12 23 2" xfId="2641" xr:uid="{00000000-0005-0000-0000-000035010000}"/>
    <cellStyle name="Calculation 2 12 23 3" xfId="2964" xr:uid="{00000000-0005-0000-0000-000036010000}"/>
    <cellStyle name="Calculation 2 12 24" xfId="2626" xr:uid="{00000000-0005-0000-0000-000037010000}"/>
    <cellStyle name="Calculation 2 12 25" xfId="2978" xr:uid="{00000000-0005-0000-0000-000038010000}"/>
    <cellStyle name="Calculation 2 12 3" xfId="235" xr:uid="{00000000-0005-0000-0000-000039010000}"/>
    <cellStyle name="Calculation 2 12 3 2" xfId="2642" xr:uid="{00000000-0005-0000-0000-00003A010000}"/>
    <cellStyle name="Calculation 2 12 3 3" xfId="2963" xr:uid="{00000000-0005-0000-0000-00003B010000}"/>
    <cellStyle name="Calculation 2 12 4" xfId="236" xr:uid="{00000000-0005-0000-0000-00003C010000}"/>
    <cellStyle name="Calculation 2 12 4 2" xfId="2643" xr:uid="{00000000-0005-0000-0000-00003D010000}"/>
    <cellStyle name="Calculation 2 12 4 3" xfId="2962" xr:uid="{00000000-0005-0000-0000-00003E010000}"/>
    <cellStyle name="Calculation 2 12 5" xfId="237" xr:uid="{00000000-0005-0000-0000-00003F010000}"/>
    <cellStyle name="Calculation 2 12 5 2" xfId="2644" xr:uid="{00000000-0005-0000-0000-000040010000}"/>
    <cellStyle name="Calculation 2 12 5 3" xfId="2961" xr:uid="{00000000-0005-0000-0000-000041010000}"/>
    <cellStyle name="Calculation 2 12 6" xfId="238" xr:uid="{00000000-0005-0000-0000-000042010000}"/>
    <cellStyle name="Calculation 2 12 6 2" xfId="2645" xr:uid="{00000000-0005-0000-0000-000043010000}"/>
    <cellStyle name="Calculation 2 12 6 3" xfId="2960" xr:uid="{00000000-0005-0000-0000-000044010000}"/>
    <cellStyle name="Calculation 2 12 7" xfId="239" xr:uid="{00000000-0005-0000-0000-000045010000}"/>
    <cellStyle name="Calculation 2 12 7 2" xfId="2646" xr:uid="{00000000-0005-0000-0000-000046010000}"/>
    <cellStyle name="Calculation 2 12 7 3" xfId="2959" xr:uid="{00000000-0005-0000-0000-000047010000}"/>
    <cellStyle name="Calculation 2 12 8" xfId="240" xr:uid="{00000000-0005-0000-0000-000048010000}"/>
    <cellStyle name="Calculation 2 12 8 2" xfId="2647" xr:uid="{00000000-0005-0000-0000-000049010000}"/>
    <cellStyle name="Calculation 2 12 8 3" xfId="2958" xr:uid="{00000000-0005-0000-0000-00004A010000}"/>
    <cellStyle name="Calculation 2 12 9" xfId="241" xr:uid="{00000000-0005-0000-0000-00004B010000}"/>
    <cellStyle name="Calculation 2 12 9 2" xfId="2648" xr:uid="{00000000-0005-0000-0000-00004C010000}"/>
    <cellStyle name="Calculation 2 12 9 3" xfId="2957" xr:uid="{00000000-0005-0000-0000-00004D010000}"/>
    <cellStyle name="Calculation 2 13" xfId="242" xr:uid="{00000000-0005-0000-0000-00004E010000}"/>
    <cellStyle name="Calculation 2 13 10" xfId="243" xr:uid="{00000000-0005-0000-0000-00004F010000}"/>
    <cellStyle name="Calculation 2 13 10 2" xfId="2650" xr:uid="{00000000-0005-0000-0000-000050010000}"/>
    <cellStyle name="Calculation 2 13 10 3" xfId="2955" xr:uid="{00000000-0005-0000-0000-000051010000}"/>
    <cellStyle name="Calculation 2 13 11" xfId="244" xr:uid="{00000000-0005-0000-0000-000052010000}"/>
    <cellStyle name="Calculation 2 13 11 2" xfId="2651" xr:uid="{00000000-0005-0000-0000-000053010000}"/>
    <cellStyle name="Calculation 2 13 11 3" xfId="2954" xr:uid="{00000000-0005-0000-0000-000054010000}"/>
    <cellStyle name="Calculation 2 13 12" xfId="245" xr:uid="{00000000-0005-0000-0000-000055010000}"/>
    <cellStyle name="Calculation 2 13 12 2" xfId="2652" xr:uid="{00000000-0005-0000-0000-000056010000}"/>
    <cellStyle name="Calculation 2 13 12 3" xfId="2953" xr:uid="{00000000-0005-0000-0000-000057010000}"/>
    <cellStyle name="Calculation 2 13 13" xfId="246" xr:uid="{00000000-0005-0000-0000-000058010000}"/>
    <cellStyle name="Calculation 2 13 13 2" xfId="2653" xr:uid="{00000000-0005-0000-0000-000059010000}"/>
    <cellStyle name="Calculation 2 13 13 3" xfId="2952" xr:uid="{00000000-0005-0000-0000-00005A010000}"/>
    <cellStyle name="Calculation 2 13 14" xfId="247" xr:uid="{00000000-0005-0000-0000-00005B010000}"/>
    <cellStyle name="Calculation 2 13 14 2" xfId="2654" xr:uid="{00000000-0005-0000-0000-00005C010000}"/>
    <cellStyle name="Calculation 2 13 14 3" xfId="2951" xr:uid="{00000000-0005-0000-0000-00005D010000}"/>
    <cellStyle name="Calculation 2 13 15" xfId="248" xr:uid="{00000000-0005-0000-0000-00005E010000}"/>
    <cellStyle name="Calculation 2 13 15 2" xfId="2655" xr:uid="{00000000-0005-0000-0000-00005F010000}"/>
    <cellStyle name="Calculation 2 13 15 3" xfId="2950" xr:uid="{00000000-0005-0000-0000-000060010000}"/>
    <cellStyle name="Calculation 2 13 16" xfId="249" xr:uid="{00000000-0005-0000-0000-000061010000}"/>
    <cellStyle name="Calculation 2 13 16 2" xfId="2656" xr:uid="{00000000-0005-0000-0000-000062010000}"/>
    <cellStyle name="Calculation 2 13 16 3" xfId="2949" xr:uid="{00000000-0005-0000-0000-000063010000}"/>
    <cellStyle name="Calculation 2 13 17" xfId="250" xr:uid="{00000000-0005-0000-0000-000064010000}"/>
    <cellStyle name="Calculation 2 13 17 2" xfId="2657" xr:uid="{00000000-0005-0000-0000-000065010000}"/>
    <cellStyle name="Calculation 2 13 17 3" xfId="2948" xr:uid="{00000000-0005-0000-0000-000066010000}"/>
    <cellStyle name="Calculation 2 13 18" xfId="251" xr:uid="{00000000-0005-0000-0000-000067010000}"/>
    <cellStyle name="Calculation 2 13 18 2" xfId="2658" xr:uid="{00000000-0005-0000-0000-000068010000}"/>
    <cellStyle name="Calculation 2 13 18 3" xfId="2947" xr:uid="{00000000-0005-0000-0000-000069010000}"/>
    <cellStyle name="Calculation 2 13 19" xfId="252" xr:uid="{00000000-0005-0000-0000-00006A010000}"/>
    <cellStyle name="Calculation 2 13 19 2" xfId="2659" xr:uid="{00000000-0005-0000-0000-00006B010000}"/>
    <cellStyle name="Calculation 2 13 19 3" xfId="2946" xr:uid="{00000000-0005-0000-0000-00006C010000}"/>
    <cellStyle name="Calculation 2 13 2" xfId="253" xr:uid="{00000000-0005-0000-0000-00006D010000}"/>
    <cellStyle name="Calculation 2 13 2 2" xfId="2660" xr:uid="{00000000-0005-0000-0000-00006E010000}"/>
    <cellStyle name="Calculation 2 13 2 3" xfId="2945" xr:uid="{00000000-0005-0000-0000-00006F010000}"/>
    <cellStyle name="Calculation 2 13 20" xfId="254" xr:uid="{00000000-0005-0000-0000-000070010000}"/>
    <cellStyle name="Calculation 2 13 20 2" xfId="2661" xr:uid="{00000000-0005-0000-0000-000071010000}"/>
    <cellStyle name="Calculation 2 13 20 3" xfId="2944" xr:uid="{00000000-0005-0000-0000-000072010000}"/>
    <cellStyle name="Calculation 2 13 21" xfId="255" xr:uid="{00000000-0005-0000-0000-000073010000}"/>
    <cellStyle name="Calculation 2 13 21 2" xfId="2662" xr:uid="{00000000-0005-0000-0000-000074010000}"/>
    <cellStyle name="Calculation 2 13 21 3" xfId="2943" xr:uid="{00000000-0005-0000-0000-000075010000}"/>
    <cellStyle name="Calculation 2 13 22" xfId="256" xr:uid="{00000000-0005-0000-0000-000076010000}"/>
    <cellStyle name="Calculation 2 13 22 2" xfId="2663" xr:uid="{00000000-0005-0000-0000-000077010000}"/>
    <cellStyle name="Calculation 2 13 22 3" xfId="2942" xr:uid="{00000000-0005-0000-0000-000078010000}"/>
    <cellStyle name="Calculation 2 13 23" xfId="257" xr:uid="{00000000-0005-0000-0000-000079010000}"/>
    <cellStyle name="Calculation 2 13 23 2" xfId="2664" xr:uid="{00000000-0005-0000-0000-00007A010000}"/>
    <cellStyle name="Calculation 2 13 23 3" xfId="2941" xr:uid="{00000000-0005-0000-0000-00007B010000}"/>
    <cellStyle name="Calculation 2 13 24" xfId="2649" xr:uid="{00000000-0005-0000-0000-00007C010000}"/>
    <cellStyle name="Calculation 2 13 25" xfId="2956" xr:uid="{00000000-0005-0000-0000-00007D010000}"/>
    <cellStyle name="Calculation 2 13 3" xfId="258" xr:uid="{00000000-0005-0000-0000-00007E010000}"/>
    <cellStyle name="Calculation 2 13 3 2" xfId="2665" xr:uid="{00000000-0005-0000-0000-00007F010000}"/>
    <cellStyle name="Calculation 2 13 3 3" xfId="2940" xr:uid="{00000000-0005-0000-0000-000080010000}"/>
    <cellStyle name="Calculation 2 13 4" xfId="259" xr:uid="{00000000-0005-0000-0000-000081010000}"/>
    <cellStyle name="Calculation 2 13 4 2" xfId="2666" xr:uid="{00000000-0005-0000-0000-000082010000}"/>
    <cellStyle name="Calculation 2 13 4 3" xfId="2939" xr:uid="{00000000-0005-0000-0000-000083010000}"/>
    <cellStyle name="Calculation 2 13 5" xfId="260" xr:uid="{00000000-0005-0000-0000-000084010000}"/>
    <cellStyle name="Calculation 2 13 5 2" xfId="2667" xr:uid="{00000000-0005-0000-0000-000085010000}"/>
    <cellStyle name="Calculation 2 13 5 3" xfId="2938" xr:uid="{00000000-0005-0000-0000-000086010000}"/>
    <cellStyle name="Calculation 2 13 6" xfId="261" xr:uid="{00000000-0005-0000-0000-000087010000}"/>
    <cellStyle name="Calculation 2 13 6 2" xfId="2668" xr:uid="{00000000-0005-0000-0000-000088010000}"/>
    <cellStyle name="Calculation 2 13 6 3" xfId="2937" xr:uid="{00000000-0005-0000-0000-000089010000}"/>
    <cellStyle name="Calculation 2 13 7" xfId="262" xr:uid="{00000000-0005-0000-0000-00008A010000}"/>
    <cellStyle name="Calculation 2 13 7 2" xfId="2669" xr:uid="{00000000-0005-0000-0000-00008B010000}"/>
    <cellStyle name="Calculation 2 13 7 3" xfId="2936" xr:uid="{00000000-0005-0000-0000-00008C010000}"/>
    <cellStyle name="Calculation 2 13 8" xfId="263" xr:uid="{00000000-0005-0000-0000-00008D010000}"/>
    <cellStyle name="Calculation 2 13 8 2" xfId="2670" xr:uid="{00000000-0005-0000-0000-00008E010000}"/>
    <cellStyle name="Calculation 2 13 8 3" xfId="2935" xr:uid="{00000000-0005-0000-0000-00008F010000}"/>
    <cellStyle name="Calculation 2 13 9" xfId="264" xr:uid="{00000000-0005-0000-0000-000090010000}"/>
    <cellStyle name="Calculation 2 13 9 2" xfId="2671" xr:uid="{00000000-0005-0000-0000-000091010000}"/>
    <cellStyle name="Calculation 2 13 9 3" xfId="2934" xr:uid="{00000000-0005-0000-0000-000092010000}"/>
    <cellStyle name="Calculation 2 14" xfId="265" xr:uid="{00000000-0005-0000-0000-000093010000}"/>
    <cellStyle name="Calculation 2 14 10" xfId="266" xr:uid="{00000000-0005-0000-0000-000094010000}"/>
    <cellStyle name="Calculation 2 14 10 2" xfId="2673" xr:uid="{00000000-0005-0000-0000-000095010000}"/>
    <cellStyle name="Calculation 2 14 10 3" xfId="2932" xr:uid="{00000000-0005-0000-0000-000096010000}"/>
    <cellStyle name="Calculation 2 14 11" xfId="267" xr:uid="{00000000-0005-0000-0000-000097010000}"/>
    <cellStyle name="Calculation 2 14 11 2" xfId="2674" xr:uid="{00000000-0005-0000-0000-000098010000}"/>
    <cellStyle name="Calculation 2 14 11 3" xfId="2931" xr:uid="{00000000-0005-0000-0000-000099010000}"/>
    <cellStyle name="Calculation 2 14 12" xfId="268" xr:uid="{00000000-0005-0000-0000-00009A010000}"/>
    <cellStyle name="Calculation 2 14 12 2" xfId="2675" xr:uid="{00000000-0005-0000-0000-00009B010000}"/>
    <cellStyle name="Calculation 2 14 12 3" xfId="2930" xr:uid="{00000000-0005-0000-0000-00009C010000}"/>
    <cellStyle name="Calculation 2 14 13" xfId="269" xr:uid="{00000000-0005-0000-0000-00009D010000}"/>
    <cellStyle name="Calculation 2 14 13 2" xfId="2676" xr:uid="{00000000-0005-0000-0000-00009E010000}"/>
    <cellStyle name="Calculation 2 14 13 3" xfId="2929" xr:uid="{00000000-0005-0000-0000-00009F010000}"/>
    <cellStyle name="Calculation 2 14 14" xfId="270" xr:uid="{00000000-0005-0000-0000-0000A0010000}"/>
    <cellStyle name="Calculation 2 14 14 2" xfId="2677" xr:uid="{00000000-0005-0000-0000-0000A1010000}"/>
    <cellStyle name="Calculation 2 14 14 3" xfId="2928" xr:uid="{00000000-0005-0000-0000-0000A2010000}"/>
    <cellStyle name="Calculation 2 14 15" xfId="271" xr:uid="{00000000-0005-0000-0000-0000A3010000}"/>
    <cellStyle name="Calculation 2 14 15 2" xfId="2678" xr:uid="{00000000-0005-0000-0000-0000A4010000}"/>
    <cellStyle name="Calculation 2 14 15 3" xfId="2927" xr:uid="{00000000-0005-0000-0000-0000A5010000}"/>
    <cellStyle name="Calculation 2 14 16" xfId="272" xr:uid="{00000000-0005-0000-0000-0000A6010000}"/>
    <cellStyle name="Calculation 2 14 16 2" xfId="2679" xr:uid="{00000000-0005-0000-0000-0000A7010000}"/>
    <cellStyle name="Calculation 2 14 16 3" xfId="2926" xr:uid="{00000000-0005-0000-0000-0000A8010000}"/>
    <cellStyle name="Calculation 2 14 17" xfId="273" xr:uid="{00000000-0005-0000-0000-0000A9010000}"/>
    <cellStyle name="Calculation 2 14 17 2" xfId="2680" xr:uid="{00000000-0005-0000-0000-0000AA010000}"/>
    <cellStyle name="Calculation 2 14 17 3" xfId="2481" xr:uid="{00000000-0005-0000-0000-0000AB010000}"/>
    <cellStyle name="Calculation 2 14 18" xfId="274" xr:uid="{00000000-0005-0000-0000-0000AC010000}"/>
    <cellStyle name="Calculation 2 14 18 2" xfId="2681" xr:uid="{00000000-0005-0000-0000-0000AD010000}"/>
    <cellStyle name="Calculation 2 14 18 3" xfId="2480" xr:uid="{00000000-0005-0000-0000-0000AE010000}"/>
    <cellStyle name="Calculation 2 14 19" xfId="275" xr:uid="{00000000-0005-0000-0000-0000AF010000}"/>
    <cellStyle name="Calculation 2 14 19 2" xfId="2682" xr:uid="{00000000-0005-0000-0000-0000B0010000}"/>
    <cellStyle name="Calculation 2 14 19 3" xfId="2479" xr:uid="{00000000-0005-0000-0000-0000B1010000}"/>
    <cellStyle name="Calculation 2 14 2" xfId="276" xr:uid="{00000000-0005-0000-0000-0000B2010000}"/>
    <cellStyle name="Calculation 2 14 2 2" xfId="2683" xr:uid="{00000000-0005-0000-0000-0000B3010000}"/>
    <cellStyle name="Calculation 2 14 2 3" xfId="2478" xr:uid="{00000000-0005-0000-0000-0000B4010000}"/>
    <cellStyle name="Calculation 2 14 20" xfId="277" xr:uid="{00000000-0005-0000-0000-0000B5010000}"/>
    <cellStyle name="Calculation 2 14 20 2" xfId="2684" xr:uid="{00000000-0005-0000-0000-0000B6010000}"/>
    <cellStyle name="Calculation 2 14 20 3" xfId="2477" xr:uid="{00000000-0005-0000-0000-0000B7010000}"/>
    <cellStyle name="Calculation 2 14 21" xfId="278" xr:uid="{00000000-0005-0000-0000-0000B8010000}"/>
    <cellStyle name="Calculation 2 14 21 2" xfId="2685" xr:uid="{00000000-0005-0000-0000-0000B9010000}"/>
    <cellStyle name="Calculation 2 14 21 3" xfId="2493" xr:uid="{00000000-0005-0000-0000-0000BA010000}"/>
    <cellStyle name="Calculation 2 14 22" xfId="279" xr:uid="{00000000-0005-0000-0000-0000BB010000}"/>
    <cellStyle name="Calculation 2 14 22 2" xfId="2686" xr:uid="{00000000-0005-0000-0000-0000BC010000}"/>
    <cellStyle name="Calculation 2 14 22 3" xfId="2925" xr:uid="{00000000-0005-0000-0000-0000BD010000}"/>
    <cellStyle name="Calculation 2 14 23" xfId="280" xr:uid="{00000000-0005-0000-0000-0000BE010000}"/>
    <cellStyle name="Calculation 2 14 23 2" xfId="2687" xr:uid="{00000000-0005-0000-0000-0000BF010000}"/>
    <cellStyle name="Calculation 2 14 23 3" xfId="2924" xr:uid="{00000000-0005-0000-0000-0000C0010000}"/>
    <cellStyle name="Calculation 2 14 24" xfId="2672" xr:uid="{00000000-0005-0000-0000-0000C1010000}"/>
    <cellStyle name="Calculation 2 14 25" xfId="2933" xr:uid="{00000000-0005-0000-0000-0000C2010000}"/>
    <cellStyle name="Calculation 2 14 3" xfId="281" xr:uid="{00000000-0005-0000-0000-0000C3010000}"/>
    <cellStyle name="Calculation 2 14 3 2" xfId="2688" xr:uid="{00000000-0005-0000-0000-0000C4010000}"/>
    <cellStyle name="Calculation 2 14 3 3" xfId="2476" xr:uid="{00000000-0005-0000-0000-0000C5010000}"/>
    <cellStyle name="Calculation 2 14 4" xfId="282" xr:uid="{00000000-0005-0000-0000-0000C6010000}"/>
    <cellStyle name="Calculation 2 14 4 2" xfId="2689" xr:uid="{00000000-0005-0000-0000-0000C7010000}"/>
    <cellStyle name="Calculation 2 14 4 3" xfId="2492" xr:uid="{00000000-0005-0000-0000-0000C8010000}"/>
    <cellStyle name="Calculation 2 14 5" xfId="283" xr:uid="{00000000-0005-0000-0000-0000C9010000}"/>
    <cellStyle name="Calculation 2 14 5 2" xfId="2690" xr:uid="{00000000-0005-0000-0000-0000CA010000}"/>
    <cellStyle name="Calculation 2 14 5 3" xfId="2578" xr:uid="{00000000-0005-0000-0000-0000CB010000}"/>
    <cellStyle name="Calculation 2 14 6" xfId="284" xr:uid="{00000000-0005-0000-0000-0000CC010000}"/>
    <cellStyle name="Calculation 2 14 6 2" xfId="2691" xr:uid="{00000000-0005-0000-0000-0000CD010000}"/>
    <cellStyle name="Calculation 2 14 6 3" xfId="2577" xr:uid="{00000000-0005-0000-0000-0000CE010000}"/>
    <cellStyle name="Calculation 2 14 7" xfId="285" xr:uid="{00000000-0005-0000-0000-0000CF010000}"/>
    <cellStyle name="Calculation 2 14 7 2" xfId="2692" xr:uid="{00000000-0005-0000-0000-0000D0010000}"/>
    <cellStyle name="Calculation 2 14 7 3" xfId="2474" xr:uid="{00000000-0005-0000-0000-0000D1010000}"/>
    <cellStyle name="Calculation 2 14 8" xfId="286" xr:uid="{00000000-0005-0000-0000-0000D2010000}"/>
    <cellStyle name="Calculation 2 14 8 2" xfId="2693" xr:uid="{00000000-0005-0000-0000-0000D3010000}"/>
    <cellStyle name="Calculation 2 14 8 3" xfId="2576" xr:uid="{00000000-0005-0000-0000-0000D4010000}"/>
    <cellStyle name="Calculation 2 14 9" xfId="287" xr:uid="{00000000-0005-0000-0000-0000D5010000}"/>
    <cellStyle name="Calculation 2 14 9 2" xfId="2694" xr:uid="{00000000-0005-0000-0000-0000D6010000}"/>
    <cellStyle name="Calculation 2 14 9 3" xfId="2575" xr:uid="{00000000-0005-0000-0000-0000D7010000}"/>
    <cellStyle name="Calculation 2 15" xfId="288" xr:uid="{00000000-0005-0000-0000-0000D8010000}"/>
    <cellStyle name="Calculation 2 15 10" xfId="289" xr:uid="{00000000-0005-0000-0000-0000D9010000}"/>
    <cellStyle name="Calculation 2 15 10 2" xfId="2696" xr:uid="{00000000-0005-0000-0000-0000DA010000}"/>
    <cellStyle name="Calculation 2 15 10 3" xfId="2573" xr:uid="{00000000-0005-0000-0000-0000DB010000}"/>
    <cellStyle name="Calculation 2 15 11" xfId="290" xr:uid="{00000000-0005-0000-0000-0000DC010000}"/>
    <cellStyle name="Calculation 2 15 11 2" xfId="2697" xr:uid="{00000000-0005-0000-0000-0000DD010000}"/>
    <cellStyle name="Calculation 2 15 11 3" xfId="2572" xr:uid="{00000000-0005-0000-0000-0000DE010000}"/>
    <cellStyle name="Calculation 2 15 12" xfId="291" xr:uid="{00000000-0005-0000-0000-0000DF010000}"/>
    <cellStyle name="Calculation 2 15 12 2" xfId="2698" xr:uid="{00000000-0005-0000-0000-0000E0010000}"/>
    <cellStyle name="Calculation 2 15 12 3" xfId="2571" xr:uid="{00000000-0005-0000-0000-0000E1010000}"/>
    <cellStyle name="Calculation 2 15 13" xfId="292" xr:uid="{00000000-0005-0000-0000-0000E2010000}"/>
    <cellStyle name="Calculation 2 15 13 2" xfId="2699" xr:uid="{00000000-0005-0000-0000-0000E3010000}"/>
    <cellStyle name="Calculation 2 15 13 3" xfId="2570" xr:uid="{00000000-0005-0000-0000-0000E4010000}"/>
    <cellStyle name="Calculation 2 15 14" xfId="293" xr:uid="{00000000-0005-0000-0000-0000E5010000}"/>
    <cellStyle name="Calculation 2 15 14 2" xfId="2700" xr:uid="{00000000-0005-0000-0000-0000E6010000}"/>
    <cellStyle name="Calculation 2 15 14 3" xfId="2569" xr:uid="{00000000-0005-0000-0000-0000E7010000}"/>
    <cellStyle name="Calculation 2 15 15" xfId="294" xr:uid="{00000000-0005-0000-0000-0000E8010000}"/>
    <cellStyle name="Calculation 2 15 15 2" xfId="2701" xr:uid="{00000000-0005-0000-0000-0000E9010000}"/>
    <cellStyle name="Calculation 2 15 15 3" xfId="2473" xr:uid="{00000000-0005-0000-0000-0000EA010000}"/>
    <cellStyle name="Calculation 2 15 16" xfId="295" xr:uid="{00000000-0005-0000-0000-0000EB010000}"/>
    <cellStyle name="Calculation 2 15 16 2" xfId="2702" xr:uid="{00000000-0005-0000-0000-0000EC010000}"/>
    <cellStyle name="Calculation 2 15 16 3" xfId="2568" xr:uid="{00000000-0005-0000-0000-0000ED010000}"/>
    <cellStyle name="Calculation 2 15 17" xfId="296" xr:uid="{00000000-0005-0000-0000-0000EE010000}"/>
    <cellStyle name="Calculation 2 15 17 2" xfId="2703" xr:uid="{00000000-0005-0000-0000-0000EF010000}"/>
    <cellStyle name="Calculation 2 15 17 3" xfId="2567" xr:uid="{00000000-0005-0000-0000-0000F0010000}"/>
    <cellStyle name="Calculation 2 15 18" xfId="297" xr:uid="{00000000-0005-0000-0000-0000F1010000}"/>
    <cellStyle name="Calculation 2 15 18 2" xfId="2704" xr:uid="{00000000-0005-0000-0000-0000F2010000}"/>
    <cellStyle name="Calculation 2 15 18 3" xfId="2472" xr:uid="{00000000-0005-0000-0000-0000F3010000}"/>
    <cellStyle name="Calculation 2 15 19" xfId="298" xr:uid="{00000000-0005-0000-0000-0000F4010000}"/>
    <cellStyle name="Calculation 2 15 19 2" xfId="2705" xr:uid="{00000000-0005-0000-0000-0000F5010000}"/>
    <cellStyle name="Calculation 2 15 19 3" xfId="2566" xr:uid="{00000000-0005-0000-0000-0000F6010000}"/>
    <cellStyle name="Calculation 2 15 2" xfId="299" xr:uid="{00000000-0005-0000-0000-0000F7010000}"/>
    <cellStyle name="Calculation 2 15 2 2" xfId="2706" xr:uid="{00000000-0005-0000-0000-0000F8010000}"/>
    <cellStyle name="Calculation 2 15 2 3" xfId="2565" xr:uid="{00000000-0005-0000-0000-0000F9010000}"/>
    <cellStyle name="Calculation 2 15 20" xfId="300" xr:uid="{00000000-0005-0000-0000-0000FA010000}"/>
    <cellStyle name="Calculation 2 15 20 2" xfId="2707" xr:uid="{00000000-0005-0000-0000-0000FB010000}"/>
    <cellStyle name="Calculation 2 15 20 3" xfId="2471" xr:uid="{00000000-0005-0000-0000-0000FC010000}"/>
    <cellStyle name="Calculation 2 15 21" xfId="301" xr:uid="{00000000-0005-0000-0000-0000FD010000}"/>
    <cellStyle name="Calculation 2 15 21 2" xfId="2708" xr:uid="{00000000-0005-0000-0000-0000FE010000}"/>
    <cellStyle name="Calculation 2 15 21 3" xfId="2564" xr:uid="{00000000-0005-0000-0000-0000FF010000}"/>
    <cellStyle name="Calculation 2 15 22" xfId="302" xr:uid="{00000000-0005-0000-0000-000000020000}"/>
    <cellStyle name="Calculation 2 15 22 2" xfId="2709" xr:uid="{00000000-0005-0000-0000-000001020000}"/>
    <cellStyle name="Calculation 2 15 22 3" xfId="2563" xr:uid="{00000000-0005-0000-0000-000002020000}"/>
    <cellStyle name="Calculation 2 15 23" xfId="303" xr:uid="{00000000-0005-0000-0000-000003020000}"/>
    <cellStyle name="Calculation 2 15 23 2" xfId="2710" xr:uid="{00000000-0005-0000-0000-000004020000}"/>
    <cellStyle name="Calculation 2 15 23 3" xfId="2470" xr:uid="{00000000-0005-0000-0000-000005020000}"/>
    <cellStyle name="Calculation 2 15 24" xfId="2695" xr:uid="{00000000-0005-0000-0000-000006020000}"/>
    <cellStyle name="Calculation 2 15 25" xfId="2574" xr:uid="{00000000-0005-0000-0000-000007020000}"/>
    <cellStyle name="Calculation 2 15 3" xfId="304" xr:uid="{00000000-0005-0000-0000-000008020000}"/>
    <cellStyle name="Calculation 2 15 3 2" xfId="2711" xr:uid="{00000000-0005-0000-0000-000009020000}"/>
    <cellStyle name="Calculation 2 15 3 3" xfId="2562" xr:uid="{00000000-0005-0000-0000-00000A020000}"/>
    <cellStyle name="Calculation 2 15 4" xfId="305" xr:uid="{00000000-0005-0000-0000-00000B020000}"/>
    <cellStyle name="Calculation 2 15 4 2" xfId="2712" xr:uid="{00000000-0005-0000-0000-00000C020000}"/>
    <cellStyle name="Calculation 2 15 4 3" xfId="2561" xr:uid="{00000000-0005-0000-0000-00000D020000}"/>
    <cellStyle name="Calculation 2 15 5" xfId="306" xr:uid="{00000000-0005-0000-0000-00000E020000}"/>
    <cellStyle name="Calculation 2 15 5 2" xfId="2713" xr:uid="{00000000-0005-0000-0000-00000F020000}"/>
    <cellStyle name="Calculation 2 15 5 3" xfId="2469" xr:uid="{00000000-0005-0000-0000-000010020000}"/>
    <cellStyle name="Calculation 2 15 6" xfId="307" xr:uid="{00000000-0005-0000-0000-000011020000}"/>
    <cellStyle name="Calculation 2 15 6 2" xfId="2714" xr:uid="{00000000-0005-0000-0000-000012020000}"/>
    <cellStyle name="Calculation 2 15 6 3" xfId="2560" xr:uid="{00000000-0005-0000-0000-000013020000}"/>
    <cellStyle name="Calculation 2 15 7" xfId="308" xr:uid="{00000000-0005-0000-0000-000014020000}"/>
    <cellStyle name="Calculation 2 15 7 2" xfId="2715" xr:uid="{00000000-0005-0000-0000-000015020000}"/>
    <cellStyle name="Calculation 2 15 7 3" xfId="2559" xr:uid="{00000000-0005-0000-0000-000016020000}"/>
    <cellStyle name="Calculation 2 15 8" xfId="309" xr:uid="{00000000-0005-0000-0000-000017020000}"/>
    <cellStyle name="Calculation 2 15 8 2" xfId="2716" xr:uid="{00000000-0005-0000-0000-000018020000}"/>
    <cellStyle name="Calculation 2 15 8 3" xfId="2468" xr:uid="{00000000-0005-0000-0000-000019020000}"/>
    <cellStyle name="Calculation 2 15 9" xfId="310" xr:uid="{00000000-0005-0000-0000-00001A020000}"/>
    <cellStyle name="Calculation 2 15 9 2" xfId="2717" xr:uid="{00000000-0005-0000-0000-00001B020000}"/>
    <cellStyle name="Calculation 2 15 9 3" xfId="2558" xr:uid="{00000000-0005-0000-0000-00001C020000}"/>
    <cellStyle name="Calculation 2 16" xfId="311" xr:uid="{00000000-0005-0000-0000-00001D020000}"/>
    <cellStyle name="Calculation 2 16 2" xfId="2718" xr:uid="{00000000-0005-0000-0000-00001E020000}"/>
    <cellStyle name="Calculation 2 16 3" xfId="2557" xr:uid="{00000000-0005-0000-0000-00001F020000}"/>
    <cellStyle name="Calculation 2 17" xfId="312" xr:uid="{00000000-0005-0000-0000-000020020000}"/>
    <cellStyle name="Calculation 2 17 2" xfId="2719" xr:uid="{00000000-0005-0000-0000-000021020000}"/>
    <cellStyle name="Calculation 2 17 3" xfId="2556" xr:uid="{00000000-0005-0000-0000-000022020000}"/>
    <cellStyle name="Calculation 2 18" xfId="313" xr:uid="{00000000-0005-0000-0000-000023020000}"/>
    <cellStyle name="Calculation 2 18 2" xfId="2720" xr:uid="{00000000-0005-0000-0000-000024020000}"/>
    <cellStyle name="Calculation 2 18 3" xfId="2555" xr:uid="{00000000-0005-0000-0000-000025020000}"/>
    <cellStyle name="Calculation 2 19" xfId="314" xr:uid="{00000000-0005-0000-0000-000026020000}"/>
    <cellStyle name="Calculation 2 19 2" xfId="2721" xr:uid="{00000000-0005-0000-0000-000027020000}"/>
    <cellStyle name="Calculation 2 19 3" xfId="2554" xr:uid="{00000000-0005-0000-0000-000028020000}"/>
    <cellStyle name="Calculation 2 2" xfId="315" xr:uid="{00000000-0005-0000-0000-000029020000}"/>
    <cellStyle name="Calculation 2 2 10" xfId="316" xr:uid="{00000000-0005-0000-0000-00002A020000}"/>
    <cellStyle name="Calculation 2 2 10 2" xfId="2723" xr:uid="{00000000-0005-0000-0000-00002B020000}"/>
    <cellStyle name="Calculation 2 2 10 3" xfId="2552" xr:uid="{00000000-0005-0000-0000-00002C020000}"/>
    <cellStyle name="Calculation 2 2 11" xfId="317" xr:uid="{00000000-0005-0000-0000-00002D020000}"/>
    <cellStyle name="Calculation 2 2 11 2" xfId="2724" xr:uid="{00000000-0005-0000-0000-00002E020000}"/>
    <cellStyle name="Calculation 2 2 11 3" xfId="2551" xr:uid="{00000000-0005-0000-0000-00002F020000}"/>
    <cellStyle name="Calculation 2 2 12" xfId="318" xr:uid="{00000000-0005-0000-0000-000030020000}"/>
    <cellStyle name="Calculation 2 2 12 2" xfId="2725" xr:uid="{00000000-0005-0000-0000-000031020000}"/>
    <cellStyle name="Calculation 2 2 12 3" xfId="2467" xr:uid="{00000000-0005-0000-0000-000032020000}"/>
    <cellStyle name="Calculation 2 2 13" xfId="319" xr:uid="{00000000-0005-0000-0000-000033020000}"/>
    <cellStyle name="Calculation 2 2 13 2" xfId="2726" xr:uid="{00000000-0005-0000-0000-000034020000}"/>
    <cellStyle name="Calculation 2 2 13 3" xfId="2550" xr:uid="{00000000-0005-0000-0000-000035020000}"/>
    <cellStyle name="Calculation 2 2 14" xfId="320" xr:uid="{00000000-0005-0000-0000-000036020000}"/>
    <cellStyle name="Calculation 2 2 14 2" xfId="2727" xr:uid="{00000000-0005-0000-0000-000037020000}"/>
    <cellStyle name="Calculation 2 2 14 3" xfId="2549" xr:uid="{00000000-0005-0000-0000-000038020000}"/>
    <cellStyle name="Calculation 2 2 15" xfId="321" xr:uid="{00000000-0005-0000-0000-000039020000}"/>
    <cellStyle name="Calculation 2 2 15 2" xfId="2728" xr:uid="{00000000-0005-0000-0000-00003A020000}"/>
    <cellStyle name="Calculation 2 2 15 3" xfId="2466" xr:uid="{00000000-0005-0000-0000-00003B020000}"/>
    <cellStyle name="Calculation 2 2 16" xfId="322" xr:uid="{00000000-0005-0000-0000-00003C020000}"/>
    <cellStyle name="Calculation 2 2 16 2" xfId="2729" xr:uid="{00000000-0005-0000-0000-00003D020000}"/>
    <cellStyle name="Calculation 2 2 16 3" xfId="2548" xr:uid="{00000000-0005-0000-0000-00003E020000}"/>
    <cellStyle name="Calculation 2 2 17" xfId="323" xr:uid="{00000000-0005-0000-0000-00003F020000}"/>
    <cellStyle name="Calculation 2 2 17 2" xfId="2730" xr:uid="{00000000-0005-0000-0000-000040020000}"/>
    <cellStyle name="Calculation 2 2 17 3" xfId="2547" xr:uid="{00000000-0005-0000-0000-000041020000}"/>
    <cellStyle name="Calculation 2 2 18" xfId="324" xr:uid="{00000000-0005-0000-0000-000042020000}"/>
    <cellStyle name="Calculation 2 2 18 2" xfId="2731" xr:uid="{00000000-0005-0000-0000-000043020000}"/>
    <cellStyle name="Calculation 2 2 18 3" xfId="2465" xr:uid="{00000000-0005-0000-0000-000044020000}"/>
    <cellStyle name="Calculation 2 2 19" xfId="325" xr:uid="{00000000-0005-0000-0000-000045020000}"/>
    <cellStyle name="Calculation 2 2 19 2" xfId="2732" xr:uid="{00000000-0005-0000-0000-000046020000}"/>
    <cellStyle name="Calculation 2 2 19 3" xfId="2546" xr:uid="{00000000-0005-0000-0000-000047020000}"/>
    <cellStyle name="Calculation 2 2 2" xfId="326" xr:uid="{00000000-0005-0000-0000-000048020000}"/>
    <cellStyle name="Calculation 2 2 2 2" xfId="2733" xr:uid="{00000000-0005-0000-0000-000049020000}"/>
    <cellStyle name="Calculation 2 2 2 3" xfId="2545" xr:uid="{00000000-0005-0000-0000-00004A020000}"/>
    <cellStyle name="Calculation 2 2 20" xfId="327" xr:uid="{00000000-0005-0000-0000-00004B020000}"/>
    <cellStyle name="Calculation 2 2 20 2" xfId="2734" xr:uid="{00000000-0005-0000-0000-00004C020000}"/>
    <cellStyle name="Calculation 2 2 20 3" xfId="2464" xr:uid="{00000000-0005-0000-0000-00004D020000}"/>
    <cellStyle name="Calculation 2 2 21" xfId="328" xr:uid="{00000000-0005-0000-0000-00004E020000}"/>
    <cellStyle name="Calculation 2 2 21 2" xfId="2735" xr:uid="{00000000-0005-0000-0000-00004F020000}"/>
    <cellStyle name="Calculation 2 2 21 3" xfId="2544" xr:uid="{00000000-0005-0000-0000-000050020000}"/>
    <cellStyle name="Calculation 2 2 22" xfId="329" xr:uid="{00000000-0005-0000-0000-000051020000}"/>
    <cellStyle name="Calculation 2 2 22 2" xfId="2736" xr:uid="{00000000-0005-0000-0000-000052020000}"/>
    <cellStyle name="Calculation 2 2 22 3" xfId="2543" xr:uid="{00000000-0005-0000-0000-000053020000}"/>
    <cellStyle name="Calculation 2 2 23" xfId="330" xr:uid="{00000000-0005-0000-0000-000054020000}"/>
    <cellStyle name="Calculation 2 2 23 2" xfId="2737" xr:uid="{00000000-0005-0000-0000-000055020000}"/>
    <cellStyle name="Calculation 2 2 23 3" xfId="2463" xr:uid="{00000000-0005-0000-0000-000056020000}"/>
    <cellStyle name="Calculation 2 2 24" xfId="2722" xr:uid="{00000000-0005-0000-0000-000057020000}"/>
    <cellStyle name="Calculation 2 2 25" xfId="2553" xr:uid="{00000000-0005-0000-0000-000058020000}"/>
    <cellStyle name="Calculation 2 2 3" xfId="331" xr:uid="{00000000-0005-0000-0000-000059020000}"/>
    <cellStyle name="Calculation 2 2 3 2" xfId="2738" xr:uid="{00000000-0005-0000-0000-00005A020000}"/>
    <cellStyle name="Calculation 2 2 3 3" xfId="2542" xr:uid="{00000000-0005-0000-0000-00005B020000}"/>
    <cellStyle name="Calculation 2 2 4" xfId="332" xr:uid="{00000000-0005-0000-0000-00005C020000}"/>
    <cellStyle name="Calculation 2 2 4 2" xfId="2739" xr:uid="{00000000-0005-0000-0000-00005D020000}"/>
    <cellStyle name="Calculation 2 2 4 3" xfId="2541" xr:uid="{00000000-0005-0000-0000-00005E020000}"/>
    <cellStyle name="Calculation 2 2 5" xfId="333" xr:uid="{00000000-0005-0000-0000-00005F020000}"/>
    <cellStyle name="Calculation 2 2 5 2" xfId="2740" xr:uid="{00000000-0005-0000-0000-000060020000}"/>
    <cellStyle name="Calculation 2 2 5 3" xfId="2462" xr:uid="{00000000-0005-0000-0000-000061020000}"/>
    <cellStyle name="Calculation 2 2 6" xfId="334" xr:uid="{00000000-0005-0000-0000-000062020000}"/>
    <cellStyle name="Calculation 2 2 6 2" xfId="2741" xr:uid="{00000000-0005-0000-0000-000063020000}"/>
    <cellStyle name="Calculation 2 2 6 3" xfId="2540" xr:uid="{00000000-0005-0000-0000-000064020000}"/>
    <cellStyle name="Calculation 2 2 7" xfId="335" xr:uid="{00000000-0005-0000-0000-000065020000}"/>
    <cellStyle name="Calculation 2 2 7 2" xfId="2742" xr:uid="{00000000-0005-0000-0000-000066020000}"/>
    <cellStyle name="Calculation 2 2 7 3" xfId="2539" xr:uid="{00000000-0005-0000-0000-000067020000}"/>
    <cellStyle name="Calculation 2 2 8" xfId="336" xr:uid="{00000000-0005-0000-0000-000068020000}"/>
    <cellStyle name="Calculation 2 2 8 2" xfId="2743" xr:uid="{00000000-0005-0000-0000-000069020000}"/>
    <cellStyle name="Calculation 2 2 8 3" xfId="2538" xr:uid="{00000000-0005-0000-0000-00006A020000}"/>
    <cellStyle name="Calculation 2 2 9" xfId="337" xr:uid="{00000000-0005-0000-0000-00006B020000}"/>
    <cellStyle name="Calculation 2 2 9 2" xfId="2744" xr:uid="{00000000-0005-0000-0000-00006C020000}"/>
    <cellStyle name="Calculation 2 2 9 3" xfId="2537" xr:uid="{00000000-0005-0000-0000-00006D020000}"/>
    <cellStyle name="Calculation 2 20" xfId="338" xr:uid="{00000000-0005-0000-0000-00006E020000}"/>
    <cellStyle name="Calculation 2 20 2" xfId="2745" xr:uid="{00000000-0005-0000-0000-00006F020000}"/>
    <cellStyle name="Calculation 2 20 3" xfId="2536" xr:uid="{00000000-0005-0000-0000-000070020000}"/>
    <cellStyle name="Calculation 2 21" xfId="339" xr:uid="{00000000-0005-0000-0000-000071020000}"/>
    <cellStyle name="Calculation 2 21 2" xfId="2746" xr:uid="{00000000-0005-0000-0000-000072020000}"/>
    <cellStyle name="Calculation 2 21 3" xfId="2535" xr:uid="{00000000-0005-0000-0000-000073020000}"/>
    <cellStyle name="Calculation 2 22" xfId="340" xr:uid="{00000000-0005-0000-0000-000074020000}"/>
    <cellStyle name="Calculation 2 22 2" xfId="2747" xr:uid="{00000000-0005-0000-0000-000075020000}"/>
    <cellStyle name="Calculation 2 22 3" xfId="2534" xr:uid="{00000000-0005-0000-0000-000076020000}"/>
    <cellStyle name="Calculation 2 23" xfId="341" xr:uid="{00000000-0005-0000-0000-000077020000}"/>
    <cellStyle name="Calculation 2 23 2" xfId="2748" xr:uid="{00000000-0005-0000-0000-000078020000}"/>
    <cellStyle name="Calculation 2 23 3" xfId="2533" xr:uid="{00000000-0005-0000-0000-000079020000}"/>
    <cellStyle name="Calculation 2 24" xfId="342" xr:uid="{00000000-0005-0000-0000-00007A020000}"/>
    <cellStyle name="Calculation 2 24 2" xfId="2749" xr:uid="{00000000-0005-0000-0000-00007B020000}"/>
    <cellStyle name="Calculation 2 24 3" xfId="2461" xr:uid="{00000000-0005-0000-0000-00007C020000}"/>
    <cellStyle name="Calculation 2 25" xfId="343" xr:uid="{00000000-0005-0000-0000-00007D020000}"/>
    <cellStyle name="Calculation 2 25 2" xfId="2750" xr:uid="{00000000-0005-0000-0000-00007E020000}"/>
    <cellStyle name="Calculation 2 25 3" xfId="2532" xr:uid="{00000000-0005-0000-0000-00007F020000}"/>
    <cellStyle name="Calculation 2 26" xfId="344" xr:uid="{00000000-0005-0000-0000-000080020000}"/>
    <cellStyle name="Calculation 2 26 2" xfId="2751" xr:uid="{00000000-0005-0000-0000-000081020000}"/>
    <cellStyle name="Calculation 2 26 3" xfId="2531" xr:uid="{00000000-0005-0000-0000-000082020000}"/>
    <cellStyle name="Calculation 2 27" xfId="345" xr:uid="{00000000-0005-0000-0000-000083020000}"/>
    <cellStyle name="Calculation 2 27 2" xfId="2752" xr:uid="{00000000-0005-0000-0000-000084020000}"/>
    <cellStyle name="Calculation 2 27 3" xfId="2460" xr:uid="{00000000-0005-0000-0000-000085020000}"/>
    <cellStyle name="Calculation 2 28" xfId="346" xr:uid="{00000000-0005-0000-0000-000086020000}"/>
    <cellStyle name="Calculation 2 28 2" xfId="2753" xr:uid="{00000000-0005-0000-0000-000087020000}"/>
    <cellStyle name="Calculation 2 28 3" xfId="2530" xr:uid="{00000000-0005-0000-0000-000088020000}"/>
    <cellStyle name="Calculation 2 29" xfId="347" xr:uid="{00000000-0005-0000-0000-000089020000}"/>
    <cellStyle name="Calculation 2 29 2" xfId="2754" xr:uid="{00000000-0005-0000-0000-00008A020000}"/>
    <cellStyle name="Calculation 2 29 3" xfId="2529" xr:uid="{00000000-0005-0000-0000-00008B020000}"/>
    <cellStyle name="Calculation 2 3" xfId="348" xr:uid="{00000000-0005-0000-0000-00008C020000}"/>
    <cellStyle name="Calculation 2 3 10" xfId="349" xr:uid="{00000000-0005-0000-0000-00008D020000}"/>
    <cellStyle name="Calculation 2 3 10 2" xfId="2756" xr:uid="{00000000-0005-0000-0000-00008E020000}"/>
    <cellStyle name="Calculation 2 3 10 3" xfId="2528" xr:uid="{00000000-0005-0000-0000-00008F020000}"/>
    <cellStyle name="Calculation 2 3 11" xfId="350" xr:uid="{00000000-0005-0000-0000-000090020000}"/>
    <cellStyle name="Calculation 2 3 11 2" xfId="2757" xr:uid="{00000000-0005-0000-0000-000091020000}"/>
    <cellStyle name="Calculation 2 3 11 3" xfId="2527" xr:uid="{00000000-0005-0000-0000-000092020000}"/>
    <cellStyle name="Calculation 2 3 12" xfId="351" xr:uid="{00000000-0005-0000-0000-000093020000}"/>
    <cellStyle name="Calculation 2 3 12 2" xfId="2758" xr:uid="{00000000-0005-0000-0000-000094020000}"/>
    <cellStyle name="Calculation 2 3 12 3" xfId="2458" xr:uid="{00000000-0005-0000-0000-000095020000}"/>
    <cellStyle name="Calculation 2 3 13" xfId="352" xr:uid="{00000000-0005-0000-0000-000096020000}"/>
    <cellStyle name="Calculation 2 3 13 2" xfId="2759" xr:uid="{00000000-0005-0000-0000-000097020000}"/>
    <cellStyle name="Calculation 2 3 13 3" xfId="2526" xr:uid="{00000000-0005-0000-0000-000098020000}"/>
    <cellStyle name="Calculation 2 3 14" xfId="353" xr:uid="{00000000-0005-0000-0000-000099020000}"/>
    <cellStyle name="Calculation 2 3 14 2" xfId="2760" xr:uid="{00000000-0005-0000-0000-00009A020000}"/>
    <cellStyle name="Calculation 2 3 14 3" xfId="2525" xr:uid="{00000000-0005-0000-0000-00009B020000}"/>
    <cellStyle name="Calculation 2 3 15" xfId="354" xr:uid="{00000000-0005-0000-0000-00009C020000}"/>
    <cellStyle name="Calculation 2 3 15 2" xfId="2761" xr:uid="{00000000-0005-0000-0000-00009D020000}"/>
    <cellStyle name="Calculation 2 3 15 3" xfId="2457" xr:uid="{00000000-0005-0000-0000-00009E020000}"/>
    <cellStyle name="Calculation 2 3 16" xfId="355" xr:uid="{00000000-0005-0000-0000-00009F020000}"/>
    <cellStyle name="Calculation 2 3 16 2" xfId="2762" xr:uid="{00000000-0005-0000-0000-0000A0020000}"/>
    <cellStyle name="Calculation 2 3 16 3" xfId="2524" xr:uid="{00000000-0005-0000-0000-0000A1020000}"/>
    <cellStyle name="Calculation 2 3 17" xfId="356" xr:uid="{00000000-0005-0000-0000-0000A2020000}"/>
    <cellStyle name="Calculation 2 3 17 2" xfId="2763" xr:uid="{00000000-0005-0000-0000-0000A3020000}"/>
    <cellStyle name="Calculation 2 3 17 3" xfId="2523" xr:uid="{00000000-0005-0000-0000-0000A4020000}"/>
    <cellStyle name="Calculation 2 3 18" xfId="357" xr:uid="{00000000-0005-0000-0000-0000A5020000}"/>
    <cellStyle name="Calculation 2 3 18 2" xfId="2764" xr:uid="{00000000-0005-0000-0000-0000A6020000}"/>
    <cellStyle name="Calculation 2 3 18 3" xfId="2456" xr:uid="{00000000-0005-0000-0000-0000A7020000}"/>
    <cellStyle name="Calculation 2 3 19" xfId="358" xr:uid="{00000000-0005-0000-0000-0000A8020000}"/>
    <cellStyle name="Calculation 2 3 19 2" xfId="2765" xr:uid="{00000000-0005-0000-0000-0000A9020000}"/>
    <cellStyle name="Calculation 2 3 19 3" xfId="2522" xr:uid="{00000000-0005-0000-0000-0000AA020000}"/>
    <cellStyle name="Calculation 2 3 2" xfId="359" xr:uid="{00000000-0005-0000-0000-0000AB020000}"/>
    <cellStyle name="Calculation 2 3 2 2" xfId="2766" xr:uid="{00000000-0005-0000-0000-0000AC020000}"/>
    <cellStyle name="Calculation 2 3 2 3" xfId="2521" xr:uid="{00000000-0005-0000-0000-0000AD020000}"/>
    <cellStyle name="Calculation 2 3 20" xfId="360" xr:uid="{00000000-0005-0000-0000-0000AE020000}"/>
    <cellStyle name="Calculation 2 3 20 2" xfId="2767" xr:uid="{00000000-0005-0000-0000-0000AF020000}"/>
    <cellStyle name="Calculation 2 3 20 3" xfId="2520" xr:uid="{00000000-0005-0000-0000-0000B0020000}"/>
    <cellStyle name="Calculation 2 3 21" xfId="361" xr:uid="{00000000-0005-0000-0000-0000B1020000}"/>
    <cellStyle name="Calculation 2 3 21 2" xfId="2768" xr:uid="{00000000-0005-0000-0000-0000B2020000}"/>
    <cellStyle name="Calculation 2 3 21 3" xfId="2519" xr:uid="{00000000-0005-0000-0000-0000B3020000}"/>
    <cellStyle name="Calculation 2 3 22" xfId="362" xr:uid="{00000000-0005-0000-0000-0000B4020000}"/>
    <cellStyle name="Calculation 2 3 22 2" xfId="2769" xr:uid="{00000000-0005-0000-0000-0000B5020000}"/>
    <cellStyle name="Calculation 2 3 22 3" xfId="2518" xr:uid="{00000000-0005-0000-0000-0000B6020000}"/>
    <cellStyle name="Calculation 2 3 23" xfId="363" xr:uid="{00000000-0005-0000-0000-0000B7020000}"/>
    <cellStyle name="Calculation 2 3 23 2" xfId="2770" xr:uid="{00000000-0005-0000-0000-0000B8020000}"/>
    <cellStyle name="Calculation 2 3 23 3" xfId="2517" xr:uid="{00000000-0005-0000-0000-0000B9020000}"/>
    <cellStyle name="Calculation 2 3 24" xfId="2755" xr:uid="{00000000-0005-0000-0000-0000BA020000}"/>
    <cellStyle name="Calculation 2 3 25" xfId="2459" xr:uid="{00000000-0005-0000-0000-0000BB020000}"/>
    <cellStyle name="Calculation 2 3 3" xfId="364" xr:uid="{00000000-0005-0000-0000-0000BC020000}"/>
    <cellStyle name="Calculation 2 3 3 2" xfId="2771" xr:uid="{00000000-0005-0000-0000-0000BD020000}"/>
    <cellStyle name="Calculation 2 3 3 3" xfId="2516" xr:uid="{00000000-0005-0000-0000-0000BE020000}"/>
    <cellStyle name="Calculation 2 3 4" xfId="365" xr:uid="{00000000-0005-0000-0000-0000BF020000}"/>
    <cellStyle name="Calculation 2 3 4 2" xfId="2772" xr:uid="{00000000-0005-0000-0000-0000C0020000}"/>
    <cellStyle name="Calculation 2 3 4 3" xfId="2515" xr:uid="{00000000-0005-0000-0000-0000C1020000}"/>
    <cellStyle name="Calculation 2 3 5" xfId="366" xr:uid="{00000000-0005-0000-0000-0000C2020000}"/>
    <cellStyle name="Calculation 2 3 5 2" xfId="2773" xr:uid="{00000000-0005-0000-0000-0000C3020000}"/>
    <cellStyle name="Calculation 2 3 5 3" xfId="2455" xr:uid="{00000000-0005-0000-0000-0000C4020000}"/>
    <cellStyle name="Calculation 2 3 6" xfId="367" xr:uid="{00000000-0005-0000-0000-0000C5020000}"/>
    <cellStyle name="Calculation 2 3 6 2" xfId="2774" xr:uid="{00000000-0005-0000-0000-0000C6020000}"/>
    <cellStyle name="Calculation 2 3 6 3" xfId="2514" xr:uid="{00000000-0005-0000-0000-0000C7020000}"/>
    <cellStyle name="Calculation 2 3 7" xfId="368" xr:uid="{00000000-0005-0000-0000-0000C8020000}"/>
    <cellStyle name="Calculation 2 3 7 2" xfId="2775" xr:uid="{00000000-0005-0000-0000-0000C9020000}"/>
    <cellStyle name="Calculation 2 3 7 3" xfId="2513" xr:uid="{00000000-0005-0000-0000-0000CA020000}"/>
    <cellStyle name="Calculation 2 3 8" xfId="369" xr:uid="{00000000-0005-0000-0000-0000CB020000}"/>
    <cellStyle name="Calculation 2 3 8 2" xfId="2776" xr:uid="{00000000-0005-0000-0000-0000CC020000}"/>
    <cellStyle name="Calculation 2 3 8 3" xfId="2454" xr:uid="{00000000-0005-0000-0000-0000CD020000}"/>
    <cellStyle name="Calculation 2 3 9" xfId="370" xr:uid="{00000000-0005-0000-0000-0000CE020000}"/>
    <cellStyle name="Calculation 2 3 9 2" xfId="2777" xr:uid="{00000000-0005-0000-0000-0000CF020000}"/>
    <cellStyle name="Calculation 2 3 9 3" xfId="2512" xr:uid="{00000000-0005-0000-0000-0000D0020000}"/>
    <cellStyle name="Calculation 2 30" xfId="371" xr:uid="{00000000-0005-0000-0000-0000D1020000}"/>
    <cellStyle name="Calculation 2 30 2" xfId="2778" xr:uid="{00000000-0005-0000-0000-0000D2020000}"/>
    <cellStyle name="Calculation 2 30 3" xfId="2511" xr:uid="{00000000-0005-0000-0000-0000D3020000}"/>
    <cellStyle name="Calculation 2 31" xfId="372" xr:uid="{00000000-0005-0000-0000-0000D4020000}"/>
    <cellStyle name="Calculation 2 31 2" xfId="2779" xr:uid="{00000000-0005-0000-0000-0000D5020000}"/>
    <cellStyle name="Calculation 2 31 3" xfId="2453" xr:uid="{00000000-0005-0000-0000-0000D6020000}"/>
    <cellStyle name="Calculation 2 32" xfId="373" xr:uid="{00000000-0005-0000-0000-0000D7020000}"/>
    <cellStyle name="Calculation 2 32 2" xfId="2780" xr:uid="{00000000-0005-0000-0000-0000D8020000}"/>
    <cellStyle name="Calculation 2 32 3" xfId="2510" xr:uid="{00000000-0005-0000-0000-0000D9020000}"/>
    <cellStyle name="Calculation 2 33" xfId="374" xr:uid="{00000000-0005-0000-0000-0000DA020000}"/>
    <cellStyle name="Calculation 2 33 2" xfId="2781" xr:uid="{00000000-0005-0000-0000-0000DB020000}"/>
    <cellStyle name="Calculation 2 33 3" xfId="2509" xr:uid="{00000000-0005-0000-0000-0000DC020000}"/>
    <cellStyle name="Calculation 2 34" xfId="375" xr:uid="{00000000-0005-0000-0000-0000DD020000}"/>
    <cellStyle name="Calculation 2 34 2" xfId="2782" xr:uid="{00000000-0005-0000-0000-0000DE020000}"/>
    <cellStyle name="Calculation 2 34 3" xfId="2452" xr:uid="{00000000-0005-0000-0000-0000DF020000}"/>
    <cellStyle name="Calculation 2 35" xfId="376" xr:uid="{00000000-0005-0000-0000-0000E0020000}"/>
    <cellStyle name="Calculation 2 35 2" xfId="2783" xr:uid="{00000000-0005-0000-0000-0000E1020000}"/>
    <cellStyle name="Calculation 2 35 3" xfId="2508" xr:uid="{00000000-0005-0000-0000-0000E2020000}"/>
    <cellStyle name="Calculation 2 36" xfId="377" xr:uid="{00000000-0005-0000-0000-0000E3020000}"/>
    <cellStyle name="Calculation 2 36 2" xfId="2784" xr:uid="{00000000-0005-0000-0000-0000E4020000}"/>
    <cellStyle name="Calculation 2 36 3" xfId="2507" xr:uid="{00000000-0005-0000-0000-0000E5020000}"/>
    <cellStyle name="Calculation 2 37" xfId="378" xr:uid="{00000000-0005-0000-0000-0000E6020000}"/>
    <cellStyle name="Calculation 2 37 2" xfId="2785" xr:uid="{00000000-0005-0000-0000-0000E7020000}"/>
    <cellStyle name="Calculation 2 37 3" xfId="2451" xr:uid="{00000000-0005-0000-0000-0000E8020000}"/>
    <cellStyle name="Calculation 2 38" xfId="2579" xr:uid="{00000000-0005-0000-0000-0000E9020000}"/>
    <cellStyle name="Calculation 2 39" xfId="2484" xr:uid="{00000000-0005-0000-0000-0000EA020000}"/>
    <cellStyle name="Calculation 2 4" xfId="379" xr:uid="{00000000-0005-0000-0000-0000EB020000}"/>
    <cellStyle name="Calculation 2 4 10" xfId="380" xr:uid="{00000000-0005-0000-0000-0000EC020000}"/>
    <cellStyle name="Calculation 2 4 10 2" xfId="2787" xr:uid="{00000000-0005-0000-0000-0000ED020000}"/>
    <cellStyle name="Calculation 2 4 10 3" xfId="2505" xr:uid="{00000000-0005-0000-0000-0000EE020000}"/>
    <cellStyle name="Calculation 2 4 11" xfId="381" xr:uid="{00000000-0005-0000-0000-0000EF020000}"/>
    <cellStyle name="Calculation 2 4 11 2" xfId="2788" xr:uid="{00000000-0005-0000-0000-0000F0020000}"/>
    <cellStyle name="Calculation 2 4 11 3" xfId="2450" xr:uid="{00000000-0005-0000-0000-0000F1020000}"/>
    <cellStyle name="Calculation 2 4 12" xfId="382" xr:uid="{00000000-0005-0000-0000-0000F2020000}"/>
    <cellStyle name="Calculation 2 4 12 2" xfId="2789" xr:uid="{00000000-0005-0000-0000-0000F3020000}"/>
    <cellStyle name="Calculation 2 4 12 3" xfId="4783" xr:uid="{00000000-0005-0000-0000-0000F4020000}"/>
    <cellStyle name="Calculation 2 4 13" xfId="383" xr:uid="{00000000-0005-0000-0000-0000F5020000}"/>
    <cellStyle name="Calculation 2 4 13 2" xfId="2790" xr:uid="{00000000-0005-0000-0000-0000F6020000}"/>
    <cellStyle name="Calculation 2 4 13 3" xfId="4784" xr:uid="{00000000-0005-0000-0000-0000F7020000}"/>
    <cellStyle name="Calculation 2 4 14" xfId="384" xr:uid="{00000000-0005-0000-0000-0000F8020000}"/>
    <cellStyle name="Calculation 2 4 14 2" xfId="2791" xr:uid="{00000000-0005-0000-0000-0000F9020000}"/>
    <cellStyle name="Calculation 2 4 14 3" xfId="4785" xr:uid="{00000000-0005-0000-0000-0000FA020000}"/>
    <cellStyle name="Calculation 2 4 15" xfId="385" xr:uid="{00000000-0005-0000-0000-0000FB020000}"/>
    <cellStyle name="Calculation 2 4 15 2" xfId="2792" xr:uid="{00000000-0005-0000-0000-0000FC020000}"/>
    <cellStyle name="Calculation 2 4 15 3" xfId="4786" xr:uid="{00000000-0005-0000-0000-0000FD020000}"/>
    <cellStyle name="Calculation 2 4 16" xfId="386" xr:uid="{00000000-0005-0000-0000-0000FE020000}"/>
    <cellStyle name="Calculation 2 4 16 2" xfId="2793" xr:uid="{00000000-0005-0000-0000-0000FF020000}"/>
    <cellStyle name="Calculation 2 4 16 3" xfId="4787" xr:uid="{00000000-0005-0000-0000-000000030000}"/>
    <cellStyle name="Calculation 2 4 17" xfId="387" xr:uid="{00000000-0005-0000-0000-000001030000}"/>
    <cellStyle name="Calculation 2 4 17 2" xfId="2794" xr:uid="{00000000-0005-0000-0000-000002030000}"/>
    <cellStyle name="Calculation 2 4 17 3" xfId="4788" xr:uid="{00000000-0005-0000-0000-000003030000}"/>
    <cellStyle name="Calculation 2 4 18" xfId="388" xr:uid="{00000000-0005-0000-0000-000004030000}"/>
    <cellStyle name="Calculation 2 4 18 2" xfId="2795" xr:uid="{00000000-0005-0000-0000-000005030000}"/>
    <cellStyle name="Calculation 2 4 18 3" xfId="4789" xr:uid="{00000000-0005-0000-0000-000006030000}"/>
    <cellStyle name="Calculation 2 4 19" xfId="389" xr:uid="{00000000-0005-0000-0000-000007030000}"/>
    <cellStyle name="Calculation 2 4 19 2" xfId="2796" xr:uid="{00000000-0005-0000-0000-000008030000}"/>
    <cellStyle name="Calculation 2 4 19 3" xfId="4790" xr:uid="{00000000-0005-0000-0000-000009030000}"/>
    <cellStyle name="Calculation 2 4 2" xfId="390" xr:uid="{00000000-0005-0000-0000-00000A030000}"/>
    <cellStyle name="Calculation 2 4 2 2" xfId="2797" xr:uid="{00000000-0005-0000-0000-00000B030000}"/>
    <cellStyle name="Calculation 2 4 2 3" xfId="4791" xr:uid="{00000000-0005-0000-0000-00000C030000}"/>
    <cellStyle name="Calculation 2 4 20" xfId="391" xr:uid="{00000000-0005-0000-0000-00000D030000}"/>
    <cellStyle name="Calculation 2 4 20 2" xfId="2798" xr:uid="{00000000-0005-0000-0000-00000E030000}"/>
    <cellStyle name="Calculation 2 4 20 3" xfId="4792" xr:uid="{00000000-0005-0000-0000-00000F030000}"/>
    <cellStyle name="Calculation 2 4 21" xfId="392" xr:uid="{00000000-0005-0000-0000-000010030000}"/>
    <cellStyle name="Calculation 2 4 21 2" xfId="2799" xr:uid="{00000000-0005-0000-0000-000011030000}"/>
    <cellStyle name="Calculation 2 4 21 3" xfId="4793" xr:uid="{00000000-0005-0000-0000-000012030000}"/>
    <cellStyle name="Calculation 2 4 22" xfId="393" xr:uid="{00000000-0005-0000-0000-000013030000}"/>
    <cellStyle name="Calculation 2 4 22 2" xfId="2800" xr:uid="{00000000-0005-0000-0000-000014030000}"/>
    <cellStyle name="Calculation 2 4 22 3" xfId="4794" xr:uid="{00000000-0005-0000-0000-000015030000}"/>
    <cellStyle name="Calculation 2 4 23" xfId="394" xr:uid="{00000000-0005-0000-0000-000016030000}"/>
    <cellStyle name="Calculation 2 4 23 2" xfId="2801" xr:uid="{00000000-0005-0000-0000-000017030000}"/>
    <cellStyle name="Calculation 2 4 23 3" xfId="4795" xr:uid="{00000000-0005-0000-0000-000018030000}"/>
    <cellStyle name="Calculation 2 4 24" xfId="2786" xr:uid="{00000000-0005-0000-0000-000019030000}"/>
    <cellStyle name="Calculation 2 4 25" xfId="2506" xr:uid="{00000000-0005-0000-0000-00001A030000}"/>
    <cellStyle name="Calculation 2 4 3" xfId="395" xr:uid="{00000000-0005-0000-0000-00001B030000}"/>
    <cellStyle name="Calculation 2 4 3 2" xfId="2802" xr:uid="{00000000-0005-0000-0000-00001C030000}"/>
    <cellStyle name="Calculation 2 4 3 3" xfId="4796" xr:uid="{00000000-0005-0000-0000-00001D030000}"/>
    <cellStyle name="Calculation 2 4 4" xfId="396" xr:uid="{00000000-0005-0000-0000-00001E030000}"/>
    <cellStyle name="Calculation 2 4 4 2" xfId="2803" xr:uid="{00000000-0005-0000-0000-00001F030000}"/>
    <cellStyle name="Calculation 2 4 4 3" xfId="4797" xr:uid="{00000000-0005-0000-0000-000020030000}"/>
    <cellStyle name="Calculation 2 4 5" xfId="397" xr:uid="{00000000-0005-0000-0000-000021030000}"/>
    <cellStyle name="Calculation 2 4 5 2" xfId="2804" xr:uid="{00000000-0005-0000-0000-000022030000}"/>
    <cellStyle name="Calculation 2 4 5 3" xfId="4798" xr:uid="{00000000-0005-0000-0000-000023030000}"/>
    <cellStyle name="Calculation 2 4 6" xfId="398" xr:uid="{00000000-0005-0000-0000-000024030000}"/>
    <cellStyle name="Calculation 2 4 6 2" xfId="2805" xr:uid="{00000000-0005-0000-0000-000025030000}"/>
    <cellStyle name="Calculation 2 4 6 3" xfId="4799" xr:uid="{00000000-0005-0000-0000-000026030000}"/>
    <cellStyle name="Calculation 2 4 7" xfId="399" xr:uid="{00000000-0005-0000-0000-000027030000}"/>
    <cellStyle name="Calculation 2 4 7 2" xfId="2806" xr:uid="{00000000-0005-0000-0000-000028030000}"/>
    <cellStyle name="Calculation 2 4 7 3" xfId="4800" xr:uid="{00000000-0005-0000-0000-000029030000}"/>
    <cellStyle name="Calculation 2 4 8" xfId="400" xr:uid="{00000000-0005-0000-0000-00002A030000}"/>
    <cellStyle name="Calculation 2 4 8 2" xfId="2807" xr:uid="{00000000-0005-0000-0000-00002B030000}"/>
    <cellStyle name="Calculation 2 4 8 3" xfId="4801" xr:uid="{00000000-0005-0000-0000-00002C030000}"/>
    <cellStyle name="Calculation 2 4 9" xfId="401" xr:uid="{00000000-0005-0000-0000-00002D030000}"/>
    <cellStyle name="Calculation 2 4 9 2" xfId="2808" xr:uid="{00000000-0005-0000-0000-00002E030000}"/>
    <cellStyle name="Calculation 2 4 9 3" xfId="4802" xr:uid="{00000000-0005-0000-0000-00002F030000}"/>
    <cellStyle name="Calculation 2 5" xfId="402" xr:uid="{00000000-0005-0000-0000-000030030000}"/>
    <cellStyle name="Calculation 2 5 10" xfId="403" xr:uid="{00000000-0005-0000-0000-000031030000}"/>
    <cellStyle name="Calculation 2 5 10 2" xfId="2810" xr:uid="{00000000-0005-0000-0000-000032030000}"/>
    <cellStyle name="Calculation 2 5 10 3" xfId="4804" xr:uid="{00000000-0005-0000-0000-000033030000}"/>
    <cellStyle name="Calculation 2 5 11" xfId="404" xr:uid="{00000000-0005-0000-0000-000034030000}"/>
    <cellStyle name="Calculation 2 5 11 2" xfId="2811" xr:uid="{00000000-0005-0000-0000-000035030000}"/>
    <cellStyle name="Calculation 2 5 11 3" xfId="4805" xr:uid="{00000000-0005-0000-0000-000036030000}"/>
    <cellStyle name="Calculation 2 5 12" xfId="405" xr:uid="{00000000-0005-0000-0000-000037030000}"/>
    <cellStyle name="Calculation 2 5 12 2" xfId="2812" xr:uid="{00000000-0005-0000-0000-000038030000}"/>
    <cellStyle name="Calculation 2 5 12 3" xfId="4806" xr:uid="{00000000-0005-0000-0000-000039030000}"/>
    <cellStyle name="Calculation 2 5 13" xfId="406" xr:uid="{00000000-0005-0000-0000-00003A030000}"/>
    <cellStyle name="Calculation 2 5 13 2" xfId="2813" xr:uid="{00000000-0005-0000-0000-00003B030000}"/>
    <cellStyle name="Calculation 2 5 13 3" xfId="4807" xr:uid="{00000000-0005-0000-0000-00003C030000}"/>
    <cellStyle name="Calculation 2 5 14" xfId="407" xr:uid="{00000000-0005-0000-0000-00003D030000}"/>
    <cellStyle name="Calculation 2 5 14 2" xfId="2814" xr:uid="{00000000-0005-0000-0000-00003E030000}"/>
    <cellStyle name="Calculation 2 5 14 3" xfId="4808" xr:uid="{00000000-0005-0000-0000-00003F030000}"/>
    <cellStyle name="Calculation 2 5 15" xfId="408" xr:uid="{00000000-0005-0000-0000-000040030000}"/>
    <cellStyle name="Calculation 2 5 15 2" xfId="2815" xr:uid="{00000000-0005-0000-0000-000041030000}"/>
    <cellStyle name="Calculation 2 5 15 3" xfId="4809" xr:uid="{00000000-0005-0000-0000-000042030000}"/>
    <cellStyle name="Calculation 2 5 16" xfId="409" xr:uid="{00000000-0005-0000-0000-000043030000}"/>
    <cellStyle name="Calculation 2 5 16 2" xfId="2816" xr:uid="{00000000-0005-0000-0000-000044030000}"/>
    <cellStyle name="Calculation 2 5 16 3" xfId="4810" xr:uid="{00000000-0005-0000-0000-000045030000}"/>
    <cellStyle name="Calculation 2 5 17" xfId="410" xr:uid="{00000000-0005-0000-0000-000046030000}"/>
    <cellStyle name="Calculation 2 5 17 2" xfId="2817" xr:uid="{00000000-0005-0000-0000-000047030000}"/>
    <cellStyle name="Calculation 2 5 17 3" xfId="4811" xr:uid="{00000000-0005-0000-0000-000048030000}"/>
    <cellStyle name="Calculation 2 5 18" xfId="411" xr:uid="{00000000-0005-0000-0000-000049030000}"/>
    <cellStyle name="Calculation 2 5 18 2" xfId="2818" xr:uid="{00000000-0005-0000-0000-00004A030000}"/>
    <cellStyle name="Calculation 2 5 18 3" xfId="4812" xr:uid="{00000000-0005-0000-0000-00004B030000}"/>
    <cellStyle name="Calculation 2 5 19" xfId="412" xr:uid="{00000000-0005-0000-0000-00004C030000}"/>
    <cellStyle name="Calculation 2 5 19 2" xfId="2819" xr:uid="{00000000-0005-0000-0000-00004D030000}"/>
    <cellStyle name="Calculation 2 5 19 3" xfId="4813" xr:uid="{00000000-0005-0000-0000-00004E030000}"/>
    <cellStyle name="Calculation 2 5 2" xfId="413" xr:uid="{00000000-0005-0000-0000-00004F030000}"/>
    <cellStyle name="Calculation 2 5 2 2" xfId="2820" xr:uid="{00000000-0005-0000-0000-000050030000}"/>
    <cellStyle name="Calculation 2 5 2 3" xfId="4814" xr:uid="{00000000-0005-0000-0000-000051030000}"/>
    <cellStyle name="Calculation 2 5 20" xfId="414" xr:uid="{00000000-0005-0000-0000-000052030000}"/>
    <cellStyle name="Calculation 2 5 20 2" xfId="2821" xr:uid="{00000000-0005-0000-0000-000053030000}"/>
    <cellStyle name="Calculation 2 5 20 3" xfId="4815" xr:uid="{00000000-0005-0000-0000-000054030000}"/>
    <cellStyle name="Calculation 2 5 21" xfId="415" xr:uid="{00000000-0005-0000-0000-000055030000}"/>
    <cellStyle name="Calculation 2 5 21 2" xfId="2822" xr:uid="{00000000-0005-0000-0000-000056030000}"/>
    <cellStyle name="Calculation 2 5 21 3" xfId="4816" xr:uid="{00000000-0005-0000-0000-000057030000}"/>
    <cellStyle name="Calculation 2 5 22" xfId="416" xr:uid="{00000000-0005-0000-0000-000058030000}"/>
    <cellStyle name="Calculation 2 5 22 2" xfId="2823" xr:uid="{00000000-0005-0000-0000-000059030000}"/>
    <cellStyle name="Calculation 2 5 22 3" xfId="4817" xr:uid="{00000000-0005-0000-0000-00005A030000}"/>
    <cellStyle name="Calculation 2 5 23" xfId="417" xr:uid="{00000000-0005-0000-0000-00005B030000}"/>
    <cellStyle name="Calculation 2 5 23 2" xfId="2824" xr:uid="{00000000-0005-0000-0000-00005C030000}"/>
    <cellStyle name="Calculation 2 5 23 3" xfId="4818" xr:uid="{00000000-0005-0000-0000-00005D030000}"/>
    <cellStyle name="Calculation 2 5 24" xfId="2809" xr:uid="{00000000-0005-0000-0000-00005E030000}"/>
    <cellStyle name="Calculation 2 5 25" xfId="4803" xr:uid="{00000000-0005-0000-0000-00005F030000}"/>
    <cellStyle name="Calculation 2 5 3" xfId="418" xr:uid="{00000000-0005-0000-0000-000060030000}"/>
    <cellStyle name="Calculation 2 5 3 2" xfId="2825" xr:uid="{00000000-0005-0000-0000-000061030000}"/>
    <cellStyle name="Calculation 2 5 3 3" xfId="4819" xr:uid="{00000000-0005-0000-0000-000062030000}"/>
    <cellStyle name="Calculation 2 5 4" xfId="419" xr:uid="{00000000-0005-0000-0000-000063030000}"/>
    <cellStyle name="Calculation 2 5 4 2" xfId="2826" xr:uid="{00000000-0005-0000-0000-000064030000}"/>
    <cellStyle name="Calculation 2 5 4 3" xfId="4820" xr:uid="{00000000-0005-0000-0000-000065030000}"/>
    <cellStyle name="Calculation 2 5 5" xfId="420" xr:uid="{00000000-0005-0000-0000-000066030000}"/>
    <cellStyle name="Calculation 2 5 5 2" xfId="2827" xr:uid="{00000000-0005-0000-0000-000067030000}"/>
    <cellStyle name="Calculation 2 5 5 3" xfId="4821" xr:uid="{00000000-0005-0000-0000-000068030000}"/>
    <cellStyle name="Calculation 2 5 6" xfId="421" xr:uid="{00000000-0005-0000-0000-000069030000}"/>
    <cellStyle name="Calculation 2 5 6 2" xfId="2828" xr:uid="{00000000-0005-0000-0000-00006A030000}"/>
    <cellStyle name="Calculation 2 5 6 3" xfId="4822" xr:uid="{00000000-0005-0000-0000-00006B030000}"/>
    <cellStyle name="Calculation 2 5 7" xfId="422" xr:uid="{00000000-0005-0000-0000-00006C030000}"/>
    <cellStyle name="Calculation 2 5 7 2" xfId="2829" xr:uid="{00000000-0005-0000-0000-00006D030000}"/>
    <cellStyle name="Calculation 2 5 7 3" xfId="4823" xr:uid="{00000000-0005-0000-0000-00006E030000}"/>
    <cellStyle name="Calculation 2 5 8" xfId="423" xr:uid="{00000000-0005-0000-0000-00006F030000}"/>
    <cellStyle name="Calculation 2 5 8 2" xfId="2830" xr:uid="{00000000-0005-0000-0000-000070030000}"/>
    <cellStyle name="Calculation 2 5 8 3" xfId="4824" xr:uid="{00000000-0005-0000-0000-000071030000}"/>
    <cellStyle name="Calculation 2 5 9" xfId="424" xr:uid="{00000000-0005-0000-0000-000072030000}"/>
    <cellStyle name="Calculation 2 5 9 2" xfId="2831" xr:uid="{00000000-0005-0000-0000-000073030000}"/>
    <cellStyle name="Calculation 2 5 9 3" xfId="4825" xr:uid="{00000000-0005-0000-0000-000074030000}"/>
    <cellStyle name="Calculation 2 6" xfId="425" xr:uid="{00000000-0005-0000-0000-000075030000}"/>
    <cellStyle name="Calculation 2 6 10" xfId="426" xr:uid="{00000000-0005-0000-0000-000076030000}"/>
    <cellStyle name="Calculation 2 6 10 2" xfId="2833" xr:uid="{00000000-0005-0000-0000-000077030000}"/>
    <cellStyle name="Calculation 2 6 10 3" xfId="4827" xr:uid="{00000000-0005-0000-0000-000078030000}"/>
    <cellStyle name="Calculation 2 6 11" xfId="427" xr:uid="{00000000-0005-0000-0000-000079030000}"/>
    <cellStyle name="Calculation 2 6 11 2" xfId="2834" xr:uid="{00000000-0005-0000-0000-00007A030000}"/>
    <cellStyle name="Calculation 2 6 11 3" xfId="4828" xr:uid="{00000000-0005-0000-0000-00007B030000}"/>
    <cellStyle name="Calculation 2 6 12" xfId="428" xr:uid="{00000000-0005-0000-0000-00007C030000}"/>
    <cellStyle name="Calculation 2 6 12 2" xfId="2835" xr:uid="{00000000-0005-0000-0000-00007D030000}"/>
    <cellStyle name="Calculation 2 6 12 3" xfId="4829" xr:uid="{00000000-0005-0000-0000-00007E030000}"/>
    <cellStyle name="Calculation 2 6 13" xfId="429" xr:uid="{00000000-0005-0000-0000-00007F030000}"/>
    <cellStyle name="Calculation 2 6 13 2" xfId="2836" xr:uid="{00000000-0005-0000-0000-000080030000}"/>
    <cellStyle name="Calculation 2 6 13 3" xfId="4830" xr:uid="{00000000-0005-0000-0000-000081030000}"/>
    <cellStyle name="Calculation 2 6 14" xfId="430" xr:uid="{00000000-0005-0000-0000-000082030000}"/>
    <cellStyle name="Calculation 2 6 14 2" xfId="2837" xr:uid="{00000000-0005-0000-0000-000083030000}"/>
    <cellStyle name="Calculation 2 6 14 3" xfId="4831" xr:uid="{00000000-0005-0000-0000-000084030000}"/>
    <cellStyle name="Calculation 2 6 15" xfId="431" xr:uid="{00000000-0005-0000-0000-000085030000}"/>
    <cellStyle name="Calculation 2 6 15 2" xfId="2838" xr:uid="{00000000-0005-0000-0000-000086030000}"/>
    <cellStyle name="Calculation 2 6 15 3" xfId="4832" xr:uid="{00000000-0005-0000-0000-000087030000}"/>
    <cellStyle name="Calculation 2 6 16" xfId="432" xr:uid="{00000000-0005-0000-0000-000088030000}"/>
    <cellStyle name="Calculation 2 6 16 2" xfId="2839" xr:uid="{00000000-0005-0000-0000-000089030000}"/>
    <cellStyle name="Calculation 2 6 16 3" xfId="4833" xr:uid="{00000000-0005-0000-0000-00008A030000}"/>
    <cellStyle name="Calculation 2 6 17" xfId="433" xr:uid="{00000000-0005-0000-0000-00008B030000}"/>
    <cellStyle name="Calculation 2 6 17 2" xfId="2840" xr:uid="{00000000-0005-0000-0000-00008C030000}"/>
    <cellStyle name="Calculation 2 6 17 3" xfId="4834" xr:uid="{00000000-0005-0000-0000-00008D030000}"/>
    <cellStyle name="Calculation 2 6 18" xfId="434" xr:uid="{00000000-0005-0000-0000-00008E030000}"/>
    <cellStyle name="Calculation 2 6 18 2" xfId="2841" xr:uid="{00000000-0005-0000-0000-00008F030000}"/>
    <cellStyle name="Calculation 2 6 18 3" xfId="4835" xr:uid="{00000000-0005-0000-0000-000090030000}"/>
    <cellStyle name="Calculation 2 6 19" xfId="435" xr:uid="{00000000-0005-0000-0000-000091030000}"/>
    <cellStyle name="Calculation 2 6 19 2" xfId="2842" xr:uid="{00000000-0005-0000-0000-000092030000}"/>
    <cellStyle name="Calculation 2 6 19 3" xfId="4836" xr:uid="{00000000-0005-0000-0000-000093030000}"/>
    <cellStyle name="Calculation 2 6 2" xfId="436" xr:uid="{00000000-0005-0000-0000-000094030000}"/>
    <cellStyle name="Calculation 2 6 2 2" xfId="2843" xr:uid="{00000000-0005-0000-0000-000095030000}"/>
    <cellStyle name="Calculation 2 6 2 3" xfId="4837" xr:uid="{00000000-0005-0000-0000-000096030000}"/>
    <cellStyle name="Calculation 2 6 20" xfId="437" xr:uid="{00000000-0005-0000-0000-000097030000}"/>
    <cellStyle name="Calculation 2 6 20 2" xfId="2844" xr:uid="{00000000-0005-0000-0000-000098030000}"/>
    <cellStyle name="Calculation 2 6 20 3" xfId="4838" xr:uid="{00000000-0005-0000-0000-000099030000}"/>
    <cellStyle name="Calculation 2 6 21" xfId="438" xr:uid="{00000000-0005-0000-0000-00009A030000}"/>
    <cellStyle name="Calculation 2 6 21 2" xfId="2845" xr:uid="{00000000-0005-0000-0000-00009B030000}"/>
    <cellStyle name="Calculation 2 6 21 3" xfId="4839" xr:uid="{00000000-0005-0000-0000-00009C030000}"/>
    <cellStyle name="Calculation 2 6 22" xfId="439" xr:uid="{00000000-0005-0000-0000-00009D030000}"/>
    <cellStyle name="Calculation 2 6 22 2" xfId="2846" xr:uid="{00000000-0005-0000-0000-00009E030000}"/>
    <cellStyle name="Calculation 2 6 22 3" xfId="4840" xr:uid="{00000000-0005-0000-0000-00009F030000}"/>
    <cellStyle name="Calculation 2 6 23" xfId="440" xr:uid="{00000000-0005-0000-0000-0000A0030000}"/>
    <cellStyle name="Calculation 2 6 23 2" xfId="2847" xr:uid="{00000000-0005-0000-0000-0000A1030000}"/>
    <cellStyle name="Calculation 2 6 23 3" xfId="4841" xr:uid="{00000000-0005-0000-0000-0000A2030000}"/>
    <cellStyle name="Calculation 2 6 24" xfId="2832" xr:uid="{00000000-0005-0000-0000-0000A3030000}"/>
    <cellStyle name="Calculation 2 6 25" xfId="4826" xr:uid="{00000000-0005-0000-0000-0000A4030000}"/>
    <cellStyle name="Calculation 2 6 3" xfId="441" xr:uid="{00000000-0005-0000-0000-0000A5030000}"/>
    <cellStyle name="Calculation 2 6 3 2" xfId="2848" xr:uid="{00000000-0005-0000-0000-0000A6030000}"/>
    <cellStyle name="Calculation 2 6 3 3" xfId="4842" xr:uid="{00000000-0005-0000-0000-0000A7030000}"/>
    <cellStyle name="Calculation 2 6 4" xfId="442" xr:uid="{00000000-0005-0000-0000-0000A8030000}"/>
    <cellStyle name="Calculation 2 6 4 2" xfId="2849" xr:uid="{00000000-0005-0000-0000-0000A9030000}"/>
    <cellStyle name="Calculation 2 6 4 3" xfId="4843" xr:uid="{00000000-0005-0000-0000-0000AA030000}"/>
    <cellStyle name="Calculation 2 6 5" xfId="443" xr:uid="{00000000-0005-0000-0000-0000AB030000}"/>
    <cellStyle name="Calculation 2 6 5 2" xfId="2850" xr:uid="{00000000-0005-0000-0000-0000AC030000}"/>
    <cellStyle name="Calculation 2 6 5 3" xfId="4844" xr:uid="{00000000-0005-0000-0000-0000AD030000}"/>
    <cellStyle name="Calculation 2 6 6" xfId="444" xr:uid="{00000000-0005-0000-0000-0000AE030000}"/>
    <cellStyle name="Calculation 2 6 6 2" xfId="2851" xr:uid="{00000000-0005-0000-0000-0000AF030000}"/>
    <cellStyle name="Calculation 2 6 6 3" xfId="4845" xr:uid="{00000000-0005-0000-0000-0000B0030000}"/>
    <cellStyle name="Calculation 2 6 7" xfId="445" xr:uid="{00000000-0005-0000-0000-0000B1030000}"/>
    <cellStyle name="Calculation 2 6 7 2" xfId="2852" xr:uid="{00000000-0005-0000-0000-0000B2030000}"/>
    <cellStyle name="Calculation 2 6 7 3" xfId="4846" xr:uid="{00000000-0005-0000-0000-0000B3030000}"/>
    <cellStyle name="Calculation 2 6 8" xfId="446" xr:uid="{00000000-0005-0000-0000-0000B4030000}"/>
    <cellStyle name="Calculation 2 6 8 2" xfId="2853" xr:uid="{00000000-0005-0000-0000-0000B5030000}"/>
    <cellStyle name="Calculation 2 6 8 3" xfId="4847" xr:uid="{00000000-0005-0000-0000-0000B6030000}"/>
    <cellStyle name="Calculation 2 6 9" xfId="447" xr:uid="{00000000-0005-0000-0000-0000B7030000}"/>
    <cellStyle name="Calculation 2 6 9 2" xfId="2854" xr:uid="{00000000-0005-0000-0000-0000B8030000}"/>
    <cellStyle name="Calculation 2 6 9 3" xfId="4848" xr:uid="{00000000-0005-0000-0000-0000B9030000}"/>
    <cellStyle name="Calculation 2 7" xfId="448" xr:uid="{00000000-0005-0000-0000-0000BA030000}"/>
    <cellStyle name="Calculation 2 7 10" xfId="449" xr:uid="{00000000-0005-0000-0000-0000BB030000}"/>
    <cellStyle name="Calculation 2 7 10 2" xfId="2856" xr:uid="{00000000-0005-0000-0000-0000BC030000}"/>
    <cellStyle name="Calculation 2 7 10 3" xfId="4850" xr:uid="{00000000-0005-0000-0000-0000BD030000}"/>
    <cellStyle name="Calculation 2 7 11" xfId="450" xr:uid="{00000000-0005-0000-0000-0000BE030000}"/>
    <cellStyle name="Calculation 2 7 11 2" xfId="2857" xr:uid="{00000000-0005-0000-0000-0000BF030000}"/>
    <cellStyle name="Calculation 2 7 11 3" xfId="4851" xr:uid="{00000000-0005-0000-0000-0000C0030000}"/>
    <cellStyle name="Calculation 2 7 12" xfId="451" xr:uid="{00000000-0005-0000-0000-0000C1030000}"/>
    <cellStyle name="Calculation 2 7 12 2" xfId="2858" xr:uid="{00000000-0005-0000-0000-0000C2030000}"/>
    <cellStyle name="Calculation 2 7 12 3" xfId="4852" xr:uid="{00000000-0005-0000-0000-0000C3030000}"/>
    <cellStyle name="Calculation 2 7 13" xfId="452" xr:uid="{00000000-0005-0000-0000-0000C4030000}"/>
    <cellStyle name="Calculation 2 7 13 2" xfId="2859" xr:uid="{00000000-0005-0000-0000-0000C5030000}"/>
    <cellStyle name="Calculation 2 7 13 3" xfId="4853" xr:uid="{00000000-0005-0000-0000-0000C6030000}"/>
    <cellStyle name="Calculation 2 7 14" xfId="453" xr:uid="{00000000-0005-0000-0000-0000C7030000}"/>
    <cellStyle name="Calculation 2 7 14 2" xfId="2860" xr:uid="{00000000-0005-0000-0000-0000C8030000}"/>
    <cellStyle name="Calculation 2 7 14 3" xfId="4854" xr:uid="{00000000-0005-0000-0000-0000C9030000}"/>
    <cellStyle name="Calculation 2 7 15" xfId="454" xr:uid="{00000000-0005-0000-0000-0000CA030000}"/>
    <cellStyle name="Calculation 2 7 15 2" xfId="2861" xr:uid="{00000000-0005-0000-0000-0000CB030000}"/>
    <cellStyle name="Calculation 2 7 15 3" xfId="4855" xr:uid="{00000000-0005-0000-0000-0000CC030000}"/>
    <cellStyle name="Calculation 2 7 16" xfId="455" xr:uid="{00000000-0005-0000-0000-0000CD030000}"/>
    <cellStyle name="Calculation 2 7 16 2" xfId="2862" xr:uid="{00000000-0005-0000-0000-0000CE030000}"/>
    <cellStyle name="Calculation 2 7 16 3" xfId="4856" xr:uid="{00000000-0005-0000-0000-0000CF030000}"/>
    <cellStyle name="Calculation 2 7 17" xfId="456" xr:uid="{00000000-0005-0000-0000-0000D0030000}"/>
    <cellStyle name="Calculation 2 7 17 2" xfId="2863" xr:uid="{00000000-0005-0000-0000-0000D1030000}"/>
    <cellStyle name="Calculation 2 7 17 3" xfId="4857" xr:uid="{00000000-0005-0000-0000-0000D2030000}"/>
    <cellStyle name="Calculation 2 7 18" xfId="457" xr:uid="{00000000-0005-0000-0000-0000D3030000}"/>
    <cellStyle name="Calculation 2 7 18 2" xfId="2864" xr:uid="{00000000-0005-0000-0000-0000D4030000}"/>
    <cellStyle name="Calculation 2 7 18 3" xfId="4858" xr:uid="{00000000-0005-0000-0000-0000D5030000}"/>
    <cellStyle name="Calculation 2 7 19" xfId="458" xr:uid="{00000000-0005-0000-0000-0000D6030000}"/>
    <cellStyle name="Calculation 2 7 19 2" xfId="2865" xr:uid="{00000000-0005-0000-0000-0000D7030000}"/>
    <cellStyle name="Calculation 2 7 19 3" xfId="4859" xr:uid="{00000000-0005-0000-0000-0000D8030000}"/>
    <cellStyle name="Calculation 2 7 2" xfId="459" xr:uid="{00000000-0005-0000-0000-0000D9030000}"/>
    <cellStyle name="Calculation 2 7 2 2" xfId="2866" xr:uid="{00000000-0005-0000-0000-0000DA030000}"/>
    <cellStyle name="Calculation 2 7 2 3" xfId="4860" xr:uid="{00000000-0005-0000-0000-0000DB030000}"/>
    <cellStyle name="Calculation 2 7 20" xfId="460" xr:uid="{00000000-0005-0000-0000-0000DC030000}"/>
    <cellStyle name="Calculation 2 7 20 2" xfId="2867" xr:uid="{00000000-0005-0000-0000-0000DD030000}"/>
    <cellStyle name="Calculation 2 7 20 3" xfId="4861" xr:uid="{00000000-0005-0000-0000-0000DE030000}"/>
    <cellStyle name="Calculation 2 7 21" xfId="461" xr:uid="{00000000-0005-0000-0000-0000DF030000}"/>
    <cellStyle name="Calculation 2 7 21 2" xfId="2868" xr:uid="{00000000-0005-0000-0000-0000E0030000}"/>
    <cellStyle name="Calculation 2 7 21 3" xfId="4862" xr:uid="{00000000-0005-0000-0000-0000E1030000}"/>
    <cellStyle name="Calculation 2 7 22" xfId="462" xr:uid="{00000000-0005-0000-0000-0000E2030000}"/>
    <cellStyle name="Calculation 2 7 22 2" xfId="2869" xr:uid="{00000000-0005-0000-0000-0000E3030000}"/>
    <cellStyle name="Calculation 2 7 22 3" xfId="4863" xr:uid="{00000000-0005-0000-0000-0000E4030000}"/>
    <cellStyle name="Calculation 2 7 23" xfId="463" xr:uid="{00000000-0005-0000-0000-0000E5030000}"/>
    <cellStyle name="Calculation 2 7 23 2" xfId="2870" xr:uid="{00000000-0005-0000-0000-0000E6030000}"/>
    <cellStyle name="Calculation 2 7 23 3" xfId="4864" xr:uid="{00000000-0005-0000-0000-0000E7030000}"/>
    <cellStyle name="Calculation 2 7 24" xfId="2855" xr:uid="{00000000-0005-0000-0000-0000E8030000}"/>
    <cellStyle name="Calculation 2 7 25" xfId="4849" xr:uid="{00000000-0005-0000-0000-0000E9030000}"/>
    <cellStyle name="Calculation 2 7 3" xfId="464" xr:uid="{00000000-0005-0000-0000-0000EA030000}"/>
    <cellStyle name="Calculation 2 7 3 2" xfId="2871" xr:uid="{00000000-0005-0000-0000-0000EB030000}"/>
    <cellStyle name="Calculation 2 7 3 3" xfId="4865" xr:uid="{00000000-0005-0000-0000-0000EC030000}"/>
    <cellStyle name="Calculation 2 7 4" xfId="465" xr:uid="{00000000-0005-0000-0000-0000ED030000}"/>
    <cellStyle name="Calculation 2 7 4 2" xfId="2872" xr:uid="{00000000-0005-0000-0000-0000EE030000}"/>
    <cellStyle name="Calculation 2 7 4 3" xfId="4866" xr:uid="{00000000-0005-0000-0000-0000EF030000}"/>
    <cellStyle name="Calculation 2 7 5" xfId="466" xr:uid="{00000000-0005-0000-0000-0000F0030000}"/>
    <cellStyle name="Calculation 2 7 5 2" xfId="2873" xr:uid="{00000000-0005-0000-0000-0000F1030000}"/>
    <cellStyle name="Calculation 2 7 5 3" xfId="4867" xr:uid="{00000000-0005-0000-0000-0000F2030000}"/>
    <cellStyle name="Calculation 2 7 6" xfId="467" xr:uid="{00000000-0005-0000-0000-0000F3030000}"/>
    <cellStyle name="Calculation 2 7 6 2" xfId="2874" xr:uid="{00000000-0005-0000-0000-0000F4030000}"/>
    <cellStyle name="Calculation 2 7 6 3" xfId="4868" xr:uid="{00000000-0005-0000-0000-0000F5030000}"/>
    <cellStyle name="Calculation 2 7 7" xfId="468" xr:uid="{00000000-0005-0000-0000-0000F6030000}"/>
    <cellStyle name="Calculation 2 7 7 2" xfId="2875" xr:uid="{00000000-0005-0000-0000-0000F7030000}"/>
    <cellStyle name="Calculation 2 7 7 3" xfId="4869" xr:uid="{00000000-0005-0000-0000-0000F8030000}"/>
    <cellStyle name="Calculation 2 7 8" xfId="469" xr:uid="{00000000-0005-0000-0000-0000F9030000}"/>
    <cellStyle name="Calculation 2 7 8 2" xfId="2876" xr:uid="{00000000-0005-0000-0000-0000FA030000}"/>
    <cellStyle name="Calculation 2 7 8 3" xfId="4870" xr:uid="{00000000-0005-0000-0000-0000FB030000}"/>
    <cellStyle name="Calculation 2 7 9" xfId="470" xr:uid="{00000000-0005-0000-0000-0000FC030000}"/>
    <cellStyle name="Calculation 2 7 9 2" xfId="2877" xr:uid="{00000000-0005-0000-0000-0000FD030000}"/>
    <cellStyle name="Calculation 2 7 9 3" xfId="4871" xr:uid="{00000000-0005-0000-0000-0000FE030000}"/>
    <cellStyle name="Calculation 2 8" xfId="471" xr:uid="{00000000-0005-0000-0000-0000FF030000}"/>
    <cellStyle name="Calculation 2 8 10" xfId="472" xr:uid="{00000000-0005-0000-0000-000000040000}"/>
    <cellStyle name="Calculation 2 8 10 2" xfId="2879" xr:uid="{00000000-0005-0000-0000-000001040000}"/>
    <cellStyle name="Calculation 2 8 10 3" xfId="4873" xr:uid="{00000000-0005-0000-0000-000002040000}"/>
    <cellStyle name="Calculation 2 8 11" xfId="473" xr:uid="{00000000-0005-0000-0000-000003040000}"/>
    <cellStyle name="Calculation 2 8 11 2" xfId="2880" xr:uid="{00000000-0005-0000-0000-000004040000}"/>
    <cellStyle name="Calculation 2 8 11 3" xfId="4874" xr:uid="{00000000-0005-0000-0000-000005040000}"/>
    <cellStyle name="Calculation 2 8 12" xfId="474" xr:uid="{00000000-0005-0000-0000-000006040000}"/>
    <cellStyle name="Calculation 2 8 12 2" xfId="2881" xr:uid="{00000000-0005-0000-0000-000007040000}"/>
    <cellStyle name="Calculation 2 8 12 3" xfId="4875" xr:uid="{00000000-0005-0000-0000-000008040000}"/>
    <cellStyle name="Calculation 2 8 13" xfId="475" xr:uid="{00000000-0005-0000-0000-000009040000}"/>
    <cellStyle name="Calculation 2 8 13 2" xfId="2882" xr:uid="{00000000-0005-0000-0000-00000A040000}"/>
    <cellStyle name="Calculation 2 8 13 3" xfId="4876" xr:uid="{00000000-0005-0000-0000-00000B040000}"/>
    <cellStyle name="Calculation 2 8 14" xfId="476" xr:uid="{00000000-0005-0000-0000-00000C040000}"/>
    <cellStyle name="Calculation 2 8 14 2" xfId="2883" xr:uid="{00000000-0005-0000-0000-00000D040000}"/>
    <cellStyle name="Calculation 2 8 14 3" xfId="4877" xr:uid="{00000000-0005-0000-0000-00000E040000}"/>
    <cellStyle name="Calculation 2 8 15" xfId="477" xr:uid="{00000000-0005-0000-0000-00000F040000}"/>
    <cellStyle name="Calculation 2 8 15 2" xfId="2884" xr:uid="{00000000-0005-0000-0000-000010040000}"/>
    <cellStyle name="Calculation 2 8 15 3" xfId="4878" xr:uid="{00000000-0005-0000-0000-000011040000}"/>
    <cellStyle name="Calculation 2 8 16" xfId="478" xr:uid="{00000000-0005-0000-0000-000012040000}"/>
    <cellStyle name="Calculation 2 8 16 2" xfId="2885" xr:uid="{00000000-0005-0000-0000-000013040000}"/>
    <cellStyle name="Calculation 2 8 16 3" xfId="4879" xr:uid="{00000000-0005-0000-0000-000014040000}"/>
    <cellStyle name="Calculation 2 8 17" xfId="479" xr:uid="{00000000-0005-0000-0000-000015040000}"/>
    <cellStyle name="Calculation 2 8 17 2" xfId="2886" xr:uid="{00000000-0005-0000-0000-000016040000}"/>
    <cellStyle name="Calculation 2 8 17 3" xfId="4880" xr:uid="{00000000-0005-0000-0000-000017040000}"/>
    <cellStyle name="Calculation 2 8 18" xfId="480" xr:uid="{00000000-0005-0000-0000-000018040000}"/>
    <cellStyle name="Calculation 2 8 18 2" xfId="2887" xr:uid="{00000000-0005-0000-0000-000019040000}"/>
    <cellStyle name="Calculation 2 8 18 3" xfId="4881" xr:uid="{00000000-0005-0000-0000-00001A040000}"/>
    <cellStyle name="Calculation 2 8 19" xfId="481" xr:uid="{00000000-0005-0000-0000-00001B040000}"/>
    <cellStyle name="Calculation 2 8 19 2" xfId="2888" xr:uid="{00000000-0005-0000-0000-00001C040000}"/>
    <cellStyle name="Calculation 2 8 19 3" xfId="4882" xr:uid="{00000000-0005-0000-0000-00001D040000}"/>
    <cellStyle name="Calculation 2 8 2" xfId="482" xr:uid="{00000000-0005-0000-0000-00001E040000}"/>
    <cellStyle name="Calculation 2 8 2 2" xfId="2889" xr:uid="{00000000-0005-0000-0000-00001F040000}"/>
    <cellStyle name="Calculation 2 8 2 3" xfId="4883" xr:uid="{00000000-0005-0000-0000-000020040000}"/>
    <cellStyle name="Calculation 2 8 20" xfId="483" xr:uid="{00000000-0005-0000-0000-000021040000}"/>
    <cellStyle name="Calculation 2 8 20 2" xfId="2890" xr:uid="{00000000-0005-0000-0000-000022040000}"/>
    <cellStyle name="Calculation 2 8 20 3" xfId="4884" xr:uid="{00000000-0005-0000-0000-000023040000}"/>
    <cellStyle name="Calculation 2 8 21" xfId="484" xr:uid="{00000000-0005-0000-0000-000024040000}"/>
    <cellStyle name="Calculation 2 8 21 2" xfId="2891" xr:uid="{00000000-0005-0000-0000-000025040000}"/>
    <cellStyle name="Calculation 2 8 21 3" xfId="4885" xr:uid="{00000000-0005-0000-0000-000026040000}"/>
    <cellStyle name="Calculation 2 8 22" xfId="485" xr:uid="{00000000-0005-0000-0000-000027040000}"/>
    <cellStyle name="Calculation 2 8 22 2" xfId="2892" xr:uid="{00000000-0005-0000-0000-000028040000}"/>
    <cellStyle name="Calculation 2 8 22 3" xfId="4886" xr:uid="{00000000-0005-0000-0000-000029040000}"/>
    <cellStyle name="Calculation 2 8 23" xfId="486" xr:uid="{00000000-0005-0000-0000-00002A040000}"/>
    <cellStyle name="Calculation 2 8 23 2" xfId="2893" xr:uid="{00000000-0005-0000-0000-00002B040000}"/>
    <cellStyle name="Calculation 2 8 23 3" xfId="4887" xr:uid="{00000000-0005-0000-0000-00002C040000}"/>
    <cellStyle name="Calculation 2 8 24" xfId="2878" xr:uid="{00000000-0005-0000-0000-00002D040000}"/>
    <cellStyle name="Calculation 2 8 25" xfId="4872" xr:uid="{00000000-0005-0000-0000-00002E040000}"/>
    <cellStyle name="Calculation 2 8 3" xfId="487" xr:uid="{00000000-0005-0000-0000-00002F040000}"/>
    <cellStyle name="Calculation 2 8 3 2" xfId="2894" xr:uid="{00000000-0005-0000-0000-000030040000}"/>
    <cellStyle name="Calculation 2 8 3 3" xfId="4888" xr:uid="{00000000-0005-0000-0000-000031040000}"/>
    <cellStyle name="Calculation 2 8 4" xfId="488" xr:uid="{00000000-0005-0000-0000-000032040000}"/>
    <cellStyle name="Calculation 2 8 4 2" xfId="2895" xr:uid="{00000000-0005-0000-0000-000033040000}"/>
    <cellStyle name="Calculation 2 8 4 3" xfId="4889" xr:uid="{00000000-0005-0000-0000-000034040000}"/>
    <cellStyle name="Calculation 2 8 5" xfId="489" xr:uid="{00000000-0005-0000-0000-000035040000}"/>
    <cellStyle name="Calculation 2 8 5 2" xfId="2896" xr:uid="{00000000-0005-0000-0000-000036040000}"/>
    <cellStyle name="Calculation 2 8 5 3" xfId="4890" xr:uid="{00000000-0005-0000-0000-000037040000}"/>
    <cellStyle name="Calculation 2 8 6" xfId="490" xr:uid="{00000000-0005-0000-0000-000038040000}"/>
    <cellStyle name="Calculation 2 8 6 2" xfId="2897" xr:uid="{00000000-0005-0000-0000-000039040000}"/>
    <cellStyle name="Calculation 2 8 6 3" xfId="4891" xr:uid="{00000000-0005-0000-0000-00003A040000}"/>
    <cellStyle name="Calculation 2 8 7" xfId="491" xr:uid="{00000000-0005-0000-0000-00003B040000}"/>
    <cellStyle name="Calculation 2 8 7 2" xfId="2898" xr:uid="{00000000-0005-0000-0000-00003C040000}"/>
    <cellStyle name="Calculation 2 8 7 3" xfId="4892" xr:uid="{00000000-0005-0000-0000-00003D040000}"/>
    <cellStyle name="Calculation 2 8 8" xfId="492" xr:uid="{00000000-0005-0000-0000-00003E040000}"/>
    <cellStyle name="Calculation 2 8 8 2" xfId="2899" xr:uid="{00000000-0005-0000-0000-00003F040000}"/>
    <cellStyle name="Calculation 2 8 8 3" xfId="4893" xr:uid="{00000000-0005-0000-0000-000040040000}"/>
    <cellStyle name="Calculation 2 8 9" xfId="493" xr:uid="{00000000-0005-0000-0000-000041040000}"/>
    <cellStyle name="Calculation 2 8 9 2" xfId="2900" xr:uid="{00000000-0005-0000-0000-000042040000}"/>
    <cellStyle name="Calculation 2 8 9 3" xfId="4894" xr:uid="{00000000-0005-0000-0000-000043040000}"/>
    <cellStyle name="Calculation 2 9" xfId="494" xr:uid="{00000000-0005-0000-0000-000044040000}"/>
    <cellStyle name="Calculation 2 9 10" xfId="495" xr:uid="{00000000-0005-0000-0000-000045040000}"/>
    <cellStyle name="Calculation 2 9 10 2" xfId="2902" xr:uid="{00000000-0005-0000-0000-000046040000}"/>
    <cellStyle name="Calculation 2 9 10 3" xfId="4896" xr:uid="{00000000-0005-0000-0000-000047040000}"/>
    <cellStyle name="Calculation 2 9 11" xfId="496" xr:uid="{00000000-0005-0000-0000-000048040000}"/>
    <cellStyle name="Calculation 2 9 11 2" xfId="2903" xr:uid="{00000000-0005-0000-0000-000049040000}"/>
    <cellStyle name="Calculation 2 9 11 3" xfId="4897" xr:uid="{00000000-0005-0000-0000-00004A040000}"/>
    <cellStyle name="Calculation 2 9 12" xfId="497" xr:uid="{00000000-0005-0000-0000-00004B040000}"/>
    <cellStyle name="Calculation 2 9 12 2" xfId="2904" xr:uid="{00000000-0005-0000-0000-00004C040000}"/>
    <cellStyle name="Calculation 2 9 12 3" xfId="4898" xr:uid="{00000000-0005-0000-0000-00004D040000}"/>
    <cellStyle name="Calculation 2 9 13" xfId="498" xr:uid="{00000000-0005-0000-0000-00004E040000}"/>
    <cellStyle name="Calculation 2 9 13 2" xfId="2905" xr:uid="{00000000-0005-0000-0000-00004F040000}"/>
    <cellStyle name="Calculation 2 9 13 3" xfId="4899" xr:uid="{00000000-0005-0000-0000-000050040000}"/>
    <cellStyle name="Calculation 2 9 14" xfId="499" xr:uid="{00000000-0005-0000-0000-000051040000}"/>
    <cellStyle name="Calculation 2 9 14 2" xfId="2906" xr:uid="{00000000-0005-0000-0000-000052040000}"/>
    <cellStyle name="Calculation 2 9 14 3" xfId="4900" xr:uid="{00000000-0005-0000-0000-000053040000}"/>
    <cellStyle name="Calculation 2 9 15" xfId="500" xr:uid="{00000000-0005-0000-0000-000054040000}"/>
    <cellStyle name="Calculation 2 9 15 2" xfId="2907" xr:uid="{00000000-0005-0000-0000-000055040000}"/>
    <cellStyle name="Calculation 2 9 15 3" xfId="4901" xr:uid="{00000000-0005-0000-0000-000056040000}"/>
    <cellStyle name="Calculation 2 9 16" xfId="501" xr:uid="{00000000-0005-0000-0000-000057040000}"/>
    <cellStyle name="Calculation 2 9 16 2" xfId="2908" xr:uid="{00000000-0005-0000-0000-000058040000}"/>
    <cellStyle name="Calculation 2 9 16 3" xfId="4902" xr:uid="{00000000-0005-0000-0000-000059040000}"/>
    <cellStyle name="Calculation 2 9 17" xfId="502" xr:uid="{00000000-0005-0000-0000-00005A040000}"/>
    <cellStyle name="Calculation 2 9 17 2" xfId="2909" xr:uid="{00000000-0005-0000-0000-00005B040000}"/>
    <cellStyle name="Calculation 2 9 17 3" xfId="4903" xr:uid="{00000000-0005-0000-0000-00005C040000}"/>
    <cellStyle name="Calculation 2 9 18" xfId="503" xr:uid="{00000000-0005-0000-0000-00005D040000}"/>
    <cellStyle name="Calculation 2 9 18 2" xfId="2910" xr:uid="{00000000-0005-0000-0000-00005E040000}"/>
    <cellStyle name="Calculation 2 9 18 3" xfId="4904" xr:uid="{00000000-0005-0000-0000-00005F040000}"/>
    <cellStyle name="Calculation 2 9 19" xfId="504" xr:uid="{00000000-0005-0000-0000-000060040000}"/>
    <cellStyle name="Calculation 2 9 19 2" xfId="2911" xr:uid="{00000000-0005-0000-0000-000061040000}"/>
    <cellStyle name="Calculation 2 9 19 3" xfId="4905" xr:uid="{00000000-0005-0000-0000-000062040000}"/>
    <cellStyle name="Calculation 2 9 2" xfId="505" xr:uid="{00000000-0005-0000-0000-000063040000}"/>
    <cellStyle name="Calculation 2 9 2 2" xfId="2912" xr:uid="{00000000-0005-0000-0000-000064040000}"/>
    <cellStyle name="Calculation 2 9 2 3" xfId="4906" xr:uid="{00000000-0005-0000-0000-000065040000}"/>
    <cellStyle name="Calculation 2 9 20" xfId="506" xr:uid="{00000000-0005-0000-0000-000066040000}"/>
    <cellStyle name="Calculation 2 9 20 2" xfId="2913" xr:uid="{00000000-0005-0000-0000-000067040000}"/>
    <cellStyle name="Calculation 2 9 20 3" xfId="4907" xr:uid="{00000000-0005-0000-0000-000068040000}"/>
    <cellStyle name="Calculation 2 9 21" xfId="507" xr:uid="{00000000-0005-0000-0000-000069040000}"/>
    <cellStyle name="Calculation 2 9 21 2" xfId="2914" xr:uid="{00000000-0005-0000-0000-00006A040000}"/>
    <cellStyle name="Calculation 2 9 21 3" xfId="4908" xr:uid="{00000000-0005-0000-0000-00006B040000}"/>
    <cellStyle name="Calculation 2 9 22" xfId="508" xr:uid="{00000000-0005-0000-0000-00006C040000}"/>
    <cellStyle name="Calculation 2 9 22 2" xfId="2915" xr:uid="{00000000-0005-0000-0000-00006D040000}"/>
    <cellStyle name="Calculation 2 9 22 3" xfId="4909" xr:uid="{00000000-0005-0000-0000-00006E040000}"/>
    <cellStyle name="Calculation 2 9 23" xfId="509" xr:uid="{00000000-0005-0000-0000-00006F040000}"/>
    <cellStyle name="Calculation 2 9 23 2" xfId="2916" xr:uid="{00000000-0005-0000-0000-000070040000}"/>
    <cellStyle name="Calculation 2 9 23 3" xfId="4910" xr:uid="{00000000-0005-0000-0000-000071040000}"/>
    <cellStyle name="Calculation 2 9 24" xfId="2901" xr:uid="{00000000-0005-0000-0000-000072040000}"/>
    <cellStyle name="Calculation 2 9 25" xfId="4895" xr:uid="{00000000-0005-0000-0000-000073040000}"/>
    <cellStyle name="Calculation 2 9 3" xfId="510" xr:uid="{00000000-0005-0000-0000-000074040000}"/>
    <cellStyle name="Calculation 2 9 3 2" xfId="2917" xr:uid="{00000000-0005-0000-0000-000075040000}"/>
    <cellStyle name="Calculation 2 9 3 3" xfId="4911" xr:uid="{00000000-0005-0000-0000-000076040000}"/>
    <cellStyle name="Calculation 2 9 4" xfId="511" xr:uid="{00000000-0005-0000-0000-000077040000}"/>
    <cellStyle name="Calculation 2 9 4 2" xfId="2918" xr:uid="{00000000-0005-0000-0000-000078040000}"/>
    <cellStyle name="Calculation 2 9 4 3" xfId="4912" xr:uid="{00000000-0005-0000-0000-000079040000}"/>
    <cellStyle name="Calculation 2 9 5" xfId="512" xr:uid="{00000000-0005-0000-0000-00007A040000}"/>
    <cellStyle name="Calculation 2 9 5 2" xfId="2919" xr:uid="{00000000-0005-0000-0000-00007B040000}"/>
    <cellStyle name="Calculation 2 9 5 3" xfId="4913" xr:uid="{00000000-0005-0000-0000-00007C040000}"/>
    <cellStyle name="Calculation 2 9 6" xfId="513" xr:uid="{00000000-0005-0000-0000-00007D040000}"/>
    <cellStyle name="Calculation 2 9 6 2" xfId="2920" xr:uid="{00000000-0005-0000-0000-00007E040000}"/>
    <cellStyle name="Calculation 2 9 6 3" xfId="4914" xr:uid="{00000000-0005-0000-0000-00007F040000}"/>
    <cellStyle name="Calculation 2 9 7" xfId="514" xr:uid="{00000000-0005-0000-0000-000080040000}"/>
    <cellStyle name="Calculation 2 9 7 2" xfId="2921" xr:uid="{00000000-0005-0000-0000-000081040000}"/>
    <cellStyle name="Calculation 2 9 7 3" xfId="4915" xr:uid="{00000000-0005-0000-0000-000082040000}"/>
    <cellStyle name="Calculation 2 9 8" xfId="515" xr:uid="{00000000-0005-0000-0000-000083040000}"/>
    <cellStyle name="Calculation 2 9 8 2" xfId="2922" xr:uid="{00000000-0005-0000-0000-000084040000}"/>
    <cellStyle name="Calculation 2 9 8 3" xfId="4916" xr:uid="{00000000-0005-0000-0000-000085040000}"/>
    <cellStyle name="Calculation 2 9 9" xfId="516" xr:uid="{00000000-0005-0000-0000-000086040000}"/>
    <cellStyle name="Calculation 2 9 9 2" xfId="2923" xr:uid="{00000000-0005-0000-0000-000087040000}"/>
    <cellStyle name="Calculation 2 9 9 3" xfId="4917" xr:uid="{00000000-0005-0000-0000-000088040000}"/>
    <cellStyle name="Calculation 3" xfId="4752" xr:uid="{00000000-0005-0000-0000-000089040000}"/>
    <cellStyle name="Calculation 4" xfId="2475" xr:uid="{00000000-0005-0000-0000-00008A040000}"/>
    <cellStyle name="Calculation 5" xfId="4729" xr:uid="{00000000-0005-0000-0000-00008B040000}"/>
    <cellStyle name="Check Cell" xfId="27" builtinId="23" customBuiltin="1"/>
    <cellStyle name="Check Cell 2" xfId="517" xr:uid="{00000000-0005-0000-0000-00008D040000}"/>
    <cellStyle name="Check Cell 2 2" xfId="518" xr:uid="{00000000-0005-0000-0000-00008E040000}"/>
    <cellStyle name="Check Cell 3" xfId="4754" xr:uid="{00000000-0005-0000-0000-00008F040000}"/>
    <cellStyle name="CollegeHeader1" xfId="77" xr:uid="{00000000-0005-0000-0000-000090040000}"/>
    <cellStyle name="ColumnAttributeAbovePrompt" xfId="28" xr:uid="{00000000-0005-0000-0000-000091040000}"/>
    <cellStyle name="ColumnAttributePrompt" xfId="29" xr:uid="{00000000-0005-0000-0000-000092040000}"/>
    <cellStyle name="ColumnAttributeValue" xfId="30" xr:uid="{00000000-0005-0000-0000-000093040000}"/>
    <cellStyle name="ColumnHeadingPrompt" xfId="31" xr:uid="{00000000-0005-0000-0000-000094040000}"/>
    <cellStyle name="ColumnHeadingValue" xfId="32" xr:uid="{00000000-0005-0000-0000-000095040000}"/>
    <cellStyle name="Comma" xfId="2446" builtinId="3"/>
    <cellStyle name="Comma [0] 2" xfId="4738" xr:uid="{00000000-0005-0000-0000-000097040000}"/>
    <cellStyle name="Comma 10" xfId="519" xr:uid="{00000000-0005-0000-0000-000098040000}"/>
    <cellStyle name="Comma 10 10" xfId="6675" xr:uid="{00000000-0005-0000-0000-000099040000}"/>
    <cellStyle name="Comma 10 2" xfId="520" xr:uid="{00000000-0005-0000-0000-00009A040000}"/>
    <cellStyle name="Comma 10 2 2" xfId="6676" xr:uid="{00000000-0005-0000-0000-00009B040000}"/>
    <cellStyle name="Comma 10 3" xfId="521" xr:uid="{00000000-0005-0000-0000-00009C040000}"/>
    <cellStyle name="Comma 10 3 2" xfId="6677" xr:uid="{00000000-0005-0000-0000-00009D040000}"/>
    <cellStyle name="Comma 10 4" xfId="522" xr:uid="{00000000-0005-0000-0000-00009E040000}"/>
    <cellStyle name="Comma 10 4 2" xfId="6678" xr:uid="{00000000-0005-0000-0000-00009F040000}"/>
    <cellStyle name="Comma 10 5" xfId="523" xr:uid="{00000000-0005-0000-0000-0000A0040000}"/>
    <cellStyle name="Comma 10 5 2" xfId="6679" xr:uid="{00000000-0005-0000-0000-0000A1040000}"/>
    <cellStyle name="Comma 10 6" xfId="524" xr:uid="{00000000-0005-0000-0000-0000A2040000}"/>
    <cellStyle name="Comma 10 6 2" xfId="6680" xr:uid="{00000000-0005-0000-0000-0000A3040000}"/>
    <cellStyle name="Comma 10 7" xfId="525" xr:uid="{00000000-0005-0000-0000-0000A4040000}"/>
    <cellStyle name="Comma 10 7 2" xfId="6681" xr:uid="{00000000-0005-0000-0000-0000A5040000}"/>
    <cellStyle name="Comma 10 8" xfId="526" xr:uid="{00000000-0005-0000-0000-0000A6040000}"/>
    <cellStyle name="Comma 10 8 2" xfId="6682" xr:uid="{00000000-0005-0000-0000-0000A7040000}"/>
    <cellStyle name="Comma 10 9" xfId="527" xr:uid="{00000000-0005-0000-0000-0000A8040000}"/>
    <cellStyle name="Comma 10 9 2" xfId="6683" xr:uid="{00000000-0005-0000-0000-0000A9040000}"/>
    <cellStyle name="Comma 11" xfId="6622" xr:uid="{00000000-0005-0000-0000-0000AA040000}"/>
    <cellStyle name="Comma 12" xfId="6668" xr:uid="{00000000-0005-0000-0000-0000AB040000}"/>
    <cellStyle name="Comma 13" xfId="6620" xr:uid="{00000000-0005-0000-0000-0000AC040000}"/>
    <cellStyle name="Comma 14" xfId="6666" xr:uid="{00000000-0005-0000-0000-0000AD040000}"/>
    <cellStyle name="Comma 15" xfId="6624" xr:uid="{00000000-0005-0000-0000-0000AE040000}"/>
    <cellStyle name="Comma 16" xfId="6664" xr:uid="{00000000-0005-0000-0000-0000AF040000}"/>
    <cellStyle name="Comma 17" xfId="6657" xr:uid="{00000000-0005-0000-0000-0000B0040000}"/>
    <cellStyle name="Comma 18" xfId="6653" xr:uid="{00000000-0005-0000-0000-0000B1040000}"/>
    <cellStyle name="Comma 19" xfId="6648" xr:uid="{00000000-0005-0000-0000-0000B2040000}"/>
    <cellStyle name="Comma 2" xfId="73" xr:uid="{00000000-0005-0000-0000-0000B3040000}"/>
    <cellStyle name="Comma 2 10" xfId="2377" xr:uid="{00000000-0005-0000-0000-0000B4040000}"/>
    <cellStyle name="Comma 2 10 2" xfId="4724" xr:uid="{00000000-0005-0000-0000-0000B5040000}"/>
    <cellStyle name="Comma 2 11" xfId="2489" xr:uid="{00000000-0005-0000-0000-0000B6040000}"/>
    <cellStyle name="Comma 2 2" xfId="528" xr:uid="{00000000-0005-0000-0000-0000B7040000}"/>
    <cellStyle name="Comma 2 2 10" xfId="529" xr:uid="{00000000-0005-0000-0000-0000B8040000}"/>
    <cellStyle name="Comma 2 2 2" xfId="530" xr:uid="{00000000-0005-0000-0000-0000B9040000}"/>
    <cellStyle name="Comma 2 2 2 2" xfId="6684" xr:uid="{00000000-0005-0000-0000-0000BA040000}"/>
    <cellStyle name="Comma 2 2 3" xfId="531" xr:uid="{00000000-0005-0000-0000-0000BB040000}"/>
    <cellStyle name="Comma 2 2 3 2" xfId="6685" xr:uid="{00000000-0005-0000-0000-0000BC040000}"/>
    <cellStyle name="Comma 2 2 4" xfId="532" xr:uid="{00000000-0005-0000-0000-0000BD040000}"/>
    <cellStyle name="Comma 2 2 4 2" xfId="6686" xr:uid="{00000000-0005-0000-0000-0000BE040000}"/>
    <cellStyle name="Comma 2 2 5" xfId="533" xr:uid="{00000000-0005-0000-0000-0000BF040000}"/>
    <cellStyle name="Comma 2 2 5 2" xfId="6687" xr:uid="{00000000-0005-0000-0000-0000C0040000}"/>
    <cellStyle name="Comma 2 2 6" xfId="534" xr:uid="{00000000-0005-0000-0000-0000C1040000}"/>
    <cellStyle name="Comma 2 2 6 2" xfId="6688" xr:uid="{00000000-0005-0000-0000-0000C2040000}"/>
    <cellStyle name="Comma 2 2 7" xfId="535" xr:uid="{00000000-0005-0000-0000-0000C3040000}"/>
    <cellStyle name="Comma 2 2 7 2" xfId="6689" xr:uid="{00000000-0005-0000-0000-0000C4040000}"/>
    <cellStyle name="Comma 2 2 8" xfId="536" xr:uid="{00000000-0005-0000-0000-0000C5040000}"/>
    <cellStyle name="Comma 2 2 8 2" xfId="6690" xr:uid="{00000000-0005-0000-0000-0000C6040000}"/>
    <cellStyle name="Comma 2 2 9" xfId="537" xr:uid="{00000000-0005-0000-0000-0000C7040000}"/>
    <cellStyle name="Comma 2 2 9 2" xfId="6691" xr:uid="{00000000-0005-0000-0000-0000C8040000}"/>
    <cellStyle name="Comma 2 3" xfId="538" xr:uid="{00000000-0005-0000-0000-0000C9040000}"/>
    <cellStyle name="Comma 2 4" xfId="539" xr:uid="{00000000-0005-0000-0000-0000CA040000}"/>
    <cellStyle name="Comma 2 5" xfId="540" xr:uid="{00000000-0005-0000-0000-0000CB040000}"/>
    <cellStyle name="Comma 2 6" xfId="541" xr:uid="{00000000-0005-0000-0000-0000CC040000}"/>
    <cellStyle name="Comma 2 7" xfId="542" xr:uid="{00000000-0005-0000-0000-0000CD040000}"/>
    <cellStyle name="Comma 2 8" xfId="543" xr:uid="{00000000-0005-0000-0000-0000CE040000}"/>
    <cellStyle name="Comma 2 9" xfId="544" xr:uid="{00000000-0005-0000-0000-0000CF040000}"/>
    <cellStyle name="Comma 20" xfId="6644" xr:uid="{00000000-0005-0000-0000-0000D0040000}"/>
    <cellStyle name="Comma 21" xfId="6639" xr:uid="{00000000-0005-0000-0000-0000D1040000}"/>
    <cellStyle name="Comma 22" xfId="6635" xr:uid="{00000000-0005-0000-0000-0000D2040000}"/>
    <cellStyle name="Comma 23" xfId="6629" xr:uid="{00000000-0005-0000-0000-0000D3040000}"/>
    <cellStyle name="Comma 24" xfId="6634" xr:uid="{00000000-0005-0000-0000-0000D4040000}"/>
    <cellStyle name="Comma 25" xfId="6662" xr:uid="{00000000-0005-0000-0000-0000D5040000}"/>
    <cellStyle name="Comma 26" xfId="6650" xr:uid="{00000000-0005-0000-0000-0000D6040000}"/>
    <cellStyle name="Comma 27" xfId="6659" xr:uid="{00000000-0005-0000-0000-0000D7040000}"/>
    <cellStyle name="Comma 28" xfId="6643" xr:uid="{00000000-0005-0000-0000-0000D8040000}"/>
    <cellStyle name="Comma 29" xfId="6651" xr:uid="{00000000-0005-0000-0000-0000D9040000}"/>
    <cellStyle name="Comma 3" xfId="78" xr:uid="{00000000-0005-0000-0000-0000DA040000}"/>
    <cellStyle name="Comma 3 10" xfId="2494" xr:uid="{00000000-0005-0000-0000-0000DB040000}"/>
    <cellStyle name="Comma 3 2" xfId="545" xr:uid="{00000000-0005-0000-0000-0000DC040000}"/>
    <cellStyle name="Comma 3 2 2" xfId="6692" xr:uid="{00000000-0005-0000-0000-0000DD040000}"/>
    <cellStyle name="Comma 3 3" xfId="546" xr:uid="{00000000-0005-0000-0000-0000DE040000}"/>
    <cellStyle name="Comma 3 3 2" xfId="6693" xr:uid="{00000000-0005-0000-0000-0000DF040000}"/>
    <cellStyle name="Comma 3 4" xfId="547" xr:uid="{00000000-0005-0000-0000-0000E0040000}"/>
    <cellStyle name="Comma 3 4 2" xfId="6694" xr:uid="{00000000-0005-0000-0000-0000E1040000}"/>
    <cellStyle name="Comma 3 5" xfId="548" xr:uid="{00000000-0005-0000-0000-0000E2040000}"/>
    <cellStyle name="Comma 3 5 2" xfId="6695" xr:uid="{00000000-0005-0000-0000-0000E3040000}"/>
    <cellStyle name="Comma 3 6" xfId="549" xr:uid="{00000000-0005-0000-0000-0000E4040000}"/>
    <cellStyle name="Comma 3 6 2" xfId="6696" xr:uid="{00000000-0005-0000-0000-0000E5040000}"/>
    <cellStyle name="Comma 3 7" xfId="550" xr:uid="{00000000-0005-0000-0000-0000E6040000}"/>
    <cellStyle name="Comma 3 7 2" xfId="6697" xr:uid="{00000000-0005-0000-0000-0000E7040000}"/>
    <cellStyle name="Comma 3 8" xfId="551" xr:uid="{00000000-0005-0000-0000-0000E8040000}"/>
    <cellStyle name="Comma 3 8 2" xfId="6698" xr:uid="{00000000-0005-0000-0000-0000E9040000}"/>
    <cellStyle name="Comma 3 9" xfId="552" xr:uid="{00000000-0005-0000-0000-0000EA040000}"/>
    <cellStyle name="Comma 3 9 2" xfId="6699" xr:uid="{00000000-0005-0000-0000-0000EB040000}"/>
    <cellStyle name="Comma 30" xfId="6637" xr:uid="{00000000-0005-0000-0000-0000EC040000}"/>
    <cellStyle name="Comma 31" xfId="6642" xr:uid="{00000000-0005-0000-0000-0000ED040000}"/>
    <cellStyle name="Comma 32" xfId="6631" xr:uid="{00000000-0005-0000-0000-0000EE040000}"/>
    <cellStyle name="Comma 33" xfId="6633" xr:uid="{00000000-0005-0000-0000-0000EF040000}"/>
    <cellStyle name="Comma 34" xfId="6628" xr:uid="{00000000-0005-0000-0000-0000F0040000}"/>
    <cellStyle name="Comma 35" xfId="6626" xr:uid="{00000000-0005-0000-0000-0000F1040000}"/>
    <cellStyle name="Comma 36" xfId="6627" xr:uid="{00000000-0005-0000-0000-0000F2040000}"/>
    <cellStyle name="Comma 37" xfId="6625" xr:uid="{00000000-0005-0000-0000-0000F3040000}"/>
    <cellStyle name="Comma 38" xfId="6753" xr:uid="{00000000-0005-0000-0000-0000F4040000}"/>
    <cellStyle name="Comma 4" xfId="79" xr:uid="{00000000-0005-0000-0000-0000F5040000}"/>
    <cellStyle name="Comma 4 10" xfId="2495" xr:uid="{00000000-0005-0000-0000-0000F6040000}"/>
    <cellStyle name="Comma 4 2" xfId="553" xr:uid="{00000000-0005-0000-0000-0000F7040000}"/>
    <cellStyle name="Comma 4 2 2" xfId="6700" xr:uid="{00000000-0005-0000-0000-0000F8040000}"/>
    <cellStyle name="Comma 4 3" xfId="554" xr:uid="{00000000-0005-0000-0000-0000F9040000}"/>
    <cellStyle name="Comma 4 3 2" xfId="6701" xr:uid="{00000000-0005-0000-0000-0000FA040000}"/>
    <cellStyle name="Comma 4 4" xfId="555" xr:uid="{00000000-0005-0000-0000-0000FB040000}"/>
    <cellStyle name="Comma 4 4 2" xfId="6702" xr:uid="{00000000-0005-0000-0000-0000FC040000}"/>
    <cellStyle name="Comma 4 5" xfId="556" xr:uid="{00000000-0005-0000-0000-0000FD040000}"/>
    <cellStyle name="Comma 4 5 2" xfId="6703" xr:uid="{00000000-0005-0000-0000-0000FE040000}"/>
    <cellStyle name="Comma 4 6" xfId="557" xr:uid="{00000000-0005-0000-0000-0000FF040000}"/>
    <cellStyle name="Comma 4 6 2" xfId="6704" xr:uid="{00000000-0005-0000-0000-000000050000}"/>
    <cellStyle name="Comma 4 7" xfId="558" xr:uid="{00000000-0005-0000-0000-000001050000}"/>
    <cellStyle name="Comma 4 7 2" xfId="6705" xr:uid="{00000000-0005-0000-0000-000002050000}"/>
    <cellStyle name="Comma 4 8" xfId="559" xr:uid="{00000000-0005-0000-0000-000003050000}"/>
    <cellStyle name="Comma 4 8 2" xfId="6706" xr:uid="{00000000-0005-0000-0000-000004050000}"/>
    <cellStyle name="Comma 4 9" xfId="560" xr:uid="{00000000-0005-0000-0000-000005050000}"/>
    <cellStyle name="Comma 4 9 2" xfId="6707" xr:uid="{00000000-0005-0000-0000-000006050000}"/>
    <cellStyle name="Comma 5" xfId="93" xr:uid="{00000000-0005-0000-0000-000007050000}"/>
    <cellStyle name="Comma 5 10" xfId="2504" xr:uid="{00000000-0005-0000-0000-000008050000}"/>
    <cellStyle name="Comma 5 2" xfId="561" xr:uid="{00000000-0005-0000-0000-000009050000}"/>
    <cellStyle name="Comma 5 2 2" xfId="6708" xr:uid="{00000000-0005-0000-0000-00000A050000}"/>
    <cellStyle name="Comma 5 3" xfId="562" xr:uid="{00000000-0005-0000-0000-00000B050000}"/>
    <cellStyle name="Comma 5 3 2" xfId="6709" xr:uid="{00000000-0005-0000-0000-00000C050000}"/>
    <cellStyle name="Comma 5 4" xfId="563" xr:uid="{00000000-0005-0000-0000-00000D050000}"/>
    <cellStyle name="Comma 5 4 2" xfId="6710" xr:uid="{00000000-0005-0000-0000-00000E050000}"/>
    <cellStyle name="Comma 5 5" xfId="564" xr:uid="{00000000-0005-0000-0000-00000F050000}"/>
    <cellStyle name="Comma 5 5 2" xfId="6711" xr:uid="{00000000-0005-0000-0000-000010050000}"/>
    <cellStyle name="Comma 5 6" xfId="565" xr:uid="{00000000-0005-0000-0000-000011050000}"/>
    <cellStyle name="Comma 5 6 2" xfId="6712" xr:uid="{00000000-0005-0000-0000-000012050000}"/>
    <cellStyle name="Comma 5 7" xfId="566" xr:uid="{00000000-0005-0000-0000-000013050000}"/>
    <cellStyle name="Comma 5 7 2" xfId="6713" xr:uid="{00000000-0005-0000-0000-000014050000}"/>
    <cellStyle name="Comma 5 8" xfId="567" xr:uid="{00000000-0005-0000-0000-000015050000}"/>
    <cellStyle name="Comma 5 8 2" xfId="6714" xr:uid="{00000000-0005-0000-0000-000016050000}"/>
    <cellStyle name="Comma 5 9" xfId="568" xr:uid="{00000000-0005-0000-0000-000017050000}"/>
    <cellStyle name="Comma 5 9 2" xfId="6715" xr:uid="{00000000-0005-0000-0000-000018050000}"/>
    <cellStyle name="Comma 6" xfId="2424" xr:uid="{00000000-0005-0000-0000-000019050000}"/>
    <cellStyle name="Comma 6 2" xfId="569" xr:uid="{00000000-0005-0000-0000-00001A050000}"/>
    <cellStyle name="Comma 6 2 2" xfId="6716" xr:uid="{00000000-0005-0000-0000-00001B050000}"/>
    <cellStyle name="Comma 6 3" xfId="570" xr:uid="{00000000-0005-0000-0000-00001C050000}"/>
    <cellStyle name="Comma 6 3 2" xfId="6717" xr:uid="{00000000-0005-0000-0000-00001D050000}"/>
    <cellStyle name="Comma 6 4" xfId="571" xr:uid="{00000000-0005-0000-0000-00001E050000}"/>
    <cellStyle name="Comma 6 4 2" xfId="6718" xr:uid="{00000000-0005-0000-0000-00001F050000}"/>
    <cellStyle name="Comma 6 5" xfId="572" xr:uid="{00000000-0005-0000-0000-000020050000}"/>
    <cellStyle name="Comma 6 5 2" xfId="6719" xr:uid="{00000000-0005-0000-0000-000021050000}"/>
    <cellStyle name="Comma 6 6" xfId="573" xr:uid="{00000000-0005-0000-0000-000022050000}"/>
    <cellStyle name="Comma 6 6 2" xfId="6720" xr:uid="{00000000-0005-0000-0000-000023050000}"/>
    <cellStyle name="Comma 6 7" xfId="574" xr:uid="{00000000-0005-0000-0000-000024050000}"/>
    <cellStyle name="Comma 6 7 2" xfId="6721" xr:uid="{00000000-0005-0000-0000-000025050000}"/>
    <cellStyle name="Comma 6 8" xfId="575" xr:uid="{00000000-0005-0000-0000-000026050000}"/>
    <cellStyle name="Comma 6 8 2" xfId="6722" xr:uid="{00000000-0005-0000-0000-000027050000}"/>
    <cellStyle name="Comma 6 9" xfId="576" xr:uid="{00000000-0005-0000-0000-000028050000}"/>
    <cellStyle name="Comma 6 9 2" xfId="6723" xr:uid="{00000000-0005-0000-0000-000029050000}"/>
    <cellStyle name="Comma 7" xfId="2443" xr:uid="{00000000-0005-0000-0000-00002A050000}"/>
    <cellStyle name="Comma 7 2" xfId="577" xr:uid="{00000000-0005-0000-0000-00002B050000}"/>
    <cellStyle name="Comma 7 2 2" xfId="6724" xr:uid="{00000000-0005-0000-0000-00002C050000}"/>
    <cellStyle name="Comma 7 3" xfId="578" xr:uid="{00000000-0005-0000-0000-00002D050000}"/>
    <cellStyle name="Comma 7 3 2" xfId="6725" xr:uid="{00000000-0005-0000-0000-00002E050000}"/>
    <cellStyle name="Comma 7 4" xfId="579" xr:uid="{00000000-0005-0000-0000-00002F050000}"/>
    <cellStyle name="Comma 7 4 2" xfId="6726" xr:uid="{00000000-0005-0000-0000-000030050000}"/>
    <cellStyle name="Comma 7 5" xfId="580" xr:uid="{00000000-0005-0000-0000-000031050000}"/>
    <cellStyle name="Comma 7 5 2" xfId="6727" xr:uid="{00000000-0005-0000-0000-000032050000}"/>
    <cellStyle name="Comma 7 6" xfId="581" xr:uid="{00000000-0005-0000-0000-000033050000}"/>
    <cellStyle name="Comma 7 6 2" xfId="6728" xr:uid="{00000000-0005-0000-0000-000034050000}"/>
    <cellStyle name="Comma 7 7" xfId="582" xr:uid="{00000000-0005-0000-0000-000035050000}"/>
    <cellStyle name="Comma 7 7 2" xfId="6729" xr:uid="{00000000-0005-0000-0000-000036050000}"/>
    <cellStyle name="Comma 7 8" xfId="583" xr:uid="{00000000-0005-0000-0000-000037050000}"/>
    <cellStyle name="Comma 7 8 2" xfId="6730" xr:uid="{00000000-0005-0000-0000-000038050000}"/>
    <cellStyle name="Comma 7 9" xfId="584" xr:uid="{00000000-0005-0000-0000-000039050000}"/>
    <cellStyle name="Comma 7 9 2" xfId="6731" xr:uid="{00000000-0005-0000-0000-00003A050000}"/>
    <cellStyle name="Comma 8" xfId="4737" xr:uid="{00000000-0005-0000-0000-00003B050000}"/>
    <cellStyle name="Comma 8 2" xfId="585" xr:uid="{00000000-0005-0000-0000-00003C050000}"/>
    <cellStyle name="Comma 8 2 2" xfId="6732" xr:uid="{00000000-0005-0000-0000-00003D050000}"/>
    <cellStyle name="Comma 8 3" xfId="586" xr:uid="{00000000-0005-0000-0000-00003E050000}"/>
    <cellStyle name="Comma 8 3 2" xfId="6733" xr:uid="{00000000-0005-0000-0000-00003F050000}"/>
    <cellStyle name="Comma 8 4" xfId="587" xr:uid="{00000000-0005-0000-0000-000040050000}"/>
    <cellStyle name="Comma 8 4 2" xfId="6734" xr:uid="{00000000-0005-0000-0000-000041050000}"/>
    <cellStyle name="Comma 8 5" xfId="588" xr:uid="{00000000-0005-0000-0000-000042050000}"/>
    <cellStyle name="Comma 8 5 2" xfId="6735" xr:uid="{00000000-0005-0000-0000-000043050000}"/>
    <cellStyle name="Comma 8 6" xfId="589" xr:uid="{00000000-0005-0000-0000-000044050000}"/>
    <cellStyle name="Comma 8 6 2" xfId="6736" xr:uid="{00000000-0005-0000-0000-000045050000}"/>
    <cellStyle name="Comma 8 7" xfId="590" xr:uid="{00000000-0005-0000-0000-000046050000}"/>
    <cellStyle name="Comma 8 7 2" xfId="6737" xr:uid="{00000000-0005-0000-0000-000047050000}"/>
    <cellStyle name="Comma 8 8" xfId="591" xr:uid="{00000000-0005-0000-0000-000048050000}"/>
    <cellStyle name="Comma 8 8 2" xfId="6738" xr:uid="{00000000-0005-0000-0000-000049050000}"/>
    <cellStyle name="Comma 8 9" xfId="592" xr:uid="{00000000-0005-0000-0000-00004A050000}"/>
    <cellStyle name="Comma 8 9 2" xfId="6739" xr:uid="{00000000-0005-0000-0000-00004B050000}"/>
    <cellStyle name="Comma 9" xfId="4733" xr:uid="{00000000-0005-0000-0000-00004C050000}"/>
    <cellStyle name="Comma 9 2" xfId="593" xr:uid="{00000000-0005-0000-0000-00004D050000}"/>
    <cellStyle name="Comma 9 2 2" xfId="6740" xr:uid="{00000000-0005-0000-0000-00004E050000}"/>
    <cellStyle name="Comma 9 3" xfId="594" xr:uid="{00000000-0005-0000-0000-00004F050000}"/>
    <cellStyle name="Comma 9 3 2" xfId="6741" xr:uid="{00000000-0005-0000-0000-000050050000}"/>
    <cellStyle name="Comma 9 4" xfId="595" xr:uid="{00000000-0005-0000-0000-000051050000}"/>
    <cellStyle name="Comma 9 4 2" xfId="6742" xr:uid="{00000000-0005-0000-0000-000052050000}"/>
    <cellStyle name="Comma 9 5" xfId="596" xr:uid="{00000000-0005-0000-0000-000053050000}"/>
    <cellStyle name="Comma 9 5 2" xfId="6743" xr:uid="{00000000-0005-0000-0000-000054050000}"/>
    <cellStyle name="Comma 9 6" xfId="597" xr:uid="{00000000-0005-0000-0000-000055050000}"/>
    <cellStyle name="Comma 9 6 2" xfId="6744" xr:uid="{00000000-0005-0000-0000-000056050000}"/>
    <cellStyle name="Comma 9 7" xfId="598" xr:uid="{00000000-0005-0000-0000-000057050000}"/>
    <cellStyle name="Comma 9 7 2" xfId="6745" xr:uid="{00000000-0005-0000-0000-000058050000}"/>
    <cellStyle name="Comma 9 8" xfId="599" xr:uid="{00000000-0005-0000-0000-000059050000}"/>
    <cellStyle name="Comma 9 8 2" xfId="6746" xr:uid="{00000000-0005-0000-0000-00005A050000}"/>
    <cellStyle name="Comma 9 9" xfId="600" xr:uid="{00000000-0005-0000-0000-00005B050000}"/>
    <cellStyle name="Comma 9 9 2" xfId="6747" xr:uid="{00000000-0005-0000-0000-00005C050000}"/>
    <cellStyle name="Currency [0] 2" xfId="4740" xr:uid="{00000000-0005-0000-0000-00005D050000}"/>
    <cellStyle name="Currency 10" xfId="6673" xr:uid="{00000000-0005-0000-0000-00005E050000}"/>
    <cellStyle name="Currency 11" xfId="6671" xr:uid="{00000000-0005-0000-0000-00005F050000}"/>
    <cellStyle name="Currency 12" xfId="6621" xr:uid="{00000000-0005-0000-0000-000060050000}"/>
    <cellStyle name="Currency 13" xfId="6667" xr:uid="{00000000-0005-0000-0000-000061050000}"/>
    <cellStyle name="Currency 14" xfId="6672" xr:uid="{00000000-0005-0000-0000-000062050000}"/>
    <cellStyle name="Currency 15" xfId="6665" xr:uid="{00000000-0005-0000-0000-000063050000}"/>
    <cellStyle name="Currency 16" xfId="6658" xr:uid="{00000000-0005-0000-0000-000064050000}"/>
    <cellStyle name="Currency 17" xfId="6655" xr:uid="{00000000-0005-0000-0000-000065050000}"/>
    <cellStyle name="Currency 18" xfId="6649" xr:uid="{00000000-0005-0000-0000-000066050000}"/>
    <cellStyle name="Currency 19" xfId="6646" xr:uid="{00000000-0005-0000-0000-000067050000}"/>
    <cellStyle name="Currency 2" xfId="74" xr:uid="{00000000-0005-0000-0000-000068050000}"/>
    <cellStyle name="Currency 2 2" xfId="601" xr:uid="{00000000-0005-0000-0000-000069050000}"/>
    <cellStyle name="Currency 2 2 2" xfId="602" xr:uid="{00000000-0005-0000-0000-00006A050000}"/>
    <cellStyle name="Currency 2 3" xfId="2490" xr:uid="{00000000-0005-0000-0000-00006B050000}"/>
    <cellStyle name="Currency 20" xfId="6640" xr:uid="{00000000-0005-0000-0000-00006C050000}"/>
    <cellStyle name="Currency 21" xfId="6636" xr:uid="{00000000-0005-0000-0000-00006D050000}"/>
    <cellStyle name="Currency 22" xfId="6630" xr:uid="{00000000-0005-0000-0000-00006E050000}"/>
    <cellStyle name="Currency 23" xfId="6669" xr:uid="{00000000-0005-0000-0000-00006F050000}"/>
    <cellStyle name="Currency 24" xfId="6663" xr:uid="{00000000-0005-0000-0000-000070050000}"/>
    <cellStyle name="Currency 25" xfId="6660" xr:uid="{00000000-0005-0000-0000-000071050000}"/>
    <cellStyle name="Currency 26" xfId="6661" xr:uid="{00000000-0005-0000-0000-000072050000}"/>
    <cellStyle name="Currency 27" xfId="6654" xr:uid="{00000000-0005-0000-0000-000073050000}"/>
    <cellStyle name="Currency 28" xfId="6656" xr:uid="{00000000-0005-0000-0000-000074050000}"/>
    <cellStyle name="Currency 29" xfId="6645" xr:uid="{00000000-0005-0000-0000-000075050000}"/>
    <cellStyle name="Currency 3" xfId="80" xr:uid="{00000000-0005-0000-0000-000076050000}"/>
    <cellStyle name="Currency 3 2" xfId="603" xr:uid="{00000000-0005-0000-0000-000077050000}"/>
    <cellStyle name="Currency 3 3" xfId="2496" xr:uid="{00000000-0005-0000-0000-000078050000}"/>
    <cellStyle name="Currency 30" xfId="6647" xr:uid="{00000000-0005-0000-0000-000079050000}"/>
    <cellStyle name="Currency 31" xfId="6638" xr:uid="{00000000-0005-0000-0000-00007A050000}"/>
    <cellStyle name="Currency 32" xfId="6641" xr:uid="{00000000-0005-0000-0000-00007B050000}"/>
    <cellStyle name="Currency 33" xfId="6652" xr:uid="{00000000-0005-0000-0000-00007C050000}"/>
    <cellStyle name="Currency 34" xfId="6632" xr:uid="{00000000-0005-0000-0000-00007D050000}"/>
    <cellStyle name="Currency 35" xfId="6754" xr:uid="{00000000-0005-0000-0000-00007E050000}"/>
    <cellStyle name="Currency 4" xfId="604" xr:uid="{00000000-0005-0000-0000-00007F050000}"/>
    <cellStyle name="Currency 5" xfId="605" xr:uid="{00000000-0005-0000-0000-000080050000}"/>
    <cellStyle name="Currency 5 2" xfId="6748" xr:uid="{00000000-0005-0000-0000-000081050000}"/>
    <cellStyle name="Currency 6" xfId="606" xr:uid="{00000000-0005-0000-0000-000082050000}"/>
    <cellStyle name="Currency 7" xfId="4739" xr:uid="{00000000-0005-0000-0000-000083050000}"/>
    <cellStyle name="Currency 8" xfId="6623" xr:uid="{00000000-0005-0000-0000-000084050000}"/>
    <cellStyle name="Currency 9" xfId="6670" xr:uid="{00000000-0005-0000-0000-000085050000}"/>
    <cellStyle name="Dane wejściowe" xfId="607" xr:uid="{00000000-0005-0000-0000-000086050000}"/>
    <cellStyle name="Dane wejściowe 10" xfId="608" xr:uid="{00000000-0005-0000-0000-000087050000}"/>
    <cellStyle name="Dane wejściowe 10 2" xfId="3015" xr:uid="{00000000-0005-0000-0000-000088050000}"/>
    <cellStyle name="Dane wejściowe 10 3" xfId="4919" xr:uid="{00000000-0005-0000-0000-000089050000}"/>
    <cellStyle name="Dane wejściowe 11" xfId="609" xr:uid="{00000000-0005-0000-0000-00008A050000}"/>
    <cellStyle name="Dane wejściowe 11 2" xfId="3016" xr:uid="{00000000-0005-0000-0000-00008B050000}"/>
    <cellStyle name="Dane wejściowe 11 3" xfId="4920" xr:uid="{00000000-0005-0000-0000-00008C050000}"/>
    <cellStyle name="Dane wejściowe 12" xfId="610" xr:uid="{00000000-0005-0000-0000-00008D050000}"/>
    <cellStyle name="Dane wejściowe 12 2" xfId="3017" xr:uid="{00000000-0005-0000-0000-00008E050000}"/>
    <cellStyle name="Dane wejściowe 12 3" xfId="4921" xr:uid="{00000000-0005-0000-0000-00008F050000}"/>
    <cellStyle name="Dane wejściowe 13" xfId="611" xr:uid="{00000000-0005-0000-0000-000090050000}"/>
    <cellStyle name="Dane wejściowe 13 2" xfId="3018" xr:uid="{00000000-0005-0000-0000-000091050000}"/>
    <cellStyle name="Dane wejściowe 13 3" xfId="4922" xr:uid="{00000000-0005-0000-0000-000092050000}"/>
    <cellStyle name="Dane wejściowe 14" xfId="612" xr:uid="{00000000-0005-0000-0000-000093050000}"/>
    <cellStyle name="Dane wejściowe 14 2" xfId="3019" xr:uid="{00000000-0005-0000-0000-000094050000}"/>
    <cellStyle name="Dane wejściowe 14 3" xfId="4923" xr:uid="{00000000-0005-0000-0000-000095050000}"/>
    <cellStyle name="Dane wejściowe 15" xfId="613" xr:uid="{00000000-0005-0000-0000-000096050000}"/>
    <cellStyle name="Dane wejściowe 15 2" xfId="3020" xr:uid="{00000000-0005-0000-0000-000097050000}"/>
    <cellStyle name="Dane wejściowe 15 3" xfId="4924" xr:uid="{00000000-0005-0000-0000-000098050000}"/>
    <cellStyle name="Dane wejściowe 16" xfId="614" xr:uid="{00000000-0005-0000-0000-000099050000}"/>
    <cellStyle name="Dane wejściowe 16 2" xfId="3021" xr:uid="{00000000-0005-0000-0000-00009A050000}"/>
    <cellStyle name="Dane wejściowe 16 3" xfId="4925" xr:uid="{00000000-0005-0000-0000-00009B050000}"/>
    <cellStyle name="Dane wejściowe 17" xfId="615" xr:uid="{00000000-0005-0000-0000-00009C050000}"/>
    <cellStyle name="Dane wejściowe 17 2" xfId="3022" xr:uid="{00000000-0005-0000-0000-00009D050000}"/>
    <cellStyle name="Dane wejściowe 17 3" xfId="4926" xr:uid="{00000000-0005-0000-0000-00009E050000}"/>
    <cellStyle name="Dane wejściowe 18" xfId="616" xr:uid="{00000000-0005-0000-0000-00009F050000}"/>
    <cellStyle name="Dane wejściowe 18 2" xfId="3023" xr:uid="{00000000-0005-0000-0000-0000A0050000}"/>
    <cellStyle name="Dane wejściowe 18 3" xfId="4927" xr:uid="{00000000-0005-0000-0000-0000A1050000}"/>
    <cellStyle name="Dane wejściowe 19" xfId="617" xr:uid="{00000000-0005-0000-0000-0000A2050000}"/>
    <cellStyle name="Dane wejściowe 19 2" xfId="3024" xr:uid="{00000000-0005-0000-0000-0000A3050000}"/>
    <cellStyle name="Dane wejściowe 19 3" xfId="4928" xr:uid="{00000000-0005-0000-0000-0000A4050000}"/>
    <cellStyle name="Dane wejściowe 2" xfId="618" xr:uid="{00000000-0005-0000-0000-0000A5050000}"/>
    <cellStyle name="Dane wejściowe 2 10" xfId="619" xr:uid="{00000000-0005-0000-0000-0000A6050000}"/>
    <cellStyle name="Dane wejściowe 2 10 2" xfId="3026" xr:uid="{00000000-0005-0000-0000-0000A7050000}"/>
    <cellStyle name="Dane wejściowe 2 10 3" xfId="4930" xr:uid="{00000000-0005-0000-0000-0000A8050000}"/>
    <cellStyle name="Dane wejściowe 2 11" xfId="620" xr:uid="{00000000-0005-0000-0000-0000A9050000}"/>
    <cellStyle name="Dane wejściowe 2 11 2" xfId="3027" xr:uid="{00000000-0005-0000-0000-0000AA050000}"/>
    <cellStyle name="Dane wejściowe 2 11 3" xfId="4931" xr:uid="{00000000-0005-0000-0000-0000AB050000}"/>
    <cellStyle name="Dane wejściowe 2 12" xfId="621" xr:uid="{00000000-0005-0000-0000-0000AC050000}"/>
    <cellStyle name="Dane wejściowe 2 12 2" xfId="3028" xr:uid="{00000000-0005-0000-0000-0000AD050000}"/>
    <cellStyle name="Dane wejściowe 2 12 3" xfId="4932" xr:uid="{00000000-0005-0000-0000-0000AE050000}"/>
    <cellStyle name="Dane wejściowe 2 13" xfId="622" xr:uid="{00000000-0005-0000-0000-0000AF050000}"/>
    <cellStyle name="Dane wejściowe 2 13 2" xfId="3029" xr:uid="{00000000-0005-0000-0000-0000B0050000}"/>
    <cellStyle name="Dane wejściowe 2 13 3" xfId="4933" xr:uid="{00000000-0005-0000-0000-0000B1050000}"/>
    <cellStyle name="Dane wejściowe 2 14" xfId="623" xr:uid="{00000000-0005-0000-0000-0000B2050000}"/>
    <cellStyle name="Dane wejściowe 2 14 2" xfId="3030" xr:uid="{00000000-0005-0000-0000-0000B3050000}"/>
    <cellStyle name="Dane wejściowe 2 14 3" xfId="4934" xr:uid="{00000000-0005-0000-0000-0000B4050000}"/>
    <cellStyle name="Dane wejściowe 2 15" xfId="624" xr:uid="{00000000-0005-0000-0000-0000B5050000}"/>
    <cellStyle name="Dane wejściowe 2 15 2" xfId="3031" xr:uid="{00000000-0005-0000-0000-0000B6050000}"/>
    <cellStyle name="Dane wejściowe 2 15 3" xfId="4935" xr:uid="{00000000-0005-0000-0000-0000B7050000}"/>
    <cellStyle name="Dane wejściowe 2 16" xfId="625" xr:uid="{00000000-0005-0000-0000-0000B8050000}"/>
    <cellStyle name="Dane wejściowe 2 16 2" xfId="3032" xr:uid="{00000000-0005-0000-0000-0000B9050000}"/>
    <cellStyle name="Dane wejściowe 2 16 3" xfId="4936" xr:uid="{00000000-0005-0000-0000-0000BA050000}"/>
    <cellStyle name="Dane wejściowe 2 17" xfId="626" xr:uid="{00000000-0005-0000-0000-0000BB050000}"/>
    <cellStyle name="Dane wejściowe 2 17 2" xfId="3033" xr:uid="{00000000-0005-0000-0000-0000BC050000}"/>
    <cellStyle name="Dane wejściowe 2 17 3" xfId="4937" xr:uid="{00000000-0005-0000-0000-0000BD050000}"/>
    <cellStyle name="Dane wejściowe 2 18" xfId="627" xr:uid="{00000000-0005-0000-0000-0000BE050000}"/>
    <cellStyle name="Dane wejściowe 2 18 2" xfId="3034" xr:uid="{00000000-0005-0000-0000-0000BF050000}"/>
    <cellStyle name="Dane wejściowe 2 18 3" xfId="4938" xr:uid="{00000000-0005-0000-0000-0000C0050000}"/>
    <cellStyle name="Dane wejściowe 2 19" xfId="628" xr:uid="{00000000-0005-0000-0000-0000C1050000}"/>
    <cellStyle name="Dane wejściowe 2 19 2" xfId="3035" xr:uid="{00000000-0005-0000-0000-0000C2050000}"/>
    <cellStyle name="Dane wejściowe 2 19 3" xfId="4939" xr:uid="{00000000-0005-0000-0000-0000C3050000}"/>
    <cellStyle name="Dane wejściowe 2 2" xfId="629" xr:uid="{00000000-0005-0000-0000-0000C4050000}"/>
    <cellStyle name="Dane wejściowe 2 2 2" xfId="3036" xr:uid="{00000000-0005-0000-0000-0000C5050000}"/>
    <cellStyle name="Dane wejściowe 2 2 3" xfId="4940" xr:uid="{00000000-0005-0000-0000-0000C6050000}"/>
    <cellStyle name="Dane wejściowe 2 20" xfId="630" xr:uid="{00000000-0005-0000-0000-0000C7050000}"/>
    <cellStyle name="Dane wejściowe 2 20 2" xfId="3037" xr:uid="{00000000-0005-0000-0000-0000C8050000}"/>
    <cellStyle name="Dane wejściowe 2 20 3" xfId="4941" xr:uid="{00000000-0005-0000-0000-0000C9050000}"/>
    <cellStyle name="Dane wejściowe 2 21" xfId="631" xr:uid="{00000000-0005-0000-0000-0000CA050000}"/>
    <cellStyle name="Dane wejściowe 2 21 2" xfId="3038" xr:uid="{00000000-0005-0000-0000-0000CB050000}"/>
    <cellStyle name="Dane wejściowe 2 21 3" xfId="4942" xr:uid="{00000000-0005-0000-0000-0000CC050000}"/>
    <cellStyle name="Dane wejściowe 2 22" xfId="632" xr:uid="{00000000-0005-0000-0000-0000CD050000}"/>
    <cellStyle name="Dane wejściowe 2 22 2" xfId="3039" xr:uid="{00000000-0005-0000-0000-0000CE050000}"/>
    <cellStyle name="Dane wejściowe 2 22 3" xfId="4943" xr:uid="{00000000-0005-0000-0000-0000CF050000}"/>
    <cellStyle name="Dane wejściowe 2 23" xfId="633" xr:uid="{00000000-0005-0000-0000-0000D0050000}"/>
    <cellStyle name="Dane wejściowe 2 23 2" xfId="3040" xr:uid="{00000000-0005-0000-0000-0000D1050000}"/>
    <cellStyle name="Dane wejściowe 2 23 3" xfId="4944" xr:uid="{00000000-0005-0000-0000-0000D2050000}"/>
    <cellStyle name="Dane wejściowe 2 24" xfId="3025" xr:uid="{00000000-0005-0000-0000-0000D3050000}"/>
    <cellStyle name="Dane wejściowe 2 25" xfId="4929" xr:uid="{00000000-0005-0000-0000-0000D4050000}"/>
    <cellStyle name="Dane wejściowe 2 3" xfId="634" xr:uid="{00000000-0005-0000-0000-0000D5050000}"/>
    <cellStyle name="Dane wejściowe 2 3 2" xfId="3041" xr:uid="{00000000-0005-0000-0000-0000D6050000}"/>
    <cellStyle name="Dane wejściowe 2 3 3" xfId="4945" xr:uid="{00000000-0005-0000-0000-0000D7050000}"/>
    <cellStyle name="Dane wejściowe 2 4" xfId="635" xr:uid="{00000000-0005-0000-0000-0000D8050000}"/>
    <cellStyle name="Dane wejściowe 2 4 2" xfId="3042" xr:uid="{00000000-0005-0000-0000-0000D9050000}"/>
    <cellStyle name="Dane wejściowe 2 4 3" xfId="4946" xr:uid="{00000000-0005-0000-0000-0000DA050000}"/>
    <cellStyle name="Dane wejściowe 2 5" xfId="636" xr:uid="{00000000-0005-0000-0000-0000DB050000}"/>
    <cellStyle name="Dane wejściowe 2 5 2" xfId="3043" xr:uid="{00000000-0005-0000-0000-0000DC050000}"/>
    <cellStyle name="Dane wejściowe 2 5 3" xfId="4947" xr:uid="{00000000-0005-0000-0000-0000DD050000}"/>
    <cellStyle name="Dane wejściowe 2 6" xfId="637" xr:uid="{00000000-0005-0000-0000-0000DE050000}"/>
    <cellStyle name="Dane wejściowe 2 6 2" xfId="3044" xr:uid="{00000000-0005-0000-0000-0000DF050000}"/>
    <cellStyle name="Dane wejściowe 2 6 3" xfId="4948" xr:uid="{00000000-0005-0000-0000-0000E0050000}"/>
    <cellStyle name="Dane wejściowe 2 7" xfId="638" xr:uid="{00000000-0005-0000-0000-0000E1050000}"/>
    <cellStyle name="Dane wejściowe 2 7 2" xfId="3045" xr:uid="{00000000-0005-0000-0000-0000E2050000}"/>
    <cellStyle name="Dane wejściowe 2 7 3" xfId="4949" xr:uid="{00000000-0005-0000-0000-0000E3050000}"/>
    <cellStyle name="Dane wejściowe 2 8" xfId="639" xr:uid="{00000000-0005-0000-0000-0000E4050000}"/>
    <cellStyle name="Dane wejściowe 2 8 2" xfId="3046" xr:uid="{00000000-0005-0000-0000-0000E5050000}"/>
    <cellStyle name="Dane wejściowe 2 8 3" xfId="4950" xr:uid="{00000000-0005-0000-0000-0000E6050000}"/>
    <cellStyle name="Dane wejściowe 2 9" xfId="640" xr:uid="{00000000-0005-0000-0000-0000E7050000}"/>
    <cellStyle name="Dane wejściowe 2 9 2" xfId="3047" xr:uid="{00000000-0005-0000-0000-0000E8050000}"/>
    <cellStyle name="Dane wejściowe 2 9 3" xfId="4951" xr:uid="{00000000-0005-0000-0000-0000E9050000}"/>
    <cellStyle name="Dane wejściowe 20" xfId="641" xr:uid="{00000000-0005-0000-0000-0000EA050000}"/>
    <cellStyle name="Dane wejściowe 20 2" xfId="3048" xr:uid="{00000000-0005-0000-0000-0000EB050000}"/>
    <cellStyle name="Dane wejściowe 20 3" xfId="4952" xr:uid="{00000000-0005-0000-0000-0000EC050000}"/>
    <cellStyle name="Dane wejściowe 21" xfId="642" xr:uid="{00000000-0005-0000-0000-0000ED050000}"/>
    <cellStyle name="Dane wejściowe 21 2" xfId="3049" xr:uid="{00000000-0005-0000-0000-0000EE050000}"/>
    <cellStyle name="Dane wejściowe 21 3" xfId="4953" xr:uid="{00000000-0005-0000-0000-0000EF050000}"/>
    <cellStyle name="Dane wejściowe 22" xfId="643" xr:uid="{00000000-0005-0000-0000-0000F0050000}"/>
    <cellStyle name="Dane wejściowe 22 2" xfId="3050" xr:uid="{00000000-0005-0000-0000-0000F1050000}"/>
    <cellStyle name="Dane wejściowe 22 3" xfId="4954" xr:uid="{00000000-0005-0000-0000-0000F2050000}"/>
    <cellStyle name="Dane wejściowe 23" xfId="644" xr:uid="{00000000-0005-0000-0000-0000F3050000}"/>
    <cellStyle name="Dane wejściowe 23 2" xfId="3051" xr:uid="{00000000-0005-0000-0000-0000F4050000}"/>
    <cellStyle name="Dane wejściowe 23 3" xfId="4955" xr:uid="{00000000-0005-0000-0000-0000F5050000}"/>
    <cellStyle name="Dane wejściowe 24" xfId="645" xr:uid="{00000000-0005-0000-0000-0000F6050000}"/>
    <cellStyle name="Dane wejściowe 24 2" xfId="3052" xr:uid="{00000000-0005-0000-0000-0000F7050000}"/>
    <cellStyle name="Dane wejściowe 24 3" xfId="4956" xr:uid="{00000000-0005-0000-0000-0000F8050000}"/>
    <cellStyle name="Dane wejściowe 25" xfId="646" xr:uid="{00000000-0005-0000-0000-0000F9050000}"/>
    <cellStyle name="Dane wejściowe 25 2" xfId="3053" xr:uid="{00000000-0005-0000-0000-0000FA050000}"/>
    <cellStyle name="Dane wejściowe 25 3" xfId="4957" xr:uid="{00000000-0005-0000-0000-0000FB050000}"/>
    <cellStyle name="Dane wejściowe 26" xfId="3014" xr:uid="{00000000-0005-0000-0000-0000FC050000}"/>
    <cellStyle name="Dane wejściowe 27" xfId="4918" xr:uid="{00000000-0005-0000-0000-0000FD050000}"/>
    <cellStyle name="Dane wejściowe 3" xfId="647" xr:uid="{00000000-0005-0000-0000-0000FE050000}"/>
    <cellStyle name="Dane wejściowe 3 10" xfId="648" xr:uid="{00000000-0005-0000-0000-0000FF050000}"/>
    <cellStyle name="Dane wejściowe 3 10 2" xfId="3055" xr:uid="{00000000-0005-0000-0000-000000060000}"/>
    <cellStyle name="Dane wejściowe 3 10 3" xfId="4959" xr:uid="{00000000-0005-0000-0000-000001060000}"/>
    <cellStyle name="Dane wejściowe 3 11" xfId="649" xr:uid="{00000000-0005-0000-0000-000002060000}"/>
    <cellStyle name="Dane wejściowe 3 11 2" xfId="3056" xr:uid="{00000000-0005-0000-0000-000003060000}"/>
    <cellStyle name="Dane wejściowe 3 11 3" xfId="4960" xr:uid="{00000000-0005-0000-0000-000004060000}"/>
    <cellStyle name="Dane wejściowe 3 12" xfId="650" xr:uid="{00000000-0005-0000-0000-000005060000}"/>
    <cellStyle name="Dane wejściowe 3 12 2" xfId="3057" xr:uid="{00000000-0005-0000-0000-000006060000}"/>
    <cellStyle name="Dane wejściowe 3 12 3" xfId="4961" xr:uid="{00000000-0005-0000-0000-000007060000}"/>
    <cellStyle name="Dane wejściowe 3 13" xfId="651" xr:uid="{00000000-0005-0000-0000-000008060000}"/>
    <cellStyle name="Dane wejściowe 3 13 2" xfId="3058" xr:uid="{00000000-0005-0000-0000-000009060000}"/>
    <cellStyle name="Dane wejściowe 3 13 3" xfId="4962" xr:uid="{00000000-0005-0000-0000-00000A060000}"/>
    <cellStyle name="Dane wejściowe 3 14" xfId="652" xr:uid="{00000000-0005-0000-0000-00000B060000}"/>
    <cellStyle name="Dane wejściowe 3 14 2" xfId="3059" xr:uid="{00000000-0005-0000-0000-00000C060000}"/>
    <cellStyle name="Dane wejściowe 3 14 3" xfId="4963" xr:uid="{00000000-0005-0000-0000-00000D060000}"/>
    <cellStyle name="Dane wejściowe 3 15" xfId="653" xr:uid="{00000000-0005-0000-0000-00000E060000}"/>
    <cellStyle name="Dane wejściowe 3 15 2" xfId="3060" xr:uid="{00000000-0005-0000-0000-00000F060000}"/>
    <cellStyle name="Dane wejściowe 3 15 3" xfId="4964" xr:uid="{00000000-0005-0000-0000-000010060000}"/>
    <cellStyle name="Dane wejściowe 3 16" xfId="654" xr:uid="{00000000-0005-0000-0000-000011060000}"/>
    <cellStyle name="Dane wejściowe 3 16 2" xfId="3061" xr:uid="{00000000-0005-0000-0000-000012060000}"/>
    <cellStyle name="Dane wejściowe 3 16 3" xfId="4965" xr:uid="{00000000-0005-0000-0000-000013060000}"/>
    <cellStyle name="Dane wejściowe 3 17" xfId="655" xr:uid="{00000000-0005-0000-0000-000014060000}"/>
    <cellStyle name="Dane wejściowe 3 17 2" xfId="3062" xr:uid="{00000000-0005-0000-0000-000015060000}"/>
    <cellStyle name="Dane wejściowe 3 17 3" xfId="4966" xr:uid="{00000000-0005-0000-0000-000016060000}"/>
    <cellStyle name="Dane wejściowe 3 18" xfId="656" xr:uid="{00000000-0005-0000-0000-000017060000}"/>
    <cellStyle name="Dane wejściowe 3 18 2" xfId="3063" xr:uid="{00000000-0005-0000-0000-000018060000}"/>
    <cellStyle name="Dane wejściowe 3 18 3" xfId="4967" xr:uid="{00000000-0005-0000-0000-000019060000}"/>
    <cellStyle name="Dane wejściowe 3 19" xfId="657" xr:uid="{00000000-0005-0000-0000-00001A060000}"/>
    <cellStyle name="Dane wejściowe 3 19 2" xfId="3064" xr:uid="{00000000-0005-0000-0000-00001B060000}"/>
    <cellStyle name="Dane wejściowe 3 19 3" xfId="4968" xr:uid="{00000000-0005-0000-0000-00001C060000}"/>
    <cellStyle name="Dane wejściowe 3 2" xfId="658" xr:uid="{00000000-0005-0000-0000-00001D060000}"/>
    <cellStyle name="Dane wejściowe 3 2 2" xfId="3065" xr:uid="{00000000-0005-0000-0000-00001E060000}"/>
    <cellStyle name="Dane wejściowe 3 2 3" xfId="4969" xr:uid="{00000000-0005-0000-0000-00001F060000}"/>
    <cellStyle name="Dane wejściowe 3 20" xfId="659" xr:uid="{00000000-0005-0000-0000-000020060000}"/>
    <cellStyle name="Dane wejściowe 3 20 2" xfId="3066" xr:uid="{00000000-0005-0000-0000-000021060000}"/>
    <cellStyle name="Dane wejściowe 3 20 3" xfId="4970" xr:uid="{00000000-0005-0000-0000-000022060000}"/>
    <cellStyle name="Dane wejściowe 3 21" xfId="660" xr:uid="{00000000-0005-0000-0000-000023060000}"/>
    <cellStyle name="Dane wejściowe 3 21 2" xfId="3067" xr:uid="{00000000-0005-0000-0000-000024060000}"/>
    <cellStyle name="Dane wejściowe 3 21 3" xfId="4971" xr:uid="{00000000-0005-0000-0000-000025060000}"/>
    <cellStyle name="Dane wejściowe 3 22" xfId="661" xr:uid="{00000000-0005-0000-0000-000026060000}"/>
    <cellStyle name="Dane wejściowe 3 22 2" xfId="3068" xr:uid="{00000000-0005-0000-0000-000027060000}"/>
    <cellStyle name="Dane wejściowe 3 22 3" xfId="4972" xr:uid="{00000000-0005-0000-0000-000028060000}"/>
    <cellStyle name="Dane wejściowe 3 23" xfId="662" xr:uid="{00000000-0005-0000-0000-000029060000}"/>
    <cellStyle name="Dane wejściowe 3 23 2" xfId="3069" xr:uid="{00000000-0005-0000-0000-00002A060000}"/>
    <cellStyle name="Dane wejściowe 3 23 3" xfId="4973" xr:uid="{00000000-0005-0000-0000-00002B060000}"/>
    <cellStyle name="Dane wejściowe 3 24" xfId="3054" xr:uid="{00000000-0005-0000-0000-00002C060000}"/>
    <cellStyle name="Dane wejściowe 3 25" xfId="4958" xr:uid="{00000000-0005-0000-0000-00002D060000}"/>
    <cellStyle name="Dane wejściowe 3 3" xfId="663" xr:uid="{00000000-0005-0000-0000-00002E060000}"/>
    <cellStyle name="Dane wejściowe 3 3 2" xfId="3070" xr:uid="{00000000-0005-0000-0000-00002F060000}"/>
    <cellStyle name="Dane wejściowe 3 3 3" xfId="4974" xr:uid="{00000000-0005-0000-0000-000030060000}"/>
    <cellStyle name="Dane wejściowe 3 4" xfId="664" xr:uid="{00000000-0005-0000-0000-000031060000}"/>
    <cellStyle name="Dane wejściowe 3 4 2" xfId="3071" xr:uid="{00000000-0005-0000-0000-000032060000}"/>
    <cellStyle name="Dane wejściowe 3 4 3" xfId="4975" xr:uid="{00000000-0005-0000-0000-000033060000}"/>
    <cellStyle name="Dane wejściowe 3 5" xfId="665" xr:uid="{00000000-0005-0000-0000-000034060000}"/>
    <cellStyle name="Dane wejściowe 3 5 2" xfId="3072" xr:uid="{00000000-0005-0000-0000-000035060000}"/>
    <cellStyle name="Dane wejściowe 3 5 3" xfId="4976" xr:uid="{00000000-0005-0000-0000-000036060000}"/>
    <cellStyle name="Dane wejściowe 3 6" xfId="666" xr:uid="{00000000-0005-0000-0000-000037060000}"/>
    <cellStyle name="Dane wejściowe 3 6 2" xfId="3073" xr:uid="{00000000-0005-0000-0000-000038060000}"/>
    <cellStyle name="Dane wejściowe 3 6 3" xfId="4977" xr:uid="{00000000-0005-0000-0000-000039060000}"/>
    <cellStyle name="Dane wejściowe 3 7" xfId="667" xr:uid="{00000000-0005-0000-0000-00003A060000}"/>
    <cellStyle name="Dane wejściowe 3 7 2" xfId="3074" xr:uid="{00000000-0005-0000-0000-00003B060000}"/>
    <cellStyle name="Dane wejściowe 3 7 3" xfId="4978" xr:uid="{00000000-0005-0000-0000-00003C060000}"/>
    <cellStyle name="Dane wejściowe 3 8" xfId="668" xr:uid="{00000000-0005-0000-0000-00003D060000}"/>
    <cellStyle name="Dane wejściowe 3 8 2" xfId="3075" xr:uid="{00000000-0005-0000-0000-00003E060000}"/>
    <cellStyle name="Dane wejściowe 3 8 3" xfId="4979" xr:uid="{00000000-0005-0000-0000-00003F060000}"/>
    <cellStyle name="Dane wejściowe 3 9" xfId="669" xr:uid="{00000000-0005-0000-0000-000040060000}"/>
    <cellStyle name="Dane wejściowe 3 9 2" xfId="3076" xr:uid="{00000000-0005-0000-0000-000041060000}"/>
    <cellStyle name="Dane wejściowe 3 9 3" xfId="4980" xr:uid="{00000000-0005-0000-0000-000042060000}"/>
    <cellStyle name="Dane wejściowe 4" xfId="670" xr:uid="{00000000-0005-0000-0000-000043060000}"/>
    <cellStyle name="Dane wejściowe 4 2" xfId="3077" xr:uid="{00000000-0005-0000-0000-000044060000}"/>
    <cellStyle name="Dane wejściowe 4 3" xfId="4981" xr:uid="{00000000-0005-0000-0000-000045060000}"/>
    <cellStyle name="Dane wejściowe 5" xfId="671" xr:uid="{00000000-0005-0000-0000-000046060000}"/>
    <cellStyle name="Dane wejściowe 5 2" xfId="3078" xr:uid="{00000000-0005-0000-0000-000047060000}"/>
    <cellStyle name="Dane wejściowe 5 3" xfId="4982" xr:uid="{00000000-0005-0000-0000-000048060000}"/>
    <cellStyle name="Dane wejściowe 6" xfId="672" xr:uid="{00000000-0005-0000-0000-000049060000}"/>
    <cellStyle name="Dane wejściowe 6 2" xfId="3079" xr:uid="{00000000-0005-0000-0000-00004A060000}"/>
    <cellStyle name="Dane wejściowe 6 3" xfId="4983" xr:uid="{00000000-0005-0000-0000-00004B060000}"/>
    <cellStyle name="Dane wejściowe 7" xfId="673" xr:uid="{00000000-0005-0000-0000-00004C060000}"/>
    <cellStyle name="Dane wejściowe 7 2" xfId="3080" xr:uid="{00000000-0005-0000-0000-00004D060000}"/>
    <cellStyle name="Dane wejściowe 7 3" xfId="4984" xr:uid="{00000000-0005-0000-0000-00004E060000}"/>
    <cellStyle name="Dane wejściowe 8" xfId="674" xr:uid="{00000000-0005-0000-0000-00004F060000}"/>
    <cellStyle name="Dane wejściowe 8 2" xfId="3081" xr:uid="{00000000-0005-0000-0000-000050060000}"/>
    <cellStyle name="Dane wejściowe 8 3" xfId="4985" xr:uid="{00000000-0005-0000-0000-000051060000}"/>
    <cellStyle name="Dane wejściowe 9" xfId="675" xr:uid="{00000000-0005-0000-0000-000052060000}"/>
    <cellStyle name="Dane wejściowe 9 2" xfId="3082" xr:uid="{00000000-0005-0000-0000-000053060000}"/>
    <cellStyle name="Dane wejściowe 9 3" xfId="4986" xr:uid="{00000000-0005-0000-0000-000054060000}"/>
    <cellStyle name="Dane wyjściowe" xfId="676" xr:uid="{00000000-0005-0000-0000-000055060000}"/>
    <cellStyle name="Dane wyjściowe 10" xfId="677" xr:uid="{00000000-0005-0000-0000-000056060000}"/>
    <cellStyle name="Dane wyjściowe 10 2" xfId="3084" xr:uid="{00000000-0005-0000-0000-000057060000}"/>
    <cellStyle name="Dane wyjściowe 10 3" xfId="4988" xr:uid="{00000000-0005-0000-0000-000058060000}"/>
    <cellStyle name="Dane wyjściowe 11" xfId="678" xr:uid="{00000000-0005-0000-0000-000059060000}"/>
    <cellStyle name="Dane wyjściowe 11 2" xfId="3085" xr:uid="{00000000-0005-0000-0000-00005A060000}"/>
    <cellStyle name="Dane wyjściowe 11 3" xfId="4989" xr:uid="{00000000-0005-0000-0000-00005B060000}"/>
    <cellStyle name="Dane wyjściowe 12" xfId="679" xr:uid="{00000000-0005-0000-0000-00005C060000}"/>
    <cellStyle name="Dane wyjściowe 12 2" xfId="3086" xr:uid="{00000000-0005-0000-0000-00005D060000}"/>
    <cellStyle name="Dane wyjściowe 12 3" xfId="4990" xr:uid="{00000000-0005-0000-0000-00005E060000}"/>
    <cellStyle name="Dane wyjściowe 13" xfId="680" xr:uid="{00000000-0005-0000-0000-00005F060000}"/>
    <cellStyle name="Dane wyjściowe 13 2" xfId="3087" xr:uid="{00000000-0005-0000-0000-000060060000}"/>
    <cellStyle name="Dane wyjściowe 13 3" xfId="4991" xr:uid="{00000000-0005-0000-0000-000061060000}"/>
    <cellStyle name="Dane wyjściowe 14" xfId="681" xr:uid="{00000000-0005-0000-0000-000062060000}"/>
    <cellStyle name="Dane wyjściowe 14 2" xfId="3088" xr:uid="{00000000-0005-0000-0000-000063060000}"/>
    <cellStyle name="Dane wyjściowe 14 3" xfId="4992" xr:uid="{00000000-0005-0000-0000-000064060000}"/>
    <cellStyle name="Dane wyjściowe 15" xfId="682" xr:uid="{00000000-0005-0000-0000-000065060000}"/>
    <cellStyle name="Dane wyjściowe 15 2" xfId="3089" xr:uid="{00000000-0005-0000-0000-000066060000}"/>
    <cellStyle name="Dane wyjściowe 15 3" xfId="4993" xr:uid="{00000000-0005-0000-0000-000067060000}"/>
    <cellStyle name="Dane wyjściowe 16" xfId="683" xr:uid="{00000000-0005-0000-0000-000068060000}"/>
    <cellStyle name="Dane wyjściowe 16 2" xfId="3090" xr:uid="{00000000-0005-0000-0000-000069060000}"/>
    <cellStyle name="Dane wyjściowe 16 3" xfId="4994" xr:uid="{00000000-0005-0000-0000-00006A060000}"/>
    <cellStyle name="Dane wyjściowe 17" xfId="684" xr:uid="{00000000-0005-0000-0000-00006B060000}"/>
    <cellStyle name="Dane wyjściowe 17 2" xfId="3091" xr:uid="{00000000-0005-0000-0000-00006C060000}"/>
    <cellStyle name="Dane wyjściowe 17 3" xfId="4995" xr:uid="{00000000-0005-0000-0000-00006D060000}"/>
    <cellStyle name="Dane wyjściowe 18" xfId="685" xr:uid="{00000000-0005-0000-0000-00006E060000}"/>
    <cellStyle name="Dane wyjściowe 18 2" xfId="3092" xr:uid="{00000000-0005-0000-0000-00006F060000}"/>
    <cellStyle name="Dane wyjściowe 18 3" xfId="4996" xr:uid="{00000000-0005-0000-0000-000070060000}"/>
    <cellStyle name="Dane wyjściowe 19" xfId="686" xr:uid="{00000000-0005-0000-0000-000071060000}"/>
    <cellStyle name="Dane wyjściowe 19 2" xfId="3093" xr:uid="{00000000-0005-0000-0000-000072060000}"/>
    <cellStyle name="Dane wyjściowe 19 3" xfId="4997" xr:uid="{00000000-0005-0000-0000-000073060000}"/>
    <cellStyle name="Dane wyjściowe 2" xfId="687" xr:uid="{00000000-0005-0000-0000-000074060000}"/>
    <cellStyle name="Dane wyjściowe 2 10" xfId="688" xr:uid="{00000000-0005-0000-0000-000075060000}"/>
    <cellStyle name="Dane wyjściowe 2 10 2" xfId="3095" xr:uid="{00000000-0005-0000-0000-000076060000}"/>
    <cellStyle name="Dane wyjściowe 2 10 3" xfId="4999" xr:uid="{00000000-0005-0000-0000-000077060000}"/>
    <cellStyle name="Dane wyjściowe 2 11" xfId="689" xr:uid="{00000000-0005-0000-0000-000078060000}"/>
    <cellStyle name="Dane wyjściowe 2 11 2" xfId="3096" xr:uid="{00000000-0005-0000-0000-000079060000}"/>
    <cellStyle name="Dane wyjściowe 2 11 3" xfId="5000" xr:uid="{00000000-0005-0000-0000-00007A060000}"/>
    <cellStyle name="Dane wyjściowe 2 12" xfId="690" xr:uid="{00000000-0005-0000-0000-00007B060000}"/>
    <cellStyle name="Dane wyjściowe 2 12 2" xfId="3097" xr:uid="{00000000-0005-0000-0000-00007C060000}"/>
    <cellStyle name="Dane wyjściowe 2 12 3" xfId="5001" xr:uid="{00000000-0005-0000-0000-00007D060000}"/>
    <cellStyle name="Dane wyjściowe 2 13" xfId="691" xr:uid="{00000000-0005-0000-0000-00007E060000}"/>
    <cellStyle name="Dane wyjściowe 2 13 2" xfId="3098" xr:uid="{00000000-0005-0000-0000-00007F060000}"/>
    <cellStyle name="Dane wyjściowe 2 13 3" xfId="5002" xr:uid="{00000000-0005-0000-0000-000080060000}"/>
    <cellStyle name="Dane wyjściowe 2 14" xfId="692" xr:uid="{00000000-0005-0000-0000-000081060000}"/>
    <cellStyle name="Dane wyjściowe 2 14 2" xfId="3099" xr:uid="{00000000-0005-0000-0000-000082060000}"/>
    <cellStyle name="Dane wyjściowe 2 14 3" xfId="5003" xr:uid="{00000000-0005-0000-0000-000083060000}"/>
    <cellStyle name="Dane wyjściowe 2 15" xfId="693" xr:uid="{00000000-0005-0000-0000-000084060000}"/>
    <cellStyle name="Dane wyjściowe 2 15 2" xfId="3100" xr:uid="{00000000-0005-0000-0000-000085060000}"/>
    <cellStyle name="Dane wyjściowe 2 15 3" xfId="5004" xr:uid="{00000000-0005-0000-0000-000086060000}"/>
    <cellStyle name="Dane wyjściowe 2 16" xfId="694" xr:uid="{00000000-0005-0000-0000-000087060000}"/>
    <cellStyle name="Dane wyjściowe 2 16 2" xfId="3101" xr:uid="{00000000-0005-0000-0000-000088060000}"/>
    <cellStyle name="Dane wyjściowe 2 16 3" xfId="5005" xr:uid="{00000000-0005-0000-0000-000089060000}"/>
    <cellStyle name="Dane wyjściowe 2 17" xfId="695" xr:uid="{00000000-0005-0000-0000-00008A060000}"/>
    <cellStyle name="Dane wyjściowe 2 17 2" xfId="3102" xr:uid="{00000000-0005-0000-0000-00008B060000}"/>
    <cellStyle name="Dane wyjściowe 2 17 3" xfId="5006" xr:uid="{00000000-0005-0000-0000-00008C060000}"/>
    <cellStyle name="Dane wyjściowe 2 18" xfId="696" xr:uid="{00000000-0005-0000-0000-00008D060000}"/>
    <cellStyle name="Dane wyjściowe 2 18 2" xfId="3103" xr:uid="{00000000-0005-0000-0000-00008E060000}"/>
    <cellStyle name="Dane wyjściowe 2 18 3" xfId="5007" xr:uid="{00000000-0005-0000-0000-00008F060000}"/>
    <cellStyle name="Dane wyjściowe 2 19" xfId="697" xr:uid="{00000000-0005-0000-0000-000090060000}"/>
    <cellStyle name="Dane wyjściowe 2 19 2" xfId="3104" xr:uid="{00000000-0005-0000-0000-000091060000}"/>
    <cellStyle name="Dane wyjściowe 2 19 3" xfId="5008" xr:uid="{00000000-0005-0000-0000-000092060000}"/>
    <cellStyle name="Dane wyjściowe 2 2" xfId="698" xr:uid="{00000000-0005-0000-0000-000093060000}"/>
    <cellStyle name="Dane wyjściowe 2 2 2" xfId="3105" xr:uid="{00000000-0005-0000-0000-000094060000}"/>
    <cellStyle name="Dane wyjściowe 2 2 3" xfId="5009" xr:uid="{00000000-0005-0000-0000-000095060000}"/>
    <cellStyle name="Dane wyjściowe 2 20" xfId="699" xr:uid="{00000000-0005-0000-0000-000096060000}"/>
    <cellStyle name="Dane wyjściowe 2 20 2" xfId="3106" xr:uid="{00000000-0005-0000-0000-000097060000}"/>
    <cellStyle name="Dane wyjściowe 2 20 3" xfId="5010" xr:uid="{00000000-0005-0000-0000-000098060000}"/>
    <cellStyle name="Dane wyjściowe 2 21" xfId="700" xr:uid="{00000000-0005-0000-0000-000099060000}"/>
    <cellStyle name="Dane wyjściowe 2 21 2" xfId="3107" xr:uid="{00000000-0005-0000-0000-00009A060000}"/>
    <cellStyle name="Dane wyjściowe 2 21 3" xfId="5011" xr:uid="{00000000-0005-0000-0000-00009B060000}"/>
    <cellStyle name="Dane wyjściowe 2 22" xfId="701" xr:uid="{00000000-0005-0000-0000-00009C060000}"/>
    <cellStyle name="Dane wyjściowe 2 22 2" xfId="3108" xr:uid="{00000000-0005-0000-0000-00009D060000}"/>
    <cellStyle name="Dane wyjściowe 2 22 3" xfId="5012" xr:uid="{00000000-0005-0000-0000-00009E060000}"/>
    <cellStyle name="Dane wyjściowe 2 23" xfId="702" xr:uid="{00000000-0005-0000-0000-00009F060000}"/>
    <cellStyle name="Dane wyjściowe 2 23 2" xfId="3109" xr:uid="{00000000-0005-0000-0000-0000A0060000}"/>
    <cellStyle name="Dane wyjściowe 2 23 3" xfId="5013" xr:uid="{00000000-0005-0000-0000-0000A1060000}"/>
    <cellStyle name="Dane wyjściowe 2 24" xfId="3094" xr:uid="{00000000-0005-0000-0000-0000A2060000}"/>
    <cellStyle name="Dane wyjściowe 2 25" xfId="4998" xr:uid="{00000000-0005-0000-0000-0000A3060000}"/>
    <cellStyle name="Dane wyjściowe 2 3" xfId="703" xr:uid="{00000000-0005-0000-0000-0000A4060000}"/>
    <cellStyle name="Dane wyjściowe 2 3 2" xfId="3110" xr:uid="{00000000-0005-0000-0000-0000A5060000}"/>
    <cellStyle name="Dane wyjściowe 2 3 3" xfId="5014" xr:uid="{00000000-0005-0000-0000-0000A6060000}"/>
    <cellStyle name="Dane wyjściowe 2 4" xfId="704" xr:uid="{00000000-0005-0000-0000-0000A7060000}"/>
    <cellStyle name="Dane wyjściowe 2 4 2" xfId="3111" xr:uid="{00000000-0005-0000-0000-0000A8060000}"/>
    <cellStyle name="Dane wyjściowe 2 4 3" xfId="5015" xr:uid="{00000000-0005-0000-0000-0000A9060000}"/>
    <cellStyle name="Dane wyjściowe 2 5" xfId="705" xr:uid="{00000000-0005-0000-0000-0000AA060000}"/>
    <cellStyle name="Dane wyjściowe 2 5 2" xfId="3112" xr:uid="{00000000-0005-0000-0000-0000AB060000}"/>
    <cellStyle name="Dane wyjściowe 2 5 3" xfId="5016" xr:uid="{00000000-0005-0000-0000-0000AC060000}"/>
    <cellStyle name="Dane wyjściowe 2 6" xfId="706" xr:uid="{00000000-0005-0000-0000-0000AD060000}"/>
    <cellStyle name="Dane wyjściowe 2 6 2" xfId="3113" xr:uid="{00000000-0005-0000-0000-0000AE060000}"/>
    <cellStyle name="Dane wyjściowe 2 6 3" xfId="5017" xr:uid="{00000000-0005-0000-0000-0000AF060000}"/>
    <cellStyle name="Dane wyjściowe 2 7" xfId="707" xr:uid="{00000000-0005-0000-0000-0000B0060000}"/>
    <cellStyle name="Dane wyjściowe 2 7 2" xfId="3114" xr:uid="{00000000-0005-0000-0000-0000B1060000}"/>
    <cellStyle name="Dane wyjściowe 2 7 3" xfId="5018" xr:uid="{00000000-0005-0000-0000-0000B2060000}"/>
    <cellStyle name="Dane wyjściowe 2 8" xfId="708" xr:uid="{00000000-0005-0000-0000-0000B3060000}"/>
    <cellStyle name="Dane wyjściowe 2 8 2" xfId="3115" xr:uid="{00000000-0005-0000-0000-0000B4060000}"/>
    <cellStyle name="Dane wyjściowe 2 8 3" xfId="5019" xr:uid="{00000000-0005-0000-0000-0000B5060000}"/>
    <cellStyle name="Dane wyjściowe 2 9" xfId="709" xr:uid="{00000000-0005-0000-0000-0000B6060000}"/>
    <cellStyle name="Dane wyjściowe 2 9 2" xfId="3116" xr:uid="{00000000-0005-0000-0000-0000B7060000}"/>
    <cellStyle name="Dane wyjściowe 2 9 3" xfId="5020" xr:uid="{00000000-0005-0000-0000-0000B8060000}"/>
    <cellStyle name="Dane wyjściowe 20" xfId="710" xr:uid="{00000000-0005-0000-0000-0000B9060000}"/>
    <cellStyle name="Dane wyjściowe 20 2" xfId="3117" xr:uid="{00000000-0005-0000-0000-0000BA060000}"/>
    <cellStyle name="Dane wyjściowe 20 3" xfId="5021" xr:uid="{00000000-0005-0000-0000-0000BB060000}"/>
    <cellStyle name="Dane wyjściowe 21" xfId="711" xr:uid="{00000000-0005-0000-0000-0000BC060000}"/>
    <cellStyle name="Dane wyjściowe 21 2" xfId="3118" xr:uid="{00000000-0005-0000-0000-0000BD060000}"/>
    <cellStyle name="Dane wyjściowe 21 3" xfId="5022" xr:uid="{00000000-0005-0000-0000-0000BE060000}"/>
    <cellStyle name="Dane wyjściowe 22" xfId="712" xr:uid="{00000000-0005-0000-0000-0000BF060000}"/>
    <cellStyle name="Dane wyjściowe 22 2" xfId="3119" xr:uid="{00000000-0005-0000-0000-0000C0060000}"/>
    <cellStyle name="Dane wyjściowe 22 3" xfId="5023" xr:uid="{00000000-0005-0000-0000-0000C1060000}"/>
    <cellStyle name="Dane wyjściowe 23" xfId="713" xr:uid="{00000000-0005-0000-0000-0000C2060000}"/>
    <cellStyle name="Dane wyjściowe 23 2" xfId="3120" xr:uid="{00000000-0005-0000-0000-0000C3060000}"/>
    <cellStyle name="Dane wyjściowe 23 3" xfId="5024" xr:uid="{00000000-0005-0000-0000-0000C4060000}"/>
    <cellStyle name="Dane wyjściowe 24" xfId="714" xr:uid="{00000000-0005-0000-0000-0000C5060000}"/>
    <cellStyle name="Dane wyjściowe 24 2" xfId="3121" xr:uid="{00000000-0005-0000-0000-0000C6060000}"/>
    <cellStyle name="Dane wyjściowe 24 3" xfId="5025" xr:uid="{00000000-0005-0000-0000-0000C7060000}"/>
    <cellStyle name="Dane wyjściowe 25" xfId="715" xr:uid="{00000000-0005-0000-0000-0000C8060000}"/>
    <cellStyle name="Dane wyjściowe 25 2" xfId="3122" xr:uid="{00000000-0005-0000-0000-0000C9060000}"/>
    <cellStyle name="Dane wyjściowe 25 3" xfId="5026" xr:uid="{00000000-0005-0000-0000-0000CA060000}"/>
    <cellStyle name="Dane wyjściowe 26" xfId="3083" xr:uid="{00000000-0005-0000-0000-0000CB060000}"/>
    <cellStyle name="Dane wyjściowe 27" xfId="4987" xr:uid="{00000000-0005-0000-0000-0000CC060000}"/>
    <cellStyle name="Dane wyjściowe 3" xfId="716" xr:uid="{00000000-0005-0000-0000-0000CD060000}"/>
    <cellStyle name="Dane wyjściowe 3 10" xfId="717" xr:uid="{00000000-0005-0000-0000-0000CE060000}"/>
    <cellStyle name="Dane wyjściowe 3 10 2" xfId="3124" xr:uid="{00000000-0005-0000-0000-0000CF060000}"/>
    <cellStyle name="Dane wyjściowe 3 10 3" xfId="5028" xr:uid="{00000000-0005-0000-0000-0000D0060000}"/>
    <cellStyle name="Dane wyjściowe 3 11" xfId="718" xr:uid="{00000000-0005-0000-0000-0000D1060000}"/>
    <cellStyle name="Dane wyjściowe 3 11 2" xfId="3125" xr:uid="{00000000-0005-0000-0000-0000D2060000}"/>
    <cellStyle name="Dane wyjściowe 3 11 3" xfId="5029" xr:uid="{00000000-0005-0000-0000-0000D3060000}"/>
    <cellStyle name="Dane wyjściowe 3 12" xfId="719" xr:uid="{00000000-0005-0000-0000-0000D4060000}"/>
    <cellStyle name="Dane wyjściowe 3 12 2" xfId="3126" xr:uid="{00000000-0005-0000-0000-0000D5060000}"/>
    <cellStyle name="Dane wyjściowe 3 12 3" xfId="5030" xr:uid="{00000000-0005-0000-0000-0000D6060000}"/>
    <cellStyle name="Dane wyjściowe 3 13" xfId="720" xr:uid="{00000000-0005-0000-0000-0000D7060000}"/>
    <cellStyle name="Dane wyjściowe 3 13 2" xfId="3127" xr:uid="{00000000-0005-0000-0000-0000D8060000}"/>
    <cellStyle name="Dane wyjściowe 3 13 3" xfId="5031" xr:uid="{00000000-0005-0000-0000-0000D9060000}"/>
    <cellStyle name="Dane wyjściowe 3 14" xfId="721" xr:uid="{00000000-0005-0000-0000-0000DA060000}"/>
    <cellStyle name="Dane wyjściowe 3 14 2" xfId="3128" xr:uid="{00000000-0005-0000-0000-0000DB060000}"/>
    <cellStyle name="Dane wyjściowe 3 14 3" xfId="5032" xr:uid="{00000000-0005-0000-0000-0000DC060000}"/>
    <cellStyle name="Dane wyjściowe 3 15" xfId="722" xr:uid="{00000000-0005-0000-0000-0000DD060000}"/>
    <cellStyle name="Dane wyjściowe 3 15 2" xfId="3129" xr:uid="{00000000-0005-0000-0000-0000DE060000}"/>
    <cellStyle name="Dane wyjściowe 3 15 3" xfId="5033" xr:uid="{00000000-0005-0000-0000-0000DF060000}"/>
    <cellStyle name="Dane wyjściowe 3 16" xfId="723" xr:uid="{00000000-0005-0000-0000-0000E0060000}"/>
    <cellStyle name="Dane wyjściowe 3 16 2" xfId="3130" xr:uid="{00000000-0005-0000-0000-0000E1060000}"/>
    <cellStyle name="Dane wyjściowe 3 16 3" xfId="5034" xr:uid="{00000000-0005-0000-0000-0000E2060000}"/>
    <cellStyle name="Dane wyjściowe 3 17" xfId="724" xr:uid="{00000000-0005-0000-0000-0000E3060000}"/>
    <cellStyle name="Dane wyjściowe 3 17 2" xfId="3131" xr:uid="{00000000-0005-0000-0000-0000E4060000}"/>
    <cellStyle name="Dane wyjściowe 3 17 3" xfId="5035" xr:uid="{00000000-0005-0000-0000-0000E5060000}"/>
    <cellStyle name="Dane wyjściowe 3 18" xfId="725" xr:uid="{00000000-0005-0000-0000-0000E6060000}"/>
    <cellStyle name="Dane wyjściowe 3 18 2" xfId="3132" xr:uid="{00000000-0005-0000-0000-0000E7060000}"/>
    <cellStyle name="Dane wyjściowe 3 18 3" xfId="5036" xr:uid="{00000000-0005-0000-0000-0000E8060000}"/>
    <cellStyle name="Dane wyjściowe 3 19" xfId="726" xr:uid="{00000000-0005-0000-0000-0000E9060000}"/>
    <cellStyle name="Dane wyjściowe 3 19 2" xfId="3133" xr:uid="{00000000-0005-0000-0000-0000EA060000}"/>
    <cellStyle name="Dane wyjściowe 3 19 3" xfId="5037" xr:uid="{00000000-0005-0000-0000-0000EB060000}"/>
    <cellStyle name="Dane wyjściowe 3 2" xfId="727" xr:uid="{00000000-0005-0000-0000-0000EC060000}"/>
    <cellStyle name="Dane wyjściowe 3 2 2" xfId="3134" xr:uid="{00000000-0005-0000-0000-0000ED060000}"/>
    <cellStyle name="Dane wyjściowe 3 2 3" xfId="5038" xr:uid="{00000000-0005-0000-0000-0000EE060000}"/>
    <cellStyle name="Dane wyjściowe 3 20" xfId="728" xr:uid="{00000000-0005-0000-0000-0000EF060000}"/>
    <cellStyle name="Dane wyjściowe 3 20 2" xfId="3135" xr:uid="{00000000-0005-0000-0000-0000F0060000}"/>
    <cellStyle name="Dane wyjściowe 3 20 3" xfId="5039" xr:uid="{00000000-0005-0000-0000-0000F1060000}"/>
    <cellStyle name="Dane wyjściowe 3 21" xfId="729" xr:uid="{00000000-0005-0000-0000-0000F2060000}"/>
    <cellStyle name="Dane wyjściowe 3 21 2" xfId="3136" xr:uid="{00000000-0005-0000-0000-0000F3060000}"/>
    <cellStyle name="Dane wyjściowe 3 21 3" xfId="5040" xr:uid="{00000000-0005-0000-0000-0000F4060000}"/>
    <cellStyle name="Dane wyjściowe 3 22" xfId="730" xr:uid="{00000000-0005-0000-0000-0000F5060000}"/>
    <cellStyle name="Dane wyjściowe 3 22 2" xfId="3137" xr:uid="{00000000-0005-0000-0000-0000F6060000}"/>
    <cellStyle name="Dane wyjściowe 3 22 3" xfId="5041" xr:uid="{00000000-0005-0000-0000-0000F7060000}"/>
    <cellStyle name="Dane wyjściowe 3 23" xfId="731" xr:uid="{00000000-0005-0000-0000-0000F8060000}"/>
    <cellStyle name="Dane wyjściowe 3 23 2" xfId="3138" xr:uid="{00000000-0005-0000-0000-0000F9060000}"/>
    <cellStyle name="Dane wyjściowe 3 23 3" xfId="5042" xr:uid="{00000000-0005-0000-0000-0000FA060000}"/>
    <cellStyle name="Dane wyjściowe 3 24" xfId="3123" xr:uid="{00000000-0005-0000-0000-0000FB060000}"/>
    <cellStyle name="Dane wyjściowe 3 25" xfId="5027" xr:uid="{00000000-0005-0000-0000-0000FC060000}"/>
    <cellStyle name="Dane wyjściowe 3 3" xfId="732" xr:uid="{00000000-0005-0000-0000-0000FD060000}"/>
    <cellStyle name="Dane wyjściowe 3 3 2" xfId="3139" xr:uid="{00000000-0005-0000-0000-0000FE060000}"/>
    <cellStyle name="Dane wyjściowe 3 3 3" xfId="5043" xr:uid="{00000000-0005-0000-0000-0000FF060000}"/>
    <cellStyle name="Dane wyjściowe 3 4" xfId="733" xr:uid="{00000000-0005-0000-0000-000000070000}"/>
    <cellStyle name="Dane wyjściowe 3 4 2" xfId="3140" xr:uid="{00000000-0005-0000-0000-000001070000}"/>
    <cellStyle name="Dane wyjściowe 3 4 3" xfId="5044" xr:uid="{00000000-0005-0000-0000-000002070000}"/>
    <cellStyle name="Dane wyjściowe 3 5" xfId="734" xr:uid="{00000000-0005-0000-0000-000003070000}"/>
    <cellStyle name="Dane wyjściowe 3 5 2" xfId="3141" xr:uid="{00000000-0005-0000-0000-000004070000}"/>
    <cellStyle name="Dane wyjściowe 3 5 3" xfId="5045" xr:uid="{00000000-0005-0000-0000-000005070000}"/>
    <cellStyle name="Dane wyjściowe 3 6" xfId="735" xr:uid="{00000000-0005-0000-0000-000006070000}"/>
    <cellStyle name="Dane wyjściowe 3 6 2" xfId="3142" xr:uid="{00000000-0005-0000-0000-000007070000}"/>
    <cellStyle name="Dane wyjściowe 3 6 3" xfId="5046" xr:uid="{00000000-0005-0000-0000-000008070000}"/>
    <cellStyle name="Dane wyjściowe 3 7" xfId="736" xr:uid="{00000000-0005-0000-0000-000009070000}"/>
    <cellStyle name="Dane wyjściowe 3 7 2" xfId="3143" xr:uid="{00000000-0005-0000-0000-00000A070000}"/>
    <cellStyle name="Dane wyjściowe 3 7 3" xfId="5047" xr:uid="{00000000-0005-0000-0000-00000B070000}"/>
    <cellStyle name="Dane wyjściowe 3 8" xfId="737" xr:uid="{00000000-0005-0000-0000-00000C070000}"/>
    <cellStyle name="Dane wyjściowe 3 8 2" xfId="3144" xr:uid="{00000000-0005-0000-0000-00000D070000}"/>
    <cellStyle name="Dane wyjściowe 3 8 3" xfId="5048" xr:uid="{00000000-0005-0000-0000-00000E070000}"/>
    <cellStyle name="Dane wyjściowe 3 9" xfId="738" xr:uid="{00000000-0005-0000-0000-00000F070000}"/>
    <cellStyle name="Dane wyjściowe 3 9 2" xfId="3145" xr:uid="{00000000-0005-0000-0000-000010070000}"/>
    <cellStyle name="Dane wyjściowe 3 9 3" xfId="5049" xr:uid="{00000000-0005-0000-0000-000011070000}"/>
    <cellStyle name="Dane wyjściowe 4" xfId="739" xr:uid="{00000000-0005-0000-0000-000012070000}"/>
    <cellStyle name="Dane wyjściowe 4 2" xfId="3146" xr:uid="{00000000-0005-0000-0000-000013070000}"/>
    <cellStyle name="Dane wyjściowe 4 3" xfId="5050" xr:uid="{00000000-0005-0000-0000-000014070000}"/>
    <cellStyle name="Dane wyjściowe 5" xfId="740" xr:uid="{00000000-0005-0000-0000-000015070000}"/>
    <cellStyle name="Dane wyjściowe 5 2" xfId="3147" xr:uid="{00000000-0005-0000-0000-000016070000}"/>
    <cellStyle name="Dane wyjściowe 5 3" xfId="5051" xr:uid="{00000000-0005-0000-0000-000017070000}"/>
    <cellStyle name="Dane wyjściowe 6" xfId="741" xr:uid="{00000000-0005-0000-0000-000018070000}"/>
    <cellStyle name="Dane wyjściowe 6 2" xfId="3148" xr:uid="{00000000-0005-0000-0000-000019070000}"/>
    <cellStyle name="Dane wyjściowe 6 3" xfId="5052" xr:uid="{00000000-0005-0000-0000-00001A070000}"/>
    <cellStyle name="Dane wyjściowe 7" xfId="742" xr:uid="{00000000-0005-0000-0000-00001B070000}"/>
    <cellStyle name="Dane wyjściowe 7 2" xfId="3149" xr:uid="{00000000-0005-0000-0000-00001C070000}"/>
    <cellStyle name="Dane wyjściowe 7 3" xfId="5053" xr:uid="{00000000-0005-0000-0000-00001D070000}"/>
    <cellStyle name="Dane wyjściowe 8" xfId="743" xr:uid="{00000000-0005-0000-0000-00001E070000}"/>
    <cellStyle name="Dane wyjściowe 8 2" xfId="3150" xr:uid="{00000000-0005-0000-0000-00001F070000}"/>
    <cellStyle name="Dane wyjściowe 8 3" xfId="5054" xr:uid="{00000000-0005-0000-0000-000020070000}"/>
    <cellStyle name="Dane wyjściowe 9" xfId="744" xr:uid="{00000000-0005-0000-0000-000021070000}"/>
    <cellStyle name="Dane wyjściowe 9 2" xfId="3151" xr:uid="{00000000-0005-0000-0000-000022070000}"/>
    <cellStyle name="Dane wyjściowe 9 3" xfId="5055" xr:uid="{00000000-0005-0000-0000-000023070000}"/>
    <cellStyle name="Date" xfId="745" xr:uid="{00000000-0005-0000-0000-000024070000}"/>
    <cellStyle name="Dobre" xfId="746" xr:uid="{00000000-0005-0000-0000-000025070000}"/>
    <cellStyle name="Explanatory Text" xfId="33" builtinId="53" customBuiltin="1"/>
    <cellStyle name="Explanatory Text 2" xfId="747" xr:uid="{00000000-0005-0000-0000-000027070000}"/>
    <cellStyle name="Explanatory Text 3" xfId="4757" xr:uid="{00000000-0005-0000-0000-000028070000}"/>
    <cellStyle name="FirstTableHeader" xfId="81" xr:uid="{00000000-0005-0000-0000-000029070000}"/>
    <cellStyle name="Fixed" xfId="748" xr:uid="{00000000-0005-0000-0000-00002A070000}"/>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Good" xfId="34" builtinId="26" customBuiltin="1"/>
    <cellStyle name="Good 2" xfId="749" xr:uid="{00000000-0005-0000-0000-000067070000}"/>
    <cellStyle name="Good 2 2" xfId="750" xr:uid="{00000000-0005-0000-0000-000068070000}"/>
    <cellStyle name="Good 3" xfId="4747" xr:uid="{00000000-0005-0000-0000-000069070000}"/>
    <cellStyle name="Heading 1" xfId="35" builtinId="16" customBuiltin="1"/>
    <cellStyle name="Heading 1 2" xfId="751" xr:uid="{00000000-0005-0000-0000-00006B070000}"/>
    <cellStyle name="Heading 1 2 2" xfId="752" xr:uid="{00000000-0005-0000-0000-00006C070000}"/>
    <cellStyle name="Heading 1 3" xfId="4743" xr:uid="{00000000-0005-0000-0000-00006D070000}"/>
    <cellStyle name="Heading 2" xfId="36" builtinId="17" customBuiltin="1"/>
    <cellStyle name="Heading 2 2" xfId="753" xr:uid="{00000000-0005-0000-0000-00006F070000}"/>
    <cellStyle name="Heading 2 2 2" xfId="754" xr:uid="{00000000-0005-0000-0000-000070070000}"/>
    <cellStyle name="Heading 2 3" xfId="4744" xr:uid="{00000000-0005-0000-0000-000071070000}"/>
    <cellStyle name="Heading 3" xfId="37" builtinId="18" customBuiltin="1"/>
    <cellStyle name="Heading 3 2" xfId="755" xr:uid="{00000000-0005-0000-0000-000073070000}"/>
    <cellStyle name="Heading 3 2 2" xfId="756" xr:uid="{00000000-0005-0000-0000-000074070000}"/>
    <cellStyle name="Heading 3 2 3" xfId="757" xr:uid="{00000000-0005-0000-0000-000075070000}"/>
    <cellStyle name="Heading 3 2 4" xfId="758" xr:uid="{00000000-0005-0000-0000-000076070000}"/>
    <cellStyle name="Heading 3 2 5" xfId="759" xr:uid="{00000000-0005-0000-0000-000077070000}"/>
    <cellStyle name="Heading 3 2 6" xfId="760" xr:uid="{00000000-0005-0000-0000-000078070000}"/>
    <cellStyle name="Heading 3 2 7" xfId="761" xr:uid="{00000000-0005-0000-0000-000079070000}"/>
    <cellStyle name="Heading 3 3" xfId="4745" xr:uid="{00000000-0005-0000-0000-00007A070000}"/>
    <cellStyle name="Heading 4" xfId="38" builtinId="19" customBuiltin="1"/>
    <cellStyle name="Heading 4 2" xfId="762" xr:uid="{00000000-0005-0000-0000-00007C070000}"/>
    <cellStyle name="Heading 4 3" xfId="4746" xr:uid="{00000000-0005-0000-0000-00007D070000}"/>
    <cellStyle name="Hyperlink" xfId="2445" builtinId="8"/>
    <cellStyle name="Hyperlink 2" xfId="763" xr:uid="{00000000-0005-0000-0000-00007F070000}"/>
    <cellStyle name="Hyperlink 2 2" xfId="764" xr:uid="{00000000-0005-0000-0000-000080070000}"/>
    <cellStyle name="Hyperlink 3" xfId="765" xr:uid="{00000000-0005-0000-0000-000081070000}"/>
    <cellStyle name="Hyperlink 4" xfId="2444" xr:uid="{00000000-0005-0000-0000-000082070000}"/>
    <cellStyle name="Hyperlink 5" xfId="4732" xr:uid="{00000000-0005-0000-0000-000083070000}"/>
    <cellStyle name="Input" xfId="39" builtinId="20" customBuiltin="1"/>
    <cellStyle name="Input 2" xfId="766" xr:uid="{00000000-0005-0000-0000-000085070000}"/>
    <cellStyle name="Input 2 10" xfId="767" xr:uid="{00000000-0005-0000-0000-000086070000}"/>
    <cellStyle name="Input 2 10 10" xfId="768" xr:uid="{00000000-0005-0000-0000-000087070000}"/>
    <cellStyle name="Input 2 10 10 2" xfId="3160" xr:uid="{00000000-0005-0000-0000-000088070000}"/>
    <cellStyle name="Input 2 10 10 3" xfId="5058" xr:uid="{00000000-0005-0000-0000-000089070000}"/>
    <cellStyle name="Input 2 10 11" xfId="769" xr:uid="{00000000-0005-0000-0000-00008A070000}"/>
    <cellStyle name="Input 2 10 11 2" xfId="3161" xr:uid="{00000000-0005-0000-0000-00008B070000}"/>
    <cellStyle name="Input 2 10 11 3" xfId="5059" xr:uid="{00000000-0005-0000-0000-00008C070000}"/>
    <cellStyle name="Input 2 10 12" xfId="770" xr:uid="{00000000-0005-0000-0000-00008D070000}"/>
    <cellStyle name="Input 2 10 12 2" xfId="3162" xr:uid="{00000000-0005-0000-0000-00008E070000}"/>
    <cellStyle name="Input 2 10 12 3" xfId="5060" xr:uid="{00000000-0005-0000-0000-00008F070000}"/>
    <cellStyle name="Input 2 10 13" xfId="771" xr:uid="{00000000-0005-0000-0000-000090070000}"/>
    <cellStyle name="Input 2 10 13 2" xfId="3163" xr:uid="{00000000-0005-0000-0000-000091070000}"/>
    <cellStyle name="Input 2 10 13 3" xfId="5061" xr:uid="{00000000-0005-0000-0000-000092070000}"/>
    <cellStyle name="Input 2 10 14" xfId="772" xr:uid="{00000000-0005-0000-0000-000093070000}"/>
    <cellStyle name="Input 2 10 14 2" xfId="3164" xr:uid="{00000000-0005-0000-0000-000094070000}"/>
    <cellStyle name="Input 2 10 14 3" xfId="5062" xr:uid="{00000000-0005-0000-0000-000095070000}"/>
    <cellStyle name="Input 2 10 15" xfId="773" xr:uid="{00000000-0005-0000-0000-000096070000}"/>
    <cellStyle name="Input 2 10 15 2" xfId="3165" xr:uid="{00000000-0005-0000-0000-000097070000}"/>
    <cellStyle name="Input 2 10 15 3" xfId="5063" xr:uid="{00000000-0005-0000-0000-000098070000}"/>
    <cellStyle name="Input 2 10 16" xfId="774" xr:uid="{00000000-0005-0000-0000-000099070000}"/>
    <cellStyle name="Input 2 10 16 2" xfId="3166" xr:uid="{00000000-0005-0000-0000-00009A070000}"/>
    <cellStyle name="Input 2 10 16 3" xfId="5064" xr:uid="{00000000-0005-0000-0000-00009B070000}"/>
    <cellStyle name="Input 2 10 17" xfId="775" xr:uid="{00000000-0005-0000-0000-00009C070000}"/>
    <cellStyle name="Input 2 10 17 2" xfId="3167" xr:uid="{00000000-0005-0000-0000-00009D070000}"/>
    <cellStyle name="Input 2 10 17 3" xfId="5065" xr:uid="{00000000-0005-0000-0000-00009E070000}"/>
    <cellStyle name="Input 2 10 18" xfId="776" xr:uid="{00000000-0005-0000-0000-00009F070000}"/>
    <cellStyle name="Input 2 10 18 2" xfId="3168" xr:uid="{00000000-0005-0000-0000-0000A0070000}"/>
    <cellStyle name="Input 2 10 18 3" xfId="5066" xr:uid="{00000000-0005-0000-0000-0000A1070000}"/>
    <cellStyle name="Input 2 10 19" xfId="777" xr:uid="{00000000-0005-0000-0000-0000A2070000}"/>
    <cellStyle name="Input 2 10 19 2" xfId="3169" xr:uid="{00000000-0005-0000-0000-0000A3070000}"/>
    <cellStyle name="Input 2 10 19 3" xfId="5067" xr:uid="{00000000-0005-0000-0000-0000A4070000}"/>
    <cellStyle name="Input 2 10 2" xfId="778" xr:uid="{00000000-0005-0000-0000-0000A5070000}"/>
    <cellStyle name="Input 2 10 2 2" xfId="3170" xr:uid="{00000000-0005-0000-0000-0000A6070000}"/>
    <cellStyle name="Input 2 10 2 3" xfId="5068" xr:uid="{00000000-0005-0000-0000-0000A7070000}"/>
    <cellStyle name="Input 2 10 20" xfId="779" xr:uid="{00000000-0005-0000-0000-0000A8070000}"/>
    <cellStyle name="Input 2 10 20 2" xfId="3171" xr:uid="{00000000-0005-0000-0000-0000A9070000}"/>
    <cellStyle name="Input 2 10 20 3" xfId="5069" xr:uid="{00000000-0005-0000-0000-0000AA070000}"/>
    <cellStyle name="Input 2 10 21" xfId="780" xr:uid="{00000000-0005-0000-0000-0000AB070000}"/>
    <cellStyle name="Input 2 10 21 2" xfId="3172" xr:uid="{00000000-0005-0000-0000-0000AC070000}"/>
    <cellStyle name="Input 2 10 21 3" xfId="5070" xr:uid="{00000000-0005-0000-0000-0000AD070000}"/>
    <cellStyle name="Input 2 10 22" xfId="781" xr:uid="{00000000-0005-0000-0000-0000AE070000}"/>
    <cellStyle name="Input 2 10 22 2" xfId="3173" xr:uid="{00000000-0005-0000-0000-0000AF070000}"/>
    <cellStyle name="Input 2 10 22 3" xfId="5071" xr:uid="{00000000-0005-0000-0000-0000B0070000}"/>
    <cellStyle name="Input 2 10 23" xfId="782" xr:uid="{00000000-0005-0000-0000-0000B1070000}"/>
    <cellStyle name="Input 2 10 23 2" xfId="3174" xr:uid="{00000000-0005-0000-0000-0000B2070000}"/>
    <cellStyle name="Input 2 10 23 3" xfId="5072" xr:uid="{00000000-0005-0000-0000-0000B3070000}"/>
    <cellStyle name="Input 2 10 24" xfId="3159" xr:uid="{00000000-0005-0000-0000-0000B4070000}"/>
    <cellStyle name="Input 2 10 25" xfId="5057" xr:uid="{00000000-0005-0000-0000-0000B5070000}"/>
    <cellStyle name="Input 2 10 3" xfId="783" xr:uid="{00000000-0005-0000-0000-0000B6070000}"/>
    <cellStyle name="Input 2 10 3 2" xfId="3175" xr:uid="{00000000-0005-0000-0000-0000B7070000}"/>
    <cellStyle name="Input 2 10 3 3" xfId="5073" xr:uid="{00000000-0005-0000-0000-0000B8070000}"/>
    <cellStyle name="Input 2 10 4" xfId="784" xr:uid="{00000000-0005-0000-0000-0000B9070000}"/>
    <cellStyle name="Input 2 10 4 2" xfId="3176" xr:uid="{00000000-0005-0000-0000-0000BA070000}"/>
    <cellStyle name="Input 2 10 4 3" xfId="5074" xr:uid="{00000000-0005-0000-0000-0000BB070000}"/>
    <cellStyle name="Input 2 10 5" xfId="785" xr:uid="{00000000-0005-0000-0000-0000BC070000}"/>
    <cellStyle name="Input 2 10 5 2" xfId="3177" xr:uid="{00000000-0005-0000-0000-0000BD070000}"/>
    <cellStyle name="Input 2 10 5 3" xfId="5075" xr:uid="{00000000-0005-0000-0000-0000BE070000}"/>
    <cellStyle name="Input 2 10 6" xfId="786" xr:uid="{00000000-0005-0000-0000-0000BF070000}"/>
    <cellStyle name="Input 2 10 6 2" xfId="3178" xr:uid="{00000000-0005-0000-0000-0000C0070000}"/>
    <cellStyle name="Input 2 10 6 3" xfId="5076" xr:uid="{00000000-0005-0000-0000-0000C1070000}"/>
    <cellStyle name="Input 2 10 7" xfId="787" xr:uid="{00000000-0005-0000-0000-0000C2070000}"/>
    <cellStyle name="Input 2 10 7 2" xfId="3179" xr:uid="{00000000-0005-0000-0000-0000C3070000}"/>
    <cellStyle name="Input 2 10 7 3" xfId="5077" xr:uid="{00000000-0005-0000-0000-0000C4070000}"/>
    <cellStyle name="Input 2 10 8" xfId="788" xr:uid="{00000000-0005-0000-0000-0000C5070000}"/>
    <cellStyle name="Input 2 10 8 2" xfId="3180" xr:uid="{00000000-0005-0000-0000-0000C6070000}"/>
    <cellStyle name="Input 2 10 8 3" xfId="5078" xr:uid="{00000000-0005-0000-0000-0000C7070000}"/>
    <cellStyle name="Input 2 10 9" xfId="789" xr:uid="{00000000-0005-0000-0000-0000C8070000}"/>
    <cellStyle name="Input 2 10 9 2" xfId="3181" xr:uid="{00000000-0005-0000-0000-0000C9070000}"/>
    <cellStyle name="Input 2 10 9 3" xfId="5079" xr:uid="{00000000-0005-0000-0000-0000CA070000}"/>
    <cellStyle name="Input 2 11" xfId="790" xr:uid="{00000000-0005-0000-0000-0000CB070000}"/>
    <cellStyle name="Input 2 11 10" xfId="791" xr:uid="{00000000-0005-0000-0000-0000CC070000}"/>
    <cellStyle name="Input 2 11 10 2" xfId="3183" xr:uid="{00000000-0005-0000-0000-0000CD070000}"/>
    <cellStyle name="Input 2 11 10 3" xfId="5081" xr:uid="{00000000-0005-0000-0000-0000CE070000}"/>
    <cellStyle name="Input 2 11 11" xfId="792" xr:uid="{00000000-0005-0000-0000-0000CF070000}"/>
    <cellStyle name="Input 2 11 11 2" xfId="3184" xr:uid="{00000000-0005-0000-0000-0000D0070000}"/>
    <cellStyle name="Input 2 11 11 3" xfId="5082" xr:uid="{00000000-0005-0000-0000-0000D1070000}"/>
    <cellStyle name="Input 2 11 12" xfId="793" xr:uid="{00000000-0005-0000-0000-0000D2070000}"/>
    <cellStyle name="Input 2 11 12 2" xfId="3185" xr:uid="{00000000-0005-0000-0000-0000D3070000}"/>
    <cellStyle name="Input 2 11 12 3" xfId="5083" xr:uid="{00000000-0005-0000-0000-0000D4070000}"/>
    <cellStyle name="Input 2 11 13" xfId="794" xr:uid="{00000000-0005-0000-0000-0000D5070000}"/>
    <cellStyle name="Input 2 11 13 2" xfId="3186" xr:uid="{00000000-0005-0000-0000-0000D6070000}"/>
    <cellStyle name="Input 2 11 13 3" xfId="5084" xr:uid="{00000000-0005-0000-0000-0000D7070000}"/>
    <cellStyle name="Input 2 11 14" xfId="795" xr:uid="{00000000-0005-0000-0000-0000D8070000}"/>
    <cellStyle name="Input 2 11 14 2" xfId="3187" xr:uid="{00000000-0005-0000-0000-0000D9070000}"/>
    <cellStyle name="Input 2 11 14 3" xfId="5085" xr:uid="{00000000-0005-0000-0000-0000DA070000}"/>
    <cellStyle name="Input 2 11 15" xfId="796" xr:uid="{00000000-0005-0000-0000-0000DB070000}"/>
    <cellStyle name="Input 2 11 15 2" xfId="3188" xr:uid="{00000000-0005-0000-0000-0000DC070000}"/>
    <cellStyle name="Input 2 11 15 3" xfId="5086" xr:uid="{00000000-0005-0000-0000-0000DD070000}"/>
    <cellStyle name="Input 2 11 16" xfId="797" xr:uid="{00000000-0005-0000-0000-0000DE070000}"/>
    <cellStyle name="Input 2 11 16 2" xfId="3189" xr:uid="{00000000-0005-0000-0000-0000DF070000}"/>
    <cellStyle name="Input 2 11 16 3" xfId="5087" xr:uid="{00000000-0005-0000-0000-0000E0070000}"/>
    <cellStyle name="Input 2 11 17" xfId="798" xr:uid="{00000000-0005-0000-0000-0000E1070000}"/>
    <cellStyle name="Input 2 11 17 2" xfId="3190" xr:uid="{00000000-0005-0000-0000-0000E2070000}"/>
    <cellStyle name="Input 2 11 17 3" xfId="5088" xr:uid="{00000000-0005-0000-0000-0000E3070000}"/>
    <cellStyle name="Input 2 11 18" xfId="799" xr:uid="{00000000-0005-0000-0000-0000E4070000}"/>
    <cellStyle name="Input 2 11 18 2" xfId="3191" xr:uid="{00000000-0005-0000-0000-0000E5070000}"/>
    <cellStyle name="Input 2 11 18 3" xfId="5089" xr:uid="{00000000-0005-0000-0000-0000E6070000}"/>
    <cellStyle name="Input 2 11 19" xfId="800" xr:uid="{00000000-0005-0000-0000-0000E7070000}"/>
    <cellStyle name="Input 2 11 19 2" xfId="3192" xr:uid="{00000000-0005-0000-0000-0000E8070000}"/>
    <cellStyle name="Input 2 11 19 3" xfId="5090" xr:uid="{00000000-0005-0000-0000-0000E9070000}"/>
    <cellStyle name="Input 2 11 2" xfId="801" xr:uid="{00000000-0005-0000-0000-0000EA070000}"/>
    <cellStyle name="Input 2 11 2 2" xfId="3193" xr:uid="{00000000-0005-0000-0000-0000EB070000}"/>
    <cellStyle name="Input 2 11 2 3" xfId="5091" xr:uid="{00000000-0005-0000-0000-0000EC070000}"/>
    <cellStyle name="Input 2 11 20" xfId="802" xr:uid="{00000000-0005-0000-0000-0000ED070000}"/>
    <cellStyle name="Input 2 11 20 2" xfId="3194" xr:uid="{00000000-0005-0000-0000-0000EE070000}"/>
    <cellStyle name="Input 2 11 20 3" xfId="5092" xr:uid="{00000000-0005-0000-0000-0000EF070000}"/>
    <cellStyle name="Input 2 11 21" xfId="803" xr:uid="{00000000-0005-0000-0000-0000F0070000}"/>
    <cellStyle name="Input 2 11 21 2" xfId="3195" xr:uid="{00000000-0005-0000-0000-0000F1070000}"/>
    <cellStyle name="Input 2 11 21 3" xfId="5093" xr:uid="{00000000-0005-0000-0000-0000F2070000}"/>
    <cellStyle name="Input 2 11 22" xfId="804" xr:uid="{00000000-0005-0000-0000-0000F3070000}"/>
    <cellStyle name="Input 2 11 22 2" xfId="3196" xr:uid="{00000000-0005-0000-0000-0000F4070000}"/>
    <cellStyle name="Input 2 11 22 3" xfId="5094" xr:uid="{00000000-0005-0000-0000-0000F5070000}"/>
    <cellStyle name="Input 2 11 23" xfId="805" xr:uid="{00000000-0005-0000-0000-0000F6070000}"/>
    <cellStyle name="Input 2 11 23 2" xfId="3197" xr:uid="{00000000-0005-0000-0000-0000F7070000}"/>
    <cellStyle name="Input 2 11 23 3" xfId="5095" xr:uid="{00000000-0005-0000-0000-0000F8070000}"/>
    <cellStyle name="Input 2 11 24" xfId="3182" xr:uid="{00000000-0005-0000-0000-0000F9070000}"/>
    <cellStyle name="Input 2 11 25" xfId="5080" xr:uid="{00000000-0005-0000-0000-0000FA070000}"/>
    <cellStyle name="Input 2 11 3" xfId="806" xr:uid="{00000000-0005-0000-0000-0000FB070000}"/>
    <cellStyle name="Input 2 11 3 2" xfId="3198" xr:uid="{00000000-0005-0000-0000-0000FC070000}"/>
    <cellStyle name="Input 2 11 3 3" xfId="5096" xr:uid="{00000000-0005-0000-0000-0000FD070000}"/>
    <cellStyle name="Input 2 11 4" xfId="807" xr:uid="{00000000-0005-0000-0000-0000FE070000}"/>
    <cellStyle name="Input 2 11 4 2" xfId="3199" xr:uid="{00000000-0005-0000-0000-0000FF070000}"/>
    <cellStyle name="Input 2 11 4 3" xfId="5097" xr:uid="{00000000-0005-0000-0000-000000080000}"/>
    <cellStyle name="Input 2 11 5" xfId="808" xr:uid="{00000000-0005-0000-0000-000001080000}"/>
    <cellStyle name="Input 2 11 5 2" xfId="3200" xr:uid="{00000000-0005-0000-0000-000002080000}"/>
    <cellStyle name="Input 2 11 5 3" xfId="5098" xr:uid="{00000000-0005-0000-0000-000003080000}"/>
    <cellStyle name="Input 2 11 6" xfId="809" xr:uid="{00000000-0005-0000-0000-000004080000}"/>
    <cellStyle name="Input 2 11 6 2" xfId="3201" xr:uid="{00000000-0005-0000-0000-000005080000}"/>
    <cellStyle name="Input 2 11 6 3" xfId="5099" xr:uid="{00000000-0005-0000-0000-000006080000}"/>
    <cellStyle name="Input 2 11 7" xfId="810" xr:uid="{00000000-0005-0000-0000-000007080000}"/>
    <cellStyle name="Input 2 11 7 2" xfId="3202" xr:uid="{00000000-0005-0000-0000-000008080000}"/>
    <cellStyle name="Input 2 11 7 3" xfId="5100" xr:uid="{00000000-0005-0000-0000-000009080000}"/>
    <cellStyle name="Input 2 11 8" xfId="811" xr:uid="{00000000-0005-0000-0000-00000A080000}"/>
    <cellStyle name="Input 2 11 8 2" xfId="3203" xr:uid="{00000000-0005-0000-0000-00000B080000}"/>
    <cellStyle name="Input 2 11 8 3" xfId="5101" xr:uid="{00000000-0005-0000-0000-00000C080000}"/>
    <cellStyle name="Input 2 11 9" xfId="812" xr:uid="{00000000-0005-0000-0000-00000D080000}"/>
    <cellStyle name="Input 2 11 9 2" xfId="3204" xr:uid="{00000000-0005-0000-0000-00000E080000}"/>
    <cellStyle name="Input 2 11 9 3" xfId="5102" xr:uid="{00000000-0005-0000-0000-00000F080000}"/>
    <cellStyle name="Input 2 12" xfId="813" xr:uid="{00000000-0005-0000-0000-000010080000}"/>
    <cellStyle name="Input 2 12 10" xfId="814" xr:uid="{00000000-0005-0000-0000-000011080000}"/>
    <cellStyle name="Input 2 12 10 2" xfId="3206" xr:uid="{00000000-0005-0000-0000-000012080000}"/>
    <cellStyle name="Input 2 12 10 3" xfId="5104" xr:uid="{00000000-0005-0000-0000-000013080000}"/>
    <cellStyle name="Input 2 12 11" xfId="815" xr:uid="{00000000-0005-0000-0000-000014080000}"/>
    <cellStyle name="Input 2 12 11 2" xfId="3207" xr:uid="{00000000-0005-0000-0000-000015080000}"/>
    <cellStyle name="Input 2 12 11 3" xfId="5105" xr:uid="{00000000-0005-0000-0000-000016080000}"/>
    <cellStyle name="Input 2 12 12" xfId="816" xr:uid="{00000000-0005-0000-0000-000017080000}"/>
    <cellStyle name="Input 2 12 12 2" xfId="3208" xr:uid="{00000000-0005-0000-0000-000018080000}"/>
    <cellStyle name="Input 2 12 12 3" xfId="5106" xr:uid="{00000000-0005-0000-0000-000019080000}"/>
    <cellStyle name="Input 2 12 13" xfId="817" xr:uid="{00000000-0005-0000-0000-00001A080000}"/>
    <cellStyle name="Input 2 12 13 2" xfId="3209" xr:uid="{00000000-0005-0000-0000-00001B080000}"/>
    <cellStyle name="Input 2 12 13 3" xfId="5107" xr:uid="{00000000-0005-0000-0000-00001C080000}"/>
    <cellStyle name="Input 2 12 14" xfId="818" xr:uid="{00000000-0005-0000-0000-00001D080000}"/>
    <cellStyle name="Input 2 12 14 2" xfId="3210" xr:uid="{00000000-0005-0000-0000-00001E080000}"/>
    <cellStyle name="Input 2 12 14 3" xfId="5108" xr:uid="{00000000-0005-0000-0000-00001F080000}"/>
    <cellStyle name="Input 2 12 15" xfId="819" xr:uid="{00000000-0005-0000-0000-000020080000}"/>
    <cellStyle name="Input 2 12 15 2" xfId="3211" xr:uid="{00000000-0005-0000-0000-000021080000}"/>
    <cellStyle name="Input 2 12 15 3" xfId="5109" xr:uid="{00000000-0005-0000-0000-000022080000}"/>
    <cellStyle name="Input 2 12 16" xfId="820" xr:uid="{00000000-0005-0000-0000-000023080000}"/>
    <cellStyle name="Input 2 12 16 2" xfId="3212" xr:uid="{00000000-0005-0000-0000-000024080000}"/>
    <cellStyle name="Input 2 12 16 3" xfId="5110" xr:uid="{00000000-0005-0000-0000-000025080000}"/>
    <cellStyle name="Input 2 12 17" xfId="821" xr:uid="{00000000-0005-0000-0000-000026080000}"/>
    <cellStyle name="Input 2 12 17 2" xfId="3213" xr:uid="{00000000-0005-0000-0000-000027080000}"/>
    <cellStyle name="Input 2 12 17 3" xfId="5111" xr:uid="{00000000-0005-0000-0000-000028080000}"/>
    <cellStyle name="Input 2 12 18" xfId="822" xr:uid="{00000000-0005-0000-0000-000029080000}"/>
    <cellStyle name="Input 2 12 18 2" xfId="3214" xr:uid="{00000000-0005-0000-0000-00002A080000}"/>
    <cellStyle name="Input 2 12 18 3" xfId="5112" xr:uid="{00000000-0005-0000-0000-00002B080000}"/>
    <cellStyle name="Input 2 12 19" xfId="823" xr:uid="{00000000-0005-0000-0000-00002C080000}"/>
    <cellStyle name="Input 2 12 19 2" xfId="3215" xr:uid="{00000000-0005-0000-0000-00002D080000}"/>
    <cellStyle name="Input 2 12 19 3" xfId="5113" xr:uid="{00000000-0005-0000-0000-00002E080000}"/>
    <cellStyle name="Input 2 12 2" xfId="824" xr:uid="{00000000-0005-0000-0000-00002F080000}"/>
    <cellStyle name="Input 2 12 2 2" xfId="3216" xr:uid="{00000000-0005-0000-0000-000030080000}"/>
    <cellStyle name="Input 2 12 2 3" xfId="5114" xr:uid="{00000000-0005-0000-0000-000031080000}"/>
    <cellStyle name="Input 2 12 20" xfId="825" xr:uid="{00000000-0005-0000-0000-000032080000}"/>
    <cellStyle name="Input 2 12 20 2" xfId="3217" xr:uid="{00000000-0005-0000-0000-000033080000}"/>
    <cellStyle name="Input 2 12 20 3" xfId="5115" xr:uid="{00000000-0005-0000-0000-000034080000}"/>
    <cellStyle name="Input 2 12 21" xfId="826" xr:uid="{00000000-0005-0000-0000-000035080000}"/>
    <cellStyle name="Input 2 12 21 2" xfId="3218" xr:uid="{00000000-0005-0000-0000-000036080000}"/>
    <cellStyle name="Input 2 12 21 3" xfId="5116" xr:uid="{00000000-0005-0000-0000-000037080000}"/>
    <cellStyle name="Input 2 12 22" xfId="827" xr:uid="{00000000-0005-0000-0000-000038080000}"/>
    <cellStyle name="Input 2 12 22 2" xfId="3219" xr:uid="{00000000-0005-0000-0000-000039080000}"/>
    <cellStyle name="Input 2 12 22 3" xfId="5117" xr:uid="{00000000-0005-0000-0000-00003A080000}"/>
    <cellStyle name="Input 2 12 23" xfId="828" xr:uid="{00000000-0005-0000-0000-00003B080000}"/>
    <cellStyle name="Input 2 12 23 2" xfId="3220" xr:uid="{00000000-0005-0000-0000-00003C080000}"/>
    <cellStyle name="Input 2 12 23 3" xfId="5118" xr:uid="{00000000-0005-0000-0000-00003D080000}"/>
    <cellStyle name="Input 2 12 24" xfId="3205" xr:uid="{00000000-0005-0000-0000-00003E080000}"/>
    <cellStyle name="Input 2 12 25" xfId="5103" xr:uid="{00000000-0005-0000-0000-00003F080000}"/>
    <cellStyle name="Input 2 12 3" xfId="829" xr:uid="{00000000-0005-0000-0000-000040080000}"/>
    <cellStyle name="Input 2 12 3 2" xfId="3221" xr:uid="{00000000-0005-0000-0000-000041080000}"/>
    <cellStyle name="Input 2 12 3 3" xfId="5119" xr:uid="{00000000-0005-0000-0000-000042080000}"/>
    <cellStyle name="Input 2 12 4" xfId="830" xr:uid="{00000000-0005-0000-0000-000043080000}"/>
    <cellStyle name="Input 2 12 4 2" xfId="3222" xr:uid="{00000000-0005-0000-0000-000044080000}"/>
    <cellStyle name="Input 2 12 4 3" xfId="5120" xr:uid="{00000000-0005-0000-0000-000045080000}"/>
    <cellStyle name="Input 2 12 5" xfId="831" xr:uid="{00000000-0005-0000-0000-000046080000}"/>
    <cellStyle name="Input 2 12 5 2" xfId="3223" xr:uid="{00000000-0005-0000-0000-000047080000}"/>
    <cellStyle name="Input 2 12 5 3" xfId="5121" xr:uid="{00000000-0005-0000-0000-000048080000}"/>
    <cellStyle name="Input 2 12 6" xfId="832" xr:uid="{00000000-0005-0000-0000-000049080000}"/>
    <cellStyle name="Input 2 12 6 2" xfId="3224" xr:uid="{00000000-0005-0000-0000-00004A080000}"/>
    <cellStyle name="Input 2 12 6 3" xfId="5122" xr:uid="{00000000-0005-0000-0000-00004B080000}"/>
    <cellStyle name="Input 2 12 7" xfId="833" xr:uid="{00000000-0005-0000-0000-00004C080000}"/>
    <cellStyle name="Input 2 12 7 2" xfId="3225" xr:uid="{00000000-0005-0000-0000-00004D080000}"/>
    <cellStyle name="Input 2 12 7 3" xfId="5123" xr:uid="{00000000-0005-0000-0000-00004E080000}"/>
    <cellStyle name="Input 2 12 8" xfId="834" xr:uid="{00000000-0005-0000-0000-00004F080000}"/>
    <cellStyle name="Input 2 12 8 2" xfId="3226" xr:uid="{00000000-0005-0000-0000-000050080000}"/>
    <cellStyle name="Input 2 12 8 3" xfId="5124" xr:uid="{00000000-0005-0000-0000-000051080000}"/>
    <cellStyle name="Input 2 12 9" xfId="835" xr:uid="{00000000-0005-0000-0000-000052080000}"/>
    <cellStyle name="Input 2 12 9 2" xfId="3227" xr:uid="{00000000-0005-0000-0000-000053080000}"/>
    <cellStyle name="Input 2 12 9 3" xfId="5125" xr:uid="{00000000-0005-0000-0000-000054080000}"/>
    <cellStyle name="Input 2 13" xfId="836" xr:uid="{00000000-0005-0000-0000-000055080000}"/>
    <cellStyle name="Input 2 13 10" xfId="837" xr:uid="{00000000-0005-0000-0000-000056080000}"/>
    <cellStyle name="Input 2 13 10 2" xfId="3229" xr:uid="{00000000-0005-0000-0000-000057080000}"/>
    <cellStyle name="Input 2 13 10 3" xfId="5127" xr:uid="{00000000-0005-0000-0000-000058080000}"/>
    <cellStyle name="Input 2 13 11" xfId="838" xr:uid="{00000000-0005-0000-0000-000059080000}"/>
    <cellStyle name="Input 2 13 11 2" xfId="3230" xr:uid="{00000000-0005-0000-0000-00005A080000}"/>
    <cellStyle name="Input 2 13 11 3" xfId="5128" xr:uid="{00000000-0005-0000-0000-00005B080000}"/>
    <cellStyle name="Input 2 13 12" xfId="839" xr:uid="{00000000-0005-0000-0000-00005C080000}"/>
    <cellStyle name="Input 2 13 12 2" xfId="3231" xr:uid="{00000000-0005-0000-0000-00005D080000}"/>
    <cellStyle name="Input 2 13 12 3" xfId="5129" xr:uid="{00000000-0005-0000-0000-00005E080000}"/>
    <cellStyle name="Input 2 13 13" xfId="840" xr:uid="{00000000-0005-0000-0000-00005F080000}"/>
    <cellStyle name="Input 2 13 13 2" xfId="3232" xr:uid="{00000000-0005-0000-0000-000060080000}"/>
    <cellStyle name="Input 2 13 13 3" xfId="5130" xr:uid="{00000000-0005-0000-0000-000061080000}"/>
    <cellStyle name="Input 2 13 14" xfId="841" xr:uid="{00000000-0005-0000-0000-000062080000}"/>
    <cellStyle name="Input 2 13 14 2" xfId="3233" xr:uid="{00000000-0005-0000-0000-000063080000}"/>
    <cellStyle name="Input 2 13 14 3" xfId="5131" xr:uid="{00000000-0005-0000-0000-000064080000}"/>
    <cellStyle name="Input 2 13 15" xfId="842" xr:uid="{00000000-0005-0000-0000-000065080000}"/>
    <cellStyle name="Input 2 13 15 2" xfId="3234" xr:uid="{00000000-0005-0000-0000-000066080000}"/>
    <cellStyle name="Input 2 13 15 3" xfId="5132" xr:uid="{00000000-0005-0000-0000-000067080000}"/>
    <cellStyle name="Input 2 13 16" xfId="843" xr:uid="{00000000-0005-0000-0000-000068080000}"/>
    <cellStyle name="Input 2 13 16 2" xfId="3235" xr:uid="{00000000-0005-0000-0000-000069080000}"/>
    <cellStyle name="Input 2 13 16 3" xfId="5133" xr:uid="{00000000-0005-0000-0000-00006A080000}"/>
    <cellStyle name="Input 2 13 17" xfId="844" xr:uid="{00000000-0005-0000-0000-00006B080000}"/>
    <cellStyle name="Input 2 13 17 2" xfId="3236" xr:uid="{00000000-0005-0000-0000-00006C080000}"/>
    <cellStyle name="Input 2 13 17 3" xfId="5134" xr:uid="{00000000-0005-0000-0000-00006D080000}"/>
    <cellStyle name="Input 2 13 18" xfId="845" xr:uid="{00000000-0005-0000-0000-00006E080000}"/>
    <cellStyle name="Input 2 13 18 2" xfId="3237" xr:uid="{00000000-0005-0000-0000-00006F080000}"/>
    <cellStyle name="Input 2 13 18 3" xfId="5135" xr:uid="{00000000-0005-0000-0000-000070080000}"/>
    <cellStyle name="Input 2 13 19" xfId="846" xr:uid="{00000000-0005-0000-0000-000071080000}"/>
    <cellStyle name="Input 2 13 19 2" xfId="3238" xr:uid="{00000000-0005-0000-0000-000072080000}"/>
    <cellStyle name="Input 2 13 19 3" xfId="5136" xr:uid="{00000000-0005-0000-0000-000073080000}"/>
    <cellStyle name="Input 2 13 2" xfId="847" xr:uid="{00000000-0005-0000-0000-000074080000}"/>
    <cellStyle name="Input 2 13 2 2" xfId="3239" xr:uid="{00000000-0005-0000-0000-000075080000}"/>
    <cellStyle name="Input 2 13 2 3" xfId="5137" xr:uid="{00000000-0005-0000-0000-000076080000}"/>
    <cellStyle name="Input 2 13 20" xfId="848" xr:uid="{00000000-0005-0000-0000-000077080000}"/>
    <cellStyle name="Input 2 13 20 2" xfId="3240" xr:uid="{00000000-0005-0000-0000-000078080000}"/>
    <cellStyle name="Input 2 13 20 3" xfId="5138" xr:uid="{00000000-0005-0000-0000-000079080000}"/>
    <cellStyle name="Input 2 13 21" xfId="849" xr:uid="{00000000-0005-0000-0000-00007A080000}"/>
    <cellStyle name="Input 2 13 21 2" xfId="3241" xr:uid="{00000000-0005-0000-0000-00007B080000}"/>
    <cellStyle name="Input 2 13 21 3" xfId="5139" xr:uid="{00000000-0005-0000-0000-00007C080000}"/>
    <cellStyle name="Input 2 13 22" xfId="850" xr:uid="{00000000-0005-0000-0000-00007D080000}"/>
    <cellStyle name="Input 2 13 22 2" xfId="3242" xr:uid="{00000000-0005-0000-0000-00007E080000}"/>
    <cellStyle name="Input 2 13 22 3" xfId="5140" xr:uid="{00000000-0005-0000-0000-00007F080000}"/>
    <cellStyle name="Input 2 13 23" xfId="851" xr:uid="{00000000-0005-0000-0000-000080080000}"/>
    <cellStyle name="Input 2 13 23 2" xfId="3243" xr:uid="{00000000-0005-0000-0000-000081080000}"/>
    <cellStyle name="Input 2 13 23 3" xfId="5141" xr:uid="{00000000-0005-0000-0000-000082080000}"/>
    <cellStyle name="Input 2 13 24" xfId="3228" xr:uid="{00000000-0005-0000-0000-000083080000}"/>
    <cellStyle name="Input 2 13 25" xfId="5126" xr:uid="{00000000-0005-0000-0000-000084080000}"/>
    <cellStyle name="Input 2 13 3" xfId="852" xr:uid="{00000000-0005-0000-0000-000085080000}"/>
    <cellStyle name="Input 2 13 3 2" xfId="3244" xr:uid="{00000000-0005-0000-0000-000086080000}"/>
    <cellStyle name="Input 2 13 3 3" xfId="5142" xr:uid="{00000000-0005-0000-0000-000087080000}"/>
    <cellStyle name="Input 2 13 4" xfId="853" xr:uid="{00000000-0005-0000-0000-000088080000}"/>
    <cellStyle name="Input 2 13 4 2" xfId="3245" xr:uid="{00000000-0005-0000-0000-000089080000}"/>
    <cellStyle name="Input 2 13 4 3" xfId="5143" xr:uid="{00000000-0005-0000-0000-00008A080000}"/>
    <cellStyle name="Input 2 13 5" xfId="854" xr:uid="{00000000-0005-0000-0000-00008B080000}"/>
    <cellStyle name="Input 2 13 5 2" xfId="3246" xr:uid="{00000000-0005-0000-0000-00008C080000}"/>
    <cellStyle name="Input 2 13 5 3" xfId="5144" xr:uid="{00000000-0005-0000-0000-00008D080000}"/>
    <cellStyle name="Input 2 13 6" xfId="855" xr:uid="{00000000-0005-0000-0000-00008E080000}"/>
    <cellStyle name="Input 2 13 6 2" xfId="3247" xr:uid="{00000000-0005-0000-0000-00008F080000}"/>
    <cellStyle name="Input 2 13 6 3" xfId="5145" xr:uid="{00000000-0005-0000-0000-000090080000}"/>
    <cellStyle name="Input 2 13 7" xfId="856" xr:uid="{00000000-0005-0000-0000-000091080000}"/>
    <cellStyle name="Input 2 13 7 2" xfId="3248" xr:uid="{00000000-0005-0000-0000-000092080000}"/>
    <cellStyle name="Input 2 13 7 3" xfId="5146" xr:uid="{00000000-0005-0000-0000-000093080000}"/>
    <cellStyle name="Input 2 13 8" xfId="857" xr:uid="{00000000-0005-0000-0000-000094080000}"/>
    <cellStyle name="Input 2 13 8 2" xfId="3249" xr:uid="{00000000-0005-0000-0000-000095080000}"/>
    <cellStyle name="Input 2 13 8 3" xfId="5147" xr:uid="{00000000-0005-0000-0000-000096080000}"/>
    <cellStyle name="Input 2 13 9" xfId="858" xr:uid="{00000000-0005-0000-0000-000097080000}"/>
    <cellStyle name="Input 2 13 9 2" xfId="3250" xr:uid="{00000000-0005-0000-0000-000098080000}"/>
    <cellStyle name="Input 2 13 9 3" xfId="5148" xr:uid="{00000000-0005-0000-0000-000099080000}"/>
    <cellStyle name="Input 2 14" xfId="859" xr:uid="{00000000-0005-0000-0000-00009A080000}"/>
    <cellStyle name="Input 2 14 10" xfId="860" xr:uid="{00000000-0005-0000-0000-00009B080000}"/>
    <cellStyle name="Input 2 14 10 2" xfId="3252" xr:uid="{00000000-0005-0000-0000-00009C080000}"/>
    <cellStyle name="Input 2 14 10 3" xfId="5150" xr:uid="{00000000-0005-0000-0000-00009D080000}"/>
    <cellStyle name="Input 2 14 11" xfId="861" xr:uid="{00000000-0005-0000-0000-00009E080000}"/>
    <cellStyle name="Input 2 14 11 2" xfId="3253" xr:uid="{00000000-0005-0000-0000-00009F080000}"/>
    <cellStyle name="Input 2 14 11 3" xfId="5151" xr:uid="{00000000-0005-0000-0000-0000A0080000}"/>
    <cellStyle name="Input 2 14 12" xfId="862" xr:uid="{00000000-0005-0000-0000-0000A1080000}"/>
    <cellStyle name="Input 2 14 12 2" xfId="3254" xr:uid="{00000000-0005-0000-0000-0000A2080000}"/>
    <cellStyle name="Input 2 14 12 3" xfId="5152" xr:uid="{00000000-0005-0000-0000-0000A3080000}"/>
    <cellStyle name="Input 2 14 13" xfId="863" xr:uid="{00000000-0005-0000-0000-0000A4080000}"/>
    <cellStyle name="Input 2 14 13 2" xfId="3255" xr:uid="{00000000-0005-0000-0000-0000A5080000}"/>
    <cellStyle name="Input 2 14 13 3" xfId="5153" xr:uid="{00000000-0005-0000-0000-0000A6080000}"/>
    <cellStyle name="Input 2 14 14" xfId="864" xr:uid="{00000000-0005-0000-0000-0000A7080000}"/>
    <cellStyle name="Input 2 14 14 2" xfId="3256" xr:uid="{00000000-0005-0000-0000-0000A8080000}"/>
    <cellStyle name="Input 2 14 14 3" xfId="5154" xr:uid="{00000000-0005-0000-0000-0000A9080000}"/>
    <cellStyle name="Input 2 14 15" xfId="865" xr:uid="{00000000-0005-0000-0000-0000AA080000}"/>
    <cellStyle name="Input 2 14 15 2" xfId="3257" xr:uid="{00000000-0005-0000-0000-0000AB080000}"/>
    <cellStyle name="Input 2 14 15 3" xfId="5155" xr:uid="{00000000-0005-0000-0000-0000AC080000}"/>
    <cellStyle name="Input 2 14 16" xfId="866" xr:uid="{00000000-0005-0000-0000-0000AD080000}"/>
    <cellStyle name="Input 2 14 16 2" xfId="3258" xr:uid="{00000000-0005-0000-0000-0000AE080000}"/>
    <cellStyle name="Input 2 14 16 3" xfId="5156" xr:uid="{00000000-0005-0000-0000-0000AF080000}"/>
    <cellStyle name="Input 2 14 17" xfId="867" xr:uid="{00000000-0005-0000-0000-0000B0080000}"/>
    <cellStyle name="Input 2 14 17 2" xfId="3259" xr:uid="{00000000-0005-0000-0000-0000B1080000}"/>
    <cellStyle name="Input 2 14 17 3" xfId="5157" xr:uid="{00000000-0005-0000-0000-0000B2080000}"/>
    <cellStyle name="Input 2 14 18" xfId="868" xr:uid="{00000000-0005-0000-0000-0000B3080000}"/>
    <cellStyle name="Input 2 14 18 2" xfId="3260" xr:uid="{00000000-0005-0000-0000-0000B4080000}"/>
    <cellStyle name="Input 2 14 18 3" xfId="5158" xr:uid="{00000000-0005-0000-0000-0000B5080000}"/>
    <cellStyle name="Input 2 14 19" xfId="869" xr:uid="{00000000-0005-0000-0000-0000B6080000}"/>
    <cellStyle name="Input 2 14 19 2" xfId="3261" xr:uid="{00000000-0005-0000-0000-0000B7080000}"/>
    <cellStyle name="Input 2 14 19 3" xfId="5159" xr:uid="{00000000-0005-0000-0000-0000B8080000}"/>
    <cellStyle name="Input 2 14 2" xfId="870" xr:uid="{00000000-0005-0000-0000-0000B9080000}"/>
    <cellStyle name="Input 2 14 2 2" xfId="3262" xr:uid="{00000000-0005-0000-0000-0000BA080000}"/>
    <cellStyle name="Input 2 14 2 3" xfId="5160" xr:uid="{00000000-0005-0000-0000-0000BB080000}"/>
    <cellStyle name="Input 2 14 20" xfId="871" xr:uid="{00000000-0005-0000-0000-0000BC080000}"/>
    <cellStyle name="Input 2 14 20 2" xfId="3263" xr:uid="{00000000-0005-0000-0000-0000BD080000}"/>
    <cellStyle name="Input 2 14 20 3" xfId="5161" xr:uid="{00000000-0005-0000-0000-0000BE080000}"/>
    <cellStyle name="Input 2 14 21" xfId="872" xr:uid="{00000000-0005-0000-0000-0000BF080000}"/>
    <cellStyle name="Input 2 14 21 2" xfId="3264" xr:uid="{00000000-0005-0000-0000-0000C0080000}"/>
    <cellStyle name="Input 2 14 21 3" xfId="5162" xr:uid="{00000000-0005-0000-0000-0000C1080000}"/>
    <cellStyle name="Input 2 14 22" xfId="873" xr:uid="{00000000-0005-0000-0000-0000C2080000}"/>
    <cellStyle name="Input 2 14 22 2" xfId="3265" xr:uid="{00000000-0005-0000-0000-0000C3080000}"/>
    <cellStyle name="Input 2 14 22 3" xfId="5163" xr:uid="{00000000-0005-0000-0000-0000C4080000}"/>
    <cellStyle name="Input 2 14 23" xfId="874" xr:uid="{00000000-0005-0000-0000-0000C5080000}"/>
    <cellStyle name="Input 2 14 23 2" xfId="3266" xr:uid="{00000000-0005-0000-0000-0000C6080000}"/>
    <cellStyle name="Input 2 14 23 3" xfId="5164" xr:uid="{00000000-0005-0000-0000-0000C7080000}"/>
    <cellStyle name="Input 2 14 24" xfId="3251" xr:uid="{00000000-0005-0000-0000-0000C8080000}"/>
    <cellStyle name="Input 2 14 25" xfId="5149" xr:uid="{00000000-0005-0000-0000-0000C9080000}"/>
    <cellStyle name="Input 2 14 3" xfId="875" xr:uid="{00000000-0005-0000-0000-0000CA080000}"/>
    <cellStyle name="Input 2 14 3 2" xfId="3267" xr:uid="{00000000-0005-0000-0000-0000CB080000}"/>
    <cellStyle name="Input 2 14 3 3" xfId="5165" xr:uid="{00000000-0005-0000-0000-0000CC080000}"/>
    <cellStyle name="Input 2 14 4" xfId="876" xr:uid="{00000000-0005-0000-0000-0000CD080000}"/>
    <cellStyle name="Input 2 14 4 2" xfId="3268" xr:uid="{00000000-0005-0000-0000-0000CE080000}"/>
    <cellStyle name="Input 2 14 4 3" xfId="5166" xr:uid="{00000000-0005-0000-0000-0000CF080000}"/>
    <cellStyle name="Input 2 14 5" xfId="877" xr:uid="{00000000-0005-0000-0000-0000D0080000}"/>
    <cellStyle name="Input 2 14 5 2" xfId="3269" xr:uid="{00000000-0005-0000-0000-0000D1080000}"/>
    <cellStyle name="Input 2 14 5 3" xfId="5167" xr:uid="{00000000-0005-0000-0000-0000D2080000}"/>
    <cellStyle name="Input 2 14 6" xfId="878" xr:uid="{00000000-0005-0000-0000-0000D3080000}"/>
    <cellStyle name="Input 2 14 6 2" xfId="3270" xr:uid="{00000000-0005-0000-0000-0000D4080000}"/>
    <cellStyle name="Input 2 14 6 3" xfId="5168" xr:uid="{00000000-0005-0000-0000-0000D5080000}"/>
    <cellStyle name="Input 2 14 7" xfId="879" xr:uid="{00000000-0005-0000-0000-0000D6080000}"/>
    <cellStyle name="Input 2 14 7 2" xfId="3271" xr:uid="{00000000-0005-0000-0000-0000D7080000}"/>
    <cellStyle name="Input 2 14 7 3" xfId="5169" xr:uid="{00000000-0005-0000-0000-0000D8080000}"/>
    <cellStyle name="Input 2 14 8" xfId="880" xr:uid="{00000000-0005-0000-0000-0000D9080000}"/>
    <cellStyle name="Input 2 14 8 2" xfId="3272" xr:uid="{00000000-0005-0000-0000-0000DA080000}"/>
    <cellStyle name="Input 2 14 8 3" xfId="5170" xr:uid="{00000000-0005-0000-0000-0000DB080000}"/>
    <cellStyle name="Input 2 14 9" xfId="881" xr:uid="{00000000-0005-0000-0000-0000DC080000}"/>
    <cellStyle name="Input 2 14 9 2" xfId="3273" xr:uid="{00000000-0005-0000-0000-0000DD080000}"/>
    <cellStyle name="Input 2 14 9 3" xfId="5171" xr:uid="{00000000-0005-0000-0000-0000DE080000}"/>
    <cellStyle name="Input 2 15" xfId="882" xr:uid="{00000000-0005-0000-0000-0000DF080000}"/>
    <cellStyle name="Input 2 15 10" xfId="883" xr:uid="{00000000-0005-0000-0000-0000E0080000}"/>
    <cellStyle name="Input 2 15 10 2" xfId="3275" xr:uid="{00000000-0005-0000-0000-0000E1080000}"/>
    <cellStyle name="Input 2 15 10 3" xfId="5173" xr:uid="{00000000-0005-0000-0000-0000E2080000}"/>
    <cellStyle name="Input 2 15 11" xfId="884" xr:uid="{00000000-0005-0000-0000-0000E3080000}"/>
    <cellStyle name="Input 2 15 11 2" xfId="3276" xr:uid="{00000000-0005-0000-0000-0000E4080000}"/>
    <cellStyle name="Input 2 15 11 3" xfId="5174" xr:uid="{00000000-0005-0000-0000-0000E5080000}"/>
    <cellStyle name="Input 2 15 12" xfId="885" xr:uid="{00000000-0005-0000-0000-0000E6080000}"/>
    <cellStyle name="Input 2 15 12 2" xfId="3277" xr:uid="{00000000-0005-0000-0000-0000E7080000}"/>
    <cellStyle name="Input 2 15 12 3" xfId="5175" xr:uid="{00000000-0005-0000-0000-0000E8080000}"/>
    <cellStyle name="Input 2 15 13" xfId="886" xr:uid="{00000000-0005-0000-0000-0000E9080000}"/>
    <cellStyle name="Input 2 15 13 2" xfId="3278" xr:uid="{00000000-0005-0000-0000-0000EA080000}"/>
    <cellStyle name="Input 2 15 13 3" xfId="5176" xr:uid="{00000000-0005-0000-0000-0000EB080000}"/>
    <cellStyle name="Input 2 15 14" xfId="887" xr:uid="{00000000-0005-0000-0000-0000EC080000}"/>
    <cellStyle name="Input 2 15 14 2" xfId="3279" xr:uid="{00000000-0005-0000-0000-0000ED080000}"/>
    <cellStyle name="Input 2 15 14 3" xfId="5177" xr:uid="{00000000-0005-0000-0000-0000EE080000}"/>
    <cellStyle name="Input 2 15 15" xfId="888" xr:uid="{00000000-0005-0000-0000-0000EF080000}"/>
    <cellStyle name="Input 2 15 15 2" xfId="3280" xr:uid="{00000000-0005-0000-0000-0000F0080000}"/>
    <cellStyle name="Input 2 15 15 3" xfId="5178" xr:uid="{00000000-0005-0000-0000-0000F1080000}"/>
    <cellStyle name="Input 2 15 16" xfId="889" xr:uid="{00000000-0005-0000-0000-0000F2080000}"/>
    <cellStyle name="Input 2 15 16 2" xfId="3281" xr:uid="{00000000-0005-0000-0000-0000F3080000}"/>
    <cellStyle name="Input 2 15 16 3" xfId="5179" xr:uid="{00000000-0005-0000-0000-0000F4080000}"/>
    <cellStyle name="Input 2 15 17" xfId="890" xr:uid="{00000000-0005-0000-0000-0000F5080000}"/>
    <cellStyle name="Input 2 15 17 2" xfId="3282" xr:uid="{00000000-0005-0000-0000-0000F6080000}"/>
    <cellStyle name="Input 2 15 17 3" xfId="5180" xr:uid="{00000000-0005-0000-0000-0000F7080000}"/>
    <cellStyle name="Input 2 15 18" xfId="891" xr:uid="{00000000-0005-0000-0000-0000F8080000}"/>
    <cellStyle name="Input 2 15 18 2" xfId="3283" xr:uid="{00000000-0005-0000-0000-0000F9080000}"/>
    <cellStyle name="Input 2 15 18 3" xfId="5181" xr:uid="{00000000-0005-0000-0000-0000FA080000}"/>
    <cellStyle name="Input 2 15 19" xfId="892" xr:uid="{00000000-0005-0000-0000-0000FB080000}"/>
    <cellStyle name="Input 2 15 19 2" xfId="3284" xr:uid="{00000000-0005-0000-0000-0000FC080000}"/>
    <cellStyle name="Input 2 15 19 3" xfId="5182" xr:uid="{00000000-0005-0000-0000-0000FD080000}"/>
    <cellStyle name="Input 2 15 2" xfId="893" xr:uid="{00000000-0005-0000-0000-0000FE080000}"/>
    <cellStyle name="Input 2 15 2 2" xfId="3285" xr:uid="{00000000-0005-0000-0000-0000FF080000}"/>
    <cellStyle name="Input 2 15 2 3" xfId="5183" xr:uid="{00000000-0005-0000-0000-000000090000}"/>
    <cellStyle name="Input 2 15 20" xfId="894" xr:uid="{00000000-0005-0000-0000-000001090000}"/>
    <cellStyle name="Input 2 15 20 2" xfId="3286" xr:uid="{00000000-0005-0000-0000-000002090000}"/>
    <cellStyle name="Input 2 15 20 3" xfId="5184" xr:uid="{00000000-0005-0000-0000-000003090000}"/>
    <cellStyle name="Input 2 15 21" xfId="895" xr:uid="{00000000-0005-0000-0000-000004090000}"/>
    <cellStyle name="Input 2 15 21 2" xfId="3287" xr:uid="{00000000-0005-0000-0000-000005090000}"/>
    <cellStyle name="Input 2 15 21 3" xfId="5185" xr:uid="{00000000-0005-0000-0000-000006090000}"/>
    <cellStyle name="Input 2 15 22" xfId="896" xr:uid="{00000000-0005-0000-0000-000007090000}"/>
    <cellStyle name="Input 2 15 22 2" xfId="3288" xr:uid="{00000000-0005-0000-0000-000008090000}"/>
    <cellStyle name="Input 2 15 22 3" xfId="5186" xr:uid="{00000000-0005-0000-0000-000009090000}"/>
    <cellStyle name="Input 2 15 23" xfId="897" xr:uid="{00000000-0005-0000-0000-00000A090000}"/>
    <cellStyle name="Input 2 15 23 2" xfId="3289" xr:uid="{00000000-0005-0000-0000-00000B090000}"/>
    <cellStyle name="Input 2 15 23 3" xfId="5187" xr:uid="{00000000-0005-0000-0000-00000C090000}"/>
    <cellStyle name="Input 2 15 24" xfId="3274" xr:uid="{00000000-0005-0000-0000-00000D090000}"/>
    <cellStyle name="Input 2 15 25" xfId="5172" xr:uid="{00000000-0005-0000-0000-00000E090000}"/>
    <cellStyle name="Input 2 15 3" xfId="898" xr:uid="{00000000-0005-0000-0000-00000F090000}"/>
    <cellStyle name="Input 2 15 3 2" xfId="3290" xr:uid="{00000000-0005-0000-0000-000010090000}"/>
    <cellStyle name="Input 2 15 3 3" xfId="5188" xr:uid="{00000000-0005-0000-0000-000011090000}"/>
    <cellStyle name="Input 2 15 4" xfId="899" xr:uid="{00000000-0005-0000-0000-000012090000}"/>
    <cellStyle name="Input 2 15 4 2" xfId="3291" xr:uid="{00000000-0005-0000-0000-000013090000}"/>
    <cellStyle name="Input 2 15 4 3" xfId="5189" xr:uid="{00000000-0005-0000-0000-000014090000}"/>
    <cellStyle name="Input 2 15 5" xfId="900" xr:uid="{00000000-0005-0000-0000-000015090000}"/>
    <cellStyle name="Input 2 15 5 2" xfId="3292" xr:uid="{00000000-0005-0000-0000-000016090000}"/>
    <cellStyle name="Input 2 15 5 3" xfId="5190" xr:uid="{00000000-0005-0000-0000-000017090000}"/>
    <cellStyle name="Input 2 15 6" xfId="901" xr:uid="{00000000-0005-0000-0000-000018090000}"/>
    <cellStyle name="Input 2 15 6 2" xfId="3293" xr:uid="{00000000-0005-0000-0000-000019090000}"/>
    <cellStyle name="Input 2 15 6 3" xfId="5191" xr:uid="{00000000-0005-0000-0000-00001A090000}"/>
    <cellStyle name="Input 2 15 7" xfId="902" xr:uid="{00000000-0005-0000-0000-00001B090000}"/>
    <cellStyle name="Input 2 15 7 2" xfId="3294" xr:uid="{00000000-0005-0000-0000-00001C090000}"/>
    <cellStyle name="Input 2 15 7 3" xfId="5192" xr:uid="{00000000-0005-0000-0000-00001D090000}"/>
    <cellStyle name="Input 2 15 8" xfId="903" xr:uid="{00000000-0005-0000-0000-00001E090000}"/>
    <cellStyle name="Input 2 15 8 2" xfId="3295" xr:uid="{00000000-0005-0000-0000-00001F090000}"/>
    <cellStyle name="Input 2 15 8 3" xfId="5193" xr:uid="{00000000-0005-0000-0000-000020090000}"/>
    <cellStyle name="Input 2 15 9" xfId="904" xr:uid="{00000000-0005-0000-0000-000021090000}"/>
    <cellStyle name="Input 2 15 9 2" xfId="3296" xr:uid="{00000000-0005-0000-0000-000022090000}"/>
    <cellStyle name="Input 2 15 9 3" xfId="5194" xr:uid="{00000000-0005-0000-0000-000023090000}"/>
    <cellStyle name="Input 2 16" xfId="905" xr:uid="{00000000-0005-0000-0000-000024090000}"/>
    <cellStyle name="Input 2 16 2" xfId="3297" xr:uid="{00000000-0005-0000-0000-000025090000}"/>
    <cellStyle name="Input 2 16 3" xfId="5195" xr:uid="{00000000-0005-0000-0000-000026090000}"/>
    <cellStyle name="Input 2 17" xfId="906" xr:uid="{00000000-0005-0000-0000-000027090000}"/>
    <cellStyle name="Input 2 17 2" xfId="3298" xr:uid="{00000000-0005-0000-0000-000028090000}"/>
    <cellStyle name="Input 2 17 3" xfId="5196" xr:uid="{00000000-0005-0000-0000-000029090000}"/>
    <cellStyle name="Input 2 18" xfId="907" xr:uid="{00000000-0005-0000-0000-00002A090000}"/>
    <cellStyle name="Input 2 18 2" xfId="3299" xr:uid="{00000000-0005-0000-0000-00002B090000}"/>
    <cellStyle name="Input 2 18 3" xfId="5197" xr:uid="{00000000-0005-0000-0000-00002C090000}"/>
    <cellStyle name="Input 2 19" xfId="908" xr:uid="{00000000-0005-0000-0000-00002D090000}"/>
    <cellStyle name="Input 2 19 2" xfId="3300" xr:uid="{00000000-0005-0000-0000-00002E090000}"/>
    <cellStyle name="Input 2 19 3" xfId="5198" xr:uid="{00000000-0005-0000-0000-00002F090000}"/>
    <cellStyle name="Input 2 2" xfId="909" xr:uid="{00000000-0005-0000-0000-000030090000}"/>
    <cellStyle name="Input 2 2 10" xfId="910" xr:uid="{00000000-0005-0000-0000-000031090000}"/>
    <cellStyle name="Input 2 2 10 2" xfId="3302" xr:uid="{00000000-0005-0000-0000-000032090000}"/>
    <cellStyle name="Input 2 2 10 3" xfId="5200" xr:uid="{00000000-0005-0000-0000-000033090000}"/>
    <cellStyle name="Input 2 2 11" xfId="911" xr:uid="{00000000-0005-0000-0000-000034090000}"/>
    <cellStyle name="Input 2 2 11 2" xfId="3303" xr:uid="{00000000-0005-0000-0000-000035090000}"/>
    <cellStyle name="Input 2 2 11 3" xfId="5201" xr:uid="{00000000-0005-0000-0000-000036090000}"/>
    <cellStyle name="Input 2 2 12" xfId="912" xr:uid="{00000000-0005-0000-0000-000037090000}"/>
    <cellStyle name="Input 2 2 12 2" xfId="3304" xr:uid="{00000000-0005-0000-0000-000038090000}"/>
    <cellStyle name="Input 2 2 12 3" xfId="5202" xr:uid="{00000000-0005-0000-0000-000039090000}"/>
    <cellStyle name="Input 2 2 13" xfId="913" xr:uid="{00000000-0005-0000-0000-00003A090000}"/>
    <cellStyle name="Input 2 2 13 2" xfId="3305" xr:uid="{00000000-0005-0000-0000-00003B090000}"/>
    <cellStyle name="Input 2 2 13 3" xfId="5203" xr:uid="{00000000-0005-0000-0000-00003C090000}"/>
    <cellStyle name="Input 2 2 14" xfId="914" xr:uid="{00000000-0005-0000-0000-00003D090000}"/>
    <cellStyle name="Input 2 2 14 2" xfId="3306" xr:uid="{00000000-0005-0000-0000-00003E090000}"/>
    <cellStyle name="Input 2 2 14 3" xfId="5204" xr:uid="{00000000-0005-0000-0000-00003F090000}"/>
    <cellStyle name="Input 2 2 15" xfId="915" xr:uid="{00000000-0005-0000-0000-000040090000}"/>
    <cellStyle name="Input 2 2 15 2" xfId="3307" xr:uid="{00000000-0005-0000-0000-000041090000}"/>
    <cellStyle name="Input 2 2 15 3" xfId="5205" xr:uid="{00000000-0005-0000-0000-000042090000}"/>
    <cellStyle name="Input 2 2 16" xfId="916" xr:uid="{00000000-0005-0000-0000-000043090000}"/>
    <cellStyle name="Input 2 2 16 2" xfId="3308" xr:uid="{00000000-0005-0000-0000-000044090000}"/>
    <cellStyle name="Input 2 2 16 3" xfId="5206" xr:uid="{00000000-0005-0000-0000-000045090000}"/>
    <cellStyle name="Input 2 2 17" xfId="917" xr:uid="{00000000-0005-0000-0000-000046090000}"/>
    <cellStyle name="Input 2 2 17 2" xfId="3309" xr:uid="{00000000-0005-0000-0000-000047090000}"/>
    <cellStyle name="Input 2 2 17 3" xfId="5207" xr:uid="{00000000-0005-0000-0000-000048090000}"/>
    <cellStyle name="Input 2 2 18" xfId="918" xr:uid="{00000000-0005-0000-0000-000049090000}"/>
    <cellStyle name="Input 2 2 18 2" xfId="3310" xr:uid="{00000000-0005-0000-0000-00004A090000}"/>
    <cellStyle name="Input 2 2 18 3" xfId="5208" xr:uid="{00000000-0005-0000-0000-00004B090000}"/>
    <cellStyle name="Input 2 2 19" xfId="919" xr:uid="{00000000-0005-0000-0000-00004C090000}"/>
    <cellStyle name="Input 2 2 19 2" xfId="3311" xr:uid="{00000000-0005-0000-0000-00004D090000}"/>
    <cellStyle name="Input 2 2 19 3" xfId="5209" xr:uid="{00000000-0005-0000-0000-00004E090000}"/>
    <cellStyle name="Input 2 2 2" xfId="920" xr:uid="{00000000-0005-0000-0000-00004F090000}"/>
    <cellStyle name="Input 2 2 2 2" xfId="3312" xr:uid="{00000000-0005-0000-0000-000050090000}"/>
    <cellStyle name="Input 2 2 2 3" xfId="5210" xr:uid="{00000000-0005-0000-0000-000051090000}"/>
    <cellStyle name="Input 2 2 20" xfId="921" xr:uid="{00000000-0005-0000-0000-000052090000}"/>
    <cellStyle name="Input 2 2 20 2" xfId="3313" xr:uid="{00000000-0005-0000-0000-000053090000}"/>
    <cellStyle name="Input 2 2 20 3" xfId="5211" xr:uid="{00000000-0005-0000-0000-000054090000}"/>
    <cellStyle name="Input 2 2 21" xfId="922" xr:uid="{00000000-0005-0000-0000-000055090000}"/>
    <cellStyle name="Input 2 2 21 2" xfId="3314" xr:uid="{00000000-0005-0000-0000-000056090000}"/>
    <cellStyle name="Input 2 2 21 3" xfId="5212" xr:uid="{00000000-0005-0000-0000-000057090000}"/>
    <cellStyle name="Input 2 2 22" xfId="923" xr:uid="{00000000-0005-0000-0000-000058090000}"/>
    <cellStyle name="Input 2 2 22 2" xfId="3315" xr:uid="{00000000-0005-0000-0000-000059090000}"/>
    <cellStyle name="Input 2 2 22 3" xfId="5213" xr:uid="{00000000-0005-0000-0000-00005A090000}"/>
    <cellStyle name="Input 2 2 23" xfId="924" xr:uid="{00000000-0005-0000-0000-00005B090000}"/>
    <cellStyle name="Input 2 2 23 2" xfId="3316" xr:uid="{00000000-0005-0000-0000-00005C090000}"/>
    <cellStyle name="Input 2 2 23 3" xfId="5214" xr:uid="{00000000-0005-0000-0000-00005D090000}"/>
    <cellStyle name="Input 2 2 24" xfId="3301" xr:uid="{00000000-0005-0000-0000-00005E090000}"/>
    <cellStyle name="Input 2 2 25" xfId="5199" xr:uid="{00000000-0005-0000-0000-00005F090000}"/>
    <cellStyle name="Input 2 2 3" xfId="925" xr:uid="{00000000-0005-0000-0000-000060090000}"/>
    <cellStyle name="Input 2 2 3 2" xfId="3317" xr:uid="{00000000-0005-0000-0000-000061090000}"/>
    <cellStyle name="Input 2 2 3 3" xfId="5215" xr:uid="{00000000-0005-0000-0000-000062090000}"/>
    <cellStyle name="Input 2 2 4" xfId="926" xr:uid="{00000000-0005-0000-0000-000063090000}"/>
    <cellStyle name="Input 2 2 4 2" xfId="3318" xr:uid="{00000000-0005-0000-0000-000064090000}"/>
    <cellStyle name="Input 2 2 4 3" xfId="5216" xr:uid="{00000000-0005-0000-0000-000065090000}"/>
    <cellStyle name="Input 2 2 5" xfId="927" xr:uid="{00000000-0005-0000-0000-000066090000}"/>
    <cellStyle name="Input 2 2 5 2" xfId="3319" xr:uid="{00000000-0005-0000-0000-000067090000}"/>
    <cellStyle name="Input 2 2 5 3" xfId="5217" xr:uid="{00000000-0005-0000-0000-000068090000}"/>
    <cellStyle name="Input 2 2 6" xfId="928" xr:uid="{00000000-0005-0000-0000-000069090000}"/>
    <cellStyle name="Input 2 2 6 2" xfId="3320" xr:uid="{00000000-0005-0000-0000-00006A090000}"/>
    <cellStyle name="Input 2 2 6 3" xfId="5218" xr:uid="{00000000-0005-0000-0000-00006B090000}"/>
    <cellStyle name="Input 2 2 7" xfId="929" xr:uid="{00000000-0005-0000-0000-00006C090000}"/>
    <cellStyle name="Input 2 2 7 2" xfId="3321" xr:uid="{00000000-0005-0000-0000-00006D090000}"/>
    <cellStyle name="Input 2 2 7 3" xfId="5219" xr:uid="{00000000-0005-0000-0000-00006E090000}"/>
    <cellStyle name="Input 2 2 8" xfId="930" xr:uid="{00000000-0005-0000-0000-00006F090000}"/>
    <cellStyle name="Input 2 2 8 2" xfId="3322" xr:uid="{00000000-0005-0000-0000-000070090000}"/>
    <cellStyle name="Input 2 2 8 3" xfId="5220" xr:uid="{00000000-0005-0000-0000-000071090000}"/>
    <cellStyle name="Input 2 2 9" xfId="931" xr:uid="{00000000-0005-0000-0000-000072090000}"/>
    <cellStyle name="Input 2 2 9 2" xfId="3323" xr:uid="{00000000-0005-0000-0000-000073090000}"/>
    <cellStyle name="Input 2 2 9 3" xfId="5221" xr:uid="{00000000-0005-0000-0000-000074090000}"/>
    <cellStyle name="Input 2 20" xfId="932" xr:uid="{00000000-0005-0000-0000-000075090000}"/>
    <cellStyle name="Input 2 20 2" xfId="3324" xr:uid="{00000000-0005-0000-0000-000076090000}"/>
    <cellStyle name="Input 2 20 3" xfId="5222" xr:uid="{00000000-0005-0000-0000-000077090000}"/>
    <cellStyle name="Input 2 21" xfId="933" xr:uid="{00000000-0005-0000-0000-000078090000}"/>
    <cellStyle name="Input 2 21 2" xfId="3325" xr:uid="{00000000-0005-0000-0000-000079090000}"/>
    <cellStyle name="Input 2 21 3" xfId="5223" xr:uid="{00000000-0005-0000-0000-00007A090000}"/>
    <cellStyle name="Input 2 22" xfId="934" xr:uid="{00000000-0005-0000-0000-00007B090000}"/>
    <cellStyle name="Input 2 22 2" xfId="3326" xr:uid="{00000000-0005-0000-0000-00007C090000}"/>
    <cellStyle name="Input 2 22 3" xfId="5224" xr:uid="{00000000-0005-0000-0000-00007D090000}"/>
    <cellStyle name="Input 2 23" xfId="935" xr:uid="{00000000-0005-0000-0000-00007E090000}"/>
    <cellStyle name="Input 2 23 2" xfId="3327" xr:uid="{00000000-0005-0000-0000-00007F090000}"/>
    <cellStyle name="Input 2 23 3" xfId="5225" xr:uid="{00000000-0005-0000-0000-000080090000}"/>
    <cellStyle name="Input 2 24" xfId="936" xr:uid="{00000000-0005-0000-0000-000081090000}"/>
    <cellStyle name="Input 2 24 2" xfId="3328" xr:uid="{00000000-0005-0000-0000-000082090000}"/>
    <cellStyle name="Input 2 24 3" xfId="5226" xr:uid="{00000000-0005-0000-0000-000083090000}"/>
    <cellStyle name="Input 2 25" xfId="937" xr:uid="{00000000-0005-0000-0000-000084090000}"/>
    <cellStyle name="Input 2 25 2" xfId="3329" xr:uid="{00000000-0005-0000-0000-000085090000}"/>
    <cellStyle name="Input 2 25 3" xfId="5227" xr:uid="{00000000-0005-0000-0000-000086090000}"/>
    <cellStyle name="Input 2 26" xfId="938" xr:uid="{00000000-0005-0000-0000-000087090000}"/>
    <cellStyle name="Input 2 26 2" xfId="3330" xr:uid="{00000000-0005-0000-0000-000088090000}"/>
    <cellStyle name="Input 2 26 3" xfId="5228" xr:uid="{00000000-0005-0000-0000-000089090000}"/>
    <cellStyle name="Input 2 27" xfId="939" xr:uid="{00000000-0005-0000-0000-00008A090000}"/>
    <cellStyle name="Input 2 27 2" xfId="3331" xr:uid="{00000000-0005-0000-0000-00008B090000}"/>
    <cellStyle name="Input 2 27 3" xfId="5229" xr:uid="{00000000-0005-0000-0000-00008C090000}"/>
    <cellStyle name="Input 2 28" xfId="940" xr:uid="{00000000-0005-0000-0000-00008D090000}"/>
    <cellStyle name="Input 2 28 2" xfId="3332" xr:uid="{00000000-0005-0000-0000-00008E090000}"/>
    <cellStyle name="Input 2 28 3" xfId="5230" xr:uid="{00000000-0005-0000-0000-00008F090000}"/>
    <cellStyle name="Input 2 29" xfId="941" xr:uid="{00000000-0005-0000-0000-000090090000}"/>
    <cellStyle name="Input 2 29 2" xfId="3333" xr:uid="{00000000-0005-0000-0000-000091090000}"/>
    <cellStyle name="Input 2 29 3" xfId="5231" xr:uid="{00000000-0005-0000-0000-000092090000}"/>
    <cellStyle name="Input 2 3" xfId="942" xr:uid="{00000000-0005-0000-0000-000093090000}"/>
    <cellStyle name="Input 2 3 10" xfId="943" xr:uid="{00000000-0005-0000-0000-000094090000}"/>
    <cellStyle name="Input 2 3 10 2" xfId="3335" xr:uid="{00000000-0005-0000-0000-000095090000}"/>
    <cellStyle name="Input 2 3 10 3" xfId="5233" xr:uid="{00000000-0005-0000-0000-000096090000}"/>
    <cellStyle name="Input 2 3 11" xfId="944" xr:uid="{00000000-0005-0000-0000-000097090000}"/>
    <cellStyle name="Input 2 3 11 2" xfId="3336" xr:uid="{00000000-0005-0000-0000-000098090000}"/>
    <cellStyle name="Input 2 3 11 3" xfId="5234" xr:uid="{00000000-0005-0000-0000-000099090000}"/>
    <cellStyle name="Input 2 3 12" xfId="945" xr:uid="{00000000-0005-0000-0000-00009A090000}"/>
    <cellStyle name="Input 2 3 12 2" xfId="3337" xr:uid="{00000000-0005-0000-0000-00009B090000}"/>
    <cellStyle name="Input 2 3 12 3" xfId="5235" xr:uid="{00000000-0005-0000-0000-00009C090000}"/>
    <cellStyle name="Input 2 3 13" xfId="946" xr:uid="{00000000-0005-0000-0000-00009D090000}"/>
    <cellStyle name="Input 2 3 13 2" xfId="3338" xr:uid="{00000000-0005-0000-0000-00009E090000}"/>
    <cellStyle name="Input 2 3 13 3" xfId="5236" xr:uid="{00000000-0005-0000-0000-00009F090000}"/>
    <cellStyle name="Input 2 3 14" xfId="947" xr:uid="{00000000-0005-0000-0000-0000A0090000}"/>
    <cellStyle name="Input 2 3 14 2" xfId="3339" xr:uid="{00000000-0005-0000-0000-0000A1090000}"/>
    <cellStyle name="Input 2 3 14 3" xfId="5237" xr:uid="{00000000-0005-0000-0000-0000A2090000}"/>
    <cellStyle name="Input 2 3 15" xfId="948" xr:uid="{00000000-0005-0000-0000-0000A3090000}"/>
    <cellStyle name="Input 2 3 15 2" xfId="3340" xr:uid="{00000000-0005-0000-0000-0000A4090000}"/>
    <cellStyle name="Input 2 3 15 3" xfId="5238" xr:uid="{00000000-0005-0000-0000-0000A5090000}"/>
    <cellStyle name="Input 2 3 16" xfId="949" xr:uid="{00000000-0005-0000-0000-0000A6090000}"/>
    <cellStyle name="Input 2 3 16 2" xfId="3341" xr:uid="{00000000-0005-0000-0000-0000A7090000}"/>
    <cellStyle name="Input 2 3 16 3" xfId="5239" xr:uid="{00000000-0005-0000-0000-0000A8090000}"/>
    <cellStyle name="Input 2 3 17" xfId="950" xr:uid="{00000000-0005-0000-0000-0000A9090000}"/>
    <cellStyle name="Input 2 3 17 2" xfId="3342" xr:uid="{00000000-0005-0000-0000-0000AA090000}"/>
    <cellStyle name="Input 2 3 17 3" xfId="5240" xr:uid="{00000000-0005-0000-0000-0000AB090000}"/>
    <cellStyle name="Input 2 3 18" xfId="951" xr:uid="{00000000-0005-0000-0000-0000AC090000}"/>
    <cellStyle name="Input 2 3 18 2" xfId="3343" xr:uid="{00000000-0005-0000-0000-0000AD090000}"/>
    <cellStyle name="Input 2 3 18 3" xfId="5241" xr:uid="{00000000-0005-0000-0000-0000AE090000}"/>
    <cellStyle name="Input 2 3 19" xfId="952" xr:uid="{00000000-0005-0000-0000-0000AF090000}"/>
    <cellStyle name="Input 2 3 19 2" xfId="3344" xr:uid="{00000000-0005-0000-0000-0000B0090000}"/>
    <cellStyle name="Input 2 3 19 3" xfId="5242" xr:uid="{00000000-0005-0000-0000-0000B1090000}"/>
    <cellStyle name="Input 2 3 2" xfId="953" xr:uid="{00000000-0005-0000-0000-0000B2090000}"/>
    <cellStyle name="Input 2 3 2 2" xfId="3345" xr:uid="{00000000-0005-0000-0000-0000B3090000}"/>
    <cellStyle name="Input 2 3 2 3" xfId="5243" xr:uid="{00000000-0005-0000-0000-0000B4090000}"/>
    <cellStyle name="Input 2 3 20" xfId="954" xr:uid="{00000000-0005-0000-0000-0000B5090000}"/>
    <cellStyle name="Input 2 3 20 2" xfId="3346" xr:uid="{00000000-0005-0000-0000-0000B6090000}"/>
    <cellStyle name="Input 2 3 20 3" xfId="5244" xr:uid="{00000000-0005-0000-0000-0000B7090000}"/>
    <cellStyle name="Input 2 3 21" xfId="955" xr:uid="{00000000-0005-0000-0000-0000B8090000}"/>
    <cellStyle name="Input 2 3 21 2" xfId="3347" xr:uid="{00000000-0005-0000-0000-0000B9090000}"/>
    <cellStyle name="Input 2 3 21 3" xfId="5245" xr:uid="{00000000-0005-0000-0000-0000BA090000}"/>
    <cellStyle name="Input 2 3 22" xfId="956" xr:uid="{00000000-0005-0000-0000-0000BB090000}"/>
    <cellStyle name="Input 2 3 22 2" xfId="3348" xr:uid="{00000000-0005-0000-0000-0000BC090000}"/>
    <cellStyle name="Input 2 3 22 3" xfId="5246" xr:uid="{00000000-0005-0000-0000-0000BD090000}"/>
    <cellStyle name="Input 2 3 23" xfId="957" xr:uid="{00000000-0005-0000-0000-0000BE090000}"/>
    <cellStyle name="Input 2 3 23 2" xfId="3349" xr:uid="{00000000-0005-0000-0000-0000BF090000}"/>
    <cellStyle name="Input 2 3 23 3" xfId="5247" xr:uid="{00000000-0005-0000-0000-0000C0090000}"/>
    <cellStyle name="Input 2 3 24" xfId="3334" xr:uid="{00000000-0005-0000-0000-0000C1090000}"/>
    <cellStyle name="Input 2 3 25" xfId="5232" xr:uid="{00000000-0005-0000-0000-0000C2090000}"/>
    <cellStyle name="Input 2 3 3" xfId="958" xr:uid="{00000000-0005-0000-0000-0000C3090000}"/>
    <cellStyle name="Input 2 3 3 2" xfId="3350" xr:uid="{00000000-0005-0000-0000-0000C4090000}"/>
    <cellStyle name="Input 2 3 3 3" xfId="5248" xr:uid="{00000000-0005-0000-0000-0000C5090000}"/>
    <cellStyle name="Input 2 3 4" xfId="959" xr:uid="{00000000-0005-0000-0000-0000C6090000}"/>
    <cellStyle name="Input 2 3 4 2" xfId="3351" xr:uid="{00000000-0005-0000-0000-0000C7090000}"/>
    <cellStyle name="Input 2 3 4 3" xfId="5249" xr:uid="{00000000-0005-0000-0000-0000C8090000}"/>
    <cellStyle name="Input 2 3 5" xfId="960" xr:uid="{00000000-0005-0000-0000-0000C9090000}"/>
    <cellStyle name="Input 2 3 5 2" xfId="3352" xr:uid="{00000000-0005-0000-0000-0000CA090000}"/>
    <cellStyle name="Input 2 3 5 3" xfId="5250" xr:uid="{00000000-0005-0000-0000-0000CB090000}"/>
    <cellStyle name="Input 2 3 6" xfId="961" xr:uid="{00000000-0005-0000-0000-0000CC090000}"/>
    <cellStyle name="Input 2 3 6 2" xfId="3353" xr:uid="{00000000-0005-0000-0000-0000CD090000}"/>
    <cellStyle name="Input 2 3 6 3" xfId="5251" xr:uid="{00000000-0005-0000-0000-0000CE090000}"/>
    <cellStyle name="Input 2 3 7" xfId="962" xr:uid="{00000000-0005-0000-0000-0000CF090000}"/>
    <cellStyle name="Input 2 3 7 2" xfId="3354" xr:uid="{00000000-0005-0000-0000-0000D0090000}"/>
    <cellStyle name="Input 2 3 7 3" xfId="5252" xr:uid="{00000000-0005-0000-0000-0000D1090000}"/>
    <cellStyle name="Input 2 3 8" xfId="963" xr:uid="{00000000-0005-0000-0000-0000D2090000}"/>
    <cellStyle name="Input 2 3 8 2" xfId="3355" xr:uid="{00000000-0005-0000-0000-0000D3090000}"/>
    <cellStyle name="Input 2 3 8 3" xfId="5253" xr:uid="{00000000-0005-0000-0000-0000D4090000}"/>
    <cellStyle name="Input 2 3 9" xfId="964" xr:uid="{00000000-0005-0000-0000-0000D5090000}"/>
    <cellStyle name="Input 2 3 9 2" xfId="3356" xr:uid="{00000000-0005-0000-0000-0000D6090000}"/>
    <cellStyle name="Input 2 3 9 3" xfId="5254" xr:uid="{00000000-0005-0000-0000-0000D7090000}"/>
    <cellStyle name="Input 2 30" xfId="965" xr:uid="{00000000-0005-0000-0000-0000D8090000}"/>
    <cellStyle name="Input 2 30 2" xfId="3357" xr:uid="{00000000-0005-0000-0000-0000D9090000}"/>
    <cellStyle name="Input 2 30 3" xfId="5255" xr:uid="{00000000-0005-0000-0000-0000DA090000}"/>
    <cellStyle name="Input 2 31" xfId="966" xr:uid="{00000000-0005-0000-0000-0000DB090000}"/>
    <cellStyle name="Input 2 31 2" xfId="3358" xr:uid="{00000000-0005-0000-0000-0000DC090000}"/>
    <cellStyle name="Input 2 31 3" xfId="5256" xr:uid="{00000000-0005-0000-0000-0000DD090000}"/>
    <cellStyle name="Input 2 32" xfId="967" xr:uid="{00000000-0005-0000-0000-0000DE090000}"/>
    <cellStyle name="Input 2 32 2" xfId="3359" xr:uid="{00000000-0005-0000-0000-0000DF090000}"/>
    <cellStyle name="Input 2 32 3" xfId="5257" xr:uid="{00000000-0005-0000-0000-0000E0090000}"/>
    <cellStyle name="Input 2 33" xfId="968" xr:uid="{00000000-0005-0000-0000-0000E1090000}"/>
    <cellStyle name="Input 2 33 2" xfId="3360" xr:uid="{00000000-0005-0000-0000-0000E2090000}"/>
    <cellStyle name="Input 2 33 3" xfId="5258" xr:uid="{00000000-0005-0000-0000-0000E3090000}"/>
    <cellStyle name="Input 2 34" xfId="969" xr:uid="{00000000-0005-0000-0000-0000E4090000}"/>
    <cellStyle name="Input 2 34 2" xfId="3361" xr:uid="{00000000-0005-0000-0000-0000E5090000}"/>
    <cellStyle name="Input 2 34 3" xfId="5259" xr:uid="{00000000-0005-0000-0000-0000E6090000}"/>
    <cellStyle name="Input 2 35" xfId="970" xr:uid="{00000000-0005-0000-0000-0000E7090000}"/>
    <cellStyle name="Input 2 35 2" xfId="3362" xr:uid="{00000000-0005-0000-0000-0000E8090000}"/>
    <cellStyle name="Input 2 35 3" xfId="5260" xr:uid="{00000000-0005-0000-0000-0000E9090000}"/>
    <cellStyle name="Input 2 36" xfId="971" xr:uid="{00000000-0005-0000-0000-0000EA090000}"/>
    <cellStyle name="Input 2 36 2" xfId="3363" xr:uid="{00000000-0005-0000-0000-0000EB090000}"/>
    <cellStyle name="Input 2 36 3" xfId="5261" xr:uid="{00000000-0005-0000-0000-0000EC090000}"/>
    <cellStyle name="Input 2 37" xfId="972" xr:uid="{00000000-0005-0000-0000-0000ED090000}"/>
    <cellStyle name="Input 2 37 2" xfId="3364" xr:uid="{00000000-0005-0000-0000-0000EE090000}"/>
    <cellStyle name="Input 2 37 3" xfId="5262" xr:uid="{00000000-0005-0000-0000-0000EF090000}"/>
    <cellStyle name="Input 2 38" xfId="3158" xr:uid="{00000000-0005-0000-0000-0000F0090000}"/>
    <cellStyle name="Input 2 39" xfId="5056" xr:uid="{00000000-0005-0000-0000-0000F1090000}"/>
    <cellStyle name="Input 2 4" xfId="973" xr:uid="{00000000-0005-0000-0000-0000F2090000}"/>
    <cellStyle name="Input 2 4 10" xfId="974" xr:uid="{00000000-0005-0000-0000-0000F3090000}"/>
    <cellStyle name="Input 2 4 10 2" xfId="3366" xr:uid="{00000000-0005-0000-0000-0000F4090000}"/>
    <cellStyle name="Input 2 4 10 3" xfId="5264" xr:uid="{00000000-0005-0000-0000-0000F5090000}"/>
    <cellStyle name="Input 2 4 11" xfId="975" xr:uid="{00000000-0005-0000-0000-0000F6090000}"/>
    <cellStyle name="Input 2 4 11 2" xfId="3367" xr:uid="{00000000-0005-0000-0000-0000F7090000}"/>
    <cellStyle name="Input 2 4 11 3" xfId="5265" xr:uid="{00000000-0005-0000-0000-0000F8090000}"/>
    <cellStyle name="Input 2 4 12" xfId="976" xr:uid="{00000000-0005-0000-0000-0000F9090000}"/>
    <cellStyle name="Input 2 4 12 2" xfId="3368" xr:uid="{00000000-0005-0000-0000-0000FA090000}"/>
    <cellStyle name="Input 2 4 12 3" xfId="5266" xr:uid="{00000000-0005-0000-0000-0000FB090000}"/>
    <cellStyle name="Input 2 4 13" xfId="977" xr:uid="{00000000-0005-0000-0000-0000FC090000}"/>
    <cellStyle name="Input 2 4 13 2" xfId="3369" xr:uid="{00000000-0005-0000-0000-0000FD090000}"/>
    <cellStyle name="Input 2 4 13 3" xfId="5267" xr:uid="{00000000-0005-0000-0000-0000FE090000}"/>
    <cellStyle name="Input 2 4 14" xfId="978" xr:uid="{00000000-0005-0000-0000-0000FF090000}"/>
    <cellStyle name="Input 2 4 14 2" xfId="3370" xr:uid="{00000000-0005-0000-0000-0000000A0000}"/>
    <cellStyle name="Input 2 4 14 3" xfId="5268" xr:uid="{00000000-0005-0000-0000-0000010A0000}"/>
    <cellStyle name="Input 2 4 15" xfId="979" xr:uid="{00000000-0005-0000-0000-0000020A0000}"/>
    <cellStyle name="Input 2 4 15 2" xfId="3371" xr:uid="{00000000-0005-0000-0000-0000030A0000}"/>
    <cellStyle name="Input 2 4 15 3" xfId="5269" xr:uid="{00000000-0005-0000-0000-0000040A0000}"/>
    <cellStyle name="Input 2 4 16" xfId="980" xr:uid="{00000000-0005-0000-0000-0000050A0000}"/>
    <cellStyle name="Input 2 4 16 2" xfId="3372" xr:uid="{00000000-0005-0000-0000-0000060A0000}"/>
    <cellStyle name="Input 2 4 16 3" xfId="5270" xr:uid="{00000000-0005-0000-0000-0000070A0000}"/>
    <cellStyle name="Input 2 4 17" xfId="981" xr:uid="{00000000-0005-0000-0000-0000080A0000}"/>
    <cellStyle name="Input 2 4 17 2" xfId="3373" xr:uid="{00000000-0005-0000-0000-0000090A0000}"/>
    <cellStyle name="Input 2 4 17 3" xfId="5271" xr:uid="{00000000-0005-0000-0000-00000A0A0000}"/>
    <cellStyle name="Input 2 4 18" xfId="982" xr:uid="{00000000-0005-0000-0000-00000B0A0000}"/>
    <cellStyle name="Input 2 4 18 2" xfId="3374" xr:uid="{00000000-0005-0000-0000-00000C0A0000}"/>
    <cellStyle name="Input 2 4 18 3" xfId="5272" xr:uid="{00000000-0005-0000-0000-00000D0A0000}"/>
    <cellStyle name="Input 2 4 19" xfId="983" xr:uid="{00000000-0005-0000-0000-00000E0A0000}"/>
    <cellStyle name="Input 2 4 19 2" xfId="3375" xr:uid="{00000000-0005-0000-0000-00000F0A0000}"/>
    <cellStyle name="Input 2 4 19 3" xfId="5273" xr:uid="{00000000-0005-0000-0000-0000100A0000}"/>
    <cellStyle name="Input 2 4 2" xfId="984" xr:uid="{00000000-0005-0000-0000-0000110A0000}"/>
    <cellStyle name="Input 2 4 2 2" xfId="3376" xr:uid="{00000000-0005-0000-0000-0000120A0000}"/>
    <cellStyle name="Input 2 4 2 3" xfId="5274" xr:uid="{00000000-0005-0000-0000-0000130A0000}"/>
    <cellStyle name="Input 2 4 20" xfId="985" xr:uid="{00000000-0005-0000-0000-0000140A0000}"/>
    <cellStyle name="Input 2 4 20 2" xfId="3377" xr:uid="{00000000-0005-0000-0000-0000150A0000}"/>
    <cellStyle name="Input 2 4 20 3" xfId="5275" xr:uid="{00000000-0005-0000-0000-0000160A0000}"/>
    <cellStyle name="Input 2 4 21" xfId="986" xr:uid="{00000000-0005-0000-0000-0000170A0000}"/>
    <cellStyle name="Input 2 4 21 2" xfId="3378" xr:uid="{00000000-0005-0000-0000-0000180A0000}"/>
    <cellStyle name="Input 2 4 21 3" xfId="5276" xr:uid="{00000000-0005-0000-0000-0000190A0000}"/>
    <cellStyle name="Input 2 4 22" xfId="987" xr:uid="{00000000-0005-0000-0000-00001A0A0000}"/>
    <cellStyle name="Input 2 4 22 2" xfId="3379" xr:uid="{00000000-0005-0000-0000-00001B0A0000}"/>
    <cellStyle name="Input 2 4 22 3" xfId="5277" xr:uid="{00000000-0005-0000-0000-00001C0A0000}"/>
    <cellStyle name="Input 2 4 23" xfId="988" xr:uid="{00000000-0005-0000-0000-00001D0A0000}"/>
    <cellStyle name="Input 2 4 23 2" xfId="3380" xr:uid="{00000000-0005-0000-0000-00001E0A0000}"/>
    <cellStyle name="Input 2 4 23 3" xfId="5278" xr:uid="{00000000-0005-0000-0000-00001F0A0000}"/>
    <cellStyle name="Input 2 4 24" xfId="3365" xr:uid="{00000000-0005-0000-0000-0000200A0000}"/>
    <cellStyle name="Input 2 4 25" xfId="5263" xr:uid="{00000000-0005-0000-0000-0000210A0000}"/>
    <cellStyle name="Input 2 4 3" xfId="989" xr:uid="{00000000-0005-0000-0000-0000220A0000}"/>
    <cellStyle name="Input 2 4 3 2" xfId="3381" xr:uid="{00000000-0005-0000-0000-0000230A0000}"/>
    <cellStyle name="Input 2 4 3 3" xfId="5279" xr:uid="{00000000-0005-0000-0000-0000240A0000}"/>
    <cellStyle name="Input 2 4 4" xfId="990" xr:uid="{00000000-0005-0000-0000-0000250A0000}"/>
    <cellStyle name="Input 2 4 4 2" xfId="3382" xr:uid="{00000000-0005-0000-0000-0000260A0000}"/>
    <cellStyle name="Input 2 4 4 3" xfId="5280" xr:uid="{00000000-0005-0000-0000-0000270A0000}"/>
    <cellStyle name="Input 2 4 5" xfId="991" xr:uid="{00000000-0005-0000-0000-0000280A0000}"/>
    <cellStyle name="Input 2 4 5 2" xfId="3383" xr:uid="{00000000-0005-0000-0000-0000290A0000}"/>
    <cellStyle name="Input 2 4 5 3" xfId="5281" xr:uid="{00000000-0005-0000-0000-00002A0A0000}"/>
    <cellStyle name="Input 2 4 6" xfId="992" xr:uid="{00000000-0005-0000-0000-00002B0A0000}"/>
    <cellStyle name="Input 2 4 6 2" xfId="3384" xr:uid="{00000000-0005-0000-0000-00002C0A0000}"/>
    <cellStyle name="Input 2 4 6 3" xfId="5282" xr:uid="{00000000-0005-0000-0000-00002D0A0000}"/>
    <cellStyle name="Input 2 4 7" xfId="993" xr:uid="{00000000-0005-0000-0000-00002E0A0000}"/>
    <cellStyle name="Input 2 4 7 2" xfId="3385" xr:uid="{00000000-0005-0000-0000-00002F0A0000}"/>
    <cellStyle name="Input 2 4 7 3" xfId="5283" xr:uid="{00000000-0005-0000-0000-0000300A0000}"/>
    <cellStyle name="Input 2 4 8" xfId="994" xr:uid="{00000000-0005-0000-0000-0000310A0000}"/>
    <cellStyle name="Input 2 4 8 2" xfId="3386" xr:uid="{00000000-0005-0000-0000-0000320A0000}"/>
    <cellStyle name="Input 2 4 8 3" xfId="5284" xr:uid="{00000000-0005-0000-0000-0000330A0000}"/>
    <cellStyle name="Input 2 4 9" xfId="995" xr:uid="{00000000-0005-0000-0000-0000340A0000}"/>
    <cellStyle name="Input 2 4 9 2" xfId="3387" xr:uid="{00000000-0005-0000-0000-0000350A0000}"/>
    <cellStyle name="Input 2 4 9 3" xfId="5285" xr:uid="{00000000-0005-0000-0000-0000360A0000}"/>
    <cellStyle name="Input 2 5" xfId="996" xr:uid="{00000000-0005-0000-0000-0000370A0000}"/>
    <cellStyle name="Input 2 5 10" xfId="997" xr:uid="{00000000-0005-0000-0000-0000380A0000}"/>
    <cellStyle name="Input 2 5 10 2" xfId="3389" xr:uid="{00000000-0005-0000-0000-0000390A0000}"/>
    <cellStyle name="Input 2 5 10 3" xfId="5287" xr:uid="{00000000-0005-0000-0000-00003A0A0000}"/>
    <cellStyle name="Input 2 5 11" xfId="998" xr:uid="{00000000-0005-0000-0000-00003B0A0000}"/>
    <cellStyle name="Input 2 5 11 2" xfId="3390" xr:uid="{00000000-0005-0000-0000-00003C0A0000}"/>
    <cellStyle name="Input 2 5 11 3" xfId="5288" xr:uid="{00000000-0005-0000-0000-00003D0A0000}"/>
    <cellStyle name="Input 2 5 12" xfId="999" xr:uid="{00000000-0005-0000-0000-00003E0A0000}"/>
    <cellStyle name="Input 2 5 12 2" xfId="3391" xr:uid="{00000000-0005-0000-0000-00003F0A0000}"/>
    <cellStyle name="Input 2 5 12 3" xfId="5289" xr:uid="{00000000-0005-0000-0000-0000400A0000}"/>
    <cellStyle name="Input 2 5 13" xfId="1000" xr:uid="{00000000-0005-0000-0000-0000410A0000}"/>
    <cellStyle name="Input 2 5 13 2" xfId="3392" xr:uid="{00000000-0005-0000-0000-0000420A0000}"/>
    <cellStyle name="Input 2 5 13 3" xfId="5290" xr:uid="{00000000-0005-0000-0000-0000430A0000}"/>
    <cellStyle name="Input 2 5 14" xfId="1001" xr:uid="{00000000-0005-0000-0000-0000440A0000}"/>
    <cellStyle name="Input 2 5 14 2" xfId="3393" xr:uid="{00000000-0005-0000-0000-0000450A0000}"/>
    <cellStyle name="Input 2 5 14 3" xfId="5291" xr:uid="{00000000-0005-0000-0000-0000460A0000}"/>
    <cellStyle name="Input 2 5 15" xfId="1002" xr:uid="{00000000-0005-0000-0000-0000470A0000}"/>
    <cellStyle name="Input 2 5 15 2" xfId="3394" xr:uid="{00000000-0005-0000-0000-0000480A0000}"/>
    <cellStyle name="Input 2 5 15 3" xfId="5292" xr:uid="{00000000-0005-0000-0000-0000490A0000}"/>
    <cellStyle name="Input 2 5 16" xfId="1003" xr:uid="{00000000-0005-0000-0000-00004A0A0000}"/>
    <cellStyle name="Input 2 5 16 2" xfId="3395" xr:uid="{00000000-0005-0000-0000-00004B0A0000}"/>
    <cellStyle name="Input 2 5 16 3" xfId="5293" xr:uid="{00000000-0005-0000-0000-00004C0A0000}"/>
    <cellStyle name="Input 2 5 17" xfId="1004" xr:uid="{00000000-0005-0000-0000-00004D0A0000}"/>
    <cellStyle name="Input 2 5 17 2" xfId="3396" xr:uid="{00000000-0005-0000-0000-00004E0A0000}"/>
    <cellStyle name="Input 2 5 17 3" xfId="5294" xr:uid="{00000000-0005-0000-0000-00004F0A0000}"/>
    <cellStyle name="Input 2 5 18" xfId="1005" xr:uid="{00000000-0005-0000-0000-0000500A0000}"/>
    <cellStyle name="Input 2 5 18 2" xfId="3397" xr:uid="{00000000-0005-0000-0000-0000510A0000}"/>
    <cellStyle name="Input 2 5 18 3" xfId="5295" xr:uid="{00000000-0005-0000-0000-0000520A0000}"/>
    <cellStyle name="Input 2 5 19" xfId="1006" xr:uid="{00000000-0005-0000-0000-0000530A0000}"/>
    <cellStyle name="Input 2 5 19 2" xfId="3398" xr:uid="{00000000-0005-0000-0000-0000540A0000}"/>
    <cellStyle name="Input 2 5 19 3" xfId="5296" xr:uid="{00000000-0005-0000-0000-0000550A0000}"/>
    <cellStyle name="Input 2 5 2" xfId="1007" xr:uid="{00000000-0005-0000-0000-0000560A0000}"/>
    <cellStyle name="Input 2 5 2 2" xfId="3399" xr:uid="{00000000-0005-0000-0000-0000570A0000}"/>
    <cellStyle name="Input 2 5 2 3" xfId="5297" xr:uid="{00000000-0005-0000-0000-0000580A0000}"/>
    <cellStyle name="Input 2 5 20" xfId="1008" xr:uid="{00000000-0005-0000-0000-0000590A0000}"/>
    <cellStyle name="Input 2 5 20 2" xfId="3400" xr:uid="{00000000-0005-0000-0000-00005A0A0000}"/>
    <cellStyle name="Input 2 5 20 3" xfId="5298" xr:uid="{00000000-0005-0000-0000-00005B0A0000}"/>
    <cellStyle name="Input 2 5 21" xfId="1009" xr:uid="{00000000-0005-0000-0000-00005C0A0000}"/>
    <cellStyle name="Input 2 5 21 2" xfId="3401" xr:uid="{00000000-0005-0000-0000-00005D0A0000}"/>
    <cellStyle name="Input 2 5 21 3" xfId="5299" xr:uid="{00000000-0005-0000-0000-00005E0A0000}"/>
    <cellStyle name="Input 2 5 22" xfId="1010" xr:uid="{00000000-0005-0000-0000-00005F0A0000}"/>
    <cellStyle name="Input 2 5 22 2" xfId="3402" xr:uid="{00000000-0005-0000-0000-0000600A0000}"/>
    <cellStyle name="Input 2 5 22 3" xfId="5300" xr:uid="{00000000-0005-0000-0000-0000610A0000}"/>
    <cellStyle name="Input 2 5 23" xfId="1011" xr:uid="{00000000-0005-0000-0000-0000620A0000}"/>
    <cellStyle name="Input 2 5 23 2" xfId="3403" xr:uid="{00000000-0005-0000-0000-0000630A0000}"/>
    <cellStyle name="Input 2 5 23 3" xfId="5301" xr:uid="{00000000-0005-0000-0000-0000640A0000}"/>
    <cellStyle name="Input 2 5 24" xfId="3388" xr:uid="{00000000-0005-0000-0000-0000650A0000}"/>
    <cellStyle name="Input 2 5 25" xfId="5286" xr:uid="{00000000-0005-0000-0000-0000660A0000}"/>
    <cellStyle name="Input 2 5 3" xfId="1012" xr:uid="{00000000-0005-0000-0000-0000670A0000}"/>
    <cellStyle name="Input 2 5 3 2" xfId="3404" xr:uid="{00000000-0005-0000-0000-0000680A0000}"/>
    <cellStyle name="Input 2 5 3 3" xfId="5302" xr:uid="{00000000-0005-0000-0000-0000690A0000}"/>
    <cellStyle name="Input 2 5 4" xfId="1013" xr:uid="{00000000-0005-0000-0000-00006A0A0000}"/>
    <cellStyle name="Input 2 5 4 2" xfId="3405" xr:uid="{00000000-0005-0000-0000-00006B0A0000}"/>
    <cellStyle name="Input 2 5 4 3" xfId="5303" xr:uid="{00000000-0005-0000-0000-00006C0A0000}"/>
    <cellStyle name="Input 2 5 5" xfId="1014" xr:uid="{00000000-0005-0000-0000-00006D0A0000}"/>
    <cellStyle name="Input 2 5 5 2" xfId="3406" xr:uid="{00000000-0005-0000-0000-00006E0A0000}"/>
    <cellStyle name="Input 2 5 5 3" xfId="5304" xr:uid="{00000000-0005-0000-0000-00006F0A0000}"/>
    <cellStyle name="Input 2 5 6" xfId="1015" xr:uid="{00000000-0005-0000-0000-0000700A0000}"/>
    <cellStyle name="Input 2 5 6 2" xfId="3407" xr:uid="{00000000-0005-0000-0000-0000710A0000}"/>
    <cellStyle name="Input 2 5 6 3" xfId="5305" xr:uid="{00000000-0005-0000-0000-0000720A0000}"/>
    <cellStyle name="Input 2 5 7" xfId="1016" xr:uid="{00000000-0005-0000-0000-0000730A0000}"/>
    <cellStyle name="Input 2 5 7 2" xfId="3408" xr:uid="{00000000-0005-0000-0000-0000740A0000}"/>
    <cellStyle name="Input 2 5 7 3" xfId="5306" xr:uid="{00000000-0005-0000-0000-0000750A0000}"/>
    <cellStyle name="Input 2 5 8" xfId="1017" xr:uid="{00000000-0005-0000-0000-0000760A0000}"/>
    <cellStyle name="Input 2 5 8 2" xfId="3409" xr:uid="{00000000-0005-0000-0000-0000770A0000}"/>
    <cellStyle name="Input 2 5 8 3" xfId="5307" xr:uid="{00000000-0005-0000-0000-0000780A0000}"/>
    <cellStyle name="Input 2 5 9" xfId="1018" xr:uid="{00000000-0005-0000-0000-0000790A0000}"/>
    <cellStyle name="Input 2 5 9 2" xfId="3410" xr:uid="{00000000-0005-0000-0000-00007A0A0000}"/>
    <cellStyle name="Input 2 5 9 3" xfId="5308" xr:uid="{00000000-0005-0000-0000-00007B0A0000}"/>
    <cellStyle name="Input 2 6" xfId="1019" xr:uid="{00000000-0005-0000-0000-00007C0A0000}"/>
    <cellStyle name="Input 2 6 10" xfId="1020" xr:uid="{00000000-0005-0000-0000-00007D0A0000}"/>
    <cellStyle name="Input 2 6 10 2" xfId="3412" xr:uid="{00000000-0005-0000-0000-00007E0A0000}"/>
    <cellStyle name="Input 2 6 10 3" xfId="5310" xr:uid="{00000000-0005-0000-0000-00007F0A0000}"/>
    <cellStyle name="Input 2 6 11" xfId="1021" xr:uid="{00000000-0005-0000-0000-0000800A0000}"/>
    <cellStyle name="Input 2 6 11 2" xfId="3413" xr:uid="{00000000-0005-0000-0000-0000810A0000}"/>
    <cellStyle name="Input 2 6 11 3" xfId="5311" xr:uid="{00000000-0005-0000-0000-0000820A0000}"/>
    <cellStyle name="Input 2 6 12" xfId="1022" xr:uid="{00000000-0005-0000-0000-0000830A0000}"/>
    <cellStyle name="Input 2 6 12 2" xfId="3414" xr:uid="{00000000-0005-0000-0000-0000840A0000}"/>
    <cellStyle name="Input 2 6 12 3" xfId="5312" xr:uid="{00000000-0005-0000-0000-0000850A0000}"/>
    <cellStyle name="Input 2 6 13" xfId="1023" xr:uid="{00000000-0005-0000-0000-0000860A0000}"/>
    <cellStyle name="Input 2 6 13 2" xfId="3415" xr:uid="{00000000-0005-0000-0000-0000870A0000}"/>
    <cellStyle name="Input 2 6 13 3" xfId="5313" xr:uid="{00000000-0005-0000-0000-0000880A0000}"/>
    <cellStyle name="Input 2 6 14" xfId="1024" xr:uid="{00000000-0005-0000-0000-0000890A0000}"/>
    <cellStyle name="Input 2 6 14 2" xfId="3416" xr:uid="{00000000-0005-0000-0000-00008A0A0000}"/>
    <cellStyle name="Input 2 6 14 3" xfId="5314" xr:uid="{00000000-0005-0000-0000-00008B0A0000}"/>
    <cellStyle name="Input 2 6 15" xfId="1025" xr:uid="{00000000-0005-0000-0000-00008C0A0000}"/>
    <cellStyle name="Input 2 6 15 2" xfId="3417" xr:uid="{00000000-0005-0000-0000-00008D0A0000}"/>
    <cellStyle name="Input 2 6 15 3" xfId="5315" xr:uid="{00000000-0005-0000-0000-00008E0A0000}"/>
    <cellStyle name="Input 2 6 16" xfId="1026" xr:uid="{00000000-0005-0000-0000-00008F0A0000}"/>
    <cellStyle name="Input 2 6 16 2" xfId="3418" xr:uid="{00000000-0005-0000-0000-0000900A0000}"/>
    <cellStyle name="Input 2 6 16 3" xfId="5316" xr:uid="{00000000-0005-0000-0000-0000910A0000}"/>
    <cellStyle name="Input 2 6 17" xfId="1027" xr:uid="{00000000-0005-0000-0000-0000920A0000}"/>
    <cellStyle name="Input 2 6 17 2" xfId="3419" xr:uid="{00000000-0005-0000-0000-0000930A0000}"/>
    <cellStyle name="Input 2 6 17 3" xfId="5317" xr:uid="{00000000-0005-0000-0000-0000940A0000}"/>
    <cellStyle name="Input 2 6 18" xfId="1028" xr:uid="{00000000-0005-0000-0000-0000950A0000}"/>
    <cellStyle name="Input 2 6 18 2" xfId="3420" xr:uid="{00000000-0005-0000-0000-0000960A0000}"/>
    <cellStyle name="Input 2 6 18 3" xfId="5318" xr:uid="{00000000-0005-0000-0000-0000970A0000}"/>
    <cellStyle name="Input 2 6 19" xfId="1029" xr:uid="{00000000-0005-0000-0000-0000980A0000}"/>
    <cellStyle name="Input 2 6 19 2" xfId="3421" xr:uid="{00000000-0005-0000-0000-0000990A0000}"/>
    <cellStyle name="Input 2 6 19 3" xfId="5319" xr:uid="{00000000-0005-0000-0000-00009A0A0000}"/>
    <cellStyle name="Input 2 6 2" xfId="1030" xr:uid="{00000000-0005-0000-0000-00009B0A0000}"/>
    <cellStyle name="Input 2 6 2 2" xfId="3422" xr:uid="{00000000-0005-0000-0000-00009C0A0000}"/>
    <cellStyle name="Input 2 6 2 3" xfId="5320" xr:uid="{00000000-0005-0000-0000-00009D0A0000}"/>
    <cellStyle name="Input 2 6 20" xfId="1031" xr:uid="{00000000-0005-0000-0000-00009E0A0000}"/>
    <cellStyle name="Input 2 6 20 2" xfId="3423" xr:uid="{00000000-0005-0000-0000-00009F0A0000}"/>
    <cellStyle name="Input 2 6 20 3" xfId="5321" xr:uid="{00000000-0005-0000-0000-0000A00A0000}"/>
    <cellStyle name="Input 2 6 21" xfId="1032" xr:uid="{00000000-0005-0000-0000-0000A10A0000}"/>
    <cellStyle name="Input 2 6 21 2" xfId="3424" xr:uid="{00000000-0005-0000-0000-0000A20A0000}"/>
    <cellStyle name="Input 2 6 21 3" xfId="5322" xr:uid="{00000000-0005-0000-0000-0000A30A0000}"/>
    <cellStyle name="Input 2 6 22" xfId="1033" xr:uid="{00000000-0005-0000-0000-0000A40A0000}"/>
    <cellStyle name="Input 2 6 22 2" xfId="3425" xr:uid="{00000000-0005-0000-0000-0000A50A0000}"/>
    <cellStyle name="Input 2 6 22 3" xfId="5323" xr:uid="{00000000-0005-0000-0000-0000A60A0000}"/>
    <cellStyle name="Input 2 6 23" xfId="1034" xr:uid="{00000000-0005-0000-0000-0000A70A0000}"/>
    <cellStyle name="Input 2 6 23 2" xfId="3426" xr:uid="{00000000-0005-0000-0000-0000A80A0000}"/>
    <cellStyle name="Input 2 6 23 3" xfId="5324" xr:uid="{00000000-0005-0000-0000-0000A90A0000}"/>
    <cellStyle name="Input 2 6 24" xfId="3411" xr:uid="{00000000-0005-0000-0000-0000AA0A0000}"/>
    <cellStyle name="Input 2 6 25" xfId="5309" xr:uid="{00000000-0005-0000-0000-0000AB0A0000}"/>
    <cellStyle name="Input 2 6 3" xfId="1035" xr:uid="{00000000-0005-0000-0000-0000AC0A0000}"/>
    <cellStyle name="Input 2 6 3 2" xfId="3427" xr:uid="{00000000-0005-0000-0000-0000AD0A0000}"/>
    <cellStyle name="Input 2 6 3 3" xfId="5325" xr:uid="{00000000-0005-0000-0000-0000AE0A0000}"/>
    <cellStyle name="Input 2 6 4" xfId="1036" xr:uid="{00000000-0005-0000-0000-0000AF0A0000}"/>
    <cellStyle name="Input 2 6 4 2" xfId="3428" xr:uid="{00000000-0005-0000-0000-0000B00A0000}"/>
    <cellStyle name="Input 2 6 4 3" xfId="5326" xr:uid="{00000000-0005-0000-0000-0000B10A0000}"/>
    <cellStyle name="Input 2 6 5" xfId="1037" xr:uid="{00000000-0005-0000-0000-0000B20A0000}"/>
    <cellStyle name="Input 2 6 5 2" xfId="3429" xr:uid="{00000000-0005-0000-0000-0000B30A0000}"/>
    <cellStyle name="Input 2 6 5 3" xfId="5327" xr:uid="{00000000-0005-0000-0000-0000B40A0000}"/>
    <cellStyle name="Input 2 6 6" xfId="1038" xr:uid="{00000000-0005-0000-0000-0000B50A0000}"/>
    <cellStyle name="Input 2 6 6 2" xfId="3430" xr:uid="{00000000-0005-0000-0000-0000B60A0000}"/>
    <cellStyle name="Input 2 6 6 3" xfId="5328" xr:uid="{00000000-0005-0000-0000-0000B70A0000}"/>
    <cellStyle name="Input 2 6 7" xfId="1039" xr:uid="{00000000-0005-0000-0000-0000B80A0000}"/>
    <cellStyle name="Input 2 6 7 2" xfId="3431" xr:uid="{00000000-0005-0000-0000-0000B90A0000}"/>
    <cellStyle name="Input 2 6 7 3" xfId="5329" xr:uid="{00000000-0005-0000-0000-0000BA0A0000}"/>
    <cellStyle name="Input 2 6 8" xfId="1040" xr:uid="{00000000-0005-0000-0000-0000BB0A0000}"/>
    <cellStyle name="Input 2 6 8 2" xfId="3432" xr:uid="{00000000-0005-0000-0000-0000BC0A0000}"/>
    <cellStyle name="Input 2 6 8 3" xfId="5330" xr:uid="{00000000-0005-0000-0000-0000BD0A0000}"/>
    <cellStyle name="Input 2 6 9" xfId="1041" xr:uid="{00000000-0005-0000-0000-0000BE0A0000}"/>
    <cellStyle name="Input 2 6 9 2" xfId="3433" xr:uid="{00000000-0005-0000-0000-0000BF0A0000}"/>
    <cellStyle name="Input 2 6 9 3" xfId="5331" xr:uid="{00000000-0005-0000-0000-0000C00A0000}"/>
    <cellStyle name="Input 2 7" xfId="1042" xr:uid="{00000000-0005-0000-0000-0000C10A0000}"/>
    <cellStyle name="Input 2 7 10" xfId="1043" xr:uid="{00000000-0005-0000-0000-0000C20A0000}"/>
    <cellStyle name="Input 2 7 10 2" xfId="3435" xr:uid="{00000000-0005-0000-0000-0000C30A0000}"/>
    <cellStyle name="Input 2 7 10 3" xfId="5333" xr:uid="{00000000-0005-0000-0000-0000C40A0000}"/>
    <cellStyle name="Input 2 7 11" xfId="1044" xr:uid="{00000000-0005-0000-0000-0000C50A0000}"/>
    <cellStyle name="Input 2 7 11 2" xfId="3436" xr:uid="{00000000-0005-0000-0000-0000C60A0000}"/>
    <cellStyle name="Input 2 7 11 3" xfId="5334" xr:uid="{00000000-0005-0000-0000-0000C70A0000}"/>
    <cellStyle name="Input 2 7 12" xfId="1045" xr:uid="{00000000-0005-0000-0000-0000C80A0000}"/>
    <cellStyle name="Input 2 7 12 2" xfId="3437" xr:uid="{00000000-0005-0000-0000-0000C90A0000}"/>
    <cellStyle name="Input 2 7 12 3" xfId="5335" xr:uid="{00000000-0005-0000-0000-0000CA0A0000}"/>
    <cellStyle name="Input 2 7 13" xfId="1046" xr:uid="{00000000-0005-0000-0000-0000CB0A0000}"/>
    <cellStyle name="Input 2 7 13 2" xfId="3438" xr:uid="{00000000-0005-0000-0000-0000CC0A0000}"/>
    <cellStyle name="Input 2 7 13 3" xfId="5336" xr:uid="{00000000-0005-0000-0000-0000CD0A0000}"/>
    <cellStyle name="Input 2 7 14" xfId="1047" xr:uid="{00000000-0005-0000-0000-0000CE0A0000}"/>
    <cellStyle name="Input 2 7 14 2" xfId="3439" xr:uid="{00000000-0005-0000-0000-0000CF0A0000}"/>
    <cellStyle name="Input 2 7 14 3" xfId="5337" xr:uid="{00000000-0005-0000-0000-0000D00A0000}"/>
    <cellStyle name="Input 2 7 15" xfId="1048" xr:uid="{00000000-0005-0000-0000-0000D10A0000}"/>
    <cellStyle name="Input 2 7 15 2" xfId="3440" xr:uid="{00000000-0005-0000-0000-0000D20A0000}"/>
    <cellStyle name="Input 2 7 15 3" xfId="5338" xr:uid="{00000000-0005-0000-0000-0000D30A0000}"/>
    <cellStyle name="Input 2 7 16" xfId="1049" xr:uid="{00000000-0005-0000-0000-0000D40A0000}"/>
    <cellStyle name="Input 2 7 16 2" xfId="3441" xr:uid="{00000000-0005-0000-0000-0000D50A0000}"/>
    <cellStyle name="Input 2 7 16 3" xfId="5339" xr:uid="{00000000-0005-0000-0000-0000D60A0000}"/>
    <cellStyle name="Input 2 7 17" xfId="1050" xr:uid="{00000000-0005-0000-0000-0000D70A0000}"/>
    <cellStyle name="Input 2 7 17 2" xfId="3442" xr:uid="{00000000-0005-0000-0000-0000D80A0000}"/>
    <cellStyle name="Input 2 7 17 3" xfId="5340" xr:uid="{00000000-0005-0000-0000-0000D90A0000}"/>
    <cellStyle name="Input 2 7 18" xfId="1051" xr:uid="{00000000-0005-0000-0000-0000DA0A0000}"/>
    <cellStyle name="Input 2 7 18 2" xfId="3443" xr:uid="{00000000-0005-0000-0000-0000DB0A0000}"/>
    <cellStyle name="Input 2 7 18 3" xfId="5341" xr:uid="{00000000-0005-0000-0000-0000DC0A0000}"/>
    <cellStyle name="Input 2 7 19" xfId="1052" xr:uid="{00000000-0005-0000-0000-0000DD0A0000}"/>
    <cellStyle name="Input 2 7 19 2" xfId="3444" xr:uid="{00000000-0005-0000-0000-0000DE0A0000}"/>
    <cellStyle name="Input 2 7 19 3" xfId="5342" xr:uid="{00000000-0005-0000-0000-0000DF0A0000}"/>
    <cellStyle name="Input 2 7 2" xfId="1053" xr:uid="{00000000-0005-0000-0000-0000E00A0000}"/>
    <cellStyle name="Input 2 7 2 2" xfId="3445" xr:uid="{00000000-0005-0000-0000-0000E10A0000}"/>
    <cellStyle name="Input 2 7 2 3" xfId="5343" xr:uid="{00000000-0005-0000-0000-0000E20A0000}"/>
    <cellStyle name="Input 2 7 20" xfId="1054" xr:uid="{00000000-0005-0000-0000-0000E30A0000}"/>
    <cellStyle name="Input 2 7 20 2" xfId="3446" xr:uid="{00000000-0005-0000-0000-0000E40A0000}"/>
    <cellStyle name="Input 2 7 20 3" xfId="5344" xr:uid="{00000000-0005-0000-0000-0000E50A0000}"/>
    <cellStyle name="Input 2 7 21" xfId="1055" xr:uid="{00000000-0005-0000-0000-0000E60A0000}"/>
    <cellStyle name="Input 2 7 21 2" xfId="3447" xr:uid="{00000000-0005-0000-0000-0000E70A0000}"/>
    <cellStyle name="Input 2 7 21 3" xfId="5345" xr:uid="{00000000-0005-0000-0000-0000E80A0000}"/>
    <cellStyle name="Input 2 7 22" xfId="1056" xr:uid="{00000000-0005-0000-0000-0000E90A0000}"/>
    <cellStyle name="Input 2 7 22 2" xfId="3448" xr:uid="{00000000-0005-0000-0000-0000EA0A0000}"/>
    <cellStyle name="Input 2 7 22 3" xfId="5346" xr:uid="{00000000-0005-0000-0000-0000EB0A0000}"/>
    <cellStyle name="Input 2 7 23" xfId="1057" xr:uid="{00000000-0005-0000-0000-0000EC0A0000}"/>
    <cellStyle name="Input 2 7 23 2" xfId="3449" xr:uid="{00000000-0005-0000-0000-0000ED0A0000}"/>
    <cellStyle name="Input 2 7 23 3" xfId="5347" xr:uid="{00000000-0005-0000-0000-0000EE0A0000}"/>
    <cellStyle name="Input 2 7 24" xfId="3434" xr:uid="{00000000-0005-0000-0000-0000EF0A0000}"/>
    <cellStyle name="Input 2 7 25" xfId="5332" xr:uid="{00000000-0005-0000-0000-0000F00A0000}"/>
    <cellStyle name="Input 2 7 3" xfId="1058" xr:uid="{00000000-0005-0000-0000-0000F10A0000}"/>
    <cellStyle name="Input 2 7 3 2" xfId="3450" xr:uid="{00000000-0005-0000-0000-0000F20A0000}"/>
    <cellStyle name="Input 2 7 3 3" xfId="5348" xr:uid="{00000000-0005-0000-0000-0000F30A0000}"/>
    <cellStyle name="Input 2 7 4" xfId="1059" xr:uid="{00000000-0005-0000-0000-0000F40A0000}"/>
    <cellStyle name="Input 2 7 4 2" xfId="3451" xr:uid="{00000000-0005-0000-0000-0000F50A0000}"/>
    <cellStyle name="Input 2 7 4 3" xfId="5349" xr:uid="{00000000-0005-0000-0000-0000F60A0000}"/>
    <cellStyle name="Input 2 7 5" xfId="1060" xr:uid="{00000000-0005-0000-0000-0000F70A0000}"/>
    <cellStyle name="Input 2 7 5 2" xfId="3452" xr:uid="{00000000-0005-0000-0000-0000F80A0000}"/>
    <cellStyle name="Input 2 7 5 3" xfId="5350" xr:uid="{00000000-0005-0000-0000-0000F90A0000}"/>
    <cellStyle name="Input 2 7 6" xfId="1061" xr:uid="{00000000-0005-0000-0000-0000FA0A0000}"/>
    <cellStyle name="Input 2 7 6 2" xfId="3453" xr:uid="{00000000-0005-0000-0000-0000FB0A0000}"/>
    <cellStyle name="Input 2 7 6 3" xfId="5351" xr:uid="{00000000-0005-0000-0000-0000FC0A0000}"/>
    <cellStyle name="Input 2 7 7" xfId="1062" xr:uid="{00000000-0005-0000-0000-0000FD0A0000}"/>
    <cellStyle name="Input 2 7 7 2" xfId="3454" xr:uid="{00000000-0005-0000-0000-0000FE0A0000}"/>
    <cellStyle name="Input 2 7 7 3" xfId="5352" xr:uid="{00000000-0005-0000-0000-0000FF0A0000}"/>
    <cellStyle name="Input 2 7 8" xfId="1063" xr:uid="{00000000-0005-0000-0000-0000000B0000}"/>
    <cellStyle name="Input 2 7 8 2" xfId="3455" xr:uid="{00000000-0005-0000-0000-0000010B0000}"/>
    <cellStyle name="Input 2 7 8 3" xfId="5353" xr:uid="{00000000-0005-0000-0000-0000020B0000}"/>
    <cellStyle name="Input 2 7 9" xfId="1064" xr:uid="{00000000-0005-0000-0000-0000030B0000}"/>
    <cellStyle name="Input 2 7 9 2" xfId="3456" xr:uid="{00000000-0005-0000-0000-0000040B0000}"/>
    <cellStyle name="Input 2 7 9 3" xfId="5354" xr:uid="{00000000-0005-0000-0000-0000050B0000}"/>
    <cellStyle name="Input 2 8" xfId="1065" xr:uid="{00000000-0005-0000-0000-0000060B0000}"/>
    <cellStyle name="Input 2 8 10" xfId="1066" xr:uid="{00000000-0005-0000-0000-0000070B0000}"/>
    <cellStyle name="Input 2 8 10 2" xfId="3458" xr:uid="{00000000-0005-0000-0000-0000080B0000}"/>
    <cellStyle name="Input 2 8 10 3" xfId="5356" xr:uid="{00000000-0005-0000-0000-0000090B0000}"/>
    <cellStyle name="Input 2 8 11" xfId="1067" xr:uid="{00000000-0005-0000-0000-00000A0B0000}"/>
    <cellStyle name="Input 2 8 11 2" xfId="3459" xr:uid="{00000000-0005-0000-0000-00000B0B0000}"/>
    <cellStyle name="Input 2 8 11 3" xfId="5357" xr:uid="{00000000-0005-0000-0000-00000C0B0000}"/>
    <cellStyle name="Input 2 8 12" xfId="1068" xr:uid="{00000000-0005-0000-0000-00000D0B0000}"/>
    <cellStyle name="Input 2 8 12 2" xfId="3460" xr:uid="{00000000-0005-0000-0000-00000E0B0000}"/>
    <cellStyle name="Input 2 8 12 3" xfId="5358" xr:uid="{00000000-0005-0000-0000-00000F0B0000}"/>
    <cellStyle name="Input 2 8 13" xfId="1069" xr:uid="{00000000-0005-0000-0000-0000100B0000}"/>
    <cellStyle name="Input 2 8 13 2" xfId="3461" xr:uid="{00000000-0005-0000-0000-0000110B0000}"/>
    <cellStyle name="Input 2 8 13 3" xfId="5359" xr:uid="{00000000-0005-0000-0000-0000120B0000}"/>
    <cellStyle name="Input 2 8 14" xfId="1070" xr:uid="{00000000-0005-0000-0000-0000130B0000}"/>
    <cellStyle name="Input 2 8 14 2" xfId="3462" xr:uid="{00000000-0005-0000-0000-0000140B0000}"/>
    <cellStyle name="Input 2 8 14 3" xfId="5360" xr:uid="{00000000-0005-0000-0000-0000150B0000}"/>
    <cellStyle name="Input 2 8 15" xfId="1071" xr:uid="{00000000-0005-0000-0000-0000160B0000}"/>
    <cellStyle name="Input 2 8 15 2" xfId="3463" xr:uid="{00000000-0005-0000-0000-0000170B0000}"/>
    <cellStyle name="Input 2 8 15 3" xfId="5361" xr:uid="{00000000-0005-0000-0000-0000180B0000}"/>
    <cellStyle name="Input 2 8 16" xfId="1072" xr:uid="{00000000-0005-0000-0000-0000190B0000}"/>
    <cellStyle name="Input 2 8 16 2" xfId="3464" xr:uid="{00000000-0005-0000-0000-00001A0B0000}"/>
    <cellStyle name="Input 2 8 16 3" xfId="5362" xr:uid="{00000000-0005-0000-0000-00001B0B0000}"/>
    <cellStyle name="Input 2 8 17" xfId="1073" xr:uid="{00000000-0005-0000-0000-00001C0B0000}"/>
    <cellStyle name="Input 2 8 17 2" xfId="3465" xr:uid="{00000000-0005-0000-0000-00001D0B0000}"/>
    <cellStyle name="Input 2 8 17 3" xfId="5363" xr:uid="{00000000-0005-0000-0000-00001E0B0000}"/>
    <cellStyle name="Input 2 8 18" xfId="1074" xr:uid="{00000000-0005-0000-0000-00001F0B0000}"/>
    <cellStyle name="Input 2 8 18 2" xfId="3466" xr:uid="{00000000-0005-0000-0000-0000200B0000}"/>
    <cellStyle name="Input 2 8 18 3" xfId="5364" xr:uid="{00000000-0005-0000-0000-0000210B0000}"/>
    <cellStyle name="Input 2 8 19" xfId="1075" xr:uid="{00000000-0005-0000-0000-0000220B0000}"/>
    <cellStyle name="Input 2 8 19 2" xfId="3467" xr:uid="{00000000-0005-0000-0000-0000230B0000}"/>
    <cellStyle name="Input 2 8 19 3" xfId="5365" xr:uid="{00000000-0005-0000-0000-0000240B0000}"/>
    <cellStyle name="Input 2 8 2" xfId="1076" xr:uid="{00000000-0005-0000-0000-0000250B0000}"/>
    <cellStyle name="Input 2 8 2 2" xfId="3468" xr:uid="{00000000-0005-0000-0000-0000260B0000}"/>
    <cellStyle name="Input 2 8 2 3" xfId="5366" xr:uid="{00000000-0005-0000-0000-0000270B0000}"/>
    <cellStyle name="Input 2 8 20" xfId="1077" xr:uid="{00000000-0005-0000-0000-0000280B0000}"/>
    <cellStyle name="Input 2 8 20 2" xfId="3469" xr:uid="{00000000-0005-0000-0000-0000290B0000}"/>
    <cellStyle name="Input 2 8 20 3" xfId="5367" xr:uid="{00000000-0005-0000-0000-00002A0B0000}"/>
    <cellStyle name="Input 2 8 21" xfId="1078" xr:uid="{00000000-0005-0000-0000-00002B0B0000}"/>
    <cellStyle name="Input 2 8 21 2" xfId="3470" xr:uid="{00000000-0005-0000-0000-00002C0B0000}"/>
    <cellStyle name="Input 2 8 21 3" xfId="5368" xr:uid="{00000000-0005-0000-0000-00002D0B0000}"/>
    <cellStyle name="Input 2 8 22" xfId="1079" xr:uid="{00000000-0005-0000-0000-00002E0B0000}"/>
    <cellStyle name="Input 2 8 22 2" xfId="3471" xr:uid="{00000000-0005-0000-0000-00002F0B0000}"/>
    <cellStyle name="Input 2 8 22 3" xfId="5369" xr:uid="{00000000-0005-0000-0000-0000300B0000}"/>
    <cellStyle name="Input 2 8 23" xfId="1080" xr:uid="{00000000-0005-0000-0000-0000310B0000}"/>
    <cellStyle name="Input 2 8 23 2" xfId="3472" xr:uid="{00000000-0005-0000-0000-0000320B0000}"/>
    <cellStyle name="Input 2 8 23 3" xfId="5370" xr:uid="{00000000-0005-0000-0000-0000330B0000}"/>
    <cellStyle name="Input 2 8 24" xfId="3457" xr:uid="{00000000-0005-0000-0000-0000340B0000}"/>
    <cellStyle name="Input 2 8 25" xfId="5355" xr:uid="{00000000-0005-0000-0000-0000350B0000}"/>
    <cellStyle name="Input 2 8 3" xfId="1081" xr:uid="{00000000-0005-0000-0000-0000360B0000}"/>
    <cellStyle name="Input 2 8 3 2" xfId="3473" xr:uid="{00000000-0005-0000-0000-0000370B0000}"/>
    <cellStyle name="Input 2 8 3 3" xfId="5371" xr:uid="{00000000-0005-0000-0000-0000380B0000}"/>
    <cellStyle name="Input 2 8 4" xfId="1082" xr:uid="{00000000-0005-0000-0000-0000390B0000}"/>
    <cellStyle name="Input 2 8 4 2" xfId="3474" xr:uid="{00000000-0005-0000-0000-00003A0B0000}"/>
    <cellStyle name="Input 2 8 4 3" xfId="5372" xr:uid="{00000000-0005-0000-0000-00003B0B0000}"/>
    <cellStyle name="Input 2 8 5" xfId="1083" xr:uid="{00000000-0005-0000-0000-00003C0B0000}"/>
    <cellStyle name="Input 2 8 5 2" xfId="3475" xr:uid="{00000000-0005-0000-0000-00003D0B0000}"/>
    <cellStyle name="Input 2 8 5 3" xfId="5373" xr:uid="{00000000-0005-0000-0000-00003E0B0000}"/>
    <cellStyle name="Input 2 8 6" xfId="1084" xr:uid="{00000000-0005-0000-0000-00003F0B0000}"/>
    <cellStyle name="Input 2 8 6 2" xfId="3476" xr:uid="{00000000-0005-0000-0000-0000400B0000}"/>
    <cellStyle name="Input 2 8 6 3" xfId="5374" xr:uid="{00000000-0005-0000-0000-0000410B0000}"/>
    <cellStyle name="Input 2 8 7" xfId="1085" xr:uid="{00000000-0005-0000-0000-0000420B0000}"/>
    <cellStyle name="Input 2 8 7 2" xfId="3477" xr:uid="{00000000-0005-0000-0000-0000430B0000}"/>
    <cellStyle name="Input 2 8 7 3" xfId="5375" xr:uid="{00000000-0005-0000-0000-0000440B0000}"/>
    <cellStyle name="Input 2 8 8" xfId="1086" xr:uid="{00000000-0005-0000-0000-0000450B0000}"/>
    <cellStyle name="Input 2 8 8 2" xfId="3478" xr:uid="{00000000-0005-0000-0000-0000460B0000}"/>
    <cellStyle name="Input 2 8 8 3" xfId="5376" xr:uid="{00000000-0005-0000-0000-0000470B0000}"/>
    <cellStyle name="Input 2 8 9" xfId="1087" xr:uid="{00000000-0005-0000-0000-0000480B0000}"/>
    <cellStyle name="Input 2 8 9 2" xfId="3479" xr:uid="{00000000-0005-0000-0000-0000490B0000}"/>
    <cellStyle name="Input 2 8 9 3" xfId="5377" xr:uid="{00000000-0005-0000-0000-00004A0B0000}"/>
    <cellStyle name="Input 2 9" xfId="1088" xr:uid="{00000000-0005-0000-0000-00004B0B0000}"/>
    <cellStyle name="Input 2 9 10" xfId="1089" xr:uid="{00000000-0005-0000-0000-00004C0B0000}"/>
    <cellStyle name="Input 2 9 10 2" xfId="3481" xr:uid="{00000000-0005-0000-0000-00004D0B0000}"/>
    <cellStyle name="Input 2 9 10 3" xfId="5379" xr:uid="{00000000-0005-0000-0000-00004E0B0000}"/>
    <cellStyle name="Input 2 9 11" xfId="1090" xr:uid="{00000000-0005-0000-0000-00004F0B0000}"/>
    <cellStyle name="Input 2 9 11 2" xfId="3482" xr:uid="{00000000-0005-0000-0000-0000500B0000}"/>
    <cellStyle name="Input 2 9 11 3" xfId="5380" xr:uid="{00000000-0005-0000-0000-0000510B0000}"/>
    <cellStyle name="Input 2 9 12" xfId="1091" xr:uid="{00000000-0005-0000-0000-0000520B0000}"/>
    <cellStyle name="Input 2 9 12 2" xfId="3483" xr:uid="{00000000-0005-0000-0000-0000530B0000}"/>
    <cellStyle name="Input 2 9 12 3" xfId="5381" xr:uid="{00000000-0005-0000-0000-0000540B0000}"/>
    <cellStyle name="Input 2 9 13" xfId="1092" xr:uid="{00000000-0005-0000-0000-0000550B0000}"/>
    <cellStyle name="Input 2 9 13 2" xfId="3484" xr:uid="{00000000-0005-0000-0000-0000560B0000}"/>
    <cellStyle name="Input 2 9 13 3" xfId="5382" xr:uid="{00000000-0005-0000-0000-0000570B0000}"/>
    <cellStyle name="Input 2 9 14" xfId="1093" xr:uid="{00000000-0005-0000-0000-0000580B0000}"/>
    <cellStyle name="Input 2 9 14 2" xfId="3485" xr:uid="{00000000-0005-0000-0000-0000590B0000}"/>
    <cellStyle name="Input 2 9 14 3" xfId="5383" xr:uid="{00000000-0005-0000-0000-00005A0B0000}"/>
    <cellStyle name="Input 2 9 15" xfId="1094" xr:uid="{00000000-0005-0000-0000-00005B0B0000}"/>
    <cellStyle name="Input 2 9 15 2" xfId="3486" xr:uid="{00000000-0005-0000-0000-00005C0B0000}"/>
    <cellStyle name="Input 2 9 15 3" xfId="5384" xr:uid="{00000000-0005-0000-0000-00005D0B0000}"/>
    <cellStyle name="Input 2 9 16" xfId="1095" xr:uid="{00000000-0005-0000-0000-00005E0B0000}"/>
    <cellStyle name="Input 2 9 16 2" xfId="3487" xr:uid="{00000000-0005-0000-0000-00005F0B0000}"/>
    <cellStyle name="Input 2 9 16 3" xfId="5385" xr:uid="{00000000-0005-0000-0000-0000600B0000}"/>
    <cellStyle name="Input 2 9 17" xfId="1096" xr:uid="{00000000-0005-0000-0000-0000610B0000}"/>
    <cellStyle name="Input 2 9 17 2" xfId="3488" xr:uid="{00000000-0005-0000-0000-0000620B0000}"/>
    <cellStyle name="Input 2 9 17 3" xfId="5386" xr:uid="{00000000-0005-0000-0000-0000630B0000}"/>
    <cellStyle name="Input 2 9 18" xfId="1097" xr:uid="{00000000-0005-0000-0000-0000640B0000}"/>
    <cellStyle name="Input 2 9 18 2" xfId="3489" xr:uid="{00000000-0005-0000-0000-0000650B0000}"/>
    <cellStyle name="Input 2 9 18 3" xfId="5387" xr:uid="{00000000-0005-0000-0000-0000660B0000}"/>
    <cellStyle name="Input 2 9 19" xfId="1098" xr:uid="{00000000-0005-0000-0000-0000670B0000}"/>
    <cellStyle name="Input 2 9 19 2" xfId="3490" xr:uid="{00000000-0005-0000-0000-0000680B0000}"/>
    <cellStyle name="Input 2 9 19 3" xfId="5388" xr:uid="{00000000-0005-0000-0000-0000690B0000}"/>
    <cellStyle name="Input 2 9 2" xfId="1099" xr:uid="{00000000-0005-0000-0000-00006A0B0000}"/>
    <cellStyle name="Input 2 9 2 2" xfId="3491" xr:uid="{00000000-0005-0000-0000-00006B0B0000}"/>
    <cellStyle name="Input 2 9 2 3" xfId="5389" xr:uid="{00000000-0005-0000-0000-00006C0B0000}"/>
    <cellStyle name="Input 2 9 20" xfId="1100" xr:uid="{00000000-0005-0000-0000-00006D0B0000}"/>
    <cellStyle name="Input 2 9 20 2" xfId="3492" xr:uid="{00000000-0005-0000-0000-00006E0B0000}"/>
    <cellStyle name="Input 2 9 20 3" xfId="5390" xr:uid="{00000000-0005-0000-0000-00006F0B0000}"/>
    <cellStyle name="Input 2 9 21" xfId="1101" xr:uid="{00000000-0005-0000-0000-0000700B0000}"/>
    <cellStyle name="Input 2 9 21 2" xfId="3493" xr:uid="{00000000-0005-0000-0000-0000710B0000}"/>
    <cellStyle name="Input 2 9 21 3" xfId="5391" xr:uid="{00000000-0005-0000-0000-0000720B0000}"/>
    <cellStyle name="Input 2 9 22" xfId="1102" xr:uid="{00000000-0005-0000-0000-0000730B0000}"/>
    <cellStyle name="Input 2 9 22 2" xfId="3494" xr:uid="{00000000-0005-0000-0000-0000740B0000}"/>
    <cellStyle name="Input 2 9 22 3" xfId="5392" xr:uid="{00000000-0005-0000-0000-0000750B0000}"/>
    <cellStyle name="Input 2 9 23" xfId="1103" xr:uid="{00000000-0005-0000-0000-0000760B0000}"/>
    <cellStyle name="Input 2 9 23 2" xfId="3495" xr:uid="{00000000-0005-0000-0000-0000770B0000}"/>
    <cellStyle name="Input 2 9 23 3" xfId="5393" xr:uid="{00000000-0005-0000-0000-0000780B0000}"/>
    <cellStyle name="Input 2 9 24" xfId="3480" xr:uid="{00000000-0005-0000-0000-0000790B0000}"/>
    <cellStyle name="Input 2 9 25" xfId="5378" xr:uid="{00000000-0005-0000-0000-00007A0B0000}"/>
    <cellStyle name="Input 2 9 3" xfId="1104" xr:uid="{00000000-0005-0000-0000-00007B0B0000}"/>
    <cellStyle name="Input 2 9 3 2" xfId="3496" xr:uid="{00000000-0005-0000-0000-00007C0B0000}"/>
    <cellStyle name="Input 2 9 3 3" xfId="5394" xr:uid="{00000000-0005-0000-0000-00007D0B0000}"/>
    <cellStyle name="Input 2 9 4" xfId="1105" xr:uid="{00000000-0005-0000-0000-00007E0B0000}"/>
    <cellStyle name="Input 2 9 4 2" xfId="3497" xr:uid="{00000000-0005-0000-0000-00007F0B0000}"/>
    <cellStyle name="Input 2 9 4 3" xfId="5395" xr:uid="{00000000-0005-0000-0000-0000800B0000}"/>
    <cellStyle name="Input 2 9 5" xfId="1106" xr:uid="{00000000-0005-0000-0000-0000810B0000}"/>
    <cellStyle name="Input 2 9 5 2" xfId="3498" xr:uid="{00000000-0005-0000-0000-0000820B0000}"/>
    <cellStyle name="Input 2 9 5 3" xfId="5396" xr:uid="{00000000-0005-0000-0000-0000830B0000}"/>
    <cellStyle name="Input 2 9 6" xfId="1107" xr:uid="{00000000-0005-0000-0000-0000840B0000}"/>
    <cellStyle name="Input 2 9 6 2" xfId="3499" xr:uid="{00000000-0005-0000-0000-0000850B0000}"/>
    <cellStyle name="Input 2 9 6 3" xfId="5397" xr:uid="{00000000-0005-0000-0000-0000860B0000}"/>
    <cellStyle name="Input 2 9 7" xfId="1108" xr:uid="{00000000-0005-0000-0000-0000870B0000}"/>
    <cellStyle name="Input 2 9 7 2" xfId="3500" xr:uid="{00000000-0005-0000-0000-0000880B0000}"/>
    <cellStyle name="Input 2 9 7 3" xfId="5398" xr:uid="{00000000-0005-0000-0000-0000890B0000}"/>
    <cellStyle name="Input 2 9 8" xfId="1109" xr:uid="{00000000-0005-0000-0000-00008A0B0000}"/>
    <cellStyle name="Input 2 9 8 2" xfId="3501" xr:uid="{00000000-0005-0000-0000-00008B0B0000}"/>
    <cellStyle name="Input 2 9 8 3" xfId="5399" xr:uid="{00000000-0005-0000-0000-00008C0B0000}"/>
    <cellStyle name="Input 2 9 9" xfId="1110" xr:uid="{00000000-0005-0000-0000-00008D0B0000}"/>
    <cellStyle name="Input 2 9 9 2" xfId="3502" xr:uid="{00000000-0005-0000-0000-00008E0B0000}"/>
    <cellStyle name="Input 2 9 9 3" xfId="5400" xr:uid="{00000000-0005-0000-0000-00008F0B0000}"/>
    <cellStyle name="Input 3" xfId="4750" xr:uid="{00000000-0005-0000-0000-0000900B0000}"/>
    <cellStyle name="Input 4" xfId="2485" xr:uid="{00000000-0005-0000-0000-0000910B0000}"/>
    <cellStyle name="Input 5" xfId="4728" xr:uid="{00000000-0005-0000-0000-0000920B0000}"/>
    <cellStyle name="Komórka połączona" xfId="1111" xr:uid="{00000000-0005-0000-0000-0000930B0000}"/>
    <cellStyle name="Komórka zaznaczona" xfId="1112" xr:uid="{00000000-0005-0000-0000-0000940B0000}"/>
    <cellStyle name="LineItemPrompt" xfId="40" xr:uid="{00000000-0005-0000-0000-0000950B0000}"/>
    <cellStyle name="LineItemValue" xfId="41" xr:uid="{00000000-0005-0000-0000-0000960B0000}"/>
    <cellStyle name="Linked Cell" xfId="42" builtinId="24" customBuiltin="1"/>
    <cellStyle name="Linked Cell 2" xfId="1113" xr:uid="{00000000-0005-0000-0000-0000980B0000}"/>
    <cellStyle name="Linked Cell 3" xfId="4753" xr:uid="{00000000-0005-0000-0000-0000990B0000}"/>
    <cellStyle name="Nagłówek 1" xfId="1114" xr:uid="{00000000-0005-0000-0000-00009A0B0000}"/>
    <cellStyle name="Nagłówek 2" xfId="1115" xr:uid="{00000000-0005-0000-0000-00009B0B0000}"/>
    <cellStyle name="Nagłówek 3" xfId="1116" xr:uid="{00000000-0005-0000-0000-00009C0B0000}"/>
    <cellStyle name="Nagłówek 3 2" xfId="1117" xr:uid="{00000000-0005-0000-0000-00009D0B0000}"/>
    <cellStyle name="Nagłówek 3 2 2" xfId="1118" xr:uid="{00000000-0005-0000-0000-00009E0B0000}"/>
    <cellStyle name="Nagłówek 3 2 3" xfId="1119" xr:uid="{00000000-0005-0000-0000-00009F0B0000}"/>
    <cellStyle name="Nagłówek 3 2 4" xfId="1120" xr:uid="{00000000-0005-0000-0000-0000A00B0000}"/>
    <cellStyle name="Nagłówek 3 2 5" xfId="1121" xr:uid="{00000000-0005-0000-0000-0000A10B0000}"/>
    <cellStyle name="Nagłówek 3 2 6" xfId="1122" xr:uid="{00000000-0005-0000-0000-0000A20B0000}"/>
    <cellStyle name="Nagłówek 3 2 7" xfId="1123" xr:uid="{00000000-0005-0000-0000-0000A30B0000}"/>
    <cellStyle name="Nagłówek 3 3" xfId="1124" xr:uid="{00000000-0005-0000-0000-0000A40B0000}"/>
    <cellStyle name="Nagłówek 3 4" xfId="1125" xr:uid="{00000000-0005-0000-0000-0000A50B0000}"/>
    <cellStyle name="Nagłówek 3 5" xfId="1126" xr:uid="{00000000-0005-0000-0000-0000A60B0000}"/>
    <cellStyle name="Nagłówek 3 6" xfId="1127" xr:uid="{00000000-0005-0000-0000-0000A70B0000}"/>
    <cellStyle name="Nagłówek 3 7" xfId="1128" xr:uid="{00000000-0005-0000-0000-0000A80B0000}"/>
    <cellStyle name="Nagłówek 3 8" xfId="1129" xr:uid="{00000000-0005-0000-0000-0000A90B0000}"/>
    <cellStyle name="Nagłówek 4" xfId="1130" xr:uid="{00000000-0005-0000-0000-0000AA0B0000}"/>
    <cellStyle name="Neutral" xfId="43" builtinId="28" customBuiltin="1"/>
    <cellStyle name="Neutral 2" xfId="1131" xr:uid="{00000000-0005-0000-0000-0000AC0B0000}"/>
    <cellStyle name="Neutral 2 2" xfId="1132" xr:uid="{00000000-0005-0000-0000-0000AD0B0000}"/>
    <cellStyle name="Neutral 3" xfId="4749" xr:uid="{00000000-0005-0000-0000-0000AE0B0000}"/>
    <cellStyle name="Neutralne" xfId="1133" xr:uid="{00000000-0005-0000-0000-0000AF0B0000}"/>
    <cellStyle name="Normal" xfId="0" builtinId="0"/>
    <cellStyle name="Normal 10" xfId="1134" xr:uid="{00000000-0005-0000-0000-0000B10B0000}"/>
    <cellStyle name="Normal 10 2" xfId="1135" xr:uid="{00000000-0005-0000-0000-0000B20B0000}"/>
    <cellStyle name="Normal 11" xfId="1136" xr:uid="{00000000-0005-0000-0000-0000B30B0000}"/>
    <cellStyle name="Normal 12" xfId="1137" xr:uid="{00000000-0005-0000-0000-0000B40B0000}"/>
    <cellStyle name="Normal 13" xfId="2423" xr:uid="{00000000-0005-0000-0000-0000B50B0000}"/>
    <cellStyle name="Normal 14" xfId="4734" xr:uid="{00000000-0005-0000-0000-0000B60B0000}"/>
    <cellStyle name="Normal 15" xfId="4736" xr:uid="{00000000-0005-0000-0000-0000B70B0000}"/>
    <cellStyle name="Normal 2" xfId="44" xr:uid="{00000000-0005-0000-0000-0000B80B0000}"/>
    <cellStyle name="Normal 2 2" xfId="82" xr:uid="{00000000-0005-0000-0000-0000B90B0000}"/>
    <cellStyle name="Normal 2 2 2" xfId="1138" xr:uid="{00000000-0005-0000-0000-0000BA0B0000}"/>
    <cellStyle name="Normal 2 2 3" xfId="2379" xr:uid="{00000000-0005-0000-0000-0000BB0B0000}"/>
    <cellStyle name="Normal 2 3" xfId="1139" xr:uid="{00000000-0005-0000-0000-0000BC0B0000}"/>
    <cellStyle name="Normal 2 3 2" xfId="6749" xr:uid="{00000000-0005-0000-0000-0000BD0B0000}"/>
    <cellStyle name="Normal 21" xfId="75" xr:uid="{00000000-0005-0000-0000-0000BE0B0000}"/>
    <cellStyle name="Normal 21 2" xfId="2491" xr:uid="{00000000-0005-0000-0000-0000BF0B0000}"/>
    <cellStyle name="Normal 23" xfId="83" xr:uid="{00000000-0005-0000-0000-0000C00B0000}"/>
    <cellStyle name="Normal 23 2" xfId="2498" xr:uid="{00000000-0005-0000-0000-0000C10B0000}"/>
    <cellStyle name="Normal 3" xfId="72" xr:uid="{00000000-0005-0000-0000-0000C20B0000}"/>
    <cellStyle name="Normal 3 2" xfId="95" xr:uid="{00000000-0005-0000-0000-0000C30B0000}"/>
    <cellStyle name="Normal 3 2 2" xfId="1140" xr:uid="{00000000-0005-0000-0000-0000C40B0000}"/>
    <cellStyle name="Normal 3 2 3" xfId="2380" xr:uid="{00000000-0005-0000-0000-0000C50B0000}"/>
    <cellStyle name="Normal 3 3" xfId="1141" xr:uid="{00000000-0005-0000-0000-0000C60B0000}"/>
    <cellStyle name="Normal 3 3 2" xfId="6750" xr:uid="{00000000-0005-0000-0000-0000C70B0000}"/>
    <cellStyle name="Normal 3 4" xfId="1142" xr:uid="{00000000-0005-0000-0000-0000C80B0000}"/>
    <cellStyle name="Normal 3 5" xfId="2376" xr:uid="{00000000-0005-0000-0000-0000C90B0000}"/>
    <cellStyle name="Normal 3 5 2" xfId="4723" xr:uid="{00000000-0005-0000-0000-0000CA0B0000}"/>
    <cellStyle name="Normal 4" xfId="84" xr:uid="{00000000-0005-0000-0000-0000CB0B0000}"/>
    <cellStyle name="Normal 4 2" xfId="1143" xr:uid="{00000000-0005-0000-0000-0000CC0B0000}"/>
    <cellStyle name="Normal 5" xfId="85" xr:uid="{00000000-0005-0000-0000-0000CD0B0000}"/>
    <cellStyle name="Normal 5 2" xfId="1144" xr:uid="{00000000-0005-0000-0000-0000CE0B0000}"/>
    <cellStyle name="Normal 5 2 2" xfId="6751" xr:uid="{00000000-0005-0000-0000-0000CF0B0000}"/>
    <cellStyle name="Normal 5 3" xfId="2499" xr:uid="{00000000-0005-0000-0000-0000D00B0000}"/>
    <cellStyle name="Normal 6" xfId="86" xr:uid="{00000000-0005-0000-0000-0000D10B0000}"/>
    <cellStyle name="Normal 6 2" xfId="2500" xr:uid="{00000000-0005-0000-0000-0000D20B0000}"/>
    <cellStyle name="Normal 7" xfId="87" xr:uid="{00000000-0005-0000-0000-0000D30B0000}"/>
    <cellStyle name="Normal 7 2" xfId="1145" xr:uid="{00000000-0005-0000-0000-0000D40B0000}"/>
    <cellStyle name="Normal 7 2 2" xfId="6752" xr:uid="{00000000-0005-0000-0000-0000D50B0000}"/>
    <cellStyle name="Normal 7 3" xfId="2501" xr:uid="{00000000-0005-0000-0000-0000D60B0000}"/>
    <cellStyle name="Normal 8" xfId="94" xr:uid="{00000000-0005-0000-0000-0000D70B0000}"/>
    <cellStyle name="Normal 8 2" xfId="2447" xr:uid="{00000000-0005-0000-0000-0000D80B0000}"/>
    <cellStyle name="Normal 9" xfId="1146" xr:uid="{00000000-0005-0000-0000-0000D90B0000}"/>
    <cellStyle name="Normal_Funding by District" xfId="45" xr:uid="{00000000-0005-0000-0000-0000DA0B0000}"/>
    <cellStyle name="Note" xfId="46" builtinId="10" customBuiltin="1"/>
    <cellStyle name="Note 2" xfId="1147" xr:uid="{00000000-0005-0000-0000-0000DC0B0000}"/>
    <cellStyle name="Note 2 10" xfId="1148" xr:uid="{00000000-0005-0000-0000-0000DD0B0000}"/>
    <cellStyle name="Note 2 10 10" xfId="1149" xr:uid="{00000000-0005-0000-0000-0000DE0B0000}"/>
    <cellStyle name="Note 2 10 10 2" xfId="3505" xr:uid="{00000000-0005-0000-0000-0000DF0B0000}"/>
    <cellStyle name="Note 2 10 10 3" xfId="5403" xr:uid="{00000000-0005-0000-0000-0000E00B0000}"/>
    <cellStyle name="Note 2 10 11" xfId="1150" xr:uid="{00000000-0005-0000-0000-0000E10B0000}"/>
    <cellStyle name="Note 2 10 11 2" xfId="3506" xr:uid="{00000000-0005-0000-0000-0000E20B0000}"/>
    <cellStyle name="Note 2 10 11 3" xfId="5404" xr:uid="{00000000-0005-0000-0000-0000E30B0000}"/>
    <cellStyle name="Note 2 10 12" xfId="1151" xr:uid="{00000000-0005-0000-0000-0000E40B0000}"/>
    <cellStyle name="Note 2 10 12 2" xfId="3507" xr:uid="{00000000-0005-0000-0000-0000E50B0000}"/>
    <cellStyle name="Note 2 10 12 3" xfId="5405" xr:uid="{00000000-0005-0000-0000-0000E60B0000}"/>
    <cellStyle name="Note 2 10 13" xfId="1152" xr:uid="{00000000-0005-0000-0000-0000E70B0000}"/>
    <cellStyle name="Note 2 10 13 2" xfId="3508" xr:uid="{00000000-0005-0000-0000-0000E80B0000}"/>
    <cellStyle name="Note 2 10 13 3" xfId="5406" xr:uid="{00000000-0005-0000-0000-0000E90B0000}"/>
    <cellStyle name="Note 2 10 14" xfId="1153" xr:uid="{00000000-0005-0000-0000-0000EA0B0000}"/>
    <cellStyle name="Note 2 10 14 2" xfId="3509" xr:uid="{00000000-0005-0000-0000-0000EB0B0000}"/>
    <cellStyle name="Note 2 10 14 3" xfId="5407" xr:uid="{00000000-0005-0000-0000-0000EC0B0000}"/>
    <cellStyle name="Note 2 10 15" xfId="1154" xr:uid="{00000000-0005-0000-0000-0000ED0B0000}"/>
    <cellStyle name="Note 2 10 15 2" xfId="3510" xr:uid="{00000000-0005-0000-0000-0000EE0B0000}"/>
    <cellStyle name="Note 2 10 15 3" xfId="5408" xr:uid="{00000000-0005-0000-0000-0000EF0B0000}"/>
    <cellStyle name="Note 2 10 16" xfId="1155" xr:uid="{00000000-0005-0000-0000-0000F00B0000}"/>
    <cellStyle name="Note 2 10 16 2" xfId="3511" xr:uid="{00000000-0005-0000-0000-0000F10B0000}"/>
    <cellStyle name="Note 2 10 16 3" xfId="5409" xr:uid="{00000000-0005-0000-0000-0000F20B0000}"/>
    <cellStyle name="Note 2 10 17" xfId="1156" xr:uid="{00000000-0005-0000-0000-0000F30B0000}"/>
    <cellStyle name="Note 2 10 17 2" xfId="3512" xr:uid="{00000000-0005-0000-0000-0000F40B0000}"/>
    <cellStyle name="Note 2 10 17 3" xfId="5410" xr:uid="{00000000-0005-0000-0000-0000F50B0000}"/>
    <cellStyle name="Note 2 10 18" xfId="1157" xr:uid="{00000000-0005-0000-0000-0000F60B0000}"/>
    <cellStyle name="Note 2 10 18 2" xfId="3513" xr:uid="{00000000-0005-0000-0000-0000F70B0000}"/>
    <cellStyle name="Note 2 10 18 3" xfId="5411" xr:uid="{00000000-0005-0000-0000-0000F80B0000}"/>
    <cellStyle name="Note 2 10 19" xfId="1158" xr:uid="{00000000-0005-0000-0000-0000F90B0000}"/>
    <cellStyle name="Note 2 10 19 2" xfId="3514" xr:uid="{00000000-0005-0000-0000-0000FA0B0000}"/>
    <cellStyle name="Note 2 10 19 3" xfId="5412" xr:uid="{00000000-0005-0000-0000-0000FB0B0000}"/>
    <cellStyle name="Note 2 10 2" xfId="1159" xr:uid="{00000000-0005-0000-0000-0000FC0B0000}"/>
    <cellStyle name="Note 2 10 2 2" xfId="3515" xr:uid="{00000000-0005-0000-0000-0000FD0B0000}"/>
    <cellStyle name="Note 2 10 2 3" xfId="5413" xr:uid="{00000000-0005-0000-0000-0000FE0B0000}"/>
    <cellStyle name="Note 2 10 20" xfId="1160" xr:uid="{00000000-0005-0000-0000-0000FF0B0000}"/>
    <cellStyle name="Note 2 10 20 2" xfId="3516" xr:uid="{00000000-0005-0000-0000-0000000C0000}"/>
    <cellStyle name="Note 2 10 20 3" xfId="5414" xr:uid="{00000000-0005-0000-0000-0000010C0000}"/>
    <cellStyle name="Note 2 10 21" xfId="1161" xr:uid="{00000000-0005-0000-0000-0000020C0000}"/>
    <cellStyle name="Note 2 10 21 2" xfId="3517" xr:uid="{00000000-0005-0000-0000-0000030C0000}"/>
    <cellStyle name="Note 2 10 21 3" xfId="5415" xr:uid="{00000000-0005-0000-0000-0000040C0000}"/>
    <cellStyle name="Note 2 10 22" xfId="1162" xr:uid="{00000000-0005-0000-0000-0000050C0000}"/>
    <cellStyle name="Note 2 10 22 2" xfId="3518" xr:uid="{00000000-0005-0000-0000-0000060C0000}"/>
    <cellStyle name="Note 2 10 22 3" xfId="5416" xr:uid="{00000000-0005-0000-0000-0000070C0000}"/>
    <cellStyle name="Note 2 10 23" xfId="1163" xr:uid="{00000000-0005-0000-0000-0000080C0000}"/>
    <cellStyle name="Note 2 10 23 2" xfId="3519" xr:uid="{00000000-0005-0000-0000-0000090C0000}"/>
    <cellStyle name="Note 2 10 23 3" xfId="5417" xr:uid="{00000000-0005-0000-0000-00000A0C0000}"/>
    <cellStyle name="Note 2 10 24" xfId="3504" xr:uid="{00000000-0005-0000-0000-00000B0C0000}"/>
    <cellStyle name="Note 2 10 25" xfId="5402" xr:uid="{00000000-0005-0000-0000-00000C0C0000}"/>
    <cellStyle name="Note 2 10 3" xfId="1164" xr:uid="{00000000-0005-0000-0000-00000D0C0000}"/>
    <cellStyle name="Note 2 10 3 2" xfId="3520" xr:uid="{00000000-0005-0000-0000-00000E0C0000}"/>
    <cellStyle name="Note 2 10 3 3" xfId="5418" xr:uid="{00000000-0005-0000-0000-00000F0C0000}"/>
    <cellStyle name="Note 2 10 4" xfId="1165" xr:uid="{00000000-0005-0000-0000-0000100C0000}"/>
    <cellStyle name="Note 2 10 4 2" xfId="3521" xr:uid="{00000000-0005-0000-0000-0000110C0000}"/>
    <cellStyle name="Note 2 10 4 3" xfId="5419" xr:uid="{00000000-0005-0000-0000-0000120C0000}"/>
    <cellStyle name="Note 2 10 5" xfId="1166" xr:uid="{00000000-0005-0000-0000-0000130C0000}"/>
    <cellStyle name="Note 2 10 5 2" xfId="3522" xr:uid="{00000000-0005-0000-0000-0000140C0000}"/>
    <cellStyle name="Note 2 10 5 3" xfId="5420" xr:uid="{00000000-0005-0000-0000-0000150C0000}"/>
    <cellStyle name="Note 2 10 6" xfId="1167" xr:uid="{00000000-0005-0000-0000-0000160C0000}"/>
    <cellStyle name="Note 2 10 6 2" xfId="3523" xr:uid="{00000000-0005-0000-0000-0000170C0000}"/>
    <cellStyle name="Note 2 10 6 3" xfId="5421" xr:uid="{00000000-0005-0000-0000-0000180C0000}"/>
    <cellStyle name="Note 2 10 7" xfId="1168" xr:uid="{00000000-0005-0000-0000-0000190C0000}"/>
    <cellStyle name="Note 2 10 7 2" xfId="3524" xr:uid="{00000000-0005-0000-0000-00001A0C0000}"/>
    <cellStyle name="Note 2 10 7 3" xfId="5422" xr:uid="{00000000-0005-0000-0000-00001B0C0000}"/>
    <cellStyle name="Note 2 10 8" xfId="1169" xr:uid="{00000000-0005-0000-0000-00001C0C0000}"/>
    <cellStyle name="Note 2 10 8 2" xfId="3525" xr:uid="{00000000-0005-0000-0000-00001D0C0000}"/>
    <cellStyle name="Note 2 10 8 3" xfId="5423" xr:uid="{00000000-0005-0000-0000-00001E0C0000}"/>
    <cellStyle name="Note 2 10 9" xfId="1170" xr:uid="{00000000-0005-0000-0000-00001F0C0000}"/>
    <cellStyle name="Note 2 10 9 2" xfId="3526" xr:uid="{00000000-0005-0000-0000-0000200C0000}"/>
    <cellStyle name="Note 2 10 9 3" xfId="5424" xr:uid="{00000000-0005-0000-0000-0000210C0000}"/>
    <cellStyle name="Note 2 11" xfId="1171" xr:uid="{00000000-0005-0000-0000-0000220C0000}"/>
    <cellStyle name="Note 2 11 10" xfId="1172" xr:uid="{00000000-0005-0000-0000-0000230C0000}"/>
    <cellStyle name="Note 2 11 10 2" xfId="3528" xr:uid="{00000000-0005-0000-0000-0000240C0000}"/>
    <cellStyle name="Note 2 11 10 3" xfId="5426" xr:uid="{00000000-0005-0000-0000-0000250C0000}"/>
    <cellStyle name="Note 2 11 11" xfId="1173" xr:uid="{00000000-0005-0000-0000-0000260C0000}"/>
    <cellStyle name="Note 2 11 11 2" xfId="3529" xr:uid="{00000000-0005-0000-0000-0000270C0000}"/>
    <cellStyle name="Note 2 11 11 3" xfId="5427" xr:uid="{00000000-0005-0000-0000-0000280C0000}"/>
    <cellStyle name="Note 2 11 12" xfId="1174" xr:uid="{00000000-0005-0000-0000-0000290C0000}"/>
    <cellStyle name="Note 2 11 12 2" xfId="3530" xr:uid="{00000000-0005-0000-0000-00002A0C0000}"/>
    <cellStyle name="Note 2 11 12 3" xfId="5428" xr:uid="{00000000-0005-0000-0000-00002B0C0000}"/>
    <cellStyle name="Note 2 11 13" xfId="1175" xr:uid="{00000000-0005-0000-0000-00002C0C0000}"/>
    <cellStyle name="Note 2 11 13 2" xfId="3531" xr:uid="{00000000-0005-0000-0000-00002D0C0000}"/>
    <cellStyle name="Note 2 11 13 3" xfId="5429" xr:uid="{00000000-0005-0000-0000-00002E0C0000}"/>
    <cellStyle name="Note 2 11 14" xfId="1176" xr:uid="{00000000-0005-0000-0000-00002F0C0000}"/>
    <cellStyle name="Note 2 11 14 2" xfId="3532" xr:uid="{00000000-0005-0000-0000-0000300C0000}"/>
    <cellStyle name="Note 2 11 14 3" xfId="5430" xr:uid="{00000000-0005-0000-0000-0000310C0000}"/>
    <cellStyle name="Note 2 11 15" xfId="1177" xr:uid="{00000000-0005-0000-0000-0000320C0000}"/>
    <cellStyle name="Note 2 11 15 2" xfId="3533" xr:uid="{00000000-0005-0000-0000-0000330C0000}"/>
    <cellStyle name="Note 2 11 15 3" xfId="5431" xr:uid="{00000000-0005-0000-0000-0000340C0000}"/>
    <cellStyle name="Note 2 11 16" xfId="1178" xr:uid="{00000000-0005-0000-0000-0000350C0000}"/>
    <cellStyle name="Note 2 11 16 2" xfId="3534" xr:uid="{00000000-0005-0000-0000-0000360C0000}"/>
    <cellStyle name="Note 2 11 16 3" xfId="5432" xr:uid="{00000000-0005-0000-0000-0000370C0000}"/>
    <cellStyle name="Note 2 11 17" xfId="1179" xr:uid="{00000000-0005-0000-0000-0000380C0000}"/>
    <cellStyle name="Note 2 11 17 2" xfId="3535" xr:uid="{00000000-0005-0000-0000-0000390C0000}"/>
    <cellStyle name="Note 2 11 17 3" xfId="5433" xr:uid="{00000000-0005-0000-0000-00003A0C0000}"/>
    <cellStyle name="Note 2 11 18" xfId="1180" xr:uid="{00000000-0005-0000-0000-00003B0C0000}"/>
    <cellStyle name="Note 2 11 18 2" xfId="3536" xr:uid="{00000000-0005-0000-0000-00003C0C0000}"/>
    <cellStyle name="Note 2 11 18 3" xfId="5434" xr:uid="{00000000-0005-0000-0000-00003D0C0000}"/>
    <cellStyle name="Note 2 11 19" xfId="1181" xr:uid="{00000000-0005-0000-0000-00003E0C0000}"/>
    <cellStyle name="Note 2 11 19 2" xfId="3537" xr:uid="{00000000-0005-0000-0000-00003F0C0000}"/>
    <cellStyle name="Note 2 11 19 3" xfId="5435" xr:uid="{00000000-0005-0000-0000-0000400C0000}"/>
    <cellStyle name="Note 2 11 2" xfId="1182" xr:uid="{00000000-0005-0000-0000-0000410C0000}"/>
    <cellStyle name="Note 2 11 2 2" xfId="3538" xr:uid="{00000000-0005-0000-0000-0000420C0000}"/>
    <cellStyle name="Note 2 11 2 3" xfId="5436" xr:uid="{00000000-0005-0000-0000-0000430C0000}"/>
    <cellStyle name="Note 2 11 20" xfId="1183" xr:uid="{00000000-0005-0000-0000-0000440C0000}"/>
    <cellStyle name="Note 2 11 20 2" xfId="3539" xr:uid="{00000000-0005-0000-0000-0000450C0000}"/>
    <cellStyle name="Note 2 11 20 3" xfId="5437" xr:uid="{00000000-0005-0000-0000-0000460C0000}"/>
    <cellStyle name="Note 2 11 21" xfId="1184" xr:uid="{00000000-0005-0000-0000-0000470C0000}"/>
    <cellStyle name="Note 2 11 21 2" xfId="3540" xr:uid="{00000000-0005-0000-0000-0000480C0000}"/>
    <cellStyle name="Note 2 11 21 3" xfId="5438" xr:uid="{00000000-0005-0000-0000-0000490C0000}"/>
    <cellStyle name="Note 2 11 22" xfId="1185" xr:uid="{00000000-0005-0000-0000-00004A0C0000}"/>
    <cellStyle name="Note 2 11 22 2" xfId="3541" xr:uid="{00000000-0005-0000-0000-00004B0C0000}"/>
    <cellStyle name="Note 2 11 22 3" xfId="5439" xr:uid="{00000000-0005-0000-0000-00004C0C0000}"/>
    <cellStyle name="Note 2 11 23" xfId="1186" xr:uid="{00000000-0005-0000-0000-00004D0C0000}"/>
    <cellStyle name="Note 2 11 23 2" xfId="3542" xr:uid="{00000000-0005-0000-0000-00004E0C0000}"/>
    <cellStyle name="Note 2 11 23 3" xfId="5440" xr:uid="{00000000-0005-0000-0000-00004F0C0000}"/>
    <cellStyle name="Note 2 11 24" xfId="3527" xr:uid="{00000000-0005-0000-0000-0000500C0000}"/>
    <cellStyle name="Note 2 11 25" xfId="5425" xr:uid="{00000000-0005-0000-0000-0000510C0000}"/>
    <cellStyle name="Note 2 11 3" xfId="1187" xr:uid="{00000000-0005-0000-0000-0000520C0000}"/>
    <cellStyle name="Note 2 11 3 2" xfId="3543" xr:uid="{00000000-0005-0000-0000-0000530C0000}"/>
    <cellStyle name="Note 2 11 3 3" xfId="5441" xr:uid="{00000000-0005-0000-0000-0000540C0000}"/>
    <cellStyle name="Note 2 11 4" xfId="1188" xr:uid="{00000000-0005-0000-0000-0000550C0000}"/>
    <cellStyle name="Note 2 11 4 2" xfId="3544" xr:uid="{00000000-0005-0000-0000-0000560C0000}"/>
    <cellStyle name="Note 2 11 4 3" xfId="5442" xr:uid="{00000000-0005-0000-0000-0000570C0000}"/>
    <cellStyle name="Note 2 11 5" xfId="1189" xr:uid="{00000000-0005-0000-0000-0000580C0000}"/>
    <cellStyle name="Note 2 11 5 2" xfId="3545" xr:uid="{00000000-0005-0000-0000-0000590C0000}"/>
    <cellStyle name="Note 2 11 5 3" xfId="5443" xr:uid="{00000000-0005-0000-0000-00005A0C0000}"/>
    <cellStyle name="Note 2 11 6" xfId="1190" xr:uid="{00000000-0005-0000-0000-00005B0C0000}"/>
    <cellStyle name="Note 2 11 6 2" xfId="3546" xr:uid="{00000000-0005-0000-0000-00005C0C0000}"/>
    <cellStyle name="Note 2 11 6 3" xfId="5444" xr:uid="{00000000-0005-0000-0000-00005D0C0000}"/>
    <cellStyle name="Note 2 11 7" xfId="1191" xr:uid="{00000000-0005-0000-0000-00005E0C0000}"/>
    <cellStyle name="Note 2 11 7 2" xfId="3547" xr:uid="{00000000-0005-0000-0000-00005F0C0000}"/>
    <cellStyle name="Note 2 11 7 3" xfId="5445" xr:uid="{00000000-0005-0000-0000-0000600C0000}"/>
    <cellStyle name="Note 2 11 8" xfId="1192" xr:uid="{00000000-0005-0000-0000-0000610C0000}"/>
    <cellStyle name="Note 2 11 8 2" xfId="3548" xr:uid="{00000000-0005-0000-0000-0000620C0000}"/>
    <cellStyle name="Note 2 11 8 3" xfId="5446" xr:uid="{00000000-0005-0000-0000-0000630C0000}"/>
    <cellStyle name="Note 2 11 9" xfId="1193" xr:uid="{00000000-0005-0000-0000-0000640C0000}"/>
    <cellStyle name="Note 2 11 9 2" xfId="3549" xr:uid="{00000000-0005-0000-0000-0000650C0000}"/>
    <cellStyle name="Note 2 11 9 3" xfId="5447" xr:uid="{00000000-0005-0000-0000-0000660C0000}"/>
    <cellStyle name="Note 2 12" xfId="1194" xr:uid="{00000000-0005-0000-0000-0000670C0000}"/>
    <cellStyle name="Note 2 12 10" xfId="1195" xr:uid="{00000000-0005-0000-0000-0000680C0000}"/>
    <cellStyle name="Note 2 12 10 2" xfId="3551" xr:uid="{00000000-0005-0000-0000-0000690C0000}"/>
    <cellStyle name="Note 2 12 10 3" xfId="5449" xr:uid="{00000000-0005-0000-0000-00006A0C0000}"/>
    <cellStyle name="Note 2 12 11" xfId="1196" xr:uid="{00000000-0005-0000-0000-00006B0C0000}"/>
    <cellStyle name="Note 2 12 11 2" xfId="3552" xr:uid="{00000000-0005-0000-0000-00006C0C0000}"/>
    <cellStyle name="Note 2 12 11 3" xfId="5450" xr:uid="{00000000-0005-0000-0000-00006D0C0000}"/>
    <cellStyle name="Note 2 12 12" xfId="1197" xr:uid="{00000000-0005-0000-0000-00006E0C0000}"/>
    <cellStyle name="Note 2 12 12 2" xfId="3553" xr:uid="{00000000-0005-0000-0000-00006F0C0000}"/>
    <cellStyle name="Note 2 12 12 3" xfId="5451" xr:uid="{00000000-0005-0000-0000-0000700C0000}"/>
    <cellStyle name="Note 2 12 13" xfId="1198" xr:uid="{00000000-0005-0000-0000-0000710C0000}"/>
    <cellStyle name="Note 2 12 13 2" xfId="3554" xr:uid="{00000000-0005-0000-0000-0000720C0000}"/>
    <cellStyle name="Note 2 12 13 3" xfId="5452" xr:uid="{00000000-0005-0000-0000-0000730C0000}"/>
    <cellStyle name="Note 2 12 14" xfId="1199" xr:uid="{00000000-0005-0000-0000-0000740C0000}"/>
    <cellStyle name="Note 2 12 14 2" xfId="3555" xr:uid="{00000000-0005-0000-0000-0000750C0000}"/>
    <cellStyle name="Note 2 12 14 3" xfId="5453" xr:uid="{00000000-0005-0000-0000-0000760C0000}"/>
    <cellStyle name="Note 2 12 15" xfId="1200" xr:uid="{00000000-0005-0000-0000-0000770C0000}"/>
    <cellStyle name="Note 2 12 15 2" xfId="3556" xr:uid="{00000000-0005-0000-0000-0000780C0000}"/>
    <cellStyle name="Note 2 12 15 3" xfId="5454" xr:uid="{00000000-0005-0000-0000-0000790C0000}"/>
    <cellStyle name="Note 2 12 16" xfId="1201" xr:uid="{00000000-0005-0000-0000-00007A0C0000}"/>
    <cellStyle name="Note 2 12 16 2" xfId="3557" xr:uid="{00000000-0005-0000-0000-00007B0C0000}"/>
    <cellStyle name="Note 2 12 16 3" xfId="5455" xr:uid="{00000000-0005-0000-0000-00007C0C0000}"/>
    <cellStyle name="Note 2 12 17" xfId="1202" xr:uid="{00000000-0005-0000-0000-00007D0C0000}"/>
    <cellStyle name="Note 2 12 17 2" xfId="3558" xr:uid="{00000000-0005-0000-0000-00007E0C0000}"/>
    <cellStyle name="Note 2 12 17 3" xfId="5456" xr:uid="{00000000-0005-0000-0000-00007F0C0000}"/>
    <cellStyle name="Note 2 12 18" xfId="1203" xr:uid="{00000000-0005-0000-0000-0000800C0000}"/>
    <cellStyle name="Note 2 12 18 2" xfId="3559" xr:uid="{00000000-0005-0000-0000-0000810C0000}"/>
    <cellStyle name="Note 2 12 18 3" xfId="5457" xr:uid="{00000000-0005-0000-0000-0000820C0000}"/>
    <cellStyle name="Note 2 12 19" xfId="1204" xr:uid="{00000000-0005-0000-0000-0000830C0000}"/>
    <cellStyle name="Note 2 12 19 2" xfId="3560" xr:uid="{00000000-0005-0000-0000-0000840C0000}"/>
    <cellStyle name="Note 2 12 19 3" xfId="5458" xr:uid="{00000000-0005-0000-0000-0000850C0000}"/>
    <cellStyle name="Note 2 12 2" xfId="1205" xr:uid="{00000000-0005-0000-0000-0000860C0000}"/>
    <cellStyle name="Note 2 12 2 2" xfId="3561" xr:uid="{00000000-0005-0000-0000-0000870C0000}"/>
    <cellStyle name="Note 2 12 2 3" xfId="5459" xr:uid="{00000000-0005-0000-0000-0000880C0000}"/>
    <cellStyle name="Note 2 12 20" xfId="1206" xr:uid="{00000000-0005-0000-0000-0000890C0000}"/>
    <cellStyle name="Note 2 12 20 2" xfId="3562" xr:uid="{00000000-0005-0000-0000-00008A0C0000}"/>
    <cellStyle name="Note 2 12 20 3" xfId="5460" xr:uid="{00000000-0005-0000-0000-00008B0C0000}"/>
    <cellStyle name="Note 2 12 21" xfId="1207" xr:uid="{00000000-0005-0000-0000-00008C0C0000}"/>
    <cellStyle name="Note 2 12 21 2" xfId="3563" xr:uid="{00000000-0005-0000-0000-00008D0C0000}"/>
    <cellStyle name="Note 2 12 21 3" xfId="5461" xr:uid="{00000000-0005-0000-0000-00008E0C0000}"/>
    <cellStyle name="Note 2 12 22" xfId="1208" xr:uid="{00000000-0005-0000-0000-00008F0C0000}"/>
    <cellStyle name="Note 2 12 22 2" xfId="3564" xr:uid="{00000000-0005-0000-0000-0000900C0000}"/>
    <cellStyle name="Note 2 12 22 3" xfId="5462" xr:uid="{00000000-0005-0000-0000-0000910C0000}"/>
    <cellStyle name="Note 2 12 23" xfId="1209" xr:uid="{00000000-0005-0000-0000-0000920C0000}"/>
    <cellStyle name="Note 2 12 23 2" xfId="3565" xr:uid="{00000000-0005-0000-0000-0000930C0000}"/>
    <cellStyle name="Note 2 12 23 3" xfId="5463" xr:uid="{00000000-0005-0000-0000-0000940C0000}"/>
    <cellStyle name="Note 2 12 24" xfId="3550" xr:uid="{00000000-0005-0000-0000-0000950C0000}"/>
    <cellStyle name="Note 2 12 25" xfId="5448" xr:uid="{00000000-0005-0000-0000-0000960C0000}"/>
    <cellStyle name="Note 2 12 3" xfId="1210" xr:uid="{00000000-0005-0000-0000-0000970C0000}"/>
    <cellStyle name="Note 2 12 3 2" xfId="3566" xr:uid="{00000000-0005-0000-0000-0000980C0000}"/>
    <cellStyle name="Note 2 12 3 3" xfId="5464" xr:uid="{00000000-0005-0000-0000-0000990C0000}"/>
    <cellStyle name="Note 2 12 4" xfId="1211" xr:uid="{00000000-0005-0000-0000-00009A0C0000}"/>
    <cellStyle name="Note 2 12 4 2" xfId="3567" xr:uid="{00000000-0005-0000-0000-00009B0C0000}"/>
    <cellStyle name="Note 2 12 4 3" xfId="5465" xr:uid="{00000000-0005-0000-0000-00009C0C0000}"/>
    <cellStyle name="Note 2 12 5" xfId="1212" xr:uid="{00000000-0005-0000-0000-00009D0C0000}"/>
    <cellStyle name="Note 2 12 5 2" xfId="3568" xr:uid="{00000000-0005-0000-0000-00009E0C0000}"/>
    <cellStyle name="Note 2 12 5 3" xfId="5466" xr:uid="{00000000-0005-0000-0000-00009F0C0000}"/>
    <cellStyle name="Note 2 12 6" xfId="1213" xr:uid="{00000000-0005-0000-0000-0000A00C0000}"/>
    <cellStyle name="Note 2 12 6 2" xfId="3569" xr:uid="{00000000-0005-0000-0000-0000A10C0000}"/>
    <cellStyle name="Note 2 12 6 3" xfId="5467" xr:uid="{00000000-0005-0000-0000-0000A20C0000}"/>
    <cellStyle name="Note 2 12 7" xfId="1214" xr:uid="{00000000-0005-0000-0000-0000A30C0000}"/>
    <cellStyle name="Note 2 12 7 2" xfId="3570" xr:uid="{00000000-0005-0000-0000-0000A40C0000}"/>
    <cellStyle name="Note 2 12 7 3" xfId="5468" xr:uid="{00000000-0005-0000-0000-0000A50C0000}"/>
    <cellStyle name="Note 2 12 8" xfId="1215" xr:uid="{00000000-0005-0000-0000-0000A60C0000}"/>
    <cellStyle name="Note 2 12 8 2" xfId="3571" xr:uid="{00000000-0005-0000-0000-0000A70C0000}"/>
    <cellStyle name="Note 2 12 8 3" xfId="5469" xr:uid="{00000000-0005-0000-0000-0000A80C0000}"/>
    <cellStyle name="Note 2 12 9" xfId="1216" xr:uid="{00000000-0005-0000-0000-0000A90C0000}"/>
    <cellStyle name="Note 2 12 9 2" xfId="3572" xr:uid="{00000000-0005-0000-0000-0000AA0C0000}"/>
    <cellStyle name="Note 2 12 9 3" xfId="5470" xr:uid="{00000000-0005-0000-0000-0000AB0C0000}"/>
    <cellStyle name="Note 2 13" xfId="1217" xr:uid="{00000000-0005-0000-0000-0000AC0C0000}"/>
    <cellStyle name="Note 2 13 10" xfId="1218" xr:uid="{00000000-0005-0000-0000-0000AD0C0000}"/>
    <cellStyle name="Note 2 13 10 2" xfId="3574" xr:uid="{00000000-0005-0000-0000-0000AE0C0000}"/>
    <cellStyle name="Note 2 13 10 3" xfId="5472" xr:uid="{00000000-0005-0000-0000-0000AF0C0000}"/>
    <cellStyle name="Note 2 13 11" xfId="1219" xr:uid="{00000000-0005-0000-0000-0000B00C0000}"/>
    <cellStyle name="Note 2 13 11 2" xfId="3575" xr:uid="{00000000-0005-0000-0000-0000B10C0000}"/>
    <cellStyle name="Note 2 13 11 3" xfId="5473" xr:uid="{00000000-0005-0000-0000-0000B20C0000}"/>
    <cellStyle name="Note 2 13 12" xfId="1220" xr:uid="{00000000-0005-0000-0000-0000B30C0000}"/>
    <cellStyle name="Note 2 13 12 2" xfId="3576" xr:uid="{00000000-0005-0000-0000-0000B40C0000}"/>
    <cellStyle name="Note 2 13 12 3" xfId="5474" xr:uid="{00000000-0005-0000-0000-0000B50C0000}"/>
    <cellStyle name="Note 2 13 13" xfId="1221" xr:uid="{00000000-0005-0000-0000-0000B60C0000}"/>
    <cellStyle name="Note 2 13 13 2" xfId="3577" xr:uid="{00000000-0005-0000-0000-0000B70C0000}"/>
    <cellStyle name="Note 2 13 13 3" xfId="5475" xr:uid="{00000000-0005-0000-0000-0000B80C0000}"/>
    <cellStyle name="Note 2 13 14" xfId="1222" xr:uid="{00000000-0005-0000-0000-0000B90C0000}"/>
    <cellStyle name="Note 2 13 14 2" xfId="3578" xr:uid="{00000000-0005-0000-0000-0000BA0C0000}"/>
    <cellStyle name="Note 2 13 14 3" xfId="5476" xr:uid="{00000000-0005-0000-0000-0000BB0C0000}"/>
    <cellStyle name="Note 2 13 15" xfId="1223" xr:uid="{00000000-0005-0000-0000-0000BC0C0000}"/>
    <cellStyle name="Note 2 13 15 2" xfId="3579" xr:uid="{00000000-0005-0000-0000-0000BD0C0000}"/>
    <cellStyle name="Note 2 13 15 3" xfId="5477" xr:uid="{00000000-0005-0000-0000-0000BE0C0000}"/>
    <cellStyle name="Note 2 13 16" xfId="1224" xr:uid="{00000000-0005-0000-0000-0000BF0C0000}"/>
    <cellStyle name="Note 2 13 16 2" xfId="3580" xr:uid="{00000000-0005-0000-0000-0000C00C0000}"/>
    <cellStyle name="Note 2 13 16 3" xfId="5478" xr:uid="{00000000-0005-0000-0000-0000C10C0000}"/>
    <cellStyle name="Note 2 13 17" xfId="1225" xr:uid="{00000000-0005-0000-0000-0000C20C0000}"/>
    <cellStyle name="Note 2 13 17 2" xfId="3581" xr:uid="{00000000-0005-0000-0000-0000C30C0000}"/>
    <cellStyle name="Note 2 13 17 3" xfId="5479" xr:uid="{00000000-0005-0000-0000-0000C40C0000}"/>
    <cellStyle name="Note 2 13 18" xfId="1226" xr:uid="{00000000-0005-0000-0000-0000C50C0000}"/>
    <cellStyle name="Note 2 13 18 2" xfId="3582" xr:uid="{00000000-0005-0000-0000-0000C60C0000}"/>
    <cellStyle name="Note 2 13 18 3" xfId="5480" xr:uid="{00000000-0005-0000-0000-0000C70C0000}"/>
    <cellStyle name="Note 2 13 19" xfId="1227" xr:uid="{00000000-0005-0000-0000-0000C80C0000}"/>
    <cellStyle name="Note 2 13 19 2" xfId="3583" xr:uid="{00000000-0005-0000-0000-0000C90C0000}"/>
    <cellStyle name="Note 2 13 19 3" xfId="5481" xr:uid="{00000000-0005-0000-0000-0000CA0C0000}"/>
    <cellStyle name="Note 2 13 2" xfId="1228" xr:uid="{00000000-0005-0000-0000-0000CB0C0000}"/>
    <cellStyle name="Note 2 13 2 2" xfId="3584" xr:uid="{00000000-0005-0000-0000-0000CC0C0000}"/>
    <cellStyle name="Note 2 13 2 3" xfId="5482" xr:uid="{00000000-0005-0000-0000-0000CD0C0000}"/>
    <cellStyle name="Note 2 13 20" xfId="1229" xr:uid="{00000000-0005-0000-0000-0000CE0C0000}"/>
    <cellStyle name="Note 2 13 20 2" xfId="3585" xr:uid="{00000000-0005-0000-0000-0000CF0C0000}"/>
    <cellStyle name="Note 2 13 20 3" xfId="5483" xr:uid="{00000000-0005-0000-0000-0000D00C0000}"/>
    <cellStyle name="Note 2 13 21" xfId="1230" xr:uid="{00000000-0005-0000-0000-0000D10C0000}"/>
    <cellStyle name="Note 2 13 21 2" xfId="3586" xr:uid="{00000000-0005-0000-0000-0000D20C0000}"/>
    <cellStyle name="Note 2 13 21 3" xfId="5484" xr:uid="{00000000-0005-0000-0000-0000D30C0000}"/>
    <cellStyle name="Note 2 13 22" xfId="1231" xr:uid="{00000000-0005-0000-0000-0000D40C0000}"/>
    <cellStyle name="Note 2 13 22 2" xfId="3587" xr:uid="{00000000-0005-0000-0000-0000D50C0000}"/>
    <cellStyle name="Note 2 13 22 3" xfId="5485" xr:uid="{00000000-0005-0000-0000-0000D60C0000}"/>
    <cellStyle name="Note 2 13 23" xfId="1232" xr:uid="{00000000-0005-0000-0000-0000D70C0000}"/>
    <cellStyle name="Note 2 13 23 2" xfId="3588" xr:uid="{00000000-0005-0000-0000-0000D80C0000}"/>
    <cellStyle name="Note 2 13 23 3" xfId="5486" xr:uid="{00000000-0005-0000-0000-0000D90C0000}"/>
    <cellStyle name="Note 2 13 24" xfId="3573" xr:uid="{00000000-0005-0000-0000-0000DA0C0000}"/>
    <cellStyle name="Note 2 13 25" xfId="5471" xr:uid="{00000000-0005-0000-0000-0000DB0C0000}"/>
    <cellStyle name="Note 2 13 3" xfId="1233" xr:uid="{00000000-0005-0000-0000-0000DC0C0000}"/>
    <cellStyle name="Note 2 13 3 2" xfId="3589" xr:uid="{00000000-0005-0000-0000-0000DD0C0000}"/>
    <cellStyle name="Note 2 13 3 3" xfId="5487" xr:uid="{00000000-0005-0000-0000-0000DE0C0000}"/>
    <cellStyle name="Note 2 13 4" xfId="1234" xr:uid="{00000000-0005-0000-0000-0000DF0C0000}"/>
    <cellStyle name="Note 2 13 4 2" xfId="3590" xr:uid="{00000000-0005-0000-0000-0000E00C0000}"/>
    <cellStyle name="Note 2 13 4 3" xfId="5488" xr:uid="{00000000-0005-0000-0000-0000E10C0000}"/>
    <cellStyle name="Note 2 13 5" xfId="1235" xr:uid="{00000000-0005-0000-0000-0000E20C0000}"/>
    <cellStyle name="Note 2 13 5 2" xfId="3591" xr:uid="{00000000-0005-0000-0000-0000E30C0000}"/>
    <cellStyle name="Note 2 13 5 3" xfId="5489" xr:uid="{00000000-0005-0000-0000-0000E40C0000}"/>
    <cellStyle name="Note 2 13 6" xfId="1236" xr:uid="{00000000-0005-0000-0000-0000E50C0000}"/>
    <cellStyle name="Note 2 13 6 2" xfId="3592" xr:uid="{00000000-0005-0000-0000-0000E60C0000}"/>
    <cellStyle name="Note 2 13 6 3" xfId="5490" xr:uid="{00000000-0005-0000-0000-0000E70C0000}"/>
    <cellStyle name="Note 2 13 7" xfId="1237" xr:uid="{00000000-0005-0000-0000-0000E80C0000}"/>
    <cellStyle name="Note 2 13 7 2" xfId="3593" xr:uid="{00000000-0005-0000-0000-0000E90C0000}"/>
    <cellStyle name="Note 2 13 7 3" xfId="5491" xr:uid="{00000000-0005-0000-0000-0000EA0C0000}"/>
    <cellStyle name="Note 2 13 8" xfId="1238" xr:uid="{00000000-0005-0000-0000-0000EB0C0000}"/>
    <cellStyle name="Note 2 13 8 2" xfId="3594" xr:uid="{00000000-0005-0000-0000-0000EC0C0000}"/>
    <cellStyle name="Note 2 13 8 3" xfId="5492" xr:uid="{00000000-0005-0000-0000-0000ED0C0000}"/>
    <cellStyle name="Note 2 13 9" xfId="1239" xr:uid="{00000000-0005-0000-0000-0000EE0C0000}"/>
    <cellStyle name="Note 2 13 9 2" xfId="3595" xr:uid="{00000000-0005-0000-0000-0000EF0C0000}"/>
    <cellStyle name="Note 2 13 9 3" xfId="5493" xr:uid="{00000000-0005-0000-0000-0000F00C0000}"/>
    <cellStyle name="Note 2 14" xfId="1240" xr:uid="{00000000-0005-0000-0000-0000F10C0000}"/>
    <cellStyle name="Note 2 14 10" xfId="1241" xr:uid="{00000000-0005-0000-0000-0000F20C0000}"/>
    <cellStyle name="Note 2 14 10 2" xfId="3597" xr:uid="{00000000-0005-0000-0000-0000F30C0000}"/>
    <cellStyle name="Note 2 14 10 3" xfId="5495" xr:uid="{00000000-0005-0000-0000-0000F40C0000}"/>
    <cellStyle name="Note 2 14 11" xfId="1242" xr:uid="{00000000-0005-0000-0000-0000F50C0000}"/>
    <cellStyle name="Note 2 14 11 2" xfId="3598" xr:uid="{00000000-0005-0000-0000-0000F60C0000}"/>
    <cellStyle name="Note 2 14 11 3" xfId="5496" xr:uid="{00000000-0005-0000-0000-0000F70C0000}"/>
    <cellStyle name="Note 2 14 12" xfId="1243" xr:uid="{00000000-0005-0000-0000-0000F80C0000}"/>
    <cellStyle name="Note 2 14 12 2" xfId="3599" xr:uid="{00000000-0005-0000-0000-0000F90C0000}"/>
    <cellStyle name="Note 2 14 12 3" xfId="5497" xr:uid="{00000000-0005-0000-0000-0000FA0C0000}"/>
    <cellStyle name="Note 2 14 13" xfId="1244" xr:uid="{00000000-0005-0000-0000-0000FB0C0000}"/>
    <cellStyle name="Note 2 14 13 2" xfId="3600" xr:uid="{00000000-0005-0000-0000-0000FC0C0000}"/>
    <cellStyle name="Note 2 14 13 3" xfId="5498" xr:uid="{00000000-0005-0000-0000-0000FD0C0000}"/>
    <cellStyle name="Note 2 14 14" xfId="1245" xr:uid="{00000000-0005-0000-0000-0000FE0C0000}"/>
    <cellStyle name="Note 2 14 14 2" xfId="3601" xr:uid="{00000000-0005-0000-0000-0000FF0C0000}"/>
    <cellStyle name="Note 2 14 14 3" xfId="5499" xr:uid="{00000000-0005-0000-0000-0000000D0000}"/>
    <cellStyle name="Note 2 14 15" xfId="1246" xr:uid="{00000000-0005-0000-0000-0000010D0000}"/>
    <cellStyle name="Note 2 14 15 2" xfId="3602" xr:uid="{00000000-0005-0000-0000-0000020D0000}"/>
    <cellStyle name="Note 2 14 15 3" xfId="5500" xr:uid="{00000000-0005-0000-0000-0000030D0000}"/>
    <cellStyle name="Note 2 14 16" xfId="1247" xr:uid="{00000000-0005-0000-0000-0000040D0000}"/>
    <cellStyle name="Note 2 14 16 2" xfId="3603" xr:uid="{00000000-0005-0000-0000-0000050D0000}"/>
    <cellStyle name="Note 2 14 16 3" xfId="5501" xr:uid="{00000000-0005-0000-0000-0000060D0000}"/>
    <cellStyle name="Note 2 14 17" xfId="1248" xr:uid="{00000000-0005-0000-0000-0000070D0000}"/>
    <cellStyle name="Note 2 14 17 2" xfId="3604" xr:uid="{00000000-0005-0000-0000-0000080D0000}"/>
    <cellStyle name="Note 2 14 17 3" xfId="5502" xr:uid="{00000000-0005-0000-0000-0000090D0000}"/>
    <cellStyle name="Note 2 14 18" xfId="1249" xr:uid="{00000000-0005-0000-0000-00000A0D0000}"/>
    <cellStyle name="Note 2 14 18 2" xfId="3605" xr:uid="{00000000-0005-0000-0000-00000B0D0000}"/>
    <cellStyle name="Note 2 14 18 3" xfId="5503" xr:uid="{00000000-0005-0000-0000-00000C0D0000}"/>
    <cellStyle name="Note 2 14 19" xfId="1250" xr:uid="{00000000-0005-0000-0000-00000D0D0000}"/>
    <cellStyle name="Note 2 14 19 2" xfId="3606" xr:uid="{00000000-0005-0000-0000-00000E0D0000}"/>
    <cellStyle name="Note 2 14 19 3" xfId="5504" xr:uid="{00000000-0005-0000-0000-00000F0D0000}"/>
    <cellStyle name="Note 2 14 2" xfId="1251" xr:uid="{00000000-0005-0000-0000-0000100D0000}"/>
    <cellStyle name="Note 2 14 2 2" xfId="3607" xr:uid="{00000000-0005-0000-0000-0000110D0000}"/>
    <cellStyle name="Note 2 14 2 3" xfId="5505" xr:uid="{00000000-0005-0000-0000-0000120D0000}"/>
    <cellStyle name="Note 2 14 20" xfId="1252" xr:uid="{00000000-0005-0000-0000-0000130D0000}"/>
    <cellStyle name="Note 2 14 20 2" xfId="3608" xr:uid="{00000000-0005-0000-0000-0000140D0000}"/>
    <cellStyle name="Note 2 14 20 3" xfId="5506" xr:uid="{00000000-0005-0000-0000-0000150D0000}"/>
    <cellStyle name="Note 2 14 21" xfId="1253" xr:uid="{00000000-0005-0000-0000-0000160D0000}"/>
    <cellStyle name="Note 2 14 21 2" xfId="3609" xr:uid="{00000000-0005-0000-0000-0000170D0000}"/>
    <cellStyle name="Note 2 14 21 3" xfId="5507" xr:uid="{00000000-0005-0000-0000-0000180D0000}"/>
    <cellStyle name="Note 2 14 22" xfId="1254" xr:uid="{00000000-0005-0000-0000-0000190D0000}"/>
    <cellStyle name="Note 2 14 22 2" xfId="3610" xr:uid="{00000000-0005-0000-0000-00001A0D0000}"/>
    <cellStyle name="Note 2 14 22 3" xfId="5508" xr:uid="{00000000-0005-0000-0000-00001B0D0000}"/>
    <cellStyle name="Note 2 14 23" xfId="1255" xr:uid="{00000000-0005-0000-0000-00001C0D0000}"/>
    <cellStyle name="Note 2 14 23 2" xfId="3611" xr:uid="{00000000-0005-0000-0000-00001D0D0000}"/>
    <cellStyle name="Note 2 14 23 3" xfId="5509" xr:uid="{00000000-0005-0000-0000-00001E0D0000}"/>
    <cellStyle name="Note 2 14 24" xfId="3596" xr:uid="{00000000-0005-0000-0000-00001F0D0000}"/>
    <cellStyle name="Note 2 14 25" xfId="5494" xr:uid="{00000000-0005-0000-0000-0000200D0000}"/>
    <cellStyle name="Note 2 14 3" xfId="1256" xr:uid="{00000000-0005-0000-0000-0000210D0000}"/>
    <cellStyle name="Note 2 14 3 2" xfId="3612" xr:uid="{00000000-0005-0000-0000-0000220D0000}"/>
    <cellStyle name="Note 2 14 3 3" xfId="5510" xr:uid="{00000000-0005-0000-0000-0000230D0000}"/>
    <cellStyle name="Note 2 14 4" xfId="1257" xr:uid="{00000000-0005-0000-0000-0000240D0000}"/>
    <cellStyle name="Note 2 14 4 2" xfId="3613" xr:uid="{00000000-0005-0000-0000-0000250D0000}"/>
    <cellStyle name="Note 2 14 4 3" xfId="5511" xr:uid="{00000000-0005-0000-0000-0000260D0000}"/>
    <cellStyle name="Note 2 14 5" xfId="1258" xr:uid="{00000000-0005-0000-0000-0000270D0000}"/>
    <cellStyle name="Note 2 14 5 2" xfId="3614" xr:uid="{00000000-0005-0000-0000-0000280D0000}"/>
    <cellStyle name="Note 2 14 5 3" xfId="5512" xr:uid="{00000000-0005-0000-0000-0000290D0000}"/>
    <cellStyle name="Note 2 14 6" xfId="1259" xr:uid="{00000000-0005-0000-0000-00002A0D0000}"/>
    <cellStyle name="Note 2 14 6 2" xfId="3615" xr:uid="{00000000-0005-0000-0000-00002B0D0000}"/>
    <cellStyle name="Note 2 14 6 3" xfId="5513" xr:uid="{00000000-0005-0000-0000-00002C0D0000}"/>
    <cellStyle name="Note 2 14 7" xfId="1260" xr:uid="{00000000-0005-0000-0000-00002D0D0000}"/>
    <cellStyle name="Note 2 14 7 2" xfId="3616" xr:uid="{00000000-0005-0000-0000-00002E0D0000}"/>
    <cellStyle name="Note 2 14 7 3" xfId="5514" xr:uid="{00000000-0005-0000-0000-00002F0D0000}"/>
    <cellStyle name="Note 2 14 8" xfId="1261" xr:uid="{00000000-0005-0000-0000-0000300D0000}"/>
    <cellStyle name="Note 2 14 8 2" xfId="3617" xr:uid="{00000000-0005-0000-0000-0000310D0000}"/>
    <cellStyle name="Note 2 14 8 3" xfId="5515" xr:uid="{00000000-0005-0000-0000-0000320D0000}"/>
    <cellStyle name="Note 2 14 9" xfId="1262" xr:uid="{00000000-0005-0000-0000-0000330D0000}"/>
    <cellStyle name="Note 2 14 9 2" xfId="3618" xr:uid="{00000000-0005-0000-0000-0000340D0000}"/>
    <cellStyle name="Note 2 14 9 3" xfId="5516" xr:uid="{00000000-0005-0000-0000-0000350D0000}"/>
    <cellStyle name="Note 2 15" xfId="1263" xr:uid="{00000000-0005-0000-0000-0000360D0000}"/>
    <cellStyle name="Note 2 15 10" xfId="1264" xr:uid="{00000000-0005-0000-0000-0000370D0000}"/>
    <cellStyle name="Note 2 15 10 2" xfId="3620" xr:uid="{00000000-0005-0000-0000-0000380D0000}"/>
    <cellStyle name="Note 2 15 10 3" xfId="5518" xr:uid="{00000000-0005-0000-0000-0000390D0000}"/>
    <cellStyle name="Note 2 15 11" xfId="1265" xr:uid="{00000000-0005-0000-0000-00003A0D0000}"/>
    <cellStyle name="Note 2 15 11 2" xfId="3621" xr:uid="{00000000-0005-0000-0000-00003B0D0000}"/>
    <cellStyle name="Note 2 15 11 3" xfId="5519" xr:uid="{00000000-0005-0000-0000-00003C0D0000}"/>
    <cellStyle name="Note 2 15 12" xfId="1266" xr:uid="{00000000-0005-0000-0000-00003D0D0000}"/>
    <cellStyle name="Note 2 15 12 2" xfId="3622" xr:uid="{00000000-0005-0000-0000-00003E0D0000}"/>
    <cellStyle name="Note 2 15 12 3" xfId="5520" xr:uid="{00000000-0005-0000-0000-00003F0D0000}"/>
    <cellStyle name="Note 2 15 13" xfId="1267" xr:uid="{00000000-0005-0000-0000-0000400D0000}"/>
    <cellStyle name="Note 2 15 13 2" xfId="3623" xr:uid="{00000000-0005-0000-0000-0000410D0000}"/>
    <cellStyle name="Note 2 15 13 3" xfId="5521" xr:uid="{00000000-0005-0000-0000-0000420D0000}"/>
    <cellStyle name="Note 2 15 14" xfId="1268" xr:uid="{00000000-0005-0000-0000-0000430D0000}"/>
    <cellStyle name="Note 2 15 14 2" xfId="3624" xr:uid="{00000000-0005-0000-0000-0000440D0000}"/>
    <cellStyle name="Note 2 15 14 3" xfId="5522" xr:uid="{00000000-0005-0000-0000-0000450D0000}"/>
    <cellStyle name="Note 2 15 15" xfId="1269" xr:uid="{00000000-0005-0000-0000-0000460D0000}"/>
    <cellStyle name="Note 2 15 15 2" xfId="3625" xr:uid="{00000000-0005-0000-0000-0000470D0000}"/>
    <cellStyle name="Note 2 15 15 3" xfId="5523" xr:uid="{00000000-0005-0000-0000-0000480D0000}"/>
    <cellStyle name="Note 2 15 16" xfId="1270" xr:uid="{00000000-0005-0000-0000-0000490D0000}"/>
    <cellStyle name="Note 2 15 16 2" xfId="3626" xr:uid="{00000000-0005-0000-0000-00004A0D0000}"/>
    <cellStyle name="Note 2 15 16 3" xfId="5524" xr:uid="{00000000-0005-0000-0000-00004B0D0000}"/>
    <cellStyle name="Note 2 15 17" xfId="1271" xr:uid="{00000000-0005-0000-0000-00004C0D0000}"/>
    <cellStyle name="Note 2 15 17 2" xfId="3627" xr:uid="{00000000-0005-0000-0000-00004D0D0000}"/>
    <cellStyle name="Note 2 15 17 3" xfId="5525" xr:uid="{00000000-0005-0000-0000-00004E0D0000}"/>
    <cellStyle name="Note 2 15 18" xfId="1272" xr:uid="{00000000-0005-0000-0000-00004F0D0000}"/>
    <cellStyle name="Note 2 15 18 2" xfId="3628" xr:uid="{00000000-0005-0000-0000-0000500D0000}"/>
    <cellStyle name="Note 2 15 18 3" xfId="5526" xr:uid="{00000000-0005-0000-0000-0000510D0000}"/>
    <cellStyle name="Note 2 15 19" xfId="1273" xr:uid="{00000000-0005-0000-0000-0000520D0000}"/>
    <cellStyle name="Note 2 15 19 2" xfId="3629" xr:uid="{00000000-0005-0000-0000-0000530D0000}"/>
    <cellStyle name="Note 2 15 19 3" xfId="5527" xr:uid="{00000000-0005-0000-0000-0000540D0000}"/>
    <cellStyle name="Note 2 15 2" xfId="1274" xr:uid="{00000000-0005-0000-0000-0000550D0000}"/>
    <cellStyle name="Note 2 15 2 2" xfId="3630" xr:uid="{00000000-0005-0000-0000-0000560D0000}"/>
    <cellStyle name="Note 2 15 2 3" xfId="5528" xr:uid="{00000000-0005-0000-0000-0000570D0000}"/>
    <cellStyle name="Note 2 15 20" xfId="1275" xr:uid="{00000000-0005-0000-0000-0000580D0000}"/>
    <cellStyle name="Note 2 15 20 2" xfId="3631" xr:uid="{00000000-0005-0000-0000-0000590D0000}"/>
    <cellStyle name="Note 2 15 20 3" xfId="5529" xr:uid="{00000000-0005-0000-0000-00005A0D0000}"/>
    <cellStyle name="Note 2 15 21" xfId="1276" xr:uid="{00000000-0005-0000-0000-00005B0D0000}"/>
    <cellStyle name="Note 2 15 21 2" xfId="3632" xr:uid="{00000000-0005-0000-0000-00005C0D0000}"/>
    <cellStyle name="Note 2 15 21 3" xfId="5530" xr:uid="{00000000-0005-0000-0000-00005D0D0000}"/>
    <cellStyle name="Note 2 15 22" xfId="1277" xr:uid="{00000000-0005-0000-0000-00005E0D0000}"/>
    <cellStyle name="Note 2 15 22 2" xfId="3633" xr:uid="{00000000-0005-0000-0000-00005F0D0000}"/>
    <cellStyle name="Note 2 15 22 3" xfId="5531" xr:uid="{00000000-0005-0000-0000-0000600D0000}"/>
    <cellStyle name="Note 2 15 23" xfId="1278" xr:uid="{00000000-0005-0000-0000-0000610D0000}"/>
    <cellStyle name="Note 2 15 23 2" xfId="3634" xr:uid="{00000000-0005-0000-0000-0000620D0000}"/>
    <cellStyle name="Note 2 15 23 3" xfId="5532" xr:uid="{00000000-0005-0000-0000-0000630D0000}"/>
    <cellStyle name="Note 2 15 24" xfId="3619" xr:uid="{00000000-0005-0000-0000-0000640D0000}"/>
    <cellStyle name="Note 2 15 25" xfId="5517" xr:uid="{00000000-0005-0000-0000-0000650D0000}"/>
    <cellStyle name="Note 2 15 3" xfId="1279" xr:uid="{00000000-0005-0000-0000-0000660D0000}"/>
    <cellStyle name="Note 2 15 3 2" xfId="3635" xr:uid="{00000000-0005-0000-0000-0000670D0000}"/>
    <cellStyle name="Note 2 15 3 3" xfId="5533" xr:uid="{00000000-0005-0000-0000-0000680D0000}"/>
    <cellStyle name="Note 2 15 4" xfId="1280" xr:uid="{00000000-0005-0000-0000-0000690D0000}"/>
    <cellStyle name="Note 2 15 4 2" xfId="3636" xr:uid="{00000000-0005-0000-0000-00006A0D0000}"/>
    <cellStyle name="Note 2 15 4 3" xfId="5534" xr:uid="{00000000-0005-0000-0000-00006B0D0000}"/>
    <cellStyle name="Note 2 15 5" xfId="1281" xr:uid="{00000000-0005-0000-0000-00006C0D0000}"/>
    <cellStyle name="Note 2 15 5 2" xfId="3637" xr:uid="{00000000-0005-0000-0000-00006D0D0000}"/>
    <cellStyle name="Note 2 15 5 3" xfId="5535" xr:uid="{00000000-0005-0000-0000-00006E0D0000}"/>
    <cellStyle name="Note 2 15 6" xfId="1282" xr:uid="{00000000-0005-0000-0000-00006F0D0000}"/>
    <cellStyle name="Note 2 15 6 2" xfId="3638" xr:uid="{00000000-0005-0000-0000-0000700D0000}"/>
    <cellStyle name="Note 2 15 6 3" xfId="5536" xr:uid="{00000000-0005-0000-0000-0000710D0000}"/>
    <cellStyle name="Note 2 15 7" xfId="1283" xr:uid="{00000000-0005-0000-0000-0000720D0000}"/>
    <cellStyle name="Note 2 15 7 2" xfId="3639" xr:uid="{00000000-0005-0000-0000-0000730D0000}"/>
    <cellStyle name="Note 2 15 7 3" xfId="5537" xr:uid="{00000000-0005-0000-0000-0000740D0000}"/>
    <cellStyle name="Note 2 15 8" xfId="1284" xr:uid="{00000000-0005-0000-0000-0000750D0000}"/>
    <cellStyle name="Note 2 15 8 2" xfId="3640" xr:uid="{00000000-0005-0000-0000-0000760D0000}"/>
    <cellStyle name="Note 2 15 8 3" xfId="5538" xr:uid="{00000000-0005-0000-0000-0000770D0000}"/>
    <cellStyle name="Note 2 15 9" xfId="1285" xr:uid="{00000000-0005-0000-0000-0000780D0000}"/>
    <cellStyle name="Note 2 15 9 2" xfId="3641" xr:uid="{00000000-0005-0000-0000-0000790D0000}"/>
    <cellStyle name="Note 2 15 9 3" xfId="5539" xr:uid="{00000000-0005-0000-0000-00007A0D0000}"/>
    <cellStyle name="Note 2 16" xfId="1286" xr:uid="{00000000-0005-0000-0000-00007B0D0000}"/>
    <cellStyle name="Note 2 16 2" xfId="3642" xr:uid="{00000000-0005-0000-0000-00007C0D0000}"/>
    <cellStyle name="Note 2 16 3" xfId="5540" xr:uid="{00000000-0005-0000-0000-00007D0D0000}"/>
    <cellStyle name="Note 2 17" xfId="1287" xr:uid="{00000000-0005-0000-0000-00007E0D0000}"/>
    <cellStyle name="Note 2 17 2" xfId="3643" xr:uid="{00000000-0005-0000-0000-00007F0D0000}"/>
    <cellStyle name="Note 2 17 3" xfId="5541" xr:uid="{00000000-0005-0000-0000-0000800D0000}"/>
    <cellStyle name="Note 2 18" xfId="1288" xr:uid="{00000000-0005-0000-0000-0000810D0000}"/>
    <cellStyle name="Note 2 18 2" xfId="3644" xr:uid="{00000000-0005-0000-0000-0000820D0000}"/>
    <cellStyle name="Note 2 18 3" xfId="5542" xr:uid="{00000000-0005-0000-0000-0000830D0000}"/>
    <cellStyle name="Note 2 19" xfId="1289" xr:uid="{00000000-0005-0000-0000-0000840D0000}"/>
    <cellStyle name="Note 2 19 2" xfId="3645" xr:uid="{00000000-0005-0000-0000-0000850D0000}"/>
    <cellStyle name="Note 2 19 3" xfId="5543" xr:uid="{00000000-0005-0000-0000-0000860D0000}"/>
    <cellStyle name="Note 2 2" xfId="1290" xr:uid="{00000000-0005-0000-0000-0000870D0000}"/>
    <cellStyle name="Note 2 2 10" xfId="1291" xr:uid="{00000000-0005-0000-0000-0000880D0000}"/>
    <cellStyle name="Note 2 2 10 2" xfId="3647" xr:uid="{00000000-0005-0000-0000-0000890D0000}"/>
    <cellStyle name="Note 2 2 10 3" xfId="5545" xr:uid="{00000000-0005-0000-0000-00008A0D0000}"/>
    <cellStyle name="Note 2 2 11" xfId="1292" xr:uid="{00000000-0005-0000-0000-00008B0D0000}"/>
    <cellStyle name="Note 2 2 11 2" xfId="3648" xr:uid="{00000000-0005-0000-0000-00008C0D0000}"/>
    <cellStyle name="Note 2 2 11 3" xfId="5546" xr:uid="{00000000-0005-0000-0000-00008D0D0000}"/>
    <cellStyle name="Note 2 2 12" xfId="1293" xr:uid="{00000000-0005-0000-0000-00008E0D0000}"/>
    <cellStyle name="Note 2 2 12 2" xfId="3649" xr:uid="{00000000-0005-0000-0000-00008F0D0000}"/>
    <cellStyle name="Note 2 2 12 3" xfId="5547" xr:uid="{00000000-0005-0000-0000-0000900D0000}"/>
    <cellStyle name="Note 2 2 13" xfId="1294" xr:uid="{00000000-0005-0000-0000-0000910D0000}"/>
    <cellStyle name="Note 2 2 13 2" xfId="3650" xr:uid="{00000000-0005-0000-0000-0000920D0000}"/>
    <cellStyle name="Note 2 2 13 3" xfId="5548" xr:uid="{00000000-0005-0000-0000-0000930D0000}"/>
    <cellStyle name="Note 2 2 14" xfId="1295" xr:uid="{00000000-0005-0000-0000-0000940D0000}"/>
    <cellStyle name="Note 2 2 14 2" xfId="3651" xr:uid="{00000000-0005-0000-0000-0000950D0000}"/>
    <cellStyle name="Note 2 2 14 3" xfId="5549" xr:uid="{00000000-0005-0000-0000-0000960D0000}"/>
    <cellStyle name="Note 2 2 15" xfId="1296" xr:uid="{00000000-0005-0000-0000-0000970D0000}"/>
    <cellStyle name="Note 2 2 15 2" xfId="3652" xr:uid="{00000000-0005-0000-0000-0000980D0000}"/>
    <cellStyle name="Note 2 2 15 3" xfId="5550" xr:uid="{00000000-0005-0000-0000-0000990D0000}"/>
    <cellStyle name="Note 2 2 16" xfId="1297" xr:uid="{00000000-0005-0000-0000-00009A0D0000}"/>
    <cellStyle name="Note 2 2 16 2" xfId="3653" xr:uid="{00000000-0005-0000-0000-00009B0D0000}"/>
    <cellStyle name="Note 2 2 16 3" xfId="5551" xr:uid="{00000000-0005-0000-0000-00009C0D0000}"/>
    <cellStyle name="Note 2 2 17" xfId="1298" xr:uid="{00000000-0005-0000-0000-00009D0D0000}"/>
    <cellStyle name="Note 2 2 17 2" xfId="3654" xr:uid="{00000000-0005-0000-0000-00009E0D0000}"/>
    <cellStyle name="Note 2 2 17 3" xfId="5552" xr:uid="{00000000-0005-0000-0000-00009F0D0000}"/>
    <cellStyle name="Note 2 2 18" xfId="1299" xr:uid="{00000000-0005-0000-0000-0000A00D0000}"/>
    <cellStyle name="Note 2 2 18 2" xfId="3655" xr:uid="{00000000-0005-0000-0000-0000A10D0000}"/>
    <cellStyle name="Note 2 2 18 3" xfId="5553" xr:uid="{00000000-0005-0000-0000-0000A20D0000}"/>
    <cellStyle name="Note 2 2 19" xfId="1300" xr:uid="{00000000-0005-0000-0000-0000A30D0000}"/>
    <cellStyle name="Note 2 2 19 2" xfId="3656" xr:uid="{00000000-0005-0000-0000-0000A40D0000}"/>
    <cellStyle name="Note 2 2 19 3" xfId="5554" xr:uid="{00000000-0005-0000-0000-0000A50D0000}"/>
    <cellStyle name="Note 2 2 2" xfId="1301" xr:uid="{00000000-0005-0000-0000-0000A60D0000}"/>
    <cellStyle name="Note 2 2 2 2" xfId="3657" xr:uid="{00000000-0005-0000-0000-0000A70D0000}"/>
    <cellStyle name="Note 2 2 2 3" xfId="5555" xr:uid="{00000000-0005-0000-0000-0000A80D0000}"/>
    <cellStyle name="Note 2 2 20" xfId="1302" xr:uid="{00000000-0005-0000-0000-0000A90D0000}"/>
    <cellStyle name="Note 2 2 20 2" xfId="3658" xr:uid="{00000000-0005-0000-0000-0000AA0D0000}"/>
    <cellStyle name="Note 2 2 20 3" xfId="5556" xr:uid="{00000000-0005-0000-0000-0000AB0D0000}"/>
    <cellStyle name="Note 2 2 21" xfId="1303" xr:uid="{00000000-0005-0000-0000-0000AC0D0000}"/>
    <cellStyle name="Note 2 2 21 2" xfId="3659" xr:uid="{00000000-0005-0000-0000-0000AD0D0000}"/>
    <cellStyle name="Note 2 2 21 3" xfId="5557" xr:uid="{00000000-0005-0000-0000-0000AE0D0000}"/>
    <cellStyle name="Note 2 2 22" xfId="1304" xr:uid="{00000000-0005-0000-0000-0000AF0D0000}"/>
    <cellStyle name="Note 2 2 22 2" xfId="3660" xr:uid="{00000000-0005-0000-0000-0000B00D0000}"/>
    <cellStyle name="Note 2 2 22 3" xfId="5558" xr:uid="{00000000-0005-0000-0000-0000B10D0000}"/>
    <cellStyle name="Note 2 2 23" xfId="1305" xr:uid="{00000000-0005-0000-0000-0000B20D0000}"/>
    <cellStyle name="Note 2 2 23 2" xfId="3661" xr:uid="{00000000-0005-0000-0000-0000B30D0000}"/>
    <cellStyle name="Note 2 2 23 3" xfId="5559" xr:uid="{00000000-0005-0000-0000-0000B40D0000}"/>
    <cellStyle name="Note 2 2 24" xfId="3646" xr:uid="{00000000-0005-0000-0000-0000B50D0000}"/>
    <cellStyle name="Note 2 2 25" xfId="5544" xr:uid="{00000000-0005-0000-0000-0000B60D0000}"/>
    <cellStyle name="Note 2 2 3" xfId="1306" xr:uid="{00000000-0005-0000-0000-0000B70D0000}"/>
    <cellStyle name="Note 2 2 3 2" xfId="3662" xr:uid="{00000000-0005-0000-0000-0000B80D0000}"/>
    <cellStyle name="Note 2 2 3 3" xfId="5560" xr:uid="{00000000-0005-0000-0000-0000B90D0000}"/>
    <cellStyle name="Note 2 2 4" xfId="1307" xr:uid="{00000000-0005-0000-0000-0000BA0D0000}"/>
    <cellStyle name="Note 2 2 4 2" xfId="3663" xr:uid="{00000000-0005-0000-0000-0000BB0D0000}"/>
    <cellStyle name="Note 2 2 4 3" xfId="5561" xr:uid="{00000000-0005-0000-0000-0000BC0D0000}"/>
    <cellStyle name="Note 2 2 5" xfId="1308" xr:uid="{00000000-0005-0000-0000-0000BD0D0000}"/>
    <cellStyle name="Note 2 2 5 2" xfId="3664" xr:uid="{00000000-0005-0000-0000-0000BE0D0000}"/>
    <cellStyle name="Note 2 2 5 3" xfId="5562" xr:uid="{00000000-0005-0000-0000-0000BF0D0000}"/>
    <cellStyle name="Note 2 2 6" xfId="1309" xr:uid="{00000000-0005-0000-0000-0000C00D0000}"/>
    <cellStyle name="Note 2 2 6 2" xfId="3665" xr:uid="{00000000-0005-0000-0000-0000C10D0000}"/>
    <cellStyle name="Note 2 2 6 3" xfId="5563" xr:uid="{00000000-0005-0000-0000-0000C20D0000}"/>
    <cellStyle name="Note 2 2 7" xfId="1310" xr:uid="{00000000-0005-0000-0000-0000C30D0000}"/>
    <cellStyle name="Note 2 2 7 2" xfId="3666" xr:uid="{00000000-0005-0000-0000-0000C40D0000}"/>
    <cellStyle name="Note 2 2 7 3" xfId="5564" xr:uid="{00000000-0005-0000-0000-0000C50D0000}"/>
    <cellStyle name="Note 2 2 8" xfId="1311" xr:uid="{00000000-0005-0000-0000-0000C60D0000}"/>
    <cellStyle name="Note 2 2 8 2" xfId="3667" xr:uid="{00000000-0005-0000-0000-0000C70D0000}"/>
    <cellStyle name="Note 2 2 8 3" xfId="5565" xr:uid="{00000000-0005-0000-0000-0000C80D0000}"/>
    <cellStyle name="Note 2 2 9" xfId="1312" xr:uid="{00000000-0005-0000-0000-0000C90D0000}"/>
    <cellStyle name="Note 2 2 9 2" xfId="3668" xr:uid="{00000000-0005-0000-0000-0000CA0D0000}"/>
    <cellStyle name="Note 2 2 9 3" xfId="5566" xr:uid="{00000000-0005-0000-0000-0000CB0D0000}"/>
    <cellStyle name="Note 2 20" xfId="1313" xr:uid="{00000000-0005-0000-0000-0000CC0D0000}"/>
    <cellStyle name="Note 2 20 2" xfId="3669" xr:uid="{00000000-0005-0000-0000-0000CD0D0000}"/>
    <cellStyle name="Note 2 20 3" xfId="5567" xr:uid="{00000000-0005-0000-0000-0000CE0D0000}"/>
    <cellStyle name="Note 2 21" xfId="1314" xr:uid="{00000000-0005-0000-0000-0000CF0D0000}"/>
    <cellStyle name="Note 2 21 2" xfId="3670" xr:uid="{00000000-0005-0000-0000-0000D00D0000}"/>
    <cellStyle name="Note 2 21 3" xfId="5568" xr:uid="{00000000-0005-0000-0000-0000D10D0000}"/>
    <cellStyle name="Note 2 22" xfId="1315" xr:uid="{00000000-0005-0000-0000-0000D20D0000}"/>
    <cellStyle name="Note 2 22 2" xfId="3671" xr:uid="{00000000-0005-0000-0000-0000D30D0000}"/>
    <cellStyle name="Note 2 22 3" xfId="5569" xr:uid="{00000000-0005-0000-0000-0000D40D0000}"/>
    <cellStyle name="Note 2 23" xfId="1316" xr:uid="{00000000-0005-0000-0000-0000D50D0000}"/>
    <cellStyle name="Note 2 23 2" xfId="3672" xr:uid="{00000000-0005-0000-0000-0000D60D0000}"/>
    <cellStyle name="Note 2 23 3" xfId="5570" xr:uid="{00000000-0005-0000-0000-0000D70D0000}"/>
    <cellStyle name="Note 2 24" xfId="1317" xr:uid="{00000000-0005-0000-0000-0000D80D0000}"/>
    <cellStyle name="Note 2 24 2" xfId="3673" xr:uid="{00000000-0005-0000-0000-0000D90D0000}"/>
    <cellStyle name="Note 2 24 3" xfId="5571" xr:uid="{00000000-0005-0000-0000-0000DA0D0000}"/>
    <cellStyle name="Note 2 25" xfId="1318" xr:uid="{00000000-0005-0000-0000-0000DB0D0000}"/>
    <cellStyle name="Note 2 25 2" xfId="3674" xr:uid="{00000000-0005-0000-0000-0000DC0D0000}"/>
    <cellStyle name="Note 2 25 3" xfId="5572" xr:uid="{00000000-0005-0000-0000-0000DD0D0000}"/>
    <cellStyle name="Note 2 26" xfId="1319" xr:uid="{00000000-0005-0000-0000-0000DE0D0000}"/>
    <cellStyle name="Note 2 26 2" xfId="3675" xr:uid="{00000000-0005-0000-0000-0000DF0D0000}"/>
    <cellStyle name="Note 2 26 3" xfId="5573" xr:uid="{00000000-0005-0000-0000-0000E00D0000}"/>
    <cellStyle name="Note 2 27" xfId="1320" xr:uid="{00000000-0005-0000-0000-0000E10D0000}"/>
    <cellStyle name="Note 2 27 2" xfId="3676" xr:uid="{00000000-0005-0000-0000-0000E20D0000}"/>
    <cellStyle name="Note 2 27 3" xfId="5574" xr:uid="{00000000-0005-0000-0000-0000E30D0000}"/>
    <cellStyle name="Note 2 28" xfId="1321" xr:uid="{00000000-0005-0000-0000-0000E40D0000}"/>
    <cellStyle name="Note 2 28 2" xfId="3677" xr:uid="{00000000-0005-0000-0000-0000E50D0000}"/>
    <cellStyle name="Note 2 28 3" xfId="5575" xr:uid="{00000000-0005-0000-0000-0000E60D0000}"/>
    <cellStyle name="Note 2 29" xfId="1322" xr:uid="{00000000-0005-0000-0000-0000E70D0000}"/>
    <cellStyle name="Note 2 29 2" xfId="3678" xr:uid="{00000000-0005-0000-0000-0000E80D0000}"/>
    <cellStyle name="Note 2 29 3" xfId="5576" xr:uid="{00000000-0005-0000-0000-0000E90D0000}"/>
    <cellStyle name="Note 2 3" xfId="1323" xr:uid="{00000000-0005-0000-0000-0000EA0D0000}"/>
    <cellStyle name="Note 2 3 10" xfId="1324" xr:uid="{00000000-0005-0000-0000-0000EB0D0000}"/>
    <cellStyle name="Note 2 3 10 2" xfId="3680" xr:uid="{00000000-0005-0000-0000-0000EC0D0000}"/>
    <cellStyle name="Note 2 3 10 3" xfId="5578" xr:uid="{00000000-0005-0000-0000-0000ED0D0000}"/>
    <cellStyle name="Note 2 3 11" xfId="1325" xr:uid="{00000000-0005-0000-0000-0000EE0D0000}"/>
    <cellStyle name="Note 2 3 11 2" xfId="3681" xr:uid="{00000000-0005-0000-0000-0000EF0D0000}"/>
    <cellStyle name="Note 2 3 11 3" xfId="5579" xr:uid="{00000000-0005-0000-0000-0000F00D0000}"/>
    <cellStyle name="Note 2 3 12" xfId="1326" xr:uid="{00000000-0005-0000-0000-0000F10D0000}"/>
    <cellStyle name="Note 2 3 12 2" xfId="3682" xr:uid="{00000000-0005-0000-0000-0000F20D0000}"/>
    <cellStyle name="Note 2 3 12 3" xfId="5580" xr:uid="{00000000-0005-0000-0000-0000F30D0000}"/>
    <cellStyle name="Note 2 3 13" xfId="1327" xr:uid="{00000000-0005-0000-0000-0000F40D0000}"/>
    <cellStyle name="Note 2 3 13 2" xfId="3683" xr:uid="{00000000-0005-0000-0000-0000F50D0000}"/>
    <cellStyle name="Note 2 3 13 3" xfId="5581" xr:uid="{00000000-0005-0000-0000-0000F60D0000}"/>
    <cellStyle name="Note 2 3 14" xfId="1328" xr:uid="{00000000-0005-0000-0000-0000F70D0000}"/>
    <cellStyle name="Note 2 3 14 2" xfId="3684" xr:uid="{00000000-0005-0000-0000-0000F80D0000}"/>
    <cellStyle name="Note 2 3 14 3" xfId="5582" xr:uid="{00000000-0005-0000-0000-0000F90D0000}"/>
    <cellStyle name="Note 2 3 15" xfId="1329" xr:uid="{00000000-0005-0000-0000-0000FA0D0000}"/>
    <cellStyle name="Note 2 3 15 2" xfId="3685" xr:uid="{00000000-0005-0000-0000-0000FB0D0000}"/>
    <cellStyle name="Note 2 3 15 3" xfId="5583" xr:uid="{00000000-0005-0000-0000-0000FC0D0000}"/>
    <cellStyle name="Note 2 3 16" xfId="1330" xr:uid="{00000000-0005-0000-0000-0000FD0D0000}"/>
    <cellStyle name="Note 2 3 16 2" xfId="3686" xr:uid="{00000000-0005-0000-0000-0000FE0D0000}"/>
    <cellStyle name="Note 2 3 16 3" xfId="5584" xr:uid="{00000000-0005-0000-0000-0000FF0D0000}"/>
    <cellStyle name="Note 2 3 17" xfId="1331" xr:uid="{00000000-0005-0000-0000-0000000E0000}"/>
    <cellStyle name="Note 2 3 17 2" xfId="3687" xr:uid="{00000000-0005-0000-0000-0000010E0000}"/>
    <cellStyle name="Note 2 3 17 3" xfId="5585" xr:uid="{00000000-0005-0000-0000-0000020E0000}"/>
    <cellStyle name="Note 2 3 18" xfId="1332" xr:uid="{00000000-0005-0000-0000-0000030E0000}"/>
    <cellStyle name="Note 2 3 18 2" xfId="3688" xr:uid="{00000000-0005-0000-0000-0000040E0000}"/>
    <cellStyle name="Note 2 3 18 3" xfId="5586" xr:uid="{00000000-0005-0000-0000-0000050E0000}"/>
    <cellStyle name="Note 2 3 19" xfId="1333" xr:uid="{00000000-0005-0000-0000-0000060E0000}"/>
    <cellStyle name="Note 2 3 19 2" xfId="3689" xr:uid="{00000000-0005-0000-0000-0000070E0000}"/>
    <cellStyle name="Note 2 3 19 3" xfId="5587" xr:uid="{00000000-0005-0000-0000-0000080E0000}"/>
    <cellStyle name="Note 2 3 2" xfId="1334" xr:uid="{00000000-0005-0000-0000-0000090E0000}"/>
    <cellStyle name="Note 2 3 2 2" xfId="3690" xr:uid="{00000000-0005-0000-0000-00000A0E0000}"/>
    <cellStyle name="Note 2 3 2 3" xfId="5588" xr:uid="{00000000-0005-0000-0000-00000B0E0000}"/>
    <cellStyle name="Note 2 3 20" xfId="1335" xr:uid="{00000000-0005-0000-0000-00000C0E0000}"/>
    <cellStyle name="Note 2 3 20 2" xfId="3691" xr:uid="{00000000-0005-0000-0000-00000D0E0000}"/>
    <cellStyle name="Note 2 3 20 3" xfId="5589" xr:uid="{00000000-0005-0000-0000-00000E0E0000}"/>
    <cellStyle name="Note 2 3 21" xfId="1336" xr:uid="{00000000-0005-0000-0000-00000F0E0000}"/>
    <cellStyle name="Note 2 3 21 2" xfId="3692" xr:uid="{00000000-0005-0000-0000-0000100E0000}"/>
    <cellStyle name="Note 2 3 21 3" xfId="5590" xr:uid="{00000000-0005-0000-0000-0000110E0000}"/>
    <cellStyle name="Note 2 3 22" xfId="1337" xr:uid="{00000000-0005-0000-0000-0000120E0000}"/>
    <cellStyle name="Note 2 3 22 2" xfId="3693" xr:uid="{00000000-0005-0000-0000-0000130E0000}"/>
    <cellStyle name="Note 2 3 22 3" xfId="5591" xr:uid="{00000000-0005-0000-0000-0000140E0000}"/>
    <cellStyle name="Note 2 3 23" xfId="1338" xr:uid="{00000000-0005-0000-0000-0000150E0000}"/>
    <cellStyle name="Note 2 3 23 2" xfId="3694" xr:uid="{00000000-0005-0000-0000-0000160E0000}"/>
    <cellStyle name="Note 2 3 23 3" xfId="5592" xr:uid="{00000000-0005-0000-0000-0000170E0000}"/>
    <cellStyle name="Note 2 3 24" xfId="3679" xr:uid="{00000000-0005-0000-0000-0000180E0000}"/>
    <cellStyle name="Note 2 3 25" xfId="5577" xr:uid="{00000000-0005-0000-0000-0000190E0000}"/>
    <cellStyle name="Note 2 3 3" xfId="1339" xr:uid="{00000000-0005-0000-0000-00001A0E0000}"/>
    <cellStyle name="Note 2 3 3 2" xfId="3695" xr:uid="{00000000-0005-0000-0000-00001B0E0000}"/>
    <cellStyle name="Note 2 3 3 3" xfId="5593" xr:uid="{00000000-0005-0000-0000-00001C0E0000}"/>
    <cellStyle name="Note 2 3 4" xfId="1340" xr:uid="{00000000-0005-0000-0000-00001D0E0000}"/>
    <cellStyle name="Note 2 3 4 2" xfId="3696" xr:uid="{00000000-0005-0000-0000-00001E0E0000}"/>
    <cellStyle name="Note 2 3 4 3" xfId="5594" xr:uid="{00000000-0005-0000-0000-00001F0E0000}"/>
    <cellStyle name="Note 2 3 5" xfId="1341" xr:uid="{00000000-0005-0000-0000-0000200E0000}"/>
    <cellStyle name="Note 2 3 5 2" xfId="3697" xr:uid="{00000000-0005-0000-0000-0000210E0000}"/>
    <cellStyle name="Note 2 3 5 3" xfId="5595" xr:uid="{00000000-0005-0000-0000-0000220E0000}"/>
    <cellStyle name="Note 2 3 6" xfId="1342" xr:uid="{00000000-0005-0000-0000-0000230E0000}"/>
    <cellStyle name="Note 2 3 6 2" xfId="3698" xr:uid="{00000000-0005-0000-0000-0000240E0000}"/>
    <cellStyle name="Note 2 3 6 3" xfId="5596" xr:uid="{00000000-0005-0000-0000-0000250E0000}"/>
    <cellStyle name="Note 2 3 7" xfId="1343" xr:uid="{00000000-0005-0000-0000-0000260E0000}"/>
    <cellStyle name="Note 2 3 7 2" xfId="3699" xr:uid="{00000000-0005-0000-0000-0000270E0000}"/>
    <cellStyle name="Note 2 3 7 3" xfId="5597" xr:uid="{00000000-0005-0000-0000-0000280E0000}"/>
    <cellStyle name="Note 2 3 8" xfId="1344" xr:uid="{00000000-0005-0000-0000-0000290E0000}"/>
    <cellStyle name="Note 2 3 8 2" xfId="3700" xr:uid="{00000000-0005-0000-0000-00002A0E0000}"/>
    <cellStyle name="Note 2 3 8 3" xfId="5598" xr:uid="{00000000-0005-0000-0000-00002B0E0000}"/>
    <cellStyle name="Note 2 3 9" xfId="1345" xr:uid="{00000000-0005-0000-0000-00002C0E0000}"/>
    <cellStyle name="Note 2 3 9 2" xfId="3701" xr:uid="{00000000-0005-0000-0000-00002D0E0000}"/>
    <cellStyle name="Note 2 3 9 3" xfId="5599" xr:uid="{00000000-0005-0000-0000-00002E0E0000}"/>
    <cellStyle name="Note 2 30" xfId="1346" xr:uid="{00000000-0005-0000-0000-00002F0E0000}"/>
    <cellStyle name="Note 2 30 2" xfId="3702" xr:uid="{00000000-0005-0000-0000-0000300E0000}"/>
    <cellStyle name="Note 2 30 3" xfId="5600" xr:uid="{00000000-0005-0000-0000-0000310E0000}"/>
    <cellStyle name="Note 2 31" xfId="1347" xr:uid="{00000000-0005-0000-0000-0000320E0000}"/>
    <cellStyle name="Note 2 31 2" xfId="3703" xr:uid="{00000000-0005-0000-0000-0000330E0000}"/>
    <cellStyle name="Note 2 31 3" xfId="5601" xr:uid="{00000000-0005-0000-0000-0000340E0000}"/>
    <cellStyle name="Note 2 32" xfId="1348" xr:uid="{00000000-0005-0000-0000-0000350E0000}"/>
    <cellStyle name="Note 2 32 2" xfId="3704" xr:uid="{00000000-0005-0000-0000-0000360E0000}"/>
    <cellStyle name="Note 2 32 3" xfId="5602" xr:uid="{00000000-0005-0000-0000-0000370E0000}"/>
    <cellStyle name="Note 2 33" xfId="1349" xr:uid="{00000000-0005-0000-0000-0000380E0000}"/>
    <cellStyle name="Note 2 33 2" xfId="3705" xr:uid="{00000000-0005-0000-0000-0000390E0000}"/>
    <cellStyle name="Note 2 33 3" xfId="5603" xr:uid="{00000000-0005-0000-0000-00003A0E0000}"/>
    <cellStyle name="Note 2 34" xfId="1350" xr:uid="{00000000-0005-0000-0000-00003B0E0000}"/>
    <cellStyle name="Note 2 34 2" xfId="3706" xr:uid="{00000000-0005-0000-0000-00003C0E0000}"/>
    <cellStyle name="Note 2 34 3" xfId="5604" xr:uid="{00000000-0005-0000-0000-00003D0E0000}"/>
    <cellStyle name="Note 2 35" xfId="1351" xr:uid="{00000000-0005-0000-0000-00003E0E0000}"/>
    <cellStyle name="Note 2 35 2" xfId="3707" xr:uid="{00000000-0005-0000-0000-00003F0E0000}"/>
    <cellStyle name="Note 2 35 3" xfId="5605" xr:uid="{00000000-0005-0000-0000-0000400E0000}"/>
    <cellStyle name="Note 2 36" xfId="1352" xr:uid="{00000000-0005-0000-0000-0000410E0000}"/>
    <cellStyle name="Note 2 36 2" xfId="3708" xr:uid="{00000000-0005-0000-0000-0000420E0000}"/>
    <cellStyle name="Note 2 36 3" xfId="5606" xr:uid="{00000000-0005-0000-0000-0000430E0000}"/>
    <cellStyle name="Note 2 37" xfId="1353" xr:uid="{00000000-0005-0000-0000-0000440E0000}"/>
    <cellStyle name="Note 2 37 2" xfId="3709" xr:uid="{00000000-0005-0000-0000-0000450E0000}"/>
    <cellStyle name="Note 2 37 3" xfId="5607" xr:uid="{00000000-0005-0000-0000-0000460E0000}"/>
    <cellStyle name="Note 2 38" xfId="3503" xr:uid="{00000000-0005-0000-0000-0000470E0000}"/>
    <cellStyle name="Note 2 39" xfId="5401" xr:uid="{00000000-0005-0000-0000-0000480E0000}"/>
    <cellStyle name="Note 2 4" xfId="1354" xr:uid="{00000000-0005-0000-0000-0000490E0000}"/>
    <cellStyle name="Note 2 4 10" xfId="1355" xr:uid="{00000000-0005-0000-0000-00004A0E0000}"/>
    <cellStyle name="Note 2 4 10 2" xfId="3711" xr:uid="{00000000-0005-0000-0000-00004B0E0000}"/>
    <cellStyle name="Note 2 4 10 3" xfId="5609" xr:uid="{00000000-0005-0000-0000-00004C0E0000}"/>
    <cellStyle name="Note 2 4 11" xfId="1356" xr:uid="{00000000-0005-0000-0000-00004D0E0000}"/>
    <cellStyle name="Note 2 4 11 2" xfId="3712" xr:uid="{00000000-0005-0000-0000-00004E0E0000}"/>
    <cellStyle name="Note 2 4 11 3" xfId="5610" xr:uid="{00000000-0005-0000-0000-00004F0E0000}"/>
    <cellStyle name="Note 2 4 12" xfId="1357" xr:uid="{00000000-0005-0000-0000-0000500E0000}"/>
    <cellStyle name="Note 2 4 12 2" xfId="3713" xr:uid="{00000000-0005-0000-0000-0000510E0000}"/>
    <cellStyle name="Note 2 4 12 3" xfId="5611" xr:uid="{00000000-0005-0000-0000-0000520E0000}"/>
    <cellStyle name="Note 2 4 13" xfId="1358" xr:uid="{00000000-0005-0000-0000-0000530E0000}"/>
    <cellStyle name="Note 2 4 13 2" xfId="3714" xr:uid="{00000000-0005-0000-0000-0000540E0000}"/>
    <cellStyle name="Note 2 4 13 3" xfId="5612" xr:uid="{00000000-0005-0000-0000-0000550E0000}"/>
    <cellStyle name="Note 2 4 14" xfId="1359" xr:uid="{00000000-0005-0000-0000-0000560E0000}"/>
    <cellStyle name="Note 2 4 14 2" xfId="3715" xr:uid="{00000000-0005-0000-0000-0000570E0000}"/>
    <cellStyle name="Note 2 4 14 3" xfId="5613" xr:uid="{00000000-0005-0000-0000-0000580E0000}"/>
    <cellStyle name="Note 2 4 15" xfId="1360" xr:uid="{00000000-0005-0000-0000-0000590E0000}"/>
    <cellStyle name="Note 2 4 15 2" xfId="3716" xr:uid="{00000000-0005-0000-0000-00005A0E0000}"/>
    <cellStyle name="Note 2 4 15 3" xfId="5614" xr:uid="{00000000-0005-0000-0000-00005B0E0000}"/>
    <cellStyle name="Note 2 4 16" xfId="1361" xr:uid="{00000000-0005-0000-0000-00005C0E0000}"/>
    <cellStyle name="Note 2 4 16 2" xfId="3717" xr:uid="{00000000-0005-0000-0000-00005D0E0000}"/>
    <cellStyle name="Note 2 4 16 3" xfId="5615" xr:uid="{00000000-0005-0000-0000-00005E0E0000}"/>
    <cellStyle name="Note 2 4 17" xfId="1362" xr:uid="{00000000-0005-0000-0000-00005F0E0000}"/>
    <cellStyle name="Note 2 4 17 2" xfId="3718" xr:uid="{00000000-0005-0000-0000-0000600E0000}"/>
    <cellStyle name="Note 2 4 17 3" xfId="5616" xr:uid="{00000000-0005-0000-0000-0000610E0000}"/>
    <cellStyle name="Note 2 4 18" xfId="1363" xr:uid="{00000000-0005-0000-0000-0000620E0000}"/>
    <cellStyle name="Note 2 4 18 2" xfId="3719" xr:uid="{00000000-0005-0000-0000-0000630E0000}"/>
    <cellStyle name="Note 2 4 18 3" xfId="5617" xr:uid="{00000000-0005-0000-0000-0000640E0000}"/>
    <cellStyle name="Note 2 4 19" xfId="1364" xr:uid="{00000000-0005-0000-0000-0000650E0000}"/>
    <cellStyle name="Note 2 4 19 2" xfId="3720" xr:uid="{00000000-0005-0000-0000-0000660E0000}"/>
    <cellStyle name="Note 2 4 19 3" xfId="5618" xr:uid="{00000000-0005-0000-0000-0000670E0000}"/>
    <cellStyle name="Note 2 4 2" xfId="1365" xr:uid="{00000000-0005-0000-0000-0000680E0000}"/>
    <cellStyle name="Note 2 4 2 2" xfId="3721" xr:uid="{00000000-0005-0000-0000-0000690E0000}"/>
    <cellStyle name="Note 2 4 2 3" xfId="5619" xr:uid="{00000000-0005-0000-0000-00006A0E0000}"/>
    <cellStyle name="Note 2 4 20" xfId="1366" xr:uid="{00000000-0005-0000-0000-00006B0E0000}"/>
    <cellStyle name="Note 2 4 20 2" xfId="3722" xr:uid="{00000000-0005-0000-0000-00006C0E0000}"/>
    <cellStyle name="Note 2 4 20 3" xfId="5620" xr:uid="{00000000-0005-0000-0000-00006D0E0000}"/>
    <cellStyle name="Note 2 4 21" xfId="1367" xr:uid="{00000000-0005-0000-0000-00006E0E0000}"/>
    <cellStyle name="Note 2 4 21 2" xfId="3723" xr:uid="{00000000-0005-0000-0000-00006F0E0000}"/>
    <cellStyle name="Note 2 4 21 3" xfId="5621" xr:uid="{00000000-0005-0000-0000-0000700E0000}"/>
    <cellStyle name="Note 2 4 22" xfId="1368" xr:uid="{00000000-0005-0000-0000-0000710E0000}"/>
    <cellStyle name="Note 2 4 22 2" xfId="3724" xr:uid="{00000000-0005-0000-0000-0000720E0000}"/>
    <cellStyle name="Note 2 4 22 3" xfId="5622" xr:uid="{00000000-0005-0000-0000-0000730E0000}"/>
    <cellStyle name="Note 2 4 23" xfId="1369" xr:uid="{00000000-0005-0000-0000-0000740E0000}"/>
    <cellStyle name="Note 2 4 23 2" xfId="3725" xr:uid="{00000000-0005-0000-0000-0000750E0000}"/>
    <cellStyle name="Note 2 4 23 3" xfId="5623" xr:uid="{00000000-0005-0000-0000-0000760E0000}"/>
    <cellStyle name="Note 2 4 24" xfId="3710" xr:uid="{00000000-0005-0000-0000-0000770E0000}"/>
    <cellStyle name="Note 2 4 25" xfId="5608" xr:uid="{00000000-0005-0000-0000-0000780E0000}"/>
    <cellStyle name="Note 2 4 3" xfId="1370" xr:uid="{00000000-0005-0000-0000-0000790E0000}"/>
    <cellStyle name="Note 2 4 3 2" xfId="3726" xr:uid="{00000000-0005-0000-0000-00007A0E0000}"/>
    <cellStyle name="Note 2 4 3 3" xfId="5624" xr:uid="{00000000-0005-0000-0000-00007B0E0000}"/>
    <cellStyle name="Note 2 4 4" xfId="1371" xr:uid="{00000000-0005-0000-0000-00007C0E0000}"/>
    <cellStyle name="Note 2 4 4 2" xfId="3727" xr:uid="{00000000-0005-0000-0000-00007D0E0000}"/>
    <cellStyle name="Note 2 4 4 3" xfId="5625" xr:uid="{00000000-0005-0000-0000-00007E0E0000}"/>
    <cellStyle name="Note 2 4 5" xfId="1372" xr:uid="{00000000-0005-0000-0000-00007F0E0000}"/>
    <cellStyle name="Note 2 4 5 2" xfId="3728" xr:uid="{00000000-0005-0000-0000-0000800E0000}"/>
    <cellStyle name="Note 2 4 5 3" xfId="5626" xr:uid="{00000000-0005-0000-0000-0000810E0000}"/>
    <cellStyle name="Note 2 4 6" xfId="1373" xr:uid="{00000000-0005-0000-0000-0000820E0000}"/>
    <cellStyle name="Note 2 4 6 2" xfId="3729" xr:uid="{00000000-0005-0000-0000-0000830E0000}"/>
    <cellStyle name="Note 2 4 6 3" xfId="5627" xr:uid="{00000000-0005-0000-0000-0000840E0000}"/>
    <cellStyle name="Note 2 4 7" xfId="1374" xr:uid="{00000000-0005-0000-0000-0000850E0000}"/>
    <cellStyle name="Note 2 4 7 2" xfId="3730" xr:uid="{00000000-0005-0000-0000-0000860E0000}"/>
    <cellStyle name="Note 2 4 7 3" xfId="5628" xr:uid="{00000000-0005-0000-0000-0000870E0000}"/>
    <cellStyle name="Note 2 4 8" xfId="1375" xr:uid="{00000000-0005-0000-0000-0000880E0000}"/>
    <cellStyle name="Note 2 4 8 2" xfId="3731" xr:uid="{00000000-0005-0000-0000-0000890E0000}"/>
    <cellStyle name="Note 2 4 8 3" xfId="5629" xr:uid="{00000000-0005-0000-0000-00008A0E0000}"/>
    <cellStyle name="Note 2 4 9" xfId="1376" xr:uid="{00000000-0005-0000-0000-00008B0E0000}"/>
    <cellStyle name="Note 2 4 9 2" xfId="3732" xr:uid="{00000000-0005-0000-0000-00008C0E0000}"/>
    <cellStyle name="Note 2 4 9 3" xfId="5630" xr:uid="{00000000-0005-0000-0000-00008D0E0000}"/>
    <cellStyle name="Note 2 5" xfId="1377" xr:uid="{00000000-0005-0000-0000-00008E0E0000}"/>
    <cellStyle name="Note 2 5 10" xfId="1378" xr:uid="{00000000-0005-0000-0000-00008F0E0000}"/>
    <cellStyle name="Note 2 5 10 2" xfId="3734" xr:uid="{00000000-0005-0000-0000-0000900E0000}"/>
    <cellStyle name="Note 2 5 10 3" xfId="5632" xr:uid="{00000000-0005-0000-0000-0000910E0000}"/>
    <cellStyle name="Note 2 5 11" xfId="1379" xr:uid="{00000000-0005-0000-0000-0000920E0000}"/>
    <cellStyle name="Note 2 5 11 2" xfId="3735" xr:uid="{00000000-0005-0000-0000-0000930E0000}"/>
    <cellStyle name="Note 2 5 11 3" xfId="5633" xr:uid="{00000000-0005-0000-0000-0000940E0000}"/>
    <cellStyle name="Note 2 5 12" xfId="1380" xr:uid="{00000000-0005-0000-0000-0000950E0000}"/>
    <cellStyle name="Note 2 5 12 2" xfId="3736" xr:uid="{00000000-0005-0000-0000-0000960E0000}"/>
    <cellStyle name="Note 2 5 12 3" xfId="5634" xr:uid="{00000000-0005-0000-0000-0000970E0000}"/>
    <cellStyle name="Note 2 5 13" xfId="1381" xr:uid="{00000000-0005-0000-0000-0000980E0000}"/>
    <cellStyle name="Note 2 5 13 2" xfId="3737" xr:uid="{00000000-0005-0000-0000-0000990E0000}"/>
    <cellStyle name="Note 2 5 13 3" xfId="5635" xr:uid="{00000000-0005-0000-0000-00009A0E0000}"/>
    <cellStyle name="Note 2 5 14" xfId="1382" xr:uid="{00000000-0005-0000-0000-00009B0E0000}"/>
    <cellStyle name="Note 2 5 14 2" xfId="3738" xr:uid="{00000000-0005-0000-0000-00009C0E0000}"/>
    <cellStyle name="Note 2 5 14 3" xfId="5636" xr:uid="{00000000-0005-0000-0000-00009D0E0000}"/>
    <cellStyle name="Note 2 5 15" xfId="1383" xr:uid="{00000000-0005-0000-0000-00009E0E0000}"/>
    <cellStyle name="Note 2 5 15 2" xfId="3739" xr:uid="{00000000-0005-0000-0000-00009F0E0000}"/>
    <cellStyle name="Note 2 5 15 3" xfId="5637" xr:uid="{00000000-0005-0000-0000-0000A00E0000}"/>
    <cellStyle name="Note 2 5 16" xfId="1384" xr:uid="{00000000-0005-0000-0000-0000A10E0000}"/>
    <cellStyle name="Note 2 5 16 2" xfId="3740" xr:uid="{00000000-0005-0000-0000-0000A20E0000}"/>
    <cellStyle name="Note 2 5 16 3" xfId="5638" xr:uid="{00000000-0005-0000-0000-0000A30E0000}"/>
    <cellStyle name="Note 2 5 17" xfId="1385" xr:uid="{00000000-0005-0000-0000-0000A40E0000}"/>
    <cellStyle name="Note 2 5 17 2" xfId="3741" xr:uid="{00000000-0005-0000-0000-0000A50E0000}"/>
    <cellStyle name="Note 2 5 17 3" xfId="5639" xr:uid="{00000000-0005-0000-0000-0000A60E0000}"/>
    <cellStyle name="Note 2 5 18" xfId="1386" xr:uid="{00000000-0005-0000-0000-0000A70E0000}"/>
    <cellStyle name="Note 2 5 18 2" xfId="3742" xr:uid="{00000000-0005-0000-0000-0000A80E0000}"/>
    <cellStyle name="Note 2 5 18 3" xfId="5640" xr:uid="{00000000-0005-0000-0000-0000A90E0000}"/>
    <cellStyle name="Note 2 5 19" xfId="1387" xr:uid="{00000000-0005-0000-0000-0000AA0E0000}"/>
    <cellStyle name="Note 2 5 19 2" xfId="3743" xr:uid="{00000000-0005-0000-0000-0000AB0E0000}"/>
    <cellStyle name="Note 2 5 19 3" xfId="5641" xr:uid="{00000000-0005-0000-0000-0000AC0E0000}"/>
    <cellStyle name="Note 2 5 2" xfId="1388" xr:uid="{00000000-0005-0000-0000-0000AD0E0000}"/>
    <cellStyle name="Note 2 5 2 2" xfId="3744" xr:uid="{00000000-0005-0000-0000-0000AE0E0000}"/>
    <cellStyle name="Note 2 5 2 3" xfId="5642" xr:uid="{00000000-0005-0000-0000-0000AF0E0000}"/>
    <cellStyle name="Note 2 5 20" xfId="1389" xr:uid="{00000000-0005-0000-0000-0000B00E0000}"/>
    <cellStyle name="Note 2 5 20 2" xfId="3745" xr:uid="{00000000-0005-0000-0000-0000B10E0000}"/>
    <cellStyle name="Note 2 5 20 3" xfId="5643" xr:uid="{00000000-0005-0000-0000-0000B20E0000}"/>
    <cellStyle name="Note 2 5 21" xfId="1390" xr:uid="{00000000-0005-0000-0000-0000B30E0000}"/>
    <cellStyle name="Note 2 5 21 2" xfId="3746" xr:uid="{00000000-0005-0000-0000-0000B40E0000}"/>
    <cellStyle name="Note 2 5 21 3" xfId="5644" xr:uid="{00000000-0005-0000-0000-0000B50E0000}"/>
    <cellStyle name="Note 2 5 22" xfId="1391" xr:uid="{00000000-0005-0000-0000-0000B60E0000}"/>
    <cellStyle name="Note 2 5 22 2" xfId="3747" xr:uid="{00000000-0005-0000-0000-0000B70E0000}"/>
    <cellStyle name="Note 2 5 22 3" xfId="5645" xr:uid="{00000000-0005-0000-0000-0000B80E0000}"/>
    <cellStyle name="Note 2 5 23" xfId="1392" xr:uid="{00000000-0005-0000-0000-0000B90E0000}"/>
    <cellStyle name="Note 2 5 23 2" xfId="3748" xr:uid="{00000000-0005-0000-0000-0000BA0E0000}"/>
    <cellStyle name="Note 2 5 23 3" xfId="5646" xr:uid="{00000000-0005-0000-0000-0000BB0E0000}"/>
    <cellStyle name="Note 2 5 24" xfId="3733" xr:uid="{00000000-0005-0000-0000-0000BC0E0000}"/>
    <cellStyle name="Note 2 5 25" xfId="5631" xr:uid="{00000000-0005-0000-0000-0000BD0E0000}"/>
    <cellStyle name="Note 2 5 3" xfId="1393" xr:uid="{00000000-0005-0000-0000-0000BE0E0000}"/>
    <cellStyle name="Note 2 5 3 2" xfId="3749" xr:uid="{00000000-0005-0000-0000-0000BF0E0000}"/>
    <cellStyle name="Note 2 5 3 3" xfId="5647" xr:uid="{00000000-0005-0000-0000-0000C00E0000}"/>
    <cellStyle name="Note 2 5 4" xfId="1394" xr:uid="{00000000-0005-0000-0000-0000C10E0000}"/>
    <cellStyle name="Note 2 5 4 2" xfId="3750" xr:uid="{00000000-0005-0000-0000-0000C20E0000}"/>
    <cellStyle name="Note 2 5 4 3" xfId="5648" xr:uid="{00000000-0005-0000-0000-0000C30E0000}"/>
    <cellStyle name="Note 2 5 5" xfId="1395" xr:uid="{00000000-0005-0000-0000-0000C40E0000}"/>
    <cellStyle name="Note 2 5 5 2" xfId="3751" xr:uid="{00000000-0005-0000-0000-0000C50E0000}"/>
    <cellStyle name="Note 2 5 5 3" xfId="5649" xr:uid="{00000000-0005-0000-0000-0000C60E0000}"/>
    <cellStyle name="Note 2 5 6" xfId="1396" xr:uid="{00000000-0005-0000-0000-0000C70E0000}"/>
    <cellStyle name="Note 2 5 6 2" xfId="3752" xr:uid="{00000000-0005-0000-0000-0000C80E0000}"/>
    <cellStyle name="Note 2 5 6 3" xfId="5650" xr:uid="{00000000-0005-0000-0000-0000C90E0000}"/>
    <cellStyle name="Note 2 5 7" xfId="1397" xr:uid="{00000000-0005-0000-0000-0000CA0E0000}"/>
    <cellStyle name="Note 2 5 7 2" xfId="3753" xr:uid="{00000000-0005-0000-0000-0000CB0E0000}"/>
    <cellStyle name="Note 2 5 7 3" xfId="5651" xr:uid="{00000000-0005-0000-0000-0000CC0E0000}"/>
    <cellStyle name="Note 2 5 8" xfId="1398" xr:uid="{00000000-0005-0000-0000-0000CD0E0000}"/>
    <cellStyle name="Note 2 5 8 2" xfId="3754" xr:uid="{00000000-0005-0000-0000-0000CE0E0000}"/>
    <cellStyle name="Note 2 5 8 3" xfId="5652" xr:uid="{00000000-0005-0000-0000-0000CF0E0000}"/>
    <cellStyle name="Note 2 5 9" xfId="1399" xr:uid="{00000000-0005-0000-0000-0000D00E0000}"/>
    <cellStyle name="Note 2 5 9 2" xfId="3755" xr:uid="{00000000-0005-0000-0000-0000D10E0000}"/>
    <cellStyle name="Note 2 5 9 3" xfId="5653" xr:uid="{00000000-0005-0000-0000-0000D20E0000}"/>
    <cellStyle name="Note 2 6" xfId="1400" xr:uid="{00000000-0005-0000-0000-0000D30E0000}"/>
    <cellStyle name="Note 2 6 10" xfId="1401" xr:uid="{00000000-0005-0000-0000-0000D40E0000}"/>
    <cellStyle name="Note 2 6 10 2" xfId="3757" xr:uid="{00000000-0005-0000-0000-0000D50E0000}"/>
    <cellStyle name="Note 2 6 10 3" xfId="5655" xr:uid="{00000000-0005-0000-0000-0000D60E0000}"/>
    <cellStyle name="Note 2 6 11" xfId="1402" xr:uid="{00000000-0005-0000-0000-0000D70E0000}"/>
    <cellStyle name="Note 2 6 11 2" xfId="3758" xr:uid="{00000000-0005-0000-0000-0000D80E0000}"/>
    <cellStyle name="Note 2 6 11 3" xfId="5656" xr:uid="{00000000-0005-0000-0000-0000D90E0000}"/>
    <cellStyle name="Note 2 6 12" xfId="1403" xr:uid="{00000000-0005-0000-0000-0000DA0E0000}"/>
    <cellStyle name="Note 2 6 12 2" xfId="3759" xr:uid="{00000000-0005-0000-0000-0000DB0E0000}"/>
    <cellStyle name="Note 2 6 12 3" xfId="5657" xr:uid="{00000000-0005-0000-0000-0000DC0E0000}"/>
    <cellStyle name="Note 2 6 13" xfId="1404" xr:uid="{00000000-0005-0000-0000-0000DD0E0000}"/>
    <cellStyle name="Note 2 6 13 2" xfId="3760" xr:uid="{00000000-0005-0000-0000-0000DE0E0000}"/>
    <cellStyle name="Note 2 6 13 3" xfId="5658" xr:uid="{00000000-0005-0000-0000-0000DF0E0000}"/>
    <cellStyle name="Note 2 6 14" xfId="1405" xr:uid="{00000000-0005-0000-0000-0000E00E0000}"/>
    <cellStyle name="Note 2 6 14 2" xfId="3761" xr:uid="{00000000-0005-0000-0000-0000E10E0000}"/>
    <cellStyle name="Note 2 6 14 3" xfId="5659" xr:uid="{00000000-0005-0000-0000-0000E20E0000}"/>
    <cellStyle name="Note 2 6 15" xfId="1406" xr:uid="{00000000-0005-0000-0000-0000E30E0000}"/>
    <cellStyle name="Note 2 6 15 2" xfId="3762" xr:uid="{00000000-0005-0000-0000-0000E40E0000}"/>
    <cellStyle name="Note 2 6 15 3" xfId="5660" xr:uid="{00000000-0005-0000-0000-0000E50E0000}"/>
    <cellStyle name="Note 2 6 16" xfId="1407" xr:uid="{00000000-0005-0000-0000-0000E60E0000}"/>
    <cellStyle name="Note 2 6 16 2" xfId="3763" xr:uid="{00000000-0005-0000-0000-0000E70E0000}"/>
    <cellStyle name="Note 2 6 16 3" xfId="5661" xr:uid="{00000000-0005-0000-0000-0000E80E0000}"/>
    <cellStyle name="Note 2 6 17" xfId="1408" xr:uid="{00000000-0005-0000-0000-0000E90E0000}"/>
    <cellStyle name="Note 2 6 17 2" xfId="3764" xr:uid="{00000000-0005-0000-0000-0000EA0E0000}"/>
    <cellStyle name="Note 2 6 17 3" xfId="5662" xr:uid="{00000000-0005-0000-0000-0000EB0E0000}"/>
    <cellStyle name="Note 2 6 18" xfId="1409" xr:uid="{00000000-0005-0000-0000-0000EC0E0000}"/>
    <cellStyle name="Note 2 6 18 2" xfId="3765" xr:uid="{00000000-0005-0000-0000-0000ED0E0000}"/>
    <cellStyle name="Note 2 6 18 3" xfId="5663" xr:uid="{00000000-0005-0000-0000-0000EE0E0000}"/>
    <cellStyle name="Note 2 6 19" xfId="1410" xr:uid="{00000000-0005-0000-0000-0000EF0E0000}"/>
    <cellStyle name="Note 2 6 19 2" xfId="3766" xr:uid="{00000000-0005-0000-0000-0000F00E0000}"/>
    <cellStyle name="Note 2 6 19 3" xfId="5664" xr:uid="{00000000-0005-0000-0000-0000F10E0000}"/>
    <cellStyle name="Note 2 6 2" xfId="1411" xr:uid="{00000000-0005-0000-0000-0000F20E0000}"/>
    <cellStyle name="Note 2 6 2 2" xfId="3767" xr:uid="{00000000-0005-0000-0000-0000F30E0000}"/>
    <cellStyle name="Note 2 6 2 3" xfId="5665" xr:uid="{00000000-0005-0000-0000-0000F40E0000}"/>
    <cellStyle name="Note 2 6 20" xfId="1412" xr:uid="{00000000-0005-0000-0000-0000F50E0000}"/>
    <cellStyle name="Note 2 6 20 2" xfId="3768" xr:uid="{00000000-0005-0000-0000-0000F60E0000}"/>
    <cellStyle name="Note 2 6 20 3" xfId="5666" xr:uid="{00000000-0005-0000-0000-0000F70E0000}"/>
    <cellStyle name="Note 2 6 21" xfId="1413" xr:uid="{00000000-0005-0000-0000-0000F80E0000}"/>
    <cellStyle name="Note 2 6 21 2" xfId="3769" xr:uid="{00000000-0005-0000-0000-0000F90E0000}"/>
    <cellStyle name="Note 2 6 21 3" xfId="5667" xr:uid="{00000000-0005-0000-0000-0000FA0E0000}"/>
    <cellStyle name="Note 2 6 22" xfId="1414" xr:uid="{00000000-0005-0000-0000-0000FB0E0000}"/>
    <cellStyle name="Note 2 6 22 2" xfId="3770" xr:uid="{00000000-0005-0000-0000-0000FC0E0000}"/>
    <cellStyle name="Note 2 6 22 3" xfId="5668" xr:uid="{00000000-0005-0000-0000-0000FD0E0000}"/>
    <cellStyle name="Note 2 6 23" xfId="1415" xr:uid="{00000000-0005-0000-0000-0000FE0E0000}"/>
    <cellStyle name="Note 2 6 23 2" xfId="3771" xr:uid="{00000000-0005-0000-0000-0000FF0E0000}"/>
    <cellStyle name="Note 2 6 23 3" xfId="5669" xr:uid="{00000000-0005-0000-0000-0000000F0000}"/>
    <cellStyle name="Note 2 6 24" xfId="3756" xr:uid="{00000000-0005-0000-0000-0000010F0000}"/>
    <cellStyle name="Note 2 6 25" xfId="5654" xr:uid="{00000000-0005-0000-0000-0000020F0000}"/>
    <cellStyle name="Note 2 6 3" xfId="1416" xr:uid="{00000000-0005-0000-0000-0000030F0000}"/>
    <cellStyle name="Note 2 6 3 2" xfId="3772" xr:uid="{00000000-0005-0000-0000-0000040F0000}"/>
    <cellStyle name="Note 2 6 3 3" xfId="5670" xr:uid="{00000000-0005-0000-0000-0000050F0000}"/>
    <cellStyle name="Note 2 6 4" xfId="1417" xr:uid="{00000000-0005-0000-0000-0000060F0000}"/>
    <cellStyle name="Note 2 6 4 2" xfId="3773" xr:uid="{00000000-0005-0000-0000-0000070F0000}"/>
    <cellStyle name="Note 2 6 4 3" xfId="5671" xr:uid="{00000000-0005-0000-0000-0000080F0000}"/>
    <cellStyle name="Note 2 6 5" xfId="1418" xr:uid="{00000000-0005-0000-0000-0000090F0000}"/>
    <cellStyle name="Note 2 6 5 2" xfId="3774" xr:uid="{00000000-0005-0000-0000-00000A0F0000}"/>
    <cellStyle name="Note 2 6 5 3" xfId="5672" xr:uid="{00000000-0005-0000-0000-00000B0F0000}"/>
    <cellStyle name="Note 2 6 6" xfId="1419" xr:uid="{00000000-0005-0000-0000-00000C0F0000}"/>
    <cellStyle name="Note 2 6 6 2" xfId="3775" xr:uid="{00000000-0005-0000-0000-00000D0F0000}"/>
    <cellStyle name="Note 2 6 6 3" xfId="5673" xr:uid="{00000000-0005-0000-0000-00000E0F0000}"/>
    <cellStyle name="Note 2 6 7" xfId="1420" xr:uid="{00000000-0005-0000-0000-00000F0F0000}"/>
    <cellStyle name="Note 2 6 7 2" xfId="3776" xr:uid="{00000000-0005-0000-0000-0000100F0000}"/>
    <cellStyle name="Note 2 6 7 3" xfId="5674" xr:uid="{00000000-0005-0000-0000-0000110F0000}"/>
    <cellStyle name="Note 2 6 8" xfId="1421" xr:uid="{00000000-0005-0000-0000-0000120F0000}"/>
    <cellStyle name="Note 2 6 8 2" xfId="3777" xr:uid="{00000000-0005-0000-0000-0000130F0000}"/>
    <cellStyle name="Note 2 6 8 3" xfId="5675" xr:uid="{00000000-0005-0000-0000-0000140F0000}"/>
    <cellStyle name="Note 2 6 9" xfId="1422" xr:uid="{00000000-0005-0000-0000-0000150F0000}"/>
    <cellStyle name="Note 2 6 9 2" xfId="3778" xr:uid="{00000000-0005-0000-0000-0000160F0000}"/>
    <cellStyle name="Note 2 6 9 3" xfId="5676" xr:uid="{00000000-0005-0000-0000-0000170F0000}"/>
    <cellStyle name="Note 2 7" xfId="1423" xr:uid="{00000000-0005-0000-0000-0000180F0000}"/>
    <cellStyle name="Note 2 7 10" xfId="1424" xr:uid="{00000000-0005-0000-0000-0000190F0000}"/>
    <cellStyle name="Note 2 7 10 2" xfId="3780" xr:uid="{00000000-0005-0000-0000-00001A0F0000}"/>
    <cellStyle name="Note 2 7 10 3" xfId="5678" xr:uid="{00000000-0005-0000-0000-00001B0F0000}"/>
    <cellStyle name="Note 2 7 11" xfId="1425" xr:uid="{00000000-0005-0000-0000-00001C0F0000}"/>
    <cellStyle name="Note 2 7 11 2" xfId="3781" xr:uid="{00000000-0005-0000-0000-00001D0F0000}"/>
    <cellStyle name="Note 2 7 11 3" xfId="5679" xr:uid="{00000000-0005-0000-0000-00001E0F0000}"/>
    <cellStyle name="Note 2 7 12" xfId="1426" xr:uid="{00000000-0005-0000-0000-00001F0F0000}"/>
    <cellStyle name="Note 2 7 12 2" xfId="3782" xr:uid="{00000000-0005-0000-0000-0000200F0000}"/>
    <cellStyle name="Note 2 7 12 3" xfId="5680" xr:uid="{00000000-0005-0000-0000-0000210F0000}"/>
    <cellStyle name="Note 2 7 13" xfId="1427" xr:uid="{00000000-0005-0000-0000-0000220F0000}"/>
    <cellStyle name="Note 2 7 13 2" xfId="3783" xr:uid="{00000000-0005-0000-0000-0000230F0000}"/>
    <cellStyle name="Note 2 7 13 3" xfId="5681" xr:uid="{00000000-0005-0000-0000-0000240F0000}"/>
    <cellStyle name="Note 2 7 14" xfId="1428" xr:uid="{00000000-0005-0000-0000-0000250F0000}"/>
    <cellStyle name="Note 2 7 14 2" xfId="3784" xr:uid="{00000000-0005-0000-0000-0000260F0000}"/>
    <cellStyle name="Note 2 7 14 3" xfId="5682" xr:uid="{00000000-0005-0000-0000-0000270F0000}"/>
    <cellStyle name="Note 2 7 15" xfId="1429" xr:uid="{00000000-0005-0000-0000-0000280F0000}"/>
    <cellStyle name="Note 2 7 15 2" xfId="3785" xr:uid="{00000000-0005-0000-0000-0000290F0000}"/>
    <cellStyle name="Note 2 7 15 3" xfId="5683" xr:uid="{00000000-0005-0000-0000-00002A0F0000}"/>
    <cellStyle name="Note 2 7 16" xfId="1430" xr:uid="{00000000-0005-0000-0000-00002B0F0000}"/>
    <cellStyle name="Note 2 7 16 2" xfId="3786" xr:uid="{00000000-0005-0000-0000-00002C0F0000}"/>
    <cellStyle name="Note 2 7 16 3" xfId="5684" xr:uid="{00000000-0005-0000-0000-00002D0F0000}"/>
    <cellStyle name="Note 2 7 17" xfId="1431" xr:uid="{00000000-0005-0000-0000-00002E0F0000}"/>
    <cellStyle name="Note 2 7 17 2" xfId="3787" xr:uid="{00000000-0005-0000-0000-00002F0F0000}"/>
    <cellStyle name="Note 2 7 17 3" xfId="5685" xr:uid="{00000000-0005-0000-0000-0000300F0000}"/>
    <cellStyle name="Note 2 7 18" xfId="1432" xr:uid="{00000000-0005-0000-0000-0000310F0000}"/>
    <cellStyle name="Note 2 7 18 2" xfId="3788" xr:uid="{00000000-0005-0000-0000-0000320F0000}"/>
    <cellStyle name="Note 2 7 18 3" xfId="5686" xr:uid="{00000000-0005-0000-0000-0000330F0000}"/>
    <cellStyle name="Note 2 7 19" xfId="1433" xr:uid="{00000000-0005-0000-0000-0000340F0000}"/>
    <cellStyle name="Note 2 7 19 2" xfId="3789" xr:uid="{00000000-0005-0000-0000-0000350F0000}"/>
    <cellStyle name="Note 2 7 19 3" xfId="5687" xr:uid="{00000000-0005-0000-0000-0000360F0000}"/>
    <cellStyle name="Note 2 7 2" xfId="1434" xr:uid="{00000000-0005-0000-0000-0000370F0000}"/>
    <cellStyle name="Note 2 7 2 2" xfId="3790" xr:uid="{00000000-0005-0000-0000-0000380F0000}"/>
    <cellStyle name="Note 2 7 2 3" xfId="5688" xr:uid="{00000000-0005-0000-0000-0000390F0000}"/>
    <cellStyle name="Note 2 7 20" xfId="1435" xr:uid="{00000000-0005-0000-0000-00003A0F0000}"/>
    <cellStyle name="Note 2 7 20 2" xfId="3791" xr:uid="{00000000-0005-0000-0000-00003B0F0000}"/>
    <cellStyle name="Note 2 7 20 3" xfId="5689" xr:uid="{00000000-0005-0000-0000-00003C0F0000}"/>
    <cellStyle name="Note 2 7 21" xfId="1436" xr:uid="{00000000-0005-0000-0000-00003D0F0000}"/>
    <cellStyle name="Note 2 7 21 2" xfId="3792" xr:uid="{00000000-0005-0000-0000-00003E0F0000}"/>
    <cellStyle name="Note 2 7 21 3" xfId="5690" xr:uid="{00000000-0005-0000-0000-00003F0F0000}"/>
    <cellStyle name="Note 2 7 22" xfId="1437" xr:uid="{00000000-0005-0000-0000-0000400F0000}"/>
    <cellStyle name="Note 2 7 22 2" xfId="3793" xr:uid="{00000000-0005-0000-0000-0000410F0000}"/>
    <cellStyle name="Note 2 7 22 3" xfId="5691" xr:uid="{00000000-0005-0000-0000-0000420F0000}"/>
    <cellStyle name="Note 2 7 23" xfId="1438" xr:uid="{00000000-0005-0000-0000-0000430F0000}"/>
    <cellStyle name="Note 2 7 23 2" xfId="3794" xr:uid="{00000000-0005-0000-0000-0000440F0000}"/>
    <cellStyle name="Note 2 7 23 3" xfId="5692" xr:uid="{00000000-0005-0000-0000-0000450F0000}"/>
    <cellStyle name="Note 2 7 24" xfId="3779" xr:uid="{00000000-0005-0000-0000-0000460F0000}"/>
    <cellStyle name="Note 2 7 25" xfId="5677" xr:uid="{00000000-0005-0000-0000-0000470F0000}"/>
    <cellStyle name="Note 2 7 3" xfId="1439" xr:uid="{00000000-0005-0000-0000-0000480F0000}"/>
    <cellStyle name="Note 2 7 3 2" xfId="3795" xr:uid="{00000000-0005-0000-0000-0000490F0000}"/>
    <cellStyle name="Note 2 7 3 3" xfId="5693" xr:uid="{00000000-0005-0000-0000-00004A0F0000}"/>
    <cellStyle name="Note 2 7 4" xfId="1440" xr:uid="{00000000-0005-0000-0000-00004B0F0000}"/>
    <cellStyle name="Note 2 7 4 2" xfId="3796" xr:uid="{00000000-0005-0000-0000-00004C0F0000}"/>
    <cellStyle name="Note 2 7 4 3" xfId="5694" xr:uid="{00000000-0005-0000-0000-00004D0F0000}"/>
    <cellStyle name="Note 2 7 5" xfId="1441" xr:uid="{00000000-0005-0000-0000-00004E0F0000}"/>
    <cellStyle name="Note 2 7 5 2" xfId="3797" xr:uid="{00000000-0005-0000-0000-00004F0F0000}"/>
    <cellStyle name="Note 2 7 5 3" xfId="5695" xr:uid="{00000000-0005-0000-0000-0000500F0000}"/>
    <cellStyle name="Note 2 7 6" xfId="1442" xr:uid="{00000000-0005-0000-0000-0000510F0000}"/>
    <cellStyle name="Note 2 7 6 2" xfId="3798" xr:uid="{00000000-0005-0000-0000-0000520F0000}"/>
    <cellStyle name="Note 2 7 6 3" xfId="5696" xr:uid="{00000000-0005-0000-0000-0000530F0000}"/>
    <cellStyle name="Note 2 7 7" xfId="1443" xr:uid="{00000000-0005-0000-0000-0000540F0000}"/>
    <cellStyle name="Note 2 7 7 2" xfId="3799" xr:uid="{00000000-0005-0000-0000-0000550F0000}"/>
    <cellStyle name="Note 2 7 7 3" xfId="5697" xr:uid="{00000000-0005-0000-0000-0000560F0000}"/>
    <cellStyle name="Note 2 7 8" xfId="1444" xr:uid="{00000000-0005-0000-0000-0000570F0000}"/>
    <cellStyle name="Note 2 7 8 2" xfId="3800" xr:uid="{00000000-0005-0000-0000-0000580F0000}"/>
    <cellStyle name="Note 2 7 8 3" xfId="5698" xr:uid="{00000000-0005-0000-0000-0000590F0000}"/>
    <cellStyle name="Note 2 7 9" xfId="1445" xr:uid="{00000000-0005-0000-0000-00005A0F0000}"/>
    <cellStyle name="Note 2 7 9 2" xfId="3801" xr:uid="{00000000-0005-0000-0000-00005B0F0000}"/>
    <cellStyle name="Note 2 7 9 3" xfId="5699" xr:uid="{00000000-0005-0000-0000-00005C0F0000}"/>
    <cellStyle name="Note 2 8" xfId="1446" xr:uid="{00000000-0005-0000-0000-00005D0F0000}"/>
    <cellStyle name="Note 2 8 10" xfId="1447" xr:uid="{00000000-0005-0000-0000-00005E0F0000}"/>
    <cellStyle name="Note 2 8 10 2" xfId="3803" xr:uid="{00000000-0005-0000-0000-00005F0F0000}"/>
    <cellStyle name="Note 2 8 10 3" xfId="5701" xr:uid="{00000000-0005-0000-0000-0000600F0000}"/>
    <cellStyle name="Note 2 8 11" xfId="1448" xr:uid="{00000000-0005-0000-0000-0000610F0000}"/>
    <cellStyle name="Note 2 8 11 2" xfId="3804" xr:uid="{00000000-0005-0000-0000-0000620F0000}"/>
    <cellStyle name="Note 2 8 11 3" xfId="5702" xr:uid="{00000000-0005-0000-0000-0000630F0000}"/>
    <cellStyle name="Note 2 8 12" xfId="1449" xr:uid="{00000000-0005-0000-0000-0000640F0000}"/>
    <cellStyle name="Note 2 8 12 2" xfId="3805" xr:uid="{00000000-0005-0000-0000-0000650F0000}"/>
    <cellStyle name="Note 2 8 12 3" xfId="5703" xr:uid="{00000000-0005-0000-0000-0000660F0000}"/>
    <cellStyle name="Note 2 8 13" xfId="1450" xr:uid="{00000000-0005-0000-0000-0000670F0000}"/>
    <cellStyle name="Note 2 8 13 2" xfId="3806" xr:uid="{00000000-0005-0000-0000-0000680F0000}"/>
    <cellStyle name="Note 2 8 13 3" xfId="5704" xr:uid="{00000000-0005-0000-0000-0000690F0000}"/>
    <cellStyle name="Note 2 8 14" xfId="1451" xr:uid="{00000000-0005-0000-0000-00006A0F0000}"/>
    <cellStyle name="Note 2 8 14 2" xfId="3807" xr:uid="{00000000-0005-0000-0000-00006B0F0000}"/>
    <cellStyle name="Note 2 8 14 3" xfId="5705" xr:uid="{00000000-0005-0000-0000-00006C0F0000}"/>
    <cellStyle name="Note 2 8 15" xfId="1452" xr:uid="{00000000-0005-0000-0000-00006D0F0000}"/>
    <cellStyle name="Note 2 8 15 2" xfId="3808" xr:uid="{00000000-0005-0000-0000-00006E0F0000}"/>
    <cellStyle name="Note 2 8 15 3" xfId="5706" xr:uid="{00000000-0005-0000-0000-00006F0F0000}"/>
    <cellStyle name="Note 2 8 16" xfId="1453" xr:uid="{00000000-0005-0000-0000-0000700F0000}"/>
    <cellStyle name="Note 2 8 16 2" xfId="3809" xr:uid="{00000000-0005-0000-0000-0000710F0000}"/>
    <cellStyle name="Note 2 8 16 3" xfId="5707" xr:uid="{00000000-0005-0000-0000-0000720F0000}"/>
    <cellStyle name="Note 2 8 17" xfId="1454" xr:uid="{00000000-0005-0000-0000-0000730F0000}"/>
    <cellStyle name="Note 2 8 17 2" xfId="3810" xr:uid="{00000000-0005-0000-0000-0000740F0000}"/>
    <cellStyle name="Note 2 8 17 3" xfId="5708" xr:uid="{00000000-0005-0000-0000-0000750F0000}"/>
    <cellStyle name="Note 2 8 18" xfId="1455" xr:uid="{00000000-0005-0000-0000-0000760F0000}"/>
    <cellStyle name="Note 2 8 18 2" xfId="3811" xr:uid="{00000000-0005-0000-0000-0000770F0000}"/>
    <cellStyle name="Note 2 8 18 3" xfId="5709" xr:uid="{00000000-0005-0000-0000-0000780F0000}"/>
    <cellStyle name="Note 2 8 19" xfId="1456" xr:uid="{00000000-0005-0000-0000-0000790F0000}"/>
    <cellStyle name="Note 2 8 19 2" xfId="3812" xr:uid="{00000000-0005-0000-0000-00007A0F0000}"/>
    <cellStyle name="Note 2 8 19 3" xfId="5710" xr:uid="{00000000-0005-0000-0000-00007B0F0000}"/>
    <cellStyle name="Note 2 8 2" xfId="1457" xr:uid="{00000000-0005-0000-0000-00007C0F0000}"/>
    <cellStyle name="Note 2 8 2 2" xfId="3813" xr:uid="{00000000-0005-0000-0000-00007D0F0000}"/>
    <cellStyle name="Note 2 8 2 3" xfId="5711" xr:uid="{00000000-0005-0000-0000-00007E0F0000}"/>
    <cellStyle name="Note 2 8 20" xfId="1458" xr:uid="{00000000-0005-0000-0000-00007F0F0000}"/>
    <cellStyle name="Note 2 8 20 2" xfId="3814" xr:uid="{00000000-0005-0000-0000-0000800F0000}"/>
    <cellStyle name="Note 2 8 20 3" xfId="5712" xr:uid="{00000000-0005-0000-0000-0000810F0000}"/>
    <cellStyle name="Note 2 8 21" xfId="1459" xr:uid="{00000000-0005-0000-0000-0000820F0000}"/>
    <cellStyle name="Note 2 8 21 2" xfId="3815" xr:uid="{00000000-0005-0000-0000-0000830F0000}"/>
    <cellStyle name="Note 2 8 21 3" xfId="5713" xr:uid="{00000000-0005-0000-0000-0000840F0000}"/>
    <cellStyle name="Note 2 8 22" xfId="1460" xr:uid="{00000000-0005-0000-0000-0000850F0000}"/>
    <cellStyle name="Note 2 8 22 2" xfId="3816" xr:uid="{00000000-0005-0000-0000-0000860F0000}"/>
    <cellStyle name="Note 2 8 22 3" xfId="5714" xr:uid="{00000000-0005-0000-0000-0000870F0000}"/>
    <cellStyle name="Note 2 8 23" xfId="1461" xr:uid="{00000000-0005-0000-0000-0000880F0000}"/>
    <cellStyle name="Note 2 8 23 2" xfId="3817" xr:uid="{00000000-0005-0000-0000-0000890F0000}"/>
    <cellStyle name="Note 2 8 23 3" xfId="5715" xr:uid="{00000000-0005-0000-0000-00008A0F0000}"/>
    <cellStyle name="Note 2 8 24" xfId="3802" xr:uid="{00000000-0005-0000-0000-00008B0F0000}"/>
    <cellStyle name="Note 2 8 25" xfId="5700" xr:uid="{00000000-0005-0000-0000-00008C0F0000}"/>
    <cellStyle name="Note 2 8 3" xfId="1462" xr:uid="{00000000-0005-0000-0000-00008D0F0000}"/>
    <cellStyle name="Note 2 8 3 2" xfId="3818" xr:uid="{00000000-0005-0000-0000-00008E0F0000}"/>
    <cellStyle name="Note 2 8 3 3" xfId="5716" xr:uid="{00000000-0005-0000-0000-00008F0F0000}"/>
    <cellStyle name="Note 2 8 4" xfId="1463" xr:uid="{00000000-0005-0000-0000-0000900F0000}"/>
    <cellStyle name="Note 2 8 4 2" xfId="3819" xr:uid="{00000000-0005-0000-0000-0000910F0000}"/>
    <cellStyle name="Note 2 8 4 3" xfId="5717" xr:uid="{00000000-0005-0000-0000-0000920F0000}"/>
    <cellStyle name="Note 2 8 5" xfId="1464" xr:uid="{00000000-0005-0000-0000-0000930F0000}"/>
    <cellStyle name="Note 2 8 5 2" xfId="3820" xr:uid="{00000000-0005-0000-0000-0000940F0000}"/>
    <cellStyle name="Note 2 8 5 3" xfId="5718" xr:uid="{00000000-0005-0000-0000-0000950F0000}"/>
    <cellStyle name="Note 2 8 6" xfId="1465" xr:uid="{00000000-0005-0000-0000-0000960F0000}"/>
    <cellStyle name="Note 2 8 6 2" xfId="3821" xr:uid="{00000000-0005-0000-0000-0000970F0000}"/>
    <cellStyle name="Note 2 8 6 3" xfId="5719" xr:uid="{00000000-0005-0000-0000-0000980F0000}"/>
    <cellStyle name="Note 2 8 7" xfId="1466" xr:uid="{00000000-0005-0000-0000-0000990F0000}"/>
    <cellStyle name="Note 2 8 7 2" xfId="3822" xr:uid="{00000000-0005-0000-0000-00009A0F0000}"/>
    <cellStyle name="Note 2 8 7 3" xfId="5720" xr:uid="{00000000-0005-0000-0000-00009B0F0000}"/>
    <cellStyle name="Note 2 8 8" xfId="1467" xr:uid="{00000000-0005-0000-0000-00009C0F0000}"/>
    <cellStyle name="Note 2 8 8 2" xfId="3823" xr:uid="{00000000-0005-0000-0000-00009D0F0000}"/>
    <cellStyle name="Note 2 8 8 3" xfId="5721" xr:uid="{00000000-0005-0000-0000-00009E0F0000}"/>
    <cellStyle name="Note 2 8 9" xfId="1468" xr:uid="{00000000-0005-0000-0000-00009F0F0000}"/>
    <cellStyle name="Note 2 8 9 2" xfId="3824" xr:uid="{00000000-0005-0000-0000-0000A00F0000}"/>
    <cellStyle name="Note 2 8 9 3" xfId="5722" xr:uid="{00000000-0005-0000-0000-0000A10F0000}"/>
    <cellStyle name="Note 2 9" xfId="1469" xr:uid="{00000000-0005-0000-0000-0000A20F0000}"/>
    <cellStyle name="Note 2 9 10" xfId="1470" xr:uid="{00000000-0005-0000-0000-0000A30F0000}"/>
    <cellStyle name="Note 2 9 10 2" xfId="3826" xr:uid="{00000000-0005-0000-0000-0000A40F0000}"/>
    <cellStyle name="Note 2 9 10 3" xfId="5724" xr:uid="{00000000-0005-0000-0000-0000A50F0000}"/>
    <cellStyle name="Note 2 9 11" xfId="1471" xr:uid="{00000000-0005-0000-0000-0000A60F0000}"/>
    <cellStyle name="Note 2 9 11 2" xfId="3827" xr:uid="{00000000-0005-0000-0000-0000A70F0000}"/>
    <cellStyle name="Note 2 9 11 3" xfId="5725" xr:uid="{00000000-0005-0000-0000-0000A80F0000}"/>
    <cellStyle name="Note 2 9 12" xfId="1472" xr:uid="{00000000-0005-0000-0000-0000A90F0000}"/>
    <cellStyle name="Note 2 9 12 2" xfId="3828" xr:uid="{00000000-0005-0000-0000-0000AA0F0000}"/>
    <cellStyle name="Note 2 9 12 3" xfId="5726" xr:uid="{00000000-0005-0000-0000-0000AB0F0000}"/>
    <cellStyle name="Note 2 9 13" xfId="1473" xr:uid="{00000000-0005-0000-0000-0000AC0F0000}"/>
    <cellStyle name="Note 2 9 13 2" xfId="3829" xr:uid="{00000000-0005-0000-0000-0000AD0F0000}"/>
    <cellStyle name="Note 2 9 13 3" xfId="5727" xr:uid="{00000000-0005-0000-0000-0000AE0F0000}"/>
    <cellStyle name="Note 2 9 14" xfId="1474" xr:uid="{00000000-0005-0000-0000-0000AF0F0000}"/>
    <cellStyle name="Note 2 9 14 2" xfId="3830" xr:uid="{00000000-0005-0000-0000-0000B00F0000}"/>
    <cellStyle name="Note 2 9 14 3" xfId="5728" xr:uid="{00000000-0005-0000-0000-0000B10F0000}"/>
    <cellStyle name="Note 2 9 15" xfId="1475" xr:uid="{00000000-0005-0000-0000-0000B20F0000}"/>
    <cellStyle name="Note 2 9 15 2" xfId="3831" xr:uid="{00000000-0005-0000-0000-0000B30F0000}"/>
    <cellStyle name="Note 2 9 15 3" xfId="5729" xr:uid="{00000000-0005-0000-0000-0000B40F0000}"/>
    <cellStyle name="Note 2 9 16" xfId="1476" xr:uid="{00000000-0005-0000-0000-0000B50F0000}"/>
    <cellStyle name="Note 2 9 16 2" xfId="3832" xr:uid="{00000000-0005-0000-0000-0000B60F0000}"/>
    <cellStyle name="Note 2 9 16 3" xfId="5730" xr:uid="{00000000-0005-0000-0000-0000B70F0000}"/>
    <cellStyle name="Note 2 9 17" xfId="1477" xr:uid="{00000000-0005-0000-0000-0000B80F0000}"/>
    <cellStyle name="Note 2 9 17 2" xfId="3833" xr:uid="{00000000-0005-0000-0000-0000B90F0000}"/>
    <cellStyle name="Note 2 9 17 3" xfId="5731" xr:uid="{00000000-0005-0000-0000-0000BA0F0000}"/>
    <cellStyle name="Note 2 9 18" xfId="1478" xr:uid="{00000000-0005-0000-0000-0000BB0F0000}"/>
    <cellStyle name="Note 2 9 18 2" xfId="3834" xr:uid="{00000000-0005-0000-0000-0000BC0F0000}"/>
    <cellStyle name="Note 2 9 18 3" xfId="5732" xr:uid="{00000000-0005-0000-0000-0000BD0F0000}"/>
    <cellStyle name="Note 2 9 19" xfId="1479" xr:uid="{00000000-0005-0000-0000-0000BE0F0000}"/>
    <cellStyle name="Note 2 9 19 2" xfId="3835" xr:uid="{00000000-0005-0000-0000-0000BF0F0000}"/>
    <cellStyle name="Note 2 9 19 3" xfId="5733" xr:uid="{00000000-0005-0000-0000-0000C00F0000}"/>
    <cellStyle name="Note 2 9 2" xfId="1480" xr:uid="{00000000-0005-0000-0000-0000C10F0000}"/>
    <cellStyle name="Note 2 9 2 2" xfId="3836" xr:uid="{00000000-0005-0000-0000-0000C20F0000}"/>
    <cellStyle name="Note 2 9 2 3" xfId="5734" xr:uid="{00000000-0005-0000-0000-0000C30F0000}"/>
    <cellStyle name="Note 2 9 20" xfId="1481" xr:uid="{00000000-0005-0000-0000-0000C40F0000}"/>
    <cellStyle name="Note 2 9 20 2" xfId="3837" xr:uid="{00000000-0005-0000-0000-0000C50F0000}"/>
    <cellStyle name="Note 2 9 20 3" xfId="5735" xr:uid="{00000000-0005-0000-0000-0000C60F0000}"/>
    <cellStyle name="Note 2 9 21" xfId="1482" xr:uid="{00000000-0005-0000-0000-0000C70F0000}"/>
    <cellStyle name="Note 2 9 21 2" xfId="3838" xr:uid="{00000000-0005-0000-0000-0000C80F0000}"/>
    <cellStyle name="Note 2 9 21 3" xfId="5736" xr:uid="{00000000-0005-0000-0000-0000C90F0000}"/>
    <cellStyle name="Note 2 9 22" xfId="1483" xr:uid="{00000000-0005-0000-0000-0000CA0F0000}"/>
    <cellStyle name="Note 2 9 22 2" xfId="3839" xr:uid="{00000000-0005-0000-0000-0000CB0F0000}"/>
    <cellStyle name="Note 2 9 22 3" xfId="5737" xr:uid="{00000000-0005-0000-0000-0000CC0F0000}"/>
    <cellStyle name="Note 2 9 23" xfId="1484" xr:uid="{00000000-0005-0000-0000-0000CD0F0000}"/>
    <cellStyle name="Note 2 9 23 2" xfId="3840" xr:uid="{00000000-0005-0000-0000-0000CE0F0000}"/>
    <cellStyle name="Note 2 9 23 3" xfId="5738" xr:uid="{00000000-0005-0000-0000-0000CF0F0000}"/>
    <cellStyle name="Note 2 9 24" xfId="3825" xr:uid="{00000000-0005-0000-0000-0000D00F0000}"/>
    <cellStyle name="Note 2 9 25" xfId="5723" xr:uid="{00000000-0005-0000-0000-0000D10F0000}"/>
    <cellStyle name="Note 2 9 3" xfId="1485" xr:uid="{00000000-0005-0000-0000-0000D20F0000}"/>
    <cellStyle name="Note 2 9 3 2" xfId="3841" xr:uid="{00000000-0005-0000-0000-0000D30F0000}"/>
    <cellStyle name="Note 2 9 3 3" xfId="5739" xr:uid="{00000000-0005-0000-0000-0000D40F0000}"/>
    <cellStyle name="Note 2 9 4" xfId="1486" xr:uid="{00000000-0005-0000-0000-0000D50F0000}"/>
    <cellStyle name="Note 2 9 4 2" xfId="3842" xr:uid="{00000000-0005-0000-0000-0000D60F0000}"/>
    <cellStyle name="Note 2 9 4 3" xfId="5740" xr:uid="{00000000-0005-0000-0000-0000D70F0000}"/>
    <cellStyle name="Note 2 9 5" xfId="1487" xr:uid="{00000000-0005-0000-0000-0000D80F0000}"/>
    <cellStyle name="Note 2 9 5 2" xfId="3843" xr:uid="{00000000-0005-0000-0000-0000D90F0000}"/>
    <cellStyle name="Note 2 9 5 3" xfId="5741" xr:uid="{00000000-0005-0000-0000-0000DA0F0000}"/>
    <cellStyle name="Note 2 9 6" xfId="1488" xr:uid="{00000000-0005-0000-0000-0000DB0F0000}"/>
    <cellStyle name="Note 2 9 6 2" xfId="3844" xr:uid="{00000000-0005-0000-0000-0000DC0F0000}"/>
    <cellStyle name="Note 2 9 6 3" xfId="5742" xr:uid="{00000000-0005-0000-0000-0000DD0F0000}"/>
    <cellStyle name="Note 2 9 7" xfId="1489" xr:uid="{00000000-0005-0000-0000-0000DE0F0000}"/>
    <cellStyle name="Note 2 9 7 2" xfId="3845" xr:uid="{00000000-0005-0000-0000-0000DF0F0000}"/>
    <cellStyle name="Note 2 9 7 3" xfId="5743" xr:uid="{00000000-0005-0000-0000-0000E00F0000}"/>
    <cellStyle name="Note 2 9 8" xfId="1490" xr:uid="{00000000-0005-0000-0000-0000E10F0000}"/>
    <cellStyle name="Note 2 9 8 2" xfId="3846" xr:uid="{00000000-0005-0000-0000-0000E20F0000}"/>
    <cellStyle name="Note 2 9 8 3" xfId="5744" xr:uid="{00000000-0005-0000-0000-0000E30F0000}"/>
    <cellStyle name="Note 2 9 9" xfId="1491" xr:uid="{00000000-0005-0000-0000-0000E40F0000}"/>
    <cellStyle name="Note 2 9 9 2" xfId="3847" xr:uid="{00000000-0005-0000-0000-0000E50F0000}"/>
    <cellStyle name="Note 2 9 9 3" xfId="5745" xr:uid="{00000000-0005-0000-0000-0000E60F0000}"/>
    <cellStyle name="Note 3" xfId="4756" xr:uid="{00000000-0005-0000-0000-0000E70F0000}"/>
    <cellStyle name="Note 4" xfId="2486" xr:uid="{00000000-0005-0000-0000-0000E80F0000}"/>
    <cellStyle name="Note 5" xfId="4727" xr:uid="{00000000-0005-0000-0000-0000E90F0000}"/>
    <cellStyle name="Obliczenia" xfId="1492" xr:uid="{00000000-0005-0000-0000-0000EA0F0000}"/>
    <cellStyle name="Obliczenia 10" xfId="1493" xr:uid="{00000000-0005-0000-0000-0000EB0F0000}"/>
    <cellStyle name="Obliczenia 10 2" xfId="3849" xr:uid="{00000000-0005-0000-0000-0000EC0F0000}"/>
    <cellStyle name="Obliczenia 10 3" xfId="5747" xr:uid="{00000000-0005-0000-0000-0000ED0F0000}"/>
    <cellStyle name="Obliczenia 11" xfId="1494" xr:uid="{00000000-0005-0000-0000-0000EE0F0000}"/>
    <cellStyle name="Obliczenia 11 2" xfId="3850" xr:uid="{00000000-0005-0000-0000-0000EF0F0000}"/>
    <cellStyle name="Obliczenia 11 3" xfId="5748" xr:uid="{00000000-0005-0000-0000-0000F00F0000}"/>
    <cellStyle name="Obliczenia 12" xfId="1495" xr:uid="{00000000-0005-0000-0000-0000F10F0000}"/>
    <cellStyle name="Obliczenia 12 2" xfId="3851" xr:uid="{00000000-0005-0000-0000-0000F20F0000}"/>
    <cellStyle name="Obliczenia 12 3" xfId="5749" xr:uid="{00000000-0005-0000-0000-0000F30F0000}"/>
    <cellStyle name="Obliczenia 13" xfId="1496" xr:uid="{00000000-0005-0000-0000-0000F40F0000}"/>
    <cellStyle name="Obliczenia 13 2" xfId="3852" xr:uid="{00000000-0005-0000-0000-0000F50F0000}"/>
    <cellStyle name="Obliczenia 13 3" xfId="5750" xr:uid="{00000000-0005-0000-0000-0000F60F0000}"/>
    <cellStyle name="Obliczenia 14" xfId="1497" xr:uid="{00000000-0005-0000-0000-0000F70F0000}"/>
    <cellStyle name="Obliczenia 14 2" xfId="3853" xr:uid="{00000000-0005-0000-0000-0000F80F0000}"/>
    <cellStyle name="Obliczenia 14 3" xfId="5751" xr:uid="{00000000-0005-0000-0000-0000F90F0000}"/>
    <cellStyle name="Obliczenia 15" xfId="1498" xr:uid="{00000000-0005-0000-0000-0000FA0F0000}"/>
    <cellStyle name="Obliczenia 15 2" xfId="3854" xr:uid="{00000000-0005-0000-0000-0000FB0F0000}"/>
    <cellStyle name="Obliczenia 15 3" xfId="5752" xr:uid="{00000000-0005-0000-0000-0000FC0F0000}"/>
    <cellStyle name="Obliczenia 16" xfId="1499" xr:uid="{00000000-0005-0000-0000-0000FD0F0000}"/>
    <cellStyle name="Obliczenia 16 2" xfId="3855" xr:uid="{00000000-0005-0000-0000-0000FE0F0000}"/>
    <cellStyle name="Obliczenia 16 3" xfId="5753" xr:uid="{00000000-0005-0000-0000-0000FF0F0000}"/>
    <cellStyle name="Obliczenia 17" xfId="1500" xr:uid="{00000000-0005-0000-0000-000000100000}"/>
    <cellStyle name="Obliczenia 17 2" xfId="3856" xr:uid="{00000000-0005-0000-0000-000001100000}"/>
    <cellStyle name="Obliczenia 17 3" xfId="5754" xr:uid="{00000000-0005-0000-0000-000002100000}"/>
    <cellStyle name="Obliczenia 18" xfId="1501" xr:uid="{00000000-0005-0000-0000-000003100000}"/>
    <cellStyle name="Obliczenia 18 2" xfId="3857" xr:uid="{00000000-0005-0000-0000-000004100000}"/>
    <cellStyle name="Obliczenia 18 3" xfId="5755" xr:uid="{00000000-0005-0000-0000-000005100000}"/>
    <cellStyle name="Obliczenia 19" xfId="1502" xr:uid="{00000000-0005-0000-0000-000006100000}"/>
    <cellStyle name="Obliczenia 19 2" xfId="3858" xr:uid="{00000000-0005-0000-0000-000007100000}"/>
    <cellStyle name="Obliczenia 19 3" xfId="5756" xr:uid="{00000000-0005-0000-0000-000008100000}"/>
    <cellStyle name="Obliczenia 2" xfId="1503" xr:uid="{00000000-0005-0000-0000-000009100000}"/>
    <cellStyle name="Obliczenia 2 10" xfId="1504" xr:uid="{00000000-0005-0000-0000-00000A100000}"/>
    <cellStyle name="Obliczenia 2 10 2" xfId="3860" xr:uid="{00000000-0005-0000-0000-00000B100000}"/>
    <cellStyle name="Obliczenia 2 10 3" xfId="5758" xr:uid="{00000000-0005-0000-0000-00000C100000}"/>
    <cellStyle name="Obliczenia 2 11" xfId="1505" xr:uid="{00000000-0005-0000-0000-00000D100000}"/>
    <cellStyle name="Obliczenia 2 11 2" xfId="3861" xr:uid="{00000000-0005-0000-0000-00000E100000}"/>
    <cellStyle name="Obliczenia 2 11 3" xfId="5759" xr:uid="{00000000-0005-0000-0000-00000F100000}"/>
    <cellStyle name="Obliczenia 2 12" xfId="1506" xr:uid="{00000000-0005-0000-0000-000010100000}"/>
    <cellStyle name="Obliczenia 2 12 2" xfId="3862" xr:uid="{00000000-0005-0000-0000-000011100000}"/>
    <cellStyle name="Obliczenia 2 12 3" xfId="5760" xr:uid="{00000000-0005-0000-0000-000012100000}"/>
    <cellStyle name="Obliczenia 2 13" xfId="1507" xr:uid="{00000000-0005-0000-0000-000013100000}"/>
    <cellStyle name="Obliczenia 2 13 2" xfId="3863" xr:uid="{00000000-0005-0000-0000-000014100000}"/>
    <cellStyle name="Obliczenia 2 13 3" xfId="5761" xr:uid="{00000000-0005-0000-0000-000015100000}"/>
    <cellStyle name="Obliczenia 2 14" xfId="1508" xr:uid="{00000000-0005-0000-0000-000016100000}"/>
    <cellStyle name="Obliczenia 2 14 2" xfId="3864" xr:uid="{00000000-0005-0000-0000-000017100000}"/>
    <cellStyle name="Obliczenia 2 14 3" xfId="5762" xr:uid="{00000000-0005-0000-0000-000018100000}"/>
    <cellStyle name="Obliczenia 2 15" xfId="1509" xr:uid="{00000000-0005-0000-0000-000019100000}"/>
    <cellStyle name="Obliczenia 2 15 2" xfId="3865" xr:uid="{00000000-0005-0000-0000-00001A100000}"/>
    <cellStyle name="Obliczenia 2 15 3" xfId="5763" xr:uid="{00000000-0005-0000-0000-00001B100000}"/>
    <cellStyle name="Obliczenia 2 16" xfId="1510" xr:uid="{00000000-0005-0000-0000-00001C100000}"/>
    <cellStyle name="Obliczenia 2 16 2" xfId="3866" xr:uid="{00000000-0005-0000-0000-00001D100000}"/>
    <cellStyle name="Obliczenia 2 16 3" xfId="5764" xr:uid="{00000000-0005-0000-0000-00001E100000}"/>
    <cellStyle name="Obliczenia 2 17" xfId="1511" xr:uid="{00000000-0005-0000-0000-00001F100000}"/>
    <cellStyle name="Obliczenia 2 17 2" xfId="3867" xr:uid="{00000000-0005-0000-0000-000020100000}"/>
    <cellStyle name="Obliczenia 2 17 3" xfId="5765" xr:uid="{00000000-0005-0000-0000-000021100000}"/>
    <cellStyle name="Obliczenia 2 18" xfId="1512" xr:uid="{00000000-0005-0000-0000-000022100000}"/>
    <cellStyle name="Obliczenia 2 18 2" xfId="3868" xr:uid="{00000000-0005-0000-0000-000023100000}"/>
    <cellStyle name="Obliczenia 2 18 3" xfId="5766" xr:uid="{00000000-0005-0000-0000-000024100000}"/>
    <cellStyle name="Obliczenia 2 19" xfId="1513" xr:uid="{00000000-0005-0000-0000-000025100000}"/>
    <cellStyle name="Obliczenia 2 19 2" xfId="3869" xr:uid="{00000000-0005-0000-0000-000026100000}"/>
    <cellStyle name="Obliczenia 2 19 3" xfId="5767" xr:uid="{00000000-0005-0000-0000-000027100000}"/>
    <cellStyle name="Obliczenia 2 2" xfId="1514" xr:uid="{00000000-0005-0000-0000-000028100000}"/>
    <cellStyle name="Obliczenia 2 2 2" xfId="3870" xr:uid="{00000000-0005-0000-0000-000029100000}"/>
    <cellStyle name="Obliczenia 2 2 3" xfId="5768" xr:uid="{00000000-0005-0000-0000-00002A100000}"/>
    <cellStyle name="Obliczenia 2 20" xfId="1515" xr:uid="{00000000-0005-0000-0000-00002B100000}"/>
    <cellStyle name="Obliczenia 2 20 2" xfId="3871" xr:uid="{00000000-0005-0000-0000-00002C100000}"/>
    <cellStyle name="Obliczenia 2 20 3" xfId="5769" xr:uid="{00000000-0005-0000-0000-00002D100000}"/>
    <cellStyle name="Obliczenia 2 21" xfId="1516" xr:uid="{00000000-0005-0000-0000-00002E100000}"/>
    <cellStyle name="Obliczenia 2 21 2" xfId="3872" xr:uid="{00000000-0005-0000-0000-00002F100000}"/>
    <cellStyle name="Obliczenia 2 21 3" xfId="5770" xr:uid="{00000000-0005-0000-0000-000030100000}"/>
    <cellStyle name="Obliczenia 2 22" xfId="1517" xr:uid="{00000000-0005-0000-0000-000031100000}"/>
    <cellStyle name="Obliczenia 2 22 2" xfId="3873" xr:uid="{00000000-0005-0000-0000-000032100000}"/>
    <cellStyle name="Obliczenia 2 22 3" xfId="5771" xr:uid="{00000000-0005-0000-0000-000033100000}"/>
    <cellStyle name="Obliczenia 2 23" xfId="1518" xr:uid="{00000000-0005-0000-0000-000034100000}"/>
    <cellStyle name="Obliczenia 2 23 2" xfId="3874" xr:uid="{00000000-0005-0000-0000-000035100000}"/>
    <cellStyle name="Obliczenia 2 23 3" xfId="5772" xr:uid="{00000000-0005-0000-0000-000036100000}"/>
    <cellStyle name="Obliczenia 2 24" xfId="3859" xr:uid="{00000000-0005-0000-0000-000037100000}"/>
    <cellStyle name="Obliczenia 2 25" xfId="5757" xr:uid="{00000000-0005-0000-0000-000038100000}"/>
    <cellStyle name="Obliczenia 2 3" xfId="1519" xr:uid="{00000000-0005-0000-0000-000039100000}"/>
    <cellStyle name="Obliczenia 2 3 2" xfId="3875" xr:uid="{00000000-0005-0000-0000-00003A100000}"/>
    <cellStyle name="Obliczenia 2 3 3" xfId="5773" xr:uid="{00000000-0005-0000-0000-00003B100000}"/>
    <cellStyle name="Obliczenia 2 4" xfId="1520" xr:uid="{00000000-0005-0000-0000-00003C100000}"/>
    <cellStyle name="Obliczenia 2 4 2" xfId="3876" xr:uid="{00000000-0005-0000-0000-00003D100000}"/>
    <cellStyle name="Obliczenia 2 4 3" xfId="5774" xr:uid="{00000000-0005-0000-0000-00003E100000}"/>
    <cellStyle name="Obliczenia 2 5" xfId="1521" xr:uid="{00000000-0005-0000-0000-00003F100000}"/>
    <cellStyle name="Obliczenia 2 5 2" xfId="3877" xr:uid="{00000000-0005-0000-0000-000040100000}"/>
    <cellStyle name="Obliczenia 2 5 3" xfId="5775" xr:uid="{00000000-0005-0000-0000-000041100000}"/>
    <cellStyle name="Obliczenia 2 6" xfId="1522" xr:uid="{00000000-0005-0000-0000-000042100000}"/>
    <cellStyle name="Obliczenia 2 6 2" xfId="3878" xr:uid="{00000000-0005-0000-0000-000043100000}"/>
    <cellStyle name="Obliczenia 2 6 3" xfId="5776" xr:uid="{00000000-0005-0000-0000-000044100000}"/>
    <cellStyle name="Obliczenia 2 7" xfId="1523" xr:uid="{00000000-0005-0000-0000-000045100000}"/>
    <cellStyle name="Obliczenia 2 7 2" xfId="3879" xr:uid="{00000000-0005-0000-0000-000046100000}"/>
    <cellStyle name="Obliczenia 2 7 3" xfId="5777" xr:uid="{00000000-0005-0000-0000-000047100000}"/>
    <cellStyle name="Obliczenia 2 8" xfId="1524" xr:uid="{00000000-0005-0000-0000-000048100000}"/>
    <cellStyle name="Obliczenia 2 8 2" xfId="3880" xr:uid="{00000000-0005-0000-0000-000049100000}"/>
    <cellStyle name="Obliczenia 2 8 3" xfId="5778" xr:uid="{00000000-0005-0000-0000-00004A100000}"/>
    <cellStyle name="Obliczenia 2 9" xfId="1525" xr:uid="{00000000-0005-0000-0000-00004B100000}"/>
    <cellStyle name="Obliczenia 2 9 2" xfId="3881" xr:uid="{00000000-0005-0000-0000-00004C100000}"/>
    <cellStyle name="Obliczenia 2 9 3" xfId="5779" xr:uid="{00000000-0005-0000-0000-00004D100000}"/>
    <cellStyle name="Obliczenia 20" xfId="1526" xr:uid="{00000000-0005-0000-0000-00004E100000}"/>
    <cellStyle name="Obliczenia 20 2" xfId="3882" xr:uid="{00000000-0005-0000-0000-00004F100000}"/>
    <cellStyle name="Obliczenia 20 3" xfId="5780" xr:uid="{00000000-0005-0000-0000-000050100000}"/>
    <cellStyle name="Obliczenia 21" xfId="1527" xr:uid="{00000000-0005-0000-0000-000051100000}"/>
    <cellStyle name="Obliczenia 21 2" xfId="3883" xr:uid="{00000000-0005-0000-0000-000052100000}"/>
    <cellStyle name="Obliczenia 21 3" xfId="5781" xr:uid="{00000000-0005-0000-0000-000053100000}"/>
    <cellStyle name="Obliczenia 22" xfId="1528" xr:uid="{00000000-0005-0000-0000-000054100000}"/>
    <cellStyle name="Obliczenia 22 2" xfId="3884" xr:uid="{00000000-0005-0000-0000-000055100000}"/>
    <cellStyle name="Obliczenia 22 3" xfId="5782" xr:uid="{00000000-0005-0000-0000-000056100000}"/>
    <cellStyle name="Obliczenia 23" xfId="1529" xr:uid="{00000000-0005-0000-0000-000057100000}"/>
    <cellStyle name="Obliczenia 23 2" xfId="3885" xr:uid="{00000000-0005-0000-0000-000058100000}"/>
    <cellStyle name="Obliczenia 23 3" xfId="5783" xr:uid="{00000000-0005-0000-0000-000059100000}"/>
    <cellStyle name="Obliczenia 24" xfId="1530" xr:uid="{00000000-0005-0000-0000-00005A100000}"/>
    <cellStyle name="Obliczenia 24 2" xfId="3886" xr:uid="{00000000-0005-0000-0000-00005B100000}"/>
    <cellStyle name="Obliczenia 24 3" xfId="5784" xr:uid="{00000000-0005-0000-0000-00005C100000}"/>
    <cellStyle name="Obliczenia 25" xfId="1531" xr:uid="{00000000-0005-0000-0000-00005D100000}"/>
    <cellStyle name="Obliczenia 25 2" xfId="3887" xr:uid="{00000000-0005-0000-0000-00005E100000}"/>
    <cellStyle name="Obliczenia 25 3" xfId="5785" xr:uid="{00000000-0005-0000-0000-00005F100000}"/>
    <cellStyle name="Obliczenia 26" xfId="3848" xr:uid="{00000000-0005-0000-0000-000060100000}"/>
    <cellStyle name="Obliczenia 27" xfId="5746" xr:uid="{00000000-0005-0000-0000-000061100000}"/>
    <cellStyle name="Obliczenia 3" xfId="1532" xr:uid="{00000000-0005-0000-0000-000062100000}"/>
    <cellStyle name="Obliczenia 3 10" xfId="1533" xr:uid="{00000000-0005-0000-0000-000063100000}"/>
    <cellStyle name="Obliczenia 3 10 2" xfId="3889" xr:uid="{00000000-0005-0000-0000-000064100000}"/>
    <cellStyle name="Obliczenia 3 10 3" xfId="5787" xr:uid="{00000000-0005-0000-0000-000065100000}"/>
    <cellStyle name="Obliczenia 3 11" xfId="1534" xr:uid="{00000000-0005-0000-0000-000066100000}"/>
    <cellStyle name="Obliczenia 3 11 2" xfId="3890" xr:uid="{00000000-0005-0000-0000-000067100000}"/>
    <cellStyle name="Obliczenia 3 11 3" xfId="5788" xr:uid="{00000000-0005-0000-0000-000068100000}"/>
    <cellStyle name="Obliczenia 3 12" xfId="1535" xr:uid="{00000000-0005-0000-0000-000069100000}"/>
    <cellStyle name="Obliczenia 3 12 2" xfId="3891" xr:uid="{00000000-0005-0000-0000-00006A100000}"/>
    <cellStyle name="Obliczenia 3 12 3" xfId="5789" xr:uid="{00000000-0005-0000-0000-00006B100000}"/>
    <cellStyle name="Obliczenia 3 13" xfId="1536" xr:uid="{00000000-0005-0000-0000-00006C100000}"/>
    <cellStyle name="Obliczenia 3 13 2" xfId="3892" xr:uid="{00000000-0005-0000-0000-00006D100000}"/>
    <cellStyle name="Obliczenia 3 13 3" xfId="5790" xr:uid="{00000000-0005-0000-0000-00006E100000}"/>
    <cellStyle name="Obliczenia 3 14" xfId="1537" xr:uid="{00000000-0005-0000-0000-00006F100000}"/>
    <cellStyle name="Obliczenia 3 14 2" xfId="3893" xr:uid="{00000000-0005-0000-0000-000070100000}"/>
    <cellStyle name="Obliczenia 3 14 3" xfId="5791" xr:uid="{00000000-0005-0000-0000-000071100000}"/>
    <cellStyle name="Obliczenia 3 15" xfId="1538" xr:uid="{00000000-0005-0000-0000-000072100000}"/>
    <cellStyle name="Obliczenia 3 15 2" xfId="3894" xr:uid="{00000000-0005-0000-0000-000073100000}"/>
    <cellStyle name="Obliczenia 3 15 3" xfId="5792" xr:uid="{00000000-0005-0000-0000-000074100000}"/>
    <cellStyle name="Obliczenia 3 16" xfId="1539" xr:uid="{00000000-0005-0000-0000-000075100000}"/>
    <cellStyle name="Obliczenia 3 16 2" xfId="3895" xr:uid="{00000000-0005-0000-0000-000076100000}"/>
    <cellStyle name="Obliczenia 3 16 3" xfId="5793" xr:uid="{00000000-0005-0000-0000-000077100000}"/>
    <cellStyle name="Obliczenia 3 17" xfId="1540" xr:uid="{00000000-0005-0000-0000-000078100000}"/>
    <cellStyle name="Obliczenia 3 17 2" xfId="3896" xr:uid="{00000000-0005-0000-0000-000079100000}"/>
    <cellStyle name="Obliczenia 3 17 3" xfId="5794" xr:uid="{00000000-0005-0000-0000-00007A100000}"/>
    <cellStyle name="Obliczenia 3 18" xfId="1541" xr:uid="{00000000-0005-0000-0000-00007B100000}"/>
    <cellStyle name="Obliczenia 3 18 2" xfId="3897" xr:uid="{00000000-0005-0000-0000-00007C100000}"/>
    <cellStyle name="Obliczenia 3 18 3" xfId="5795" xr:uid="{00000000-0005-0000-0000-00007D100000}"/>
    <cellStyle name="Obliczenia 3 19" xfId="1542" xr:uid="{00000000-0005-0000-0000-00007E100000}"/>
    <cellStyle name="Obliczenia 3 19 2" xfId="3898" xr:uid="{00000000-0005-0000-0000-00007F100000}"/>
    <cellStyle name="Obliczenia 3 19 3" xfId="5796" xr:uid="{00000000-0005-0000-0000-000080100000}"/>
    <cellStyle name="Obliczenia 3 2" xfId="1543" xr:uid="{00000000-0005-0000-0000-000081100000}"/>
    <cellStyle name="Obliczenia 3 2 2" xfId="3899" xr:uid="{00000000-0005-0000-0000-000082100000}"/>
    <cellStyle name="Obliczenia 3 2 3" xfId="5797" xr:uid="{00000000-0005-0000-0000-000083100000}"/>
    <cellStyle name="Obliczenia 3 20" xfId="1544" xr:uid="{00000000-0005-0000-0000-000084100000}"/>
    <cellStyle name="Obliczenia 3 20 2" xfId="3900" xr:uid="{00000000-0005-0000-0000-000085100000}"/>
    <cellStyle name="Obliczenia 3 20 3" xfId="5798" xr:uid="{00000000-0005-0000-0000-000086100000}"/>
    <cellStyle name="Obliczenia 3 21" xfId="1545" xr:uid="{00000000-0005-0000-0000-000087100000}"/>
    <cellStyle name="Obliczenia 3 21 2" xfId="3901" xr:uid="{00000000-0005-0000-0000-000088100000}"/>
    <cellStyle name="Obliczenia 3 21 3" xfId="5799" xr:uid="{00000000-0005-0000-0000-000089100000}"/>
    <cellStyle name="Obliczenia 3 22" xfId="1546" xr:uid="{00000000-0005-0000-0000-00008A100000}"/>
    <cellStyle name="Obliczenia 3 22 2" xfId="3902" xr:uid="{00000000-0005-0000-0000-00008B100000}"/>
    <cellStyle name="Obliczenia 3 22 3" xfId="5800" xr:uid="{00000000-0005-0000-0000-00008C100000}"/>
    <cellStyle name="Obliczenia 3 23" xfId="1547" xr:uid="{00000000-0005-0000-0000-00008D100000}"/>
    <cellStyle name="Obliczenia 3 23 2" xfId="3903" xr:uid="{00000000-0005-0000-0000-00008E100000}"/>
    <cellStyle name="Obliczenia 3 23 3" xfId="5801" xr:uid="{00000000-0005-0000-0000-00008F100000}"/>
    <cellStyle name="Obliczenia 3 24" xfId="3888" xr:uid="{00000000-0005-0000-0000-000090100000}"/>
    <cellStyle name="Obliczenia 3 25" xfId="5786" xr:uid="{00000000-0005-0000-0000-000091100000}"/>
    <cellStyle name="Obliczenia 3 3" xfId="1548" xr:uid="{00000000-0005-0000-0000-000092100000}"/>
    <cellStyle name="Obliczenia 3 3 2" xfId="3904" xr:uid="{00000000-0005-0000-0000-000093100000}"/>
    <cellStyle name="Obliczenia 3 3 3" xfId="5802" xr:uid="{00000000-0005-0000-0000-000094100000}"/>
    <cellStyle name="Obliczenia 3 4" xfId="1549" xr:uid="{00000000-0005-0000-0000-000095100000}"/>
    <cellStyle name="Obliczenia 3 4 2" xfId="3905" xr:uid="{00000000-0005-0000-0000-000096100000}"/>
    <cellStyle name="Obliczenia 3 4 3" xfId="5803" xr:uid="{00000000-0005-0000-0000-000097100000}"/>
    <cellStyle name="Obliczenia 3 5" xfId="1550" xr:uid="{00000000-0005-0000-0000-000098100000}"/>
    <cellStyle name="Obliczenia 3 5 2" xfId="3906" xr:uid="{00000000-0005-0000-0000-000099100000}"/>
    <cellStyle name="Obliczenia 3 5 3" xfId="5804" xr:uid="{00000000-0005-0000-0000-00009A100000}"/>
    <cellStyle name="Obliczenia 3 6" xfId="1551" xr:uid="{00000000-0005-0000-0000-00009B100000}"/>
    <cellStyle name="Obliczenia 3 6 2" xfId="3907" xr:uid="{00000000-0005-0000-0000-00009C100000}"/>
    <cellStyle name="Obliczenia 3 6 3" xfId="5805" xr:uid="{00000000-0005-0000-0000-00009D100000}"/>
    <cellStyle name="Obliczenia 3 7" xfId="1552" xr:uid="{00000000-0005-0000-0000-00009E100000}"/>
    <cellStyle name="Obliczenia 3 7 2" xfId="3908" xr:uid="{00000000-0005-0000-0000-00009F100000}"/>
    <cellStyle name="Obliczenia 3 7 3" xfId="5806" xr:uid="{00000000-0005-0000-0000-0000A0100000}"/>
    <cellStyle name="Obliczenia 3 8" xfId="1553" xr:uid="{00000000-0005-0000-0000-0000A1100000}"/>
    <cellStyle name="Obliczenia 3 8 2" xfId="3909" xr:uid="{00000000-0005-0000-0000-0000A2100000}"/>
    <cellStyle name="Obliczenia 3 8 3" xfId="5807" xr:uid="{00000000-0005-0000-0000-0000A3100000}"/>
    <cellStyle name="Obliczenia 3 9" xfId="1554" xr:uid="{00000000-0005-0000-0000-0000A4100000}"/>
    <cellStyle name="Obliczenia 3 9 2" xfId="3910" xr:uid="{00000000-0005-0000-0000-0000A5100000}"/>
    <cellStyle name="Obliczenia 3 9 3" xfId="5808" xr:uid="{00000000-0005-0000-0000-0000A6100000}"/>
    <cellStyle name="Obliczenia 4" xfId="1555" xr:uid="{00000000-0005-0000-0000-0000A7100000}"/>
    <cellStyle name="Obliczenia 4 2" xfId="3911" xr:uid="{00000000-0005-0000-0000-0000A8100000}"/>
    <cellStyle name="Obliczenia 4 3" xfId="5809" xr:uid="{00000000-0005-0000-0000-0000A9100000}"/>
    <cellStyle name="Obliczenia 5" xfId="1556" xr:uid="{00000000-0005-0000-0000-0000AA100000}"/>
    <cellStyle name="Obliczenia 5 2" xfId="3912" xr:uid="{00000000-0005-0000-0000-0000AB100000}"/>
    <cellStyle name="Obliczenia 5 3" xfId="5810" xr:uid="{00000000-0005-0000-0000-0000AC100000}"/>
    <cellStyle name="Obliczenia 6" xfId="1557" xr:uid="{00000000-0005-0000-0000-0000AD100000}"/>
    <cellStyle name="Obliczenia 6 2" xfId="3913" xr:uid="{00000000-0005-0000-0000-0000AE100000}"/>
    <cellStyle name="Obliczenia 6 3" xfId="5811" xr:uid="{00000000-0005-0000-0000-0000AF100000}"/>
    <cellStyle name="Obliczenia 7" xfId="1558" xr:uid="{00000000-0005-0000-0000-0000B0100000}"/>
    <cellStyle name="Obliczenia 7 2" xfId="3914" xr:uid="{00000000-0005-0000-0000-0000B1100000}"/>
    <cellStyle name="Obliczenia 7 3" xfId="5812" xr:uid="{00000000-0005-0000-0000-0000B2100000}"/>
    <cellStyle name="Obliczenia 8" xfId="1559" xr:uid="{00000000-0005-0000-0000-0000B3100000}"/>
    <cellStyle name="Obliczenia 8 2" xfId="3915" xr:uid="{00000000-0005-0000-0000-0000B4100000}"/>
    <cellStyle name="Obliczenia 8 3" xfId="5813" xr:uid="{00000000-0005-0000-0000-0000B5100000}"/>
    <cellStyle name="Obliczenia 9" xfId="1560" xr:uid="{00000000-0005-0000-0000-0000B6100000}"/>
    <cellStyle name="Obliczenia 9 2" xfId="3916" xr:uid="{00000000-0005-0000-0000-0000B7100000}"/>
    <cellStyle name="Obliczenia 9 3" xfId="5814" xr:uid="{00000000-0005-0000-0000-0000B8100000}"/>
    <cellStyle name="Output" xfId="47" builtinId="21" customBuiltin="1"/>
    <cellStyle name="Output 2" xfId="1561" xr:uid="{00000000-0005-0000-0000-0000BA100000}"/>
    <cellStyle name="Output 2 10" xfId="1562" xr:uid="{00000000-0005-0000-0000-0000BB100000}"/>
    <cellStyle name="Output 2 10 10" xfId="1563" xr:uid="{00000000-0005-0000-0000-0000BC100000}"/>
    <cellStyle name="Output 2 10 10 2" xfId="3919" xr:uid="{00000000-0005-0000-0000-0000BD100000}"/>
    <cellStyle name="Output 2 10 10 3" xfId="5817" xr:uid="{00000000-0005-0000-0000-0000BE100000}"/>
    <cellStyle name="Output 2 10 11" xfId="1564" xr:uid="{00000000-0005-0000-0000-0000BF100000}"/>
    <cellStyle name="Output 2 10 11 2" xfId="3920" xr:uid="{00000000-0005-0000-0000-0000C0100000}"/>
    <cellStyle name="Output 2 10 11 3" xfId="5818" xr:uid="{00000000-0005-0000-0000-0000C1100000}"/>
    <cellStyle name="Output 2 10 12" xfId="1565" xr:uid="{00000000-0005-0000-0000-0000C2100000}"/>
    <cellStyle name="Output 2 10 12 2" xfId="3921" xr:uid="{00000000-0005-0000-0000-0000C3100000}"/>
    <cellStyle name="Output 2 10 12 3" xfId="5819" xr:uid="{00000000-0005-0000-0000-0000C4100000}"/>
    <cellStyle name="Output 2 10 13" xfId="1566" xr:uid="{00000000-0005-0000-0000-0000C5100000}"/>
    <cellStyle name="Output 2 10 13 2" xfId="3922" xr:uid="{00000000-0005-0000-0000-0000C6100000}"/>
    <cellStyle name="Output 2 10 13 3" xfId="5820" xr:uid="{00000000-0005-0000-0000-0000C7100000}"/>
    <cellStyle name="Output 2 10 14" xfId="1567" xr:uid="{00000000-0005-0000-0000-0000C8100000}"/>
    <cellStyle name="Output 2 10 14 2" xfId="3923" xr:uid="{00000000-0005-0000-0000-0000C9100000}"/>
    <cellStyle name="Output 2 10 14 3" xfId="5821" xr:uid="{00000000-0005-0000-0000-0000CA100000}"/>
    <cellStyle name="Output 2 10 15" xfId="1568" xr:uid="{00000000-0005-0000-0000-0000CB100000}"/>
    <cellStyle name="Output 2 10 15 2" xfId="3924" xr:uid="{00000000-0005-0000-0000-0000CC100000}"/>
    <cellStyle name="Output 2 10 15 3" xfId="5822" xr:uid="{00000000-0005-0000-0000-0000CD100000}"/>
    <cellStyle name="Output 2 10 16" xfId="1569" xr:uid="{00000000-0005-0000-0000-0000CE100000}"/>
    <cellStyle name="Output 2 10 16 2" xfId="3925" xr:uid="{00000000-0005-0000-0000-0000CF100000}"/>
    <cellStyle name="Output 2 10 16 3" xfId="5823" xr:uid="{00000000-0005-0000-0000-0000D0100000}"/>
    <cellStyle name="Output 2 10 17" xfId="1570" xr:uid="{00000000-0005-0000-0000-0000D1100000}"/>
    <cellStyle name="Output 2 10 17 2" xfId="3926" xr:uid="{00000000-0005-0000-0000-0000D2100000}"/>
    <cellStyle name="Output 2 10 17 3" xfId="5824" xr:uid="{00000000-0005-0000-0000-0000D3100000}"/>
    <cellStyle name="Output 2 10 18" xfId="1571" xr:uid="{00000000-0005-0000-0000-0000D4100000}"/>
    <cellStyle name="Output 2 10 18 2" xfId="3927" xr:uid="{00000000-0005-0000-0000-0000D5100000}"/>
    <cellStyle name="Output 2 10 18 3" xfId="5825" xr:uid="{00000000-0005-0000-0000-0000D6100000}"/>
    <cellStyle name="Output 2 10 19" xfId="1572" xr:uid="{00000000-0005-0000-0000-0000D7100000}"/>
    <cellStyle name="Output 2 10 19 2" xfId="3928" xr:uid="{00000000-0005-0000-0000-0000D8100000}"/>
    <cellStyle name="Output 2 10 19 3" xfId="5826" xr:uid="{00000000-0005-0000-0000-0000D9100000}"/>
    <cellStyle name="Output 2 10 2" xfId="1573" xr:uid="{00000000-0005-0000-0000-0000DA100000}"/>
    <cellStyle name="Output 2 10 2 2" xfId="3929" xr:uid="{00000000-0005-0000-0000-0000DB100000}"/>
    <cellStyle name="Output 2 10 2 3" xfId="5827" xr:uid="{00000000-0005-0000-0000-0000DC100000}"/>
    <cellStyle name="Output 2 10 20" xfId="1574" xr:uid="{00000000-0005-0000-0000-0000DD100000}"/>
    <cellStyle name="Output 2 10 20 2" xfId="3930" xr:uid="{00000000-0005-0000-0000-0000DE100000}"/>
    <cellStyle name="Output 2 10 20 3" xfId="5828" xr:uid="{00000000-0005-0000-0000-0000DF100000}"/>
    <cellStyle name="Output 2 10 21" xfId="1575" xr:uid="{00000000-0005-0000-0000-0000E0100000}"/>
    <cellStyle name="Output 2 10 21 2" xfId="3931" xr:uid="{00000000-0005-0000-0000-0000E1100000}"/>
    <cellStyle name="Output 2 10 21 3" xfId="5829" xr:uid="{00000000-0005-0000-0000-0000E2100000}"/>
    <cellStyle name="Output 2 10 22" xfId="1576" xr:uid="{00000000-0005-0000-0000-0000E3100000}"/>
    <cellStyle name="Output 2 10 22 2" xfId="3932" xr:uid="{00000000-0005-0000-0000-0000E4100000}"/>
    <cellStyle name="Output 2 10 22 3" xfId="5830" xr:uid="{00000000-0005-0000-0000-0000E5100000}"/>
    <cellStyle name="Output 2 10 23" xfId="1577" xr:uid="{00000000-0005-0000-0000-0000E6100000}"/>
    <cellStyle name="Output 2 10 23 2" xfId="3933" xr:uid="{00000000-0005-0000-0000-0000E7100000}"/>
    <cellStyle name="Output 2 10 23 3" xfId="5831" xr:uid="{00000000-0005-0000-0000-0000E8100000}"/>
    <cellStyle name="Output 2 10 24" xfId="3918" xr:uid="{00000000-0005-0000-0000-0000E9100000}"/>
    <cellStyle name="Output 2 10 25" xfId="5816" xr:uid="{00000000-0005-0000-0000-0000EA100000}"/>
    <cellStyle name="Output 2 10 3" xfId="1578" xr:uid="{00000000-0005-0000-0000-0000EB100000}"/>
    <cellStyle name="Output 2 10 3 2" xfId="3934" xr:uid="{00000000-0005-0000-0000-0000EC100000}"/>
    <cellStyle name="Output 2 10 3 3" xfId="5832" xr:uid="{00000000-0005-0000-0000-0000ED100000}"/>
    <cellStyle name="Output 2 10 4" xfId="1579" xr:uid="{00000000-0005-0000-0000-0000EE100000}"/>
    <cellStyle name="Output 2 10 4 2" xfId="3935" xr:uid="{00000000-0005-0000-0000-0000EF100000}"/>
    <cellStyle name="Output 2 10 4 3" xfId="5833" xr:uid="{00000000-0005-0000-0000-0000F0100000}"/>
    <cellStyle name="Output 2 10 5" xfId="1580" xr:uid="{00000000-0005-0000-0000-0000F1100000}"/>
    <cellStyle name="Output 2 10 5 2" xfId="3936" xr:uid="{00000000-0005-0000-0000-0000F2100000}"/>
    <cellStyle name="Output 2 10 5 3" xfId="5834" xr:uid="{00000000-0005-0000-0000-0000F3100000}"/>
    <cellStyle name="Output 2 10 6" xfId="1581" xr:uid="{00000000-0005-0000-0000-0000F4100000}"/>
    <cellStyle name="Output 2 10 6 2" xfId="3937" xr:uid="{00000000-0005-0000-0000-0000F5100000}"/>
    <cellStyle name="Output 2 10 6 3" xfId="5835" xr:uid="{00000000-0005-0000-0000-0000F6100000}"/>
    <cellStyle name="Output 2 10 7" xfId="1582" xr:uid="{00000000-0005-0000-0000-0000F7100000}"/>
    <cellStyle name="Output 2 10 7 2" xfId="3938" xr:uid="{00000000-0005-0000-0000-0000F8100000}"/>
    <cellStyle name="Output 2 10 7 3" xfId="5836" xr:uid="{00000000-0005-0000-0000-0000F9100000}"/>
    <cellStyle name="Output 2 10 8" xfId="1583" xr:uid="{00000000-0005-0000-0000-0000FA100000}"/>
    <cellStyle name="Output 2 10 8 2" xfId="3939" xr:uid="{00000000-0005-0000-0000-0000FB100000}"/>
    <cellStyle name="Output 2 10 8 3" xfId="5837" xr:uid="{00000000-0005-0000-0000-0000FC100000}"/>
    <cellStyle name="Output 2 10 9" xfId="1584" xr:uid="{00000000-0005-0000-0000-0000FD100000}"/>
    <cellStyle name="Output 2 10 9 2" xfId="3940" xr:uid="{00000000-0005-0000-0000-0000FE100000}"/>
    <cellStyle name="Output 2 10 9 3" xfId="5838" xr:uid="{00000000-0005-0000-0000-0000FF100000}"/>
    <cellStyle name="Output 2 11" xfId="1585" xr:uid="{00000000-0005-0000-0000-000000110000}"/>
    <cellStyle name="Output 2 11 10" xfId="1586" xr:uid="{00000000-0005-0000-0000-000001110000}"/>
    <cellStyle name="Output 2 11 10 2" xfId="3942" xr:uid="{00000000-0005-0000-0000-000002110000}"/>
    <cellStyle name="Output 2 11 10 3" xfId="5840" xr:uid="{00000000-0005-0000-0000-000003110000}"/>
    <cellStyle name="Output 2 11 11" xfId="1587" xr:uid="{00000000-0005-0000-0000-000004110000}"/>
    <cellStyle name="Output 2 11 11 2" xfId="3943" xr:uid="{00000000-0005-0000-0000-000005110000}"/>
    <cellStyle name="Output 2 11 11 3" xfId="5841" xr:uid="{00000000-0005-0000-0000-000006110000}"/>
    <cellStyle name="Output 2 11 12" xfId="1588" xr:uid="{00000000-0005-0000-0000-000007110000}"/>
    <cellStyle name="Output 2 11 12 2" xfId="3944" xr:uid="{00000000-0005-0000-0000-000008110000}"/>
    <cellStyle name="Output 2 11 12 3" xfId="5842" xr:uid="{00000000-0005-0000-0000-000009110000}"/>
    <cellStyle name="Output 2 11 13" xfId="1589" xr:uid="{00000000-0005-0000-0000-00000A110000}"/>
    <cellStyle name="Output 2 11 13 2" xfId="3945" xr:uid="{00000000-0005-0000-0000-00000B110000}"/>
    <cellStyle name="Output 2 11 13 3" xfId="5843" xr:uid="{00000000-0005-0000-0000-00000C110000}"/>
    <cellStyle name="Output 2 11 14" xfId="1590" xr:uid="{00000000-0005-0000-0000-00000D110000}"/>
    <cellStyle name="Output 2 11 14 2" xfId="3946" xr:uid="{00000000-0005-0000-0000-00000E110000}"/>
    <cellStyle name="Output 2 11 14 3" xfId="5844" xr:uid="{00000000-0005-0000-0000-00000F110000}"/>
    <cellStyle name="Output 2 11 15" xfId="1591" xr:uid="{00000000-0005-0000-0000-000010110000}"/>
    <cellStyle name="Output 2 11 15 2" xfId="3947" xr:uid="{00000000-0005-0000-0000-000011110000}"/>
    <cellStyle name="Output 2 11 15 3" xfId="5845" xr:uid="{00000000-0005-0000-0000-000012110000}"/>
    <cellStyle name="Output 2 11 16" xfId="1592" xr:uid="{00000000-0005-0000-0000-000013110000}"/>
    <cellStyle name="Output 2 11 16 2" xfId="3948" xr:uid="{00000000-0005-0000-0000-000014110000}"/>
    <cellStyle name="Output 2 11 16 3" xfId="5846" xr:uid="{00000000-0005-0000-0000-000015110000}"/>
    <cellStyle name="Output 2 11 17" xfId="1593" xr:uid="{00000000-0005-0000-0000-000016110000}"/>
    <cellStyle name="Output 2 11 17 2" xfId="3949" xr:uid="{00000000-0005-0000-0000-000017110000}"/>
    <cellStyle name="Output 2 11 17 3" xfId="5847" xr:uid="{00000000-0005-0000-0000-000018110000}"/>
    <cellStyle name="Output 2 11 18" xfId="1594" xr:uid="{00000000-0005-0000-0000-000019110000}"/>
    <cellStyle name="Output 2 11 18 2" xfId="3950" xr:uid="{00000000-0005-0000-0000-00001A110000}"/>
    <cellStyle name="Output 2 11 18 3" xfId="5848" xr:uid="{00000000-0005-0000-0000-00001B110000}"/>
    <cellStyle name="Output 2 11 19" xfId="1595" xr:uid="{00000000-0005-0000-0000-00001C110000}"/>
    <cellStyle name="Output 2 11 19 2" xfId="3951" xr:uid="{00000000-0005-0000-0000-00001D110000}"/>
    <cellStyle name="Output 2 11 19 3" xfId="5849" xr:uid="{00000000-0005-0000-0000-00001E110000}"/>
    <cellStyle name="Output 2 11 2" xfId="1596" xr:uid="{00000000-0005-0000-0000-00001F110000}"/>
    <cellStyle name="Output 2 11 2 2" xfId="3952" xr:uid="{00000000-0005-0000-0000-000020110000}"/>
    <cellStyle name="Output 2 11 2 3" xfId="5850" xr:uid="{00000000-0005-0000-0000-000021110000}"/>
    <cellStyle name="Output 2 11 20" xfId="1597" xr:uid="{00000000-0005-0000-0000-000022110000}"/>
    <cellStyle name="Output 2 11 20 2" xfId="3953" xr:uid="{00000000-0005-0000-0000-000023110000}"/>
    <cellStyle name="Output 2 11 20 3" xfId="5851" xr:uid="{00000000-0005-0000-0000-000024110000}"/>
    <cellStyle name="Output 2 11 21" xfId="1598" xr:uid="{00000000-0005-0000-0000-000025110000}"/>
    <cellStyle name="Output 2 11 21 2" xfId="3954" xr:uid="{00000000-0005-0000-0000-000026110000}"/>
    <cellStyle name="Output 2 11 21 3" xfId="5852" xr:uid="{00000000-0005-0000-0000-000027110000}"/>
    <cellStyle name="Output 2 11 22" xfId="1599" xr:uid="{00000000-0005-0000-0000-000028110000}"/>
    <cellStyle name="Output 2 11 22 2" xfId="3955" xr:uid="{00000000-0005-0000-0000-000029110000}"/>
    <cellStyle name="Output 2 11 22 3" xfId="5853" xr:uid="{00000000-0005-0000-0000-00002A110000}"/>
    <cellStyle name="Output 2 11 23" xfId="1600" xr:uid="{00000000-0005-0000-0000-00002B110000}"/>
    <cellStyle name="Output 2 11 23 2" xfId="3956" xr:uid="{00000000-0005-0000-0000-00002C110000}"/>
    <cellStyle name="Output 2 11 23 3" xfId="5854" xr:uid="{00000000-0005-0000-0000-00002D110000}"/>
    <cellStyle name="Output 2 11 24" xfId="3941" xr:uid="{00000000-0005-0000-0000-00002E110000}"/>
    <cellStyle name="Output 2 11 25" xfId="5839" xr:uid="{00000000-0005-0000-0000-00002F110000}"/>
    <cellStyle name="Output 2 11 3" xfId="1601" xr:uid="{00000000-0005-0000-0000-000030110000}"/>
    <cellStyle name="Output 2 11 3 2" xfId="3957" xr:uid="{00000000-0005-0000-0000-000031110000}"/>
    <cellStyle name="Output 2 11 3 3" xfId="5855" xr:uid="{00000000-0005-0000-0000-000032110000}"/>
    <cellStyle name="Output 2 11 4" xfId="1602" xr:uid="{00000000-0005-0000-0000-000033110000}"/>
    <cellStyle name="Output 2 11 4 2" xfId="3958" xr:uid="{00000000-0005-0000-0000-000034110000}"/>
    <cellStyle name="Output 2 11 4 3" xfId="5856" xr:uid="{00000000-0005-0000-0000-000035110000}"/>
    <cellStyle name="Output 2 11 5" xfId="1603" xr:uid="{00000000-0005-0000-0000-000036110000}"/>
    <cellStyle name="Output 2 11 5 2" xfId="3959" xr:uid="{00000000-0005-0000-0000-000037110000}"/>
    <cellStyle name="Output 2 11 5 3" xfId="5857" xr:uid="{00000000-0005-0000-0000-000038110000}"/>
    <cellStyle name="Output 2 11 6" xfId="1604" xr:uid="{00000000-0005-0000-0000-000039110000}"/>
    <cellStyle name="Output 2 11 6 2" xfId="3960" xr:uid="{00000000-0005-0000-0000-00003A110000}"/>
    <cellStyle name="Output 2 11 6 3" xfId="5858" xr:uid="{00000000-0005-0000-0000-00003B110000}"/>
    <cellStyle name="Output 2 11 7" xfId="1605" xr:uid="{00000000-0005-0000-0000-00003C110000}"/>
    <cellStyle name="Output 2 11 7 2" xfId="3961" xr:uid="{00000000-0005-0000-0000-00003D110000}"/>
    <cellStyle name="Output 2 11 7 3" xfId="5859" xr:uid="{00000000-0005-0000-0000-00003E110000}"/>
    <cellStyle name="Output 2 11 8" xfId="1606" xr:uid="{00000000-0005-0000-0000-00003F110000}"/>
    <cellStyle name="Output 2 11 8 2" xfId="3962" xr:uid="{00000000-0005-0000-0000-000040110000}"/>
    <cellStyle name="Output 2 11 8 3" xfId="5860" xr:uid="{00000000-0005-0000-0000-000041110000}"/>
    <cellStyle name="Output 2 11 9" xfId="1607" xr:uid="{00000000-0005-0000-0000-000042110000}"/>
    <cellStyle name="Output 2 11 9 2" xfId="3963" xr:uid="{00000000-0005-0000-0000-000043110000}"/>
    <cellStyle name="Output 2 11 9 3" xfId="5861" xr:uid="{00000000-0005-0000-0000-000044110000}"/>
    <cellStyle name="Output 2 12" xfId="1608" xr:uid="{00000000-0005-0000-0000-000045110000}"/>
    <cellStyle name="Output 2 12 10" xfId="1609" xr:uid="{00000000-0005-0000-0000-000046110000}"/>
    <cellStyle name="Output 2 12 10 2" xfId="3965" xr:uid="{00000000-0005-0000-0000-000047110000}"/>
    <cellStyle name="Output 2 12 10 3" xfId="5863" xr:uid="{00000000-0005-0000-0000-000048110000}"/>
    <cellStyle name="Output 2 12 11" xfId="1610" xr:uid="{00000000-0005-0000-0000-000049110000}"/>
    <cellStyle name="Output 2 12 11 2" xfId="3966" xr:uid="{00000000-0005-0000-0000-00004A110000}"/>
    <cellStyle name="Output 2 12 11 3" xfId="5864" xr:uid="{00000000-0005-0000-0000-00004B110000}"/>
    <cellStyle name="Output 2 12 12" xfId="1611" xr:uid="{00000000-0005-0000-0000-00004C110000}"/>
    <cellStyle name="Output 2 12 12 2" xfId="3967" xr:uid="{00000000-0005-0000-0000-00004D110000}"/>
    <cellStyle name="Output 2 12 12 3" xfId="5865" xr:uid="{00000000-0005-0000-0000-00004E110000}"/>
    <cellStyle name="Output 2 12 13" xfId="1612" xr:uid="{00000000-0005-0000-0000-00004F110000}"/>
    <cellStyle name="Output 2 12 13 2" xfId="3968" xr:uid="{00000000-0005-0000-0000-000050110000}"/>
    <cellStyle name="Output 2 12 13 3" xfId="5866" xr:uid="{00000000-0005-0000-0000-000051110000}"/>
    <cellStyle name="Output 2 12 14" xfId="1613" xr:uid="{00000000-0005-0000-0000-000052110000}"/>
    <cellStyle name="Output 2 12 14 2" xfId="3969" xr:uid="{00000000-0005-0000-0000-000053110000}"/>
    <cellStyle name="Output 2 12 14 3" xfId="5867" xr:uid="{00000000-0005-0000-0000-000054110000}"/>
    <cellStyle name="Output 2 12 15" xfId="1614" xr:uid="{00000000-0005-0000-0000-000055110000}"/>
    <cellStyle name="Output 2 12 15 2" xfId="3970" xr:uid="{00000000-0005-0000-0000-000056110000}"/>
    <cellStyle name="Output 2 12 15 3" xfId="5868" xr:uid="{00000000-0005-0000-0000-000057110000}"/>
    <cellStyle name="Output 2 12 16" xfId="1615" xr:uid="{00000000-0005-0000-0000-000058110000}"/>
    <cellStyle name="Output 2 12 16 2" xfId="3971" xr:uid="{00000000-0005-0000-0000-000059110000}"/>
    <cellStyle name="Output 2 12 16 3" xfId="5869" xr:uid="{00000000-0005-0000-0000-00005A110000}"/>
    <cellStyle name="Output 2 12 17" xfId="1616" xr:uid="{00000000-0005-0000-0000-00005B110000}"/>
    <cellStyle name="Output 2 12 17 2" xfId="3972" xr:uid="{00000000-0005-0000-0000-00005C110000}"/>
    <cellStyle name="Output 2 12 17 3" xfId="5870" xr:uid="{00000000-0005-0000-0000-00005D110000}"/>
    <cellStyle name="Output 2 12 18" xfId="1617" xr:uid="{00000000-0005-0000-0000-00005E110000}"/>
    <cellStyle name="Output 2 12 18 2" xfId="3973" xr:uid="{00000000-0005-0000-0000-00005F110000}"/>
    <cellStyle name="Output 2 12 18 3" xfId="5871" xr:uid="{00000000-0005-0000-0000-000060110000}"/>
    <cellStyle name="Output 2 12 19" xfId="1618" xr:uid="{00000000-0005-0000-0000-000061110000}"/>
    <cellStyle name="Output 2 12 19 2" xfId="3974" xr:uid="{00000000-0005-0000-0000-000062110000}"/>
    <cellStyle name="Output 2 12 19 3" xfId="5872" xr:uid="{00000000-0005-0000-0000-000063110000}"/>
    <cellStyle name="Output 2 12 2" xfId="1619" xr:uid="{00000000-0005-0000-0000-000064110000}"/>
    <cellStyle name="Output 2 12 2 2" xfId="3975" xr:uid="{00000000-0005-0000-0000-000065110000}"/>
    <cellStyle name="Output 2 12 2 3" xfId="5873" xr:uid="{00000000-0005-0000-0000-000066110000}"/>
    <cellStyle name="Output 2 12 20" xfId="1620" xr:uid="{00000000-0005-0000-0000-000067110000}"/>
    <cellStyle name="Output 2 12 20 2" xfId="3976" xr:uid="{00000000-0005-0000-0000-000068110000}"/>
    <cellStyle name="Output 2 12 20 3" xfId="5874" xr:uid="{00000000-0005-0000-0000-000069110000}"/>
    <cellStyle name="Output 2 12 21" xfId="1621" xr:uid="{00000000-0005-0000-0000-00006A110000}"/>
    <cellStyle name="Output 2 12 21 2" xfId="3977" xr:uid="{00000000-0005-0000-0000-00006B110000}"/>
    <cellStyle name="Output 2 12 21 3" xfId="5875" xr:uid="{00000000-0005-0000-0000-00006C110000}"/>
    <cellStyle name="Output 2 12 22" xfId="1622" xr:uid="{00000000-0005-0000-0000-00006D110000}"/>
    <cellStyle name="Output 2 12 22 2" xfId="3978" xr:uid="{00000000-0005-0000-0000-00006E110000}"/>
    <cellStyle name="Output 2 12 22 3" xfId="5876" xr:uid="{00000000-0005-0000-0000-00006F110000}"/>
    <cellStyle name="Output 2 12 23" xfId="1623" xr:uid="{00000000-0005-0000-0000-000070110000}"/>
    <cellStyle name="Output 2 12 23 2" xfId="3979" xr:uid="{00000000-0005-0000-0000-000071110000}"/>
    <cellStyle name="Output 2 12 23 3" xfId="5877" xr:uid="{00000000-0005-0000-0000-000072110000}"/>
    <cellStyle name="Output 2 12 24" xfId="3964" xr:uid="{00000000-0005-0000-0000-000073110000}"/>
    <cellStyle name="Output 2 12 25" xfId="5862" xr:uid="{00000000-0005-0000-0000-000074110000}"/>
    <cellStyle name="Output 2 12 3" xfId="1624" xr:uid="{00000000-0005-0000-0000-000075110000}"/>
    <cellStyle name="Output 2 12 3 2" xfId="3980" xr:uid="{00000000-0005-0000-0000-000076110000}"/>
    <cellStyle name="Output 2 12 3 3" xfId="5878" xr:uid="{00000000-0005-0000-0000-000077110000}"/>
    <cellStyle name="Output 2 12 4" xfId="1625" xr:uid="{00000000-0005-0000-0000-000078110000}"/>
    <cellStyle name="Output 2 12 4 2" xfId="3981" xr:uid="{00000000-0005-0000-0000-000079110000}"/>
    <cellStyle name="Output 2 12 4 3" xfId="5879" xr:uid="{00000000-0005-0000-0000-00007A110000}"/>
    <cellStyle name="Output 2 12 5" xfId="1626" xr:uid="{00000000-0005-0000-0000-00007B110000}"/>
    <cellStyle name="Output 2 12 5 2" xfId="3982" xr:uid="{00000000-0005-0000-0000-00007C110000}"/>
    <cellStyle name="Output 2 12 5 3" xfId="5880" xr:uid="{00000000-0005-0000-0000-00007D110000}"/>
    <cellStyle name="Output 2 12 6" xfId="1627" xr:uid="{00000000-0005-0000-0000-00007E110000}"/>
    <cellStyle name="Output 2 12 6 2" xfId="3983" xr:uid="{00000000-0005-0000-0000-00007F110000}"/>
    <cellStyle name="Output 2 12 6 3" xfId="5881" xr:uid="{00000000-0005-0000-0000-000080110000}"/>
    <cellStyle name="Output 2 12 7" xfId="1628" xr:uid="{00000000-0005-0000-0000-000081110000}"/>
    <cellStyle name="Output 2 12 7 2" xfId="3984" xr:uid="{00000000-0005-0000-0000-000082110000}"/>
    <cellStyle name="Output 2 12 7 3" xfId="5882" xr:uid="{00000000-0005-0000-0000-000083110000}"/>
    <cellStyle name="Output 2 12 8" xfId="1629" xr:uid="{00000000-0005-0000-0000-000084110000}"/>
    <cellStyle name="Output 2 12 8 2" xfId="3985" xr:uid="{00000000-0005-0000-0000-000085110000}"/>
    <cellStyle name="Output 2 12 8 3" xfId="5883" xr:uid="{00000000-0005-0000-0000-000086110000}"/>
    <cellStyle name="Output 2 12 9" xfId="1630" xr:uid="{00000000-0005-0000-0000-000087110000}"/>
    <cellStyle name="Output 2 12 9 2" xfId="3986" xr:uid="{00000000-0005-0000-0000-000088110000}"/>
    <cellStyle name="Output 2 12 9 3" xfId="5884" xr:uid="{00000000-0005-0000-0000-000089110000}"/>
    <cellStyle name="Output 2 13" xfId="1631" xr:uid="{00000000-0005-0000-0000-00008A110000}"/>
    <cellStyle name="Output 2 13 10" xfId="1632" xr:uid="{00000000-0005-0000-0000-00008B110000}"/>
    <cellStyle name="Output 2 13 10 2" xfId="3988" xr:uid="{00000000-0005-0000-0000-00008C110000}"/>
    <cellStyle name="Output 2 13 10 3" xfId="5886" xr:uid="{00000000-0005-0000-0000-00008D110000}"/>
    <cellStyle name="Output 2 13 11" xfId="1633" xr:uid="{00000000-0005-0000-0000-00008E110000}"/>
    <cellStyle name="Output 2 13 11 2" xfId="3989" xr:uid="{00000000-0005-0000-0000-00008F110000}"/>
    <cellStyle name="Output 2 13 11 3" xfId="5887" xr:uid="{00000000-0005-0000-0000-000090110000}"/>
    <cellStyle name="Output 2 13 12" xfId="1634" xr:uid="{00000000-0005-0000-0000-000091110000}"/>
    <cellStyle name="Output 2 13 12 2" xfId="3990" xr:uid="{00000000-0005-0000-0000-000092110000}"/>
    <cellStyle name="Output 2 13 12 3" xfId="5888" xr:uid="{00000000-0005-0000-0000-000093110000}"/>
    <cellStyle name="Output 2 13 13" xfId="1635" xr:uid="{00000000-0005-0000-0000-000094110000}"/>
    <cellStyle name="Output 2 13 13 2" xfId="3991" xr:uid="{00000000-0005-0000-0000-000095110000}"/>
    <cellStyle name="Output 2 13 13 3" xfId="5889" xr:uid="{00000000-0005-0000-0000-000096110000}"/>
    <cellStyle name="Output 2 13 14" xfId="1636" xr:uid="{00000000-0005-0000-0000-000097110000}"/>
    <cellStyle name="Output 2 13 14 2" xfId="3992" xr:uid="{00000000-0005-0000-0000-000098110000}"/>
    <cellStyle name="Output 2 13 14 3" xfId="5890" xr:uid="{00000000-0005-0000-0000-000099110000}"/>
    <cellStyle name="Output 2 13 15" xfId="1637" xr:uid="{00000000-0005-0000-0000-00009A110000}"/>
    <cellStyle name="Output 2 13 15 2" xfId="3993" xr:uid="{00000000-0005-0000-0000-00009B110000}"/>
    <cellStyle name="Output 2 13 15 3" xfId="5891" xr:uid="{00000000-0005-0000-0000-00009C110000}"/>
    <cellStyle name="Output 2 13 16" xfId="1638" xr:uid="{00000000-0005-0000-0000-00009D110000}"/>
    <cellStyle name="Output 2 13 16 2" xfId="3994" xr:uid="{00000000-0005-0000-0000-00009E110000}"/>
    <cellStyle name="Output 2 13 16 3" xfId="5892" xr:uid="{00000000-0005-0000-0000-00009F110000}"/>
    <cellStyle name="Output 2 13 17" xfId="1639" xr:uid="{00000000-0005-0000-0000-0000A0110000}"/>
    <cellStyle name="Output 2 13 17 2" xfId="3995" xr:uid="{00000000-0005-0000-0000-0000A1110000}"/>
    <cellStyle name="Output 2 13 17 3" xfId="5893" xr:uid="{00000000-0005-0000-0000-0000A2110000}"/>
    <cellStyle name="Output 2 13 18" xfId="1640" xr:uid="{00000000-0005-0000-0000-0000A3110000}"/>
    <cellStyle name="Output 2 13 18 2" xfId="3996" xr:uid="{00000000-0005-0000-0000-0000A4110000}"/>
    <cellStyle name="Output 2 13 18 3" xfId="5894" xr:uid="{00000000-0005-0000-0000-0000A5110000}"/>
    <cellStyle name="Output 2 13 19" xfId="1641" xr:uid="{00000000-0005-0000-0000-0000A6110000}"/>
    <cellStyle name="Output 2 13 19 2" xfId="3997" xr:uid="{00000000-0005-0000-0000-0000A7110000}"/>
    <cellStyle name="Output 2 13 19 3" xfId="5895" xr:uid="{00000000-0005-0000-0000-0000A8110000}"/>
    <cellStyle name="Output 2 13 2" xfId="1642" xr:uid="{00000000-0005-0000-0000-0000A9110000}"/>
    <cellStyle name="Output 2 13 2 2" xfId="3998" xr:uid="{00000000-0005-0000-0000-0000AA110000}"/>
    <cellStyle name="Output 2 13 2 3" xfId="5896" xr:uid="{00000000-0005-0000-0000-0000AB110000}"/>
    <cellStyle name="Output 2 13 20" xfId="1643" xr:uid="{00000000-0005-0000-0000-0000AC110000}"/>
    <cellStyle name="Output 2 13 20 2" xfId="3999" xr:uid="{00000000-0005-0000-0000-0000AD110000}"/>
    <cellStyle name="Output 2 13 20 3" xfId="5897" xr:uid="{00000000-0005-0000-0000-0000AE110000}"/>
    <cellStyle name="Output 2 13 21" xfId="1644" xr:uid="{00000000-0005-0000-0000-0000AF110000}"/>
    <cellStyle name="Output 2 13 21 2" xfId="4000" xr:uid="{00000000-0005-0000-0000-0000B0110000}"/>
    <cellStyle name="Output 2 13 21 3" xfId="5898" xr:uid="{00000000-0005-0000-0000-0000B1110000}"/>
    <cellStyle name="Output 2 13 22" xfId="1645" xr:uid="{00000000-0005-0000-0000-0000B2110000}"/>
    <cellStyle name="Output 2 13 22 2" xfId="4001" xr:uid="{00000000-0005-0000-0000-0000B3110000}"/>
    <cellStyle name="Output 2 13 22 3" xfId="5899" xr:uid="{00000000-0005-0000-0000-0000B4110000}"/>
    <cellStyle name="Output 2 13 23" xfId="1646" xr:uid="{00000000-0005-0000-0000-0000B5110000}"/>
    <cellStyle name="Output 2 13 23 2" xfId="4002" xr:uid="{00000000-0005-0000-0000-0000B6110000}"/>
    <cellStyle name="Output 2 13 23 3" xfId="5900" xr:uid="{00000000-0005-0000-0000-0000B7110000}"/>
    <cellStyle name="Output 2 13 24" xfId="3987" xr:uid="{00000000-0005-0000-0000-0000B8110000}"/>
    <cellStyle name="Output 2 13 25" xfId="5885" xr:uid="{00000000-0005-0000-0000-0000B9110000}"/>
    <cellStyle name="Output 2 13 3" xfId="1647" xr:uid="{00000000-0005-0000-0000-0000BA110000}"/>
    <cellStyle name="Output 2 13 3 2" xfId="4003" xr:uid="{00000000-0005-0000-0000-0000BB110000}"/>
    <cellStyle name="Output 2 13 3 3" xfId="5901" xr:uid="{00000000-0005-0000-0000-0000BC110000}"/>
    <cellStyle name="Output 2 13 4" xfId="1648" xr:uid="{00000000-0005-0000-0000-0000BD110000}"/>
    <cellStyle name="Output 2 13 4 2" xfId="4004" xr:uid="{00000000-0005-0000-0000-0000BE110000}"/>
    <cellStyle name="Output 2 13 4 3" xfId="5902" xr:uid="{00000000-0005-0000-0000-0000BF110000}"/>
    <cellStyle name="Output 2 13 5" xfId="1649" xr:uid="{00000000-0005-0000-0000-0000C0110000}"/>
    <cellStyle name="Output 2 13 5 2" xfId="4005" xr:uid="{00000000-0005-0000-0000-0000C1110000}"/>
    <cellStyle name="Output 2 13 5 3" xfId="5903" xr:uid="{00000000-0005-0000-0000-0000C2110000}"/>
    <cellStyle name="Output 2 13 6" xfId="1650" xr:uid="{00000000-0005-0000-0000-0000C3110000}"/>
    <cellStyle name="Output 2 13 6 2" xfId="4006" xr:uid="{00000000-0005-0000-0000-0000C4110000}"/>
    <cellStyle name="Output 2 13 6 3" xfId="5904" xr:uid="{00000000-0005-0000-0000-0000C5110000}"/>
    <cellStyle name="Output 2 13 7" xfId="1651" xr:uid="{00000000-0005-0000-0000-0000C6110000}"/>
    <cellStyle name="Output 2 13 7 2" xfId="4007" xr:uid="{00000000-0005-0000-0000-0000C7110000}"/>
    <cellStyle name="Output 2 13 7 3" xfId="5905" xr:uid="{00000000-0005-0000-0000-0000C8110000}"/>
    <cellStyle name="Output 2 13 8" xfId="1652" xr:uid="{00000000-0005-0000-0000-0000C9110000}"/>
    <cellStyle name="Output 2 13 8 2" xfId="4008" xr:uid="{00000000-0005-0000-0000-0000CA110000}"/>
    <cellStyle name="Output 2 13 8 3" xfId="5906" xr:uid="{00000000-0005-0000-0000-0000CB110000}"/>
    <cellStyle name="Output 2 13 9" xfId="1653" xr:uid="{00000000-0005-0000-0000-0000CC110000}"/>
    <cellStyle name="Output 2 13 9 2" xfId="4009" xr:uid="{00000000-0005-0000-0000-0000CD110000}"/>
    <cellStyle name="Output 2 13 9 3" xfId="5907" xr:uid="{00000000-0005-0000-0000-0000CE110000}"/>
    <cellStyle name="Output 2 14" xfId="1654" xr:uid="{00000000-0005-0000-0000-0000CF110000}"/>
    <cellStyle name="Output 2 14 10" xfId="1655" xr:uid="{00000000-0005-0000-0000-0000D0110000}"/>
    <cellStyle name="Output 2 14 10 2" xfId="4011" xr:uid="{00000000-0005-0000-0000-0000D1110000}"/>
    <cellStyle name="Output 2 14 10 3" xfId="5909" xr:uid="{00000000-0005-0000-0000-0000D2110000}"/>
    <cellStyle name="Output 2 14 11" xfId="1656" xr:uid="{00000000-0005-0000-0000-0000D3110000}"/>
    <cellStyle name="Output 2 14 11 2" xfId="4012" xr:uid="{00000000-0005-0000-0000-0000D4110000}"/>
    <cellStyle name="Output 2 14 11 3" xfId="5910" xr:uid="{00000000-0005-0000-0000-0000D5110000}"/>
    <cellStyle name="Output 2 14 12" xfId="1657" xr:uid="{00000000-0005-0000-0000-0000D6110000}"/>
    <cellStyle name="Output 2 14 12 2" xfId="4013" xr:uid="{00000000-0005-0000-0000-0000D7110000}"/>
    <cellStyle name="Output 2 14 12 3" xfId="5911" xr:uid="{00000000-0005-0000-0000-0000D8110000}"/>
    <cellStyle name="Output 2 14 13" xfId="1658" xr:uid="{00000000-0005-0000-0000-0000D9110000}"/>
    <cellStyle name="Output 2 14 13 2" xfId="4014" xr:uid="{00000000-0005-0000-0000-0000DA110000}"/>
    <cellStyle name="Output 2 14 13 3" xfId="5912" xr:uid="{00000000-0005-0000-0000-0000DB110000}"/>
    <cellStyle name="Output 2 14 14" xfId="1659" xr:uid="{00000000-0005-0000-0000-0000DC110000}"/>
    <cellStyle name="Output 2 14 14 2" xfId="4015" xr:uid="{00000000-0005-0000-0000-0000DD110000}"/>
    <cellStyle name="Output 2 14 14 3" xfId="5913" xr:uid="{00000000-0005-0000-0000-0000DE110000}"/>
    <cellStyle name="Output 2 14 15" xfId="1660" xr:uid="{00000000-0005-0000-0000-0000DF110000}"/>
    <cellStyle name="Output 2 14 15 2" xfId="4016" xr:uid="{00000000-0005-0000-0000-0000E0110000}"/>
    <cellStyle name="Output 2 14 15 3" xfId="5914" xr:uid="{00000000-0005-0000-0000-0000E1110000}"/>
    <cellStyle name="Output 2 14 16" xfId="1661" xr:uid="{00000000-0005-0000-0000-0000E2110000}"/>
    <cellStyle name="Output 2 14 16 2" xfId="4017" xr:uid="{00000000-0005-0000-0000-0000E3110000}"/>
    <cellStyle name="Output 2 14 16 3" xfId="5915" xr:uid="{00000000-0005-0000-0000-0000E4110000}"/>
    <cellStyle name="Output 2 14 17" xfId="1662" xr:uid="{00000000-0005-0000-0000-0000E5110000}"/>
    <cellStyle name="Output 2 14 17 2" xfId="4018" xr:uid="{00000000-0005-0000-0000-0000E6110000}"/>
    <cellStyle name="Output 2 14 17 3" xfId="5916" xr:uid="{00000000-0005-0000-0000-0000E7110000}"/>
    <cellStyle name="Output 2 14 18" xfId="1663" xr:uid="{00000000-0005-0000-0000-0000E8110000}"/>
    <cellStyle name="Output 2 14 18 2" xfId="4019" xr:uid="{00000000-0005-0000-0000-0000E9110000}"/>
    <cellStyle name="Output 2 14 18 3" xfId="5917" xr:uid="{00000000-0005-0000-0000-0000EA110000}"/>
    <cellStyle name="Output 2 14 19" xfId="1664" xr:uid="{00000000-0005-0000-0000-0000EB110000}"/>
    <cellStyle name="Output 2 14 19 2" xfId="4020" xr:uid="{00000000-0005-0000-0000-0000EC110000}"/>
    <cellStyle name="Output 2 14 19 3" xfId="5918" xr:uid="{00000000-0005-0000-0000-0000ED110000}"/>
    <cellStyle name="Output 2 14 2" xfId="1665" xr:uid="{00000000-0005-0000-0000-0000EE110000}"/>
    <cellStyle name="Output 2 14 2 2" xfId="4021" xr:uid="{00000000-0005-0000-0000-0000EF110000}"/>
    <cellStyle name="Output 2 14 2 3" xfId="5919" xr:uid="{00000000-0005-0000-0000-0000F0110000}"/>
    <cellStyle name="Output 2 14 20" xfId="1666" xr:uid="{00000000-0005-0000-0000-0000F1110000}"/>
    <cellStyle name="Output 2 14 20 2" xfId="4022" xr:uid="{00000000-0005-0000-0000-0000F2110000}"/>
    <cellStyle name="Output 2 14 20 3" xfId="5920" xr:uid="{00000000-0005-0000-0000-0000F3110000}"/>
    <cellStyle name="Output 2 14 21" xfId="1667" xr:uid="{00000000-0005-0000-0000-0000F4110000}"/>
    <cellStyle name="Output 2 14 21 2" xfId="4023" xr:uid="{00000000-0005-0000-0000-0000F5110000}"/>
    <cellStyle name="Output 2 14 21 3" xfId="5921" xr:uid="{00000000-0005-0000-0000-0000F6110000}"/>
    <cellStyle name="Output 2 14 22" xfId="1668" xr:uid="{00000000-0005-0000-0000-0000F7110000}"/>
    <cellStyle name="Output 2 14 22 2" xfId="4024" xr:uid="{00000000-0005-0000-0000-0000F8110000}"/>
    <cellStyle name="Output 2 14 22 3" xfId="5922" xr:uid="{00000000-0005-0000-0000-0000F9110000}"/>
    <cellStyle name="Output 2 14 23" xfId="1669" xr:uid="{00000000-0005-0000-0000-0000FA110000}"/>
    <cellStyle name="Output 2 14 23 2" xfId="4025" xr:uid="{00000000-0005-0000-0000-0000FB110000}"/>
    <cellStyle name="Output 2 14 23 3" xfId="5923" xr:uid="{00000000-0005-0000-0000-0000FC110000}"/>
    <cellStyle name="Output 2 14 24" xfId="4010" xr:uid="{00000000-0005-0000-0000-0000FD110000}"/>
    <cellStyle name="Output 2 14 25" xfId="5908" xr:uid="{00000000-0005-0000-0000-0000FE110000}"/>
    <cellStyle name="Output 2 14 3" xfId="1670" xr:uid="{00000000-0005-0000-0000-0000FF110000}"/>
    <cellStyle name="Output 2 14 3 2" xfId="4026" xr:uid="{00000000-0005-0000-0000-000000120000}"/>
    <cellStyle name="Output 2 14 3 3" xfId="5924" xr:uid="{00000000-0005-0000-0000-000001120000}"/>
    <cellStyle name="Output 2 14 4" xfId="1671" xr:uid="{00000000-0005-0000-0000-000002120000}"/>
    <cellStyle name="Output 2 14 4 2" xfId="4027" xr:uid="{00000000-0005-0000-0000-000003120000}"/>
    <cellStyle name="Output 2 14 4 3" xfId="5925" xr:uid="{00000000-0005-0000-0000-000004120000}"/>
    <cellStyle name="Output 2 14 5" xfId="1672" xr:uid="{00000000-0005-0000-0000-000005120000}"/>
    <cellStyle name="Output 2 14 5 2" xfId="4028" xr:uid="{00000000-0005-0000-0000-000006120000}"/>
    <cellStyle name="Output 2 14 5 3" xfId="5926" xr:uid="{00000000-0005-0000-0000-000007120000}"/>
    <cellStyle name="Output 2 14 6" xfId="1673" xr:uid="{00000000-0005-0000-0000-000008120000}"/>
    <cellStyle name="Output 2 14 6 2" xfId="4029" xr:uid="{00000000-0005-0000-0000-000009120000}"/>
    <cellStyle name="Output 2 14 6 3" xfId="5927" xr:uid="{00000000-0005-0000-0000-00000A120000}"/>
    <cellStyle name="Output 2 14 7" xfId="1674" xr:uid="{00000000-0005-0000-0000-00000B120000}"/>
    <cellStyle name="Output 2 14 7 2" xfId="4030" xr:uid="{00000000-0005-0000-0000-00000C120000}"/>
    <cellStyle name="Output 2 14 7 3" xfId="5928" xr:uid="{00000000-0005-0000-0000-00000D120000}"/>
    <cellStyle name="Output 2 14 8" xfId="1675" xr:uid="{00000000-0005-0000-0000-00000E120000}"/>
    <cellStyle name="Output 2 14 8 2" xfId="4031" xr:uid="{00000000-0005-0000-0000-00000F120000}"/>
    <cellStyle name="Output 2 14 8 3" xfId="5929" xr:uid="{00000000-0005-0000-0000-000010120000}"/>
    <cellStyle name="Output 2 14 9" xfId="1676" xr:uid="{00000000-0005-0000-0000-000011120000}"/>
    <cellStyle name="Output 2 14 9 2" xfId="4032" xr:uid="{00000000-0005-0000-0000-000012120000}"/>
    <cellStyle name="Output 2 14 9 3" xfId="5930" xr:uid="{00000000-0005-0000-0000-000013120000}"/>
    <cellStyle name="Output 2 15" xfId="1677" xr:uid="{00000000-0005-0000-0000-000014120000}"/>
    <cellStyle name="Output 2 15 10" xfId="1678" xr:uid="{00000000-0005-0000-0000-000015120000}"/>
    <cellStyle name="Output 2 15 10 2" xfId="4034" xr:uid="{00000000-0005-0000-0000-000016120000}"/>
    <cellStyle name="Output 2 15 10 3" xfId="5932" xr:uid="{00000000-0005-0000-0000-000017120000}"/>
    <cellStyle name="Output 2 15 11" xfId="1679" xr:uid="{00000000-0005-0000-0000-000018120000}"/>
    <cellStyle name="Output 2 15 11 2" xfId="4035" xr:uid="{00000000-0005-0000-0000-000019120000}"/>
    <cellStyle name="Output 2 15 11 3" xfId="5933" xr:uid="{00000000-0005-0000-0000-00001A120000}"/>
    <cellStyle name="Output 2 15 12" xfId="1680" xr:uid="{00000000-0005-0000-0000-00001B120000}"/>
    <cellStyle name="Output 2 15 12 2" xfId="4036" xr:uid="{00000000-0005-0000-0000-00001C120000}"/>
    <cellStyle name="Output 2 15 12 3" xfId="5934" xr:uid="{00000000-0005-0000-0000-00001D120000}"/>
    <cellStyle name="Output 2 15 13" xfId="1681" xr:uid="{00000000-0005-0000-0000-00001E120000}"/>
    <cellStyle name="Output 2 15 13 2" xfId="4037" xr:uid="{00000000-0005-0000-0000-00001F120000}"/>
    <cellStyle name="Output 2 15 13 3" xfId="5935" xr:uid="{00000000-0005-0000-0000-000020120000}"/>
    <cellStyle name="Output 2 15 14" xfId="1682" xr:uid="{00000000-0005-0000-0000-000021120000}"/>
    <cellStyle name="Output 2 15 14 2" xfId="4038" xr:uid="{00000000-0005-0000-0000-000022120000}"/>
    <cellStyle name="Output 2 15 14 3" xfId="5936" xr:uid="{00000000-0005-0000-0000-000023120000}"/>
    <cellStyle name="Output 2 15 15" xfId="1683" xr:uid="{00000000-0005-0000-0000-000024120000}"/>
    <cellStyle name="Output 2 15 15 2" xfId="4039" xr:uid="{00000000-0005-0000-0000-000025120000}"/>
    <cellStyle name="Output 2 15 15 3" xfId="5937" xr:uid="{00000000-0005-0000-0000-000026120000}"/>
    <cellStyle name="Output 2 15 16" xfId="1684" xr:uid="{00000000-0005-0000-0000-000027120000}"/>
    <cellStyle name="Output 2 15 16 2" xfId="4040" xr:uid="{00000000-0005-0000-0000-000028120000}"/>
    <cellStyle name="Output 2 15 16 3" xfId="5938" xr:uid="{00000000-0005-0000-0000-000029120000}"/>
    <cellStyle name="Output 2 15 17" xfId="1685" xr:uid="{00000000-0005-0000-0000-00002A120000}"/>
    <cellStyle name="Output 2 15 17 2" xfId="4041" xr:uid="{00000000-0005-0000-0000-00002B120000}"/>
    <cellStyle name="Output 2 15 17 3" xfId="5939" xr:uid="{00000000-0005-0000-0000-00002C120000}"/>
    <cellStyle name="Output 2 15 18" xfId="1686" xr:uid="{00000000-0005-0000-0000-00002D120000}"/>
    <cellStyle name="Output 2 15 18 2" xfId="4042" xr:uid="{00000000-0005-0000-0000-00002E120000}"/>
    <cellStyle name="Output 2 15 18 3" xfId="5940" xr:uid="{00000000-0005-0000-0000-00002F120000}"/>
    <cellStyle name="Output 2 15 19" xfId="1687" xr:uid="{00000000-0005-0000-0000-000030120000}"/>
    <cellStyle name="Output 2 15 19 2" xfId="4043" xr:uid="{00000000-0005-0000-0000-000031120000}"/>
    <cellStyle name="Output 2 15 19 3" xfId="5941" xr:uid="{00000000-0005-0000-0000-000032120000}"/>
    <cellStyle name="Output 2 15 2" xfId="1688" xr:uid="{00000000-0005-0000-0000-000033120000}"/>
    <cellStyle name="Output 2 15 2 2" xfId="4044" xr:uid="{00000000-0005-0000-0000-000034120000}"/>
    <cellStyle name="Output 2 15 2 3" xfId="5942" xr:uid="{00000000-0005-0000-0000-000035120000}"/>
    <cellStyle name="Output 2 15 20" xfId="1689" xr:uid="{00000000-0005-0000-0000-000036120000}"/>
    <cellStyle name="Output 2 15 20 2" xfId="4045" xr:uid="{00000000-0005-0000-0000-000037120000}"/>
    <cellStyle name="Output 2 15 20 3" xfId="5943" xr:uid="{00000000-0005-0000-0000-000038120000}"/>
    <cellStyle name="Output 2 15 21" xfId="1690" xr:uid="{00000000-0005-0000-0000-000039120000}"/>
    <cellStyle name="Output 2 15 21 2" xfId="4046" xr:uid="{00000000-0005-0000-0000-00003A120000}"/>
    <cellStyle name="Output 2 15 21 3" xfId="5944" xr:uid="{00000000-0005-0000-0000-00003B120000}"/>
    <cellStyle name="Output 2 15 22" xfId="1691" xr:uid="{00000000-0005-0000-0000-00003C120000}"/>
    <cellStyle name="Output 2 15 22 2" xfId="4047" xr:uid="{00000000-0005-0000-0000-00003D120000}"/>
    <cellStyle name="Output 2 15 22 3" xfId="5945" xr:uid="{00000000-0005-0000-0000-00003E120000}"/>
    <cellStyle name="Output 2 15 23" xfId="1692" xr:uid="{00000000-0005-0000-0000-00003F120000}"/>
    <cellStyle name="Output 2 15 23 2" xfId="4048" xr:uid="{00000000-0005-0000-0000-000040120000}"/>
    <cellStyle name="Output 2 15 23 3" xfId="5946" xr:uid="{00000000-0005-0000-0000-000041120000}"/>
    <cellStyle name="Output 2 15 24" xfId="4033" xr:uid="{00000000-0005-0000-0000-000042120000}"/>
    <cellStyle name="Output 2 15 25" xfId="5931" xr:uid="{00000000-0005-0000-0000-000043120000}"/>
    <cellStyle name="Output 2 15 3" xfId="1693" xr:uid="{00000000-0005-0000-0000-000044120000}"/>
    <cellStyle name="Output 2 15 3 2" xfId="4049" xr:uid="{00000000-0005-0000-0000-000045120000}"/>
    <cellStyle name="Output 2 15 3 3" xfId="5947" xr:uid="{00000000-0005-0000-0000-000046120000}"/>
    <cellStyle name="Output 2 15 4" xfId="1694" xr:uid="{00000000-0005-0000-0000-000047120000}"/>
    <cellStyle name="Output 2 15 4 2" xfId="4050" xr:uid="{00000000-0005-0000-0000-000048120000}"/>
    <cellStyle name="Output 2 15 4 3" xfId="5948" xr:uid="{00000000-0005-0000-0000-000049120000}"/>
    <cellStyle name="Output 2 15 5" xfId="1695" xr:uid="{00000000-0005-0000-0000-00004A120000}"/>
    <cellStyle name="Output 2 15 5 2" xfId="4051" xr:uid="{00000000-0005-0000-0000-00004B120000}"/>
    <cellStyle name="Output 2 15 5 3" xfId="5949" xr:uid="{00000000-0005-0000-0000-00004C120000}"/>
    <cellStyle name="Output 2 15 6" xfId="1696" xr:uid="{00000000-0005-0000-0000-00004D120000}"/>
    <cellStyle name="Output 2 15 6 2" xfId="4052" xr:uid="{00000000-0005-0000-0000-00004E120000}"/>
    <cellStyle name="Output 2 15 6 3" xfId="5950" xr:uid="{00000000-0005-0000-0000-00004F120000}"/>
    <cellStyle name="Output 2 15 7" xfId="1697" xr:uid="{00000000-0005-0000-0000-000050120000}"/>
    <cellStyle name="Output 2 15 7 2" xfId="4053" xr:uid="{00000000-0005-0000-0000-000051120000}"/>
    <cellStyle name="Output 2 15 7 3" xfId="5951" xr:uid="{00000000-0005-0000-0000-000052120000}"/>
    <cellStyle name="Output 2 15 8" xfId="1698" xr:uid="{00000000-0005-0000-0000-000053120000}"/>
    <cellStyle name="Output 2 15 8 2" xfId="4054" xr:uid="{00000000-0005-0000-0000-000054120000}"/>
    <cellStyle name="Output 2 15 8 3" xfId="5952" xr:uid="{00000000-0005-0000-0000-000055120000}"/>
    <cellStyle name="Output 2 15 9" xfId="1699" xr:uid="{00000000-0005-0000-0000-000056120000}"/>
    <cellStyle name="Output 2 15 9 2" xfId="4055" xr:uid="{00000000-0005-0000-0000-000057120000}"/>
    <cellStyle name="Output 2 15 9 3" xfId="5953" xr:uid="{00000000-0005-0000-0000-000058120000}"/>
    <cellStyle name="Output 2 16" xfId="1700" xr:uid="{00000000-0005-0000-0000-000059120000}"/>
    <cellStyle name="Output 2 16 2" xfId="4056" xr:uid="{00000000-0005-0000-0000-00005A120000}"/>
    <cellStyle name="Output 2 16 3" xfId="5954" xr:uid="{00000000-0005-0000-0000-00005B120000}"/>
    <cellStyle name="Output 2 17" xfId="1701" xr:uid="{00000000-0005-0000-0000-00005C120000}"/>
    <cellStyle name="Output 2 17 2" xfId="4057" xr:uid="{00000000-0005-0000-0000-00005D120000}"/>
    <cellStyle name="Output 2 17 3" xfId="5955" xr:uid="{00000000-0005-0000-0000-00005E120000}"/>
    <cellStyle name="Output 2 18" xfId="1702" xr:uid="{00000000-0005-0000-0000-00005F120000}"/>
    <cellStyle name="Output 2 18 2" xfId="4058" xr:uid="{00000000-0005-0000-0000-000060120000}"/>
    <cellStyle name="Output 2 18 3" xfId="5956" xr:uid="{00000000-0005-0000-0000-000061120000}"/>
    <cellStyle name="Output 2 19" xfId="1703" xr:uid="{00000000-0005-0000-0000-000062120000}"/>
    <cellStyle name="Output 2 19 2" xfId="4059" xr:uid="{00000000-0005-0000-0000-000063120000}"/>
    <cellStyle name="Output 2 19 3" xfId="5957" xr:uid="{00000000-0005-0000-0000-000064120000}"/>
    <cellStyle name="Output 2 2" xfId="1704" xr:uid="{00000000-0005-0000-0000-000065120000}"/>
    <cellStyle name="Output 2 2 10" xfId="1705" xr:uid="{00000000-0005-0000-0000-000066120000}"/>
    <cellStyle name="Output 2 2 10 2" xfId="4061" xr:uid="{00000000-0005-0000-0000-000067120000}"/>
    <cellStyle name="Output 2 2 10 3" xfId="5959" xr:uid="{00000000-0005-0000-0000-000068120000}"/>
    <cellStyle name="Output 2 2 11" xfId="1706" xr:uid="{00000000-0005-0000-0000-000069120000}"/>
    <cellStyle name="Output 2 2 11 2" xfId="4062" xr:uid="{00000000-0005-0000-0000-00006A120000}"/>
    <cellStyle name="Output 2 2 11 3" xfId="5960" xr:uid="{00000000-0005-0000-0000-00006B120000}"/>
    <cellStyle name="Output 2 2 12" xfId="1707" xr:uid="{00000000-0005-0000-0000-00006C120000}"/>
    <cellStyle name="Output 2 2 12 2" xfId="4063" xr:uid="{00000000-0005-0000-0000-00006D120000}"/>
    <cellStyle name="Output 2 2 12 3" xfId="5961" xr:uid="{00000000-0005-0000-0000-00006E120000}"/>
    <cellStyle name="Output 2 2 13" xfId="1708" xr:uid="{00000000-0005-0000-0000-00006F120000}"/>
    <cellStyle name="Output 2 2 13 2" xfId="4064" xr:uid="{00000000-0005-0000-0000-000070120000}"/>
    <cellStyle name="Output 2 2 13 3" xfId="5962" xr:uid="{00000000-0005-0000-0000-000071120000}"/>
    <cellStyle name="Output 2 2 14" xfId="1709" xr:uid="{00000000-0005-0000-0000-000072120000}"/>
    <cellStyle name="Output 2 2 14 2" xfId="4065" xr:uid="{00000000-0005-0000-0000-000073120000}"/>
    <cellStyle name="Output 2 2 14 3" xfId="5963" xr:uid="{00000000-0005-0000-0000-000074120000}"/>
    <cellStyle name="Output 2 2 15" xfId="1710" xr:uid="{00000000-0005-0000-0000-000075120000}"/>
    <cellStyle name="Output 2 2 15 2" xfId="4066" xr:uid="{00000000-0005-0000-0000-000076120000}"/>
    <cellStyle name="Output 2 2 15 3" xfId="5964" xr:uid="{00000000-0005-0000-0000-000077120000}"/>
    <cellStyle name="Output 2 2 16" xfId="1711" xr:uid="{00000000-0005-0000-0000-000078120000}"/>
    <cellStyle name="Output 2 2 16 2" xfId="4067" xr:uid="{00000000-0005-0000-0000-000079120000}"/>
    <cellStyle name="Output 2 2 16 3" xfId="5965" xr:uid="{00000000-0005-0000-0000-00007A120000}"/>
    <cellStyle name="Output 2 2 17" xfId="1712" xr:uid="{00000000-0005-0000-0000-00007B120000}"/>
    <cellStyle name="Output 2 2 17 2" xfId="4068" xr:uid="{00000000-0005-0000-0000-00007C120000}"/>
    <cellStyle name="Output 2 2 17 3" xfId="5966" xr:uid="{00000000-0005-0000-0000-00007D120000}"/>
    <cellStyle name="Output 2 2 18" xfId="1713" xr:uid="{00000000-0005-0000-0000-00007E120000}"/>
    <cellStyle name="Output 2 2 18 2" xfId="4069" xr:uid="{00000000-0005-0000-0000-00007F120000}"/>
    <cellStyle name="Output 2 2 18 3" xfId="5967" xr:uid="{00000000-0005-0000-0000-000080120000}"/>
    <cellStyle name="Output 2 2 19" xfId="1714" xr:uid="{00000000-0005-0000-0000-000081120000}"/>
    <cellStyle name="Output 2 2 19 2" xfId="4070" xr:uid="{00000000-0005-0000-0000-000082120000}"/>
    <cellStyle name="Output 2 2 19 3" xfId="5968" xr:uid="{00000000-0005-0000-0000-000083120000}"/>
    <cellStyle name="Output 2 2 2" xfId="1715" xr:uid="{00000000-0005-0000-0000-000084120000}"/>
    <cellStyle name="Output 2 2 2 2" xfId="4071" xr:uid="{00000000-0005-0000-0000-000085120000}"/>
    <cellStyle name="Output 2 2 2 3" xfId="5969" xr:uid="{00000000-0005-0000-0000-000086120000}"/>
    <cellStyle name="Output 2 2 20" xfId="1716" xr:uid="{00000000-0005-0000-0000-000087120000}"/>
    <cellStyle name="Output 2 2 20 2" xfId="4072" xr:uid="{00000000-0005-0000-0000-000088120000}"/>
    <cellStyle name="Output 2 2 20 3" xfId="5970" xr:uid="{00000000-0005-0000-0000-000089120000}"/>
    <cellStyle name="Output 2 2 21" xfId="1717" xr:uid="{00000000-0005-0000-0000-00008A120000}"/>
    <cellStyle name="Output 2 2 21 2" xfId="4073" xr:uid="{00000000-0005-0000-0000-00008B120000}"/>
    <cellStyle name="Output 2 2 21 3" xfId="5971" xr:uid="{00000000-0005-0000-0000-00008C120000}"/>
    <cellStyle name="Output 2 2 22" xfId="1718" xr:uid="{00000000-0005-0000-0000-00008D120000}"/>
    <cellStyle name="Output 2 2 22 2" xfId="4074" xr:uid="{00000000-0005-0000-0000-00008E120000}"/>
    <cellStyle name="Output 2 2 22 3" xfId="5972" xr:uid="{00000000-0005-0000-0000-00008F120000}"/>
    <cellStyle name="Output 2 2 23" xfId="1719" xr:uid="{00000000-0005-0000-0000-000090120000}"/>
    <cellStyle name="Output 2 2 23 2" xfId="4075" xr:uid="{00000000-0005-0000-0000-000091120000}"/>
    <cellStyle name="Output 2 2 23 3" xfId="5973" xr:uid="{00000000-0005-0000-0000-000092120000}"/>
    <cellStyle name="Output 2 2 24" xfId="4060" xr:uid="{00000000-0005-0000-0000-000093120000}"/>
    <cellStyle name="Output 2 2 25" xfId="5958" xr:uid="{00000000-0005-0000-0000-000094120000}"/>
    <cellStyle name="Output 2 2 3" xfId="1720" xr:uid="{00000000-0005-0000-0000-000095120000}"/>
    <cellStyle name="Output 2 2 3 2" xfId="4076" xr:uid="{00000000-0005-0000-0000-000096120000}"/>
    <cellStyle name="Output 2 2 3 3" xfId="5974" xr:uid="{00000000-0005-0000-0000-000097120000}"/>
    <cellStyle name="Output 2 2 4" xfId="1721" xr:uid="{00000000-0005-0000-0000-000098120000}"/>
    <cellStyle name="Output 2 2 4 2" xfId="4077" xr:uid="{00000000-0005-0000-0000-000099120000}"/>
    <cellStyle name="Output 2 2 4 3" xfId="5975" xr:uid="{00000000-0005-0000-0000-00009A120000}"/>
    <cellStyle name="Output 2 2 5" xfId="1722" xr:uid="{00000000-0005-0000-0000-00009B120000}"/>
    <cellStyle name="Output 2 2 5 2" xfId="4078" xr:uid="{00000000-0005-0000-0000-00009C120000}"/>
    <cellStyle name="Output 2 2 5 3" xfId="5976" xr:uid="{00000000-0005-0000-0000-00009D120000}"/>
    <cellStyle name="Output 2 2 6" xfId="1723" xr:uid="{00000000-0005-0000-0000-00009E120000}"/>
    <cellStyle name="Output 2 2 6 2" xfId="4079" xr:uid="{00000000-0005-0000-0000-00009F120000}"/>
    <cellStyle name="Output 2 2 6 3" xfId="5977" xr:uid="{00000000-0005-0000-0000-0000A0120000}"/>
    <cellStyle name="Output 2 2 7" xfId="1724" xr:uid="{00000000-0005-0000-0000-0000A1120000}"/>
    <cellStyle name="Output 2 2 7 2" xfId="4080" xr:uid="{00000000-0005-0000-0000-0000A2120000}"/>
    <cellStyle name="Output 2 2 7 3" xfId="5978" xr:uid="{00000000-0005-0000-0000-0000A3120000}"/>
    <cellStyle name="Output 2 2 8" xfId="1725" xr:uid="{00000000-0005-0000-0000-0000A4120000}"/>
    <cellStyle name="Output 2 2 8 2" xfId="4081" xr:uid="{00000000-0005-0000-0000-0000A5120000}"/>
    <cellStyle name="Output 2 2 8 3" xfId="5979" xr:uid="{00000000-0005-0000-0000-0000A6120000}"/>
    <cellStyle name="Output 2 2 9" xfId="1726" xr:uid="{00000000-0005-0000-0000-0000A7120000}"/>
    <cellStyle name="Output 2 2 9 2" xfId="4082" xr:uid="{00000000-0005-0000-0000-0000A8120000}"/>
    <cellStyle name="Output 2 2 9 3" xfId="5980" xr:uid="{00000000-0005-0000-0000-0000A9120000}"/>
    <cellStyle name="Output 2 20" xfId="1727" xr:uid="{00000000-0005-0000-0000-0000AA120000}"/>
    <cellStyle name="Output 2 20 2" xfId="4083" xr:uid="{00000000-0005-0000-0000-0000AB120000}"/>
    <cellStyle name="Output 2 20 3" xfId="5981" xr:uid="{00000000-0005-0000-0000-0000AC120000}"/>
    <cellStyle name="Output 2 21" xfId="1728" xr:uid="{00000000-0005-0000-0000-0000AD120000}"/>
    <cellStyle name="Output 2 21 2" xfId="4084" xr:uid="{00000000-0005-0000-0000-0000AE120000}"/>
    <cellStyle name="Output 2 21 3" xfId="5982" xr:uid="{00000000-0005-0000-0000-0000AF120000}"/>
    <cellStyle name="Output 2 22" xfId="1729" xr:uid="{00000000-0005-0000-0000-0000B0120000}"/>
    <cellStyle name="Output 2 22 2" xfId="4085" xr:uid="{00000000-0005-0000-0000-0000B1120000}"/>
    <cellStyle name="Output 2 22 3" xfId="5983" xr:uid="{00000000-0005-0000-0000-0000B2120000}"/>
    <cellStyle name="Output 2 23" xfId="1730" xr:uid="{00000000-0005-0000-0000-0000B3120000}"/>
    <cellStyle name="Output 2 23 2" xfId="4086" xr:uid="{00000000-0005-0000-0000-0000B4120000}"/>
    <cellStyle name="Output 2 23 3" xfId="5984" xr:uid="{00000000-0005-0000-0000-0000B5120000}"/>
    <cellStyle name="Output 2 24" xfId="1731" xr:uid="{00000000-0005-0000-0000-0000B6120000}"/>
    <cellStyle name="Output 2 24 2" xfId="4087" xr:uid="{00000000-0005-0000-0000-0000B7120000}"/>
    <cellStyle name="Output 2 24 3" xfId="5985" xr:uid="{00000000-0005-0000-0000-0000B8120000}"/>
    <cellStyle name="Output 2 25" xfId="1732" xr:uid="{00000000-0005-0000-0000-0000B9120000}"/>
    <cellStyle name="Output 2 25 2" xfId="4088" xr:uid="{00000000-0005-0000-0000-0000BA120000}"/>
    <cellStyle name="Output 2 25 3" xfId="5986" xr:uid="{00000000-0005-0000-0000-0000BB120000}"/>
    <cellStyle name="Output 2 26" xfId="1733" xr:uid="{00000000-0005-0000-0000-0000BC120000}"/>
    <cellStyle name="Output 2 26 2" xfId="4089" xr:uid="{00000000-0005-0000-0000-0000BD120000}"/>
    <cellStyle name="Output 2 26 3" xfId="5987" xr:uid="{00000000-0005-0000-0000-0000BE120000}"/>
    <cellStyle name="Output 2 27" xfId="1734" xr:uid="{00000000-0005-0000-0000-0000BF120000}"/>
    <cellStyle name="Output 2 27 2" xfId="4090" xr:uid="{00000000-0005-0000-0000-0000C0120000}"/>
    <cellStyle name="Output 2 27 3" xfId="5988" xr:uid="{00000000-0005-0000-0000-0000C1120000}"/>
    <cellStyle name="Output 2 28" xfId="1735" xr:uid="{00000000-0005-0000-0000-0000C2120000}"/>
    <cellStyle name="Output 2 28 2" xfId="4091" xr:uid="{00000000-0005-0000-0000-0000C3120000}"/>
    <cellStyle name="Output 2 28 3" xfId="5989" xr:uid="{00000000-0005-0000-0000-0000C4120000}"/>
    <cellStyle name="Output 2 29" xfId="1736" xr:uid="{00000000-0005-0000-0000-0000C5120000}"/>
    <cellStyle name="Output 2 29 2" xfId="4092" xr:uid="{00000000-0005-0000-0000-0000C6120000}"/>
    <cellStyle name="Output 2 29 3" xfId="5990" xr:uid="{00000000-0005-0000-0000-0000C7120000}"/>
    <cellStyle name="Output 2 3" xfId="1737" xr:uid="{00000000-0005-0000-0000-0000C8120000}"/>
    <cellStyle name="Output 2 3 10" xfId="1738" xr:uid="{00000000-0005-0000-0000-0000C9120000}"/>
    <cellStyle name="Output 2 3 10 2" xfId="4094" xr:uid="{00000000-0005-0000-0000-0000CA120000}"/>
    <cellStyle name="Output 2 3 10 3" xfId="5992" xr:uid="{00000000-0005-0000-0000-0000CB120000}"/>
    <cellStyle name="Output 2 3 11" xfId="1739" xr:uid="{00000000-0005-0000-0000-0000CC120000}"/>
    <cellStyle name="Output 2 3 11 2" xfId="4095" xr:uid="{00000000-0005-0000-0000-0000CD120000}"/>
    <cellStyle name="Output 2 3 11 3" xfId="5993" xr:uid="{00000000-0005-0000-0000-0000CE120000}"/>
    <cellStyle name="Output 2 3 12" xfId="1740" xr:uid="{00000000-0005-0000-0000-0000CF120000}"/>
    <cellStyle name="Output 2 3 12 2" xfId="4096" xr:uid="{00000000-0005-0000-0000-0000D0120000}"/>
    <cellStyle name="Output 2 3 12 3" xfId="5994" xr:uid="{00000000-0005-0000-0000-0000D1120000}"/>
    <cellStyle name="Output 2 3 13" xfId="1741" xr:uid="{00000000-0005-0000-0000-0000D2120000}"/>
    <cellStyle name="Output 2 3 13 2" xfId="4097" xr:uid="{00000000-0005-0000-0000-0000D3120000}"/>
    <cellStyle name="Output 2 3 13 3" xfId="5995" xr:uid="{00000000-0005-0000-0000-0000D4120000}"/>
    <cellStyle name="Output 2 3 14" xfId="1742" xr:uid="{00000000-0005-0000-0000-0000D5120000}"/>
    <cellStyle name="Output 2 3 14 2" xfId="4098" xr:uid="{00000000-0005-0000-0000-0000D6120000}"/>
    <cellStyle name="Output 2 3 14 3" xfId="5996" xr:uid="{00000000-0005-0000-0000-0000D7120000}"/>
    <cellStyle name="Output 2 3 15" xfId="1743" xr:uid="{00000000-0005-0000-0000-0000D8120000}"/>
    <cellStyle name="Output 2 3 15 2" xfId="4099" xr:uid="{00000000-0005-0000-0000-0000D9120000}"/>
    <cellStyle name="Output 2 3 15 3" xfId="5997" xr:uid="{00000000-0005-0000-0000-0000DA120000}"/>
    <cellStyle name="Output 2 3 16" xfId="1744" xr:uid="{00000000-0005-0000-0000-0000DB120000}"/>
    <cellStyle name="Output 2 3 16 2" xfId="4100" xr:uid="{00000000-0005-0000-0000-0000DC120000}"/>
    <cellStyle name="Output 2 3 16 3" xfId="5998" xr:uid="{00000000-0005-0000-0000-0000DD120000}"/>
    <cellStyle name="Output 2 3 17" xfId="1745" xr:uid="{00000000-0005-0000-0000-0000DE120000}"/>
    <cellStyle name="Output 2 3 17 2" xfId="4101" xr:uid="{00000000-0005-0000-0000-0000DF120000}"/>
    <cellStyle name="Output 2 3 17 3" xfId="5999" xr:uid="{00000000-0005-0000-0000-0000E0120000}"/>
    <cellStyle name="Output 2 3 18" xfId="1746" xr:uid="{00000000-0005-0000-0000-0000E1120000}"/>
    <cellStyle name="Output 2 3 18 2" xfId="4102" xr:uid="{00000000-0005-0000-0000-0000E2120000}"/>
    <cellStyle name="Output 2 3 18 3" xfId="6000" xr:uid="{00000000-0005-0000-0000-0000E3120000}"/>
    <cellStyle name="Output 2 3 19" xfId="1747" xr:uid="{00000000-0005-0000-0000-0000E4120000}"/>
    <cellStyle name="Output 2 3 19 2" xfId="4103" xr:uid="{00000000-0005-0000-0000-0000E5120000}"/>
    <cellStyle name="Output 2 3 19 3" xfId="6001" xr:uid="{00000000-0005-0000-0000-0000E6120000}"/>
    <cellStyle name="Output 2 3 2" xfId="1748" xr:uid="{00000000-0005-0000-0000-0000E7120000}"/>
    <cellStyle name="Output 2 3 2 2" xfId="4104" xr:uid="{00000000-0005-0000-0000-0000E8120000}"/>
    <cellStyle name="Output 2 3 2 3" xfId="6002" xr:uid="{00000000-0005-0000-0000-0000E9120000}"/>
    <cellStyle name="Output 2 3 20" xfId="1749" xr:uid="{00000000-0005-0000-0000-0000EA120000}"/>
    <cellStyle name="Output 2 3 20 2" xfId="4105" xr:uid="{00000000-0005-0000-0000-0000EB120000}"/>
    <cellStyle name="Output 2 3 20 3" xfId="6003" xr:uid="{00000000-0005-0000-0000-0000EC120000}"/>
    <cellStyle name="Output 2 3 21" xfId="1750" xr:uid="{00000000-0005-0000-0000-0000ED120000}"/>
    <cellStyle name="Output 2 3 21 2" xfId="4106" xr:uid="{00000000-0005-0000-0000-0000EE120000}"/>
    <cellStyle name="Output 2 3 21 3" xfId="6004" xr:uid="{00000000-0005-0000-0000-0000EF120000}"/>
    <cellStyle name="Output 2 3 22" xfId="1751" xr:uid="{00000000-0005-0000-0000-0000F0120000}"/>
    <cellStyle name="Output 2 3 22 2" xfId="4107" xr:uid="{00000000-0005-0000-0000-0000F1120000}"/>
    <cellStyle name="Output 2 3 22 3" xfId="6005" xr:uid="{00000000-0005-0000-0000-0000F2120000}"/>
    <cellStyle name="Output 2 3 23" xfId="1752" xr:uid="{00000000-0005-0000-0000-0000F3120000}"/>
    <cellStyle name="Output 2 3 23 2" xfId="4108" xr:uid="{00000000-0005-0000-0000-0000F4120000}"/>
    <cellStyle name="Output 2 3 23 3" xfId="6006" xr:uid="{00000000-0005-0000-0000-0000F5120000}"/>
    <cellStyle name="Output 2 3 24" xfId="4093" xr:uid="{00000000-0005-0000-0000-0000F6120000}"/>
    <cellStyle name="Output 2 3 25" xfId="5991" xr:uid="{00000000-0005-0000-0000-0000F7120000}"/>
    <cellStyle name="Output 2 3 3" xfId="1753" xr:uid="{00000000-0005-0000-0000-0000F8120000}"/>
    <cellStyle name="Output 2 3 3 2" xfId="4109" xr:uid="{00000000-0005-0000-0000-0000F9120000}"/>
    <cellStyle name="Output 2 3 3 3" xfId="6007" xr:uid="{00000000-0005-0000-0000-0000FA120000}"/>
    <cellStyle name="Output 2 3 4" xfId="1754" xr:uid="{00000000-0005-0000-0000-0000FB120000}"/>
    <cellStyle name="Output 2 3 4 2" xfId="4110" xr:uid="{00000000-0005-0000-0000-0000FC120000}"/>
    <cellStyle name="Output 2 3 4 3" xfId="6008" xr:uid="{00000000-0005-0000-0000-0000FD120000}"/>
    <cellStyle name="Output 2 3 5" xfId="1755" xr:uid="{00000000-0005-0000-0000-0000FE120000}"/>
    <cellStyle name="Output 2 3 5 2" xfId="4111" xr:uid="{00000000-0005-0000-0000-0000FF120000}"/>
    <cellStyle name="Output 2 3 5 3" xfId="6009" xr:uid="{00000000-0005-0000-0000-000000130000}"/>
    <cellStyle name="Output 2 3 6" xfId="1756" xr:uid="{00000000-0005-0000-0000-000001130000}"/>
    <cellStyle name="Output 2 3 6 2" xfId="4112" xr:uid="{00000000-0005-0000-0000-000002130000}"/>
    <cellStyle name="Output 2 3 6 3" xfId="6010" xr:uid="{00000000-0005-0000-0000-000003130000}"/>
    <cellStyle name="Output 2 3 7" xfId="1757" xr:uid="{00000000-0005-0000-0000-000004130000}"/>
    <cellStyle name="Output 2 3 7 2" xfId="4113" xr:uid="{00000000-0005-0000-0000-000005130000}"/>
    <cellStyle name="Output 2 3 7 3" xfId="6011" xr:uid="{00000000-0005-0000-0000-000006130000}"/>
    <cellStyle name="Output 2 3 8" xfId="1758" xr:uid="{00000000-0005-0000-0000-000007130000}"/>
    <cellStyle name="Output 2 3 8 2" xfId="4114" xr:uid="{00000000-0005-0000-0000-000008130000}"/>
    <cellStyle name="Output 2 3 8 3" xfId="6012" xr:uid="{00000000-0005-0000-0000-000009130000}"/>
    <cellStyle name="Output 2 3 9" xfId="1759" xr:uid="{00000000-0005-0000-0000-00000A130000}"/>
    <cellStyle name="Output 2 3 9 2" xfId="4115" xr:uid="{00000000-0005-0000-0000-00000B130000}"/>
    <cellStyle name="Output 2 3 9 3" xfId="6013" xr:uid="{00000000-0005-0000-0000-00000C130000}"/>
    <cellStyle name="Output 2 30" xfId="1760" xr:uid="{00000000-0005-0000-0000-00000D130000}"/>
    <cellStyle name="Output 2 30 2" xfId="4116" xr:uid="{00000000-0005-0000-0000-00000E130000}"/>
    <cellStyle name="Output 2 30 3" xfId="6014" xr:uid="{00000000-0005-0000-0000-00000F130000}"/>
    <cellStyle name="Output 2 31" xfId="1761" xr:uid="{00000000-0005-0000-0000-000010130000}"/>
    <cellStyle name="Output 2 31 2" xfId="4117" xr:uid="{00000000-0005-0000-0000-000011130000}"/>
    <cellStyle name="Output 2 31 3" xfId="6015" xr:uid="{00000000-0005-0000-0000-000012130000}"/>
    <cellStyle name="Output 2 32" xfId="1762" xr:uid="{00000000-0005-0000-0000-000013130000}"/>
    <cellStyle name="Output 2 32 2" xfId="4118" xr:uid="{00000000-0005-0000-0000-000014130000}"/>
    <cellStyle name="Output 2 32 3" xfId="6016" xr:uid="{00000000-0005-0000-0000-000015130000}"/>
    <cellStyle name="Output 2 33" xfId="1763" xr:uid="{00000000-0005-0000-0000-000016130000}"/>
    <cellStyle name="Output 2 33 2" xfId="4119" xr:uid="{00000000-0005-0000-0000-000017130000}"/>
    <cellStyle name="Output 2 33 3" xfId="6017" xr:uid="{00000000-0005-0000-0000-000018130000}"/>
    <cellStyle name="Output 2 34" xfId="1764" xr:uid="{00000000-0005-0000-0000-000019130000}"/>
    <cellStyle name="Output 2 34 2" xfId="4120" xr:uid="{00000000-0005-0000-0000-00001A130000}"/>
    <cellStyle name="Output 2 34 3" xfId="6018" xr:uid="{00000000-0005-0000-0000-00001B130000}"/>
    <cellStyle name="Output 2 35" xfId="1765" xr:uid="{00000000-0005-0000-0000-00001C130000}"/>
    <cellStyle name="Output 2 35 2" xfId="4121" xr:uid="{00000000-0005-0000-0000-00001D130000}"/>
    <cellStyle name="Output 2 35 3" xfId="6019" xr:uid="{00000000-0005-0000-0000-00001E130000}"/>
    <cellStyle name="Output 2 36" xfId="1766" xr:uid="{00000000-0005-0000-0000-00001F130000}"/>
    <cellStyle name="Output 2 36 2" xfId="4122" xr:uid="{00000000-0005-0000-0000-000020130000}"/>
    <cellStyle name="Output 2 36 3" xfId="6020" xr:uid="{00000000-0005-0000-0000-000021130000}"/>
    <cellStyle name="Output 2 37" xfId="1767" xr:uid="{00000000-0005-0000-0000-000022130000}"/>
    <cellStyle name="Output 2 37 2" xfId="4123" xr:uid="{00000000-0005-0000-0000-000023130000}"/>
    <cellStyle name="Output 2 37 3" xfId="6021" xr:uid="{00000000-0005-0000-0000-000024130000}"/>
    <cellStyle name="Output 2 38" xfId="3917" xr:uid="{00000000-0005-0000-0000-000025130000}"/>
    <cellStyle name="Output 2 39" xfId="5815" xr:uid="{00000000-0005-0000-0000-000026130000}"/>
    <cellStyle name="Output 2 4" xfId="1768" xr:uid="{00000000-0005-0000-0000-000027130000}"/>
    <cellStyle name="Output 2 4 10" xfId="1769" xr:uid="{00000000-0005-0000-0000-000028130000}"/>
    <cellStyle name="Output 2 4 10 2" xfId="4125" xr:uid="{00000000-0005-0000-0000-000029130000}"/>
    <cellStyle name="Output 2 4 10 3" xfId="6023" xr:uid="{00000000-0005-0000-0000-00002A130000}"/>
    <cellStyle name="Output 2 4 11" xfId="1770" xr:uid="{00000000-0005-0000-0000-00002B130000}"/>
    <cellStyle name="Output 2 4 11 2" xfId="4126" xr:uid="{00000000-0005-0000-0000-00002C130000}"/>
    <cellStyle name="Output 2 4 11 3" xfId="6024" xr:uid="{00000000-0005-0000-0000-00002D130000}"/>
    <cellStyle name="Output 2 4 12" xfId="1771" xr:uid="{00000000-0005-0000-0000-00002E130000}"/>
    <cellStyle name="Output 2 4 12 2" xfId="4127" xr:uid="{00000000-0005-0000-0000-00002F130000}"/>
    <cellStyle name="Output 2 4 12 3" xfId="6025" xr:uid="{00000000-0005-0000-0000-000030130000}"/>
    <cellStyle name="Output 2 4 13" xfId="1772" xr:uid="{00000000-0005-0000-0000-000031130000}"/>
    <cellStyle name="Output 2 4 13 2" xfId="4128" xr:uid="{00000000-0005-0000-0000-000032130000}"/>
    <cellStyle name="Output 2 4 13 3" xfId="6026" xr:uid="{00000000-0005-0000-0000-000033130000}"/>
    <cellStyle name="Output 2 4 14" xfId="1773" xr:uid="{00000000-0005-0000-0000-000034130000}"/>
    <cellStyle name="Output 2 4 14 2" xfId="4129" xr:uid="{00000000-0005-0000-0000-000035130000}"/>
    <cellStyle name="Output 2 4 14 3" xfId="6027" xr:uid="{00000000-0005-0000-0000-000036130000}"/>
    <cellStyle name="Output 2 4 15" xfId="1774" xr:uid="{00000000-0005-0000-0000-000037130000}"/>
    <cellStyle name="Output 2 4 15 2" xfId="4130" xr:uid="{00000000-0005-0000-0000-000038130000}"/>
    <cellStyle name="Output 2 4 15 3" xfId="6028" xr:uid="{00000000-0005-0000-0000-000039130000}"/>
    <cellStyle name="Output 2 4 16" xfId="1775" xr:uid="{00000000-0005-0000-0000-00003A130000}"/>
    <cellStyle name="Output 2 4 16 2" xfId="4131" xr:uid="{00000000-0005-0000-0000-00003B130000}"/>
    <cellStyle name="Output 2 4 16 3" xfId="6029" xr:uid="{00000000-0005-0000-0000-00003C130000}"/>
    <cellStyle name="Output 2 4 17" xfId="1776" xr:uid="{00000000-0005-0000-0000-00003D130000}"/>
    <cellStyle name="Output 2 4 17 2" xfId="4132" xr:uid="{00000000-0005-0000-0000-00003E130000}"/>
    <cellStyle name="Output 2 4 17 3" xfId="6030" xr:uid="{00000000-0005-0000-0000-00003F130000}"/>
    <cellStyle name="Output 2 4 18" xfId="1777" xr:uid="{00000000-0005-0000-0000-000040130000}"/>
    <cellStyle name="Output 2 4 18 2" xfId="4133" xr:uid="{00000000-0005-0000-0000-000041130000}"/>
    <cellStyle name="Output 2 4 18 3" xfId="6031" xr:uid="{00000000-0005-0000-0000-000042130000}"/>
    <cellStyle name="Output 2 4 19" xfId="1778" xr:uid="{00000000-0005-0000-0000-000043130000}"/>
    <cellStyle name="Output 2 4 19 2" xfId="4134" xr:uid="{00000000-0005-0000-0000-000044130000}"/>
    <cellStyle name="Output 2 4 19 3" xfId="6032" xr:uid="{00000000-0005-0000-0000-000045130000}"/>
    <cellStyle name="Output 2 4 2" xfId="1779" xr:uid="{00000000-0005-0000-0000-000046130000}"/>
    <cellStyle name="Output 2 4 2 2" xfId="4135" xr:uid="{00000000-0005-0000-0000-000047130000}"/>
    <cellStyle name="Output 2 4 2 3" xfId="6033" xr:uid="{00000000-0005-0000-0000-000048130000}"/>
    <cellStyle name="Output 2 4 20" xfId="1780" xr:uid="{00000000-0005-0000-0000-000049130000}"/>
    <cellStyle name="Output 2 4 20 2" xfId="4136" xr:uid="{00000000-0005-0000-0000-00004A130000}"/>
    <cellStyle name="Output 2 4 20 3" xfId="6034" xr:uid="{00000000-0005-0000-0000-00004B130000}"/>
    <cellStyle name="Output 2 4 21" xfId="1781" xr:uid="{00000000-0005-0000-0000-00004C130000}"/>
    <cellStyle name="Output 2 4 21 2" xfId="4137" xr:uid="{00000000-0005-0000-0000-00004D130000}"/>
    <cellStyle name="Output 2 4 21 3" xfId="6035" xr:uid="{00000000-0005-0000-0000-00004E130000}"/>
    <cellStyle name="Output 2 4 22" xfId="1782" xr:uid="{00000000-0005-0000-0000-00004F130000}"/>
    <cellStyle name="Output 2 4 22 2" xfId="4138" xr:uid="{00000000-0005-0000-0000-000050130000}"/>
    <cellStyle name="Output 2 4 22 3" xfId="6036" xr:uid="{00000000-0005-0000-0000-000051130000}"/>
    <cellStyle name="Output 2 4 23" xfId="1783" xr:uid="{00000000-0005-0000-0000-000052130000}"/>
    <cellStyle name="Output 2 4 23 2" xfId="4139" xr:uid="{00000000-0005-0000-0000-000053130000}"/>
    <cellStyle name="Output 2 4 23 3" xfId="6037" xr:uid="{00000000-0005-0000-0000-000054130000}"/>
    <cellStyle name="Output 2 4 24" xfId="4124" xr:uid="{00000000-0005-0000-0000-000055130000}"/>
    <cellStyle name="Output 2 4 25" xfId="6022" xr:uid="{00000000-0005-0000-0000-000056130000}"/>
    <cellStyle name="Output 2 4 3" xfId="1784" xr:uid="{00000000-0005-0000-0000-000057130000}"/>
    <cellStyle name="Output 2 4 3 2" xfId="4140" xr:uid="{00000000-0005-0000-0000-000058130000}"/>
    <cellStyle name="Output 2 4 3 3" xfId="6038" xr:uid="{00000000-0005-0000-0000-000059130000}"/>
    <cellStyle name="Output 2 4 4" xfId="1785" xr:uid="{00000000-0005-0000-0000-00005A130000}"/>
    <cellStyle name="Output 2 4 4 2" xfId="4141" xr:uid="{00000000-0005-0000-0000-00005B130000}"/>
    <cellStyle name="Output 2 4 4 3" xfId="6039" xr:uid="{00000000-0005-0000-0000-00005C130000}"/>
    <cellStyle name="Output 2 4 5" xfId="1786" xr:uid="{00000000-0005-0000-0000-00005D130000}"/>
    <cellStyle name="Output 2 4 5 2" xfId="4142" xr:uid="{00000000-0005-0000-0000-00005E130000}"/>
    <cellStyle name="Output 2 4 5 3" xfId="6040" xr:uid="{00000000-0005-0000-0000-00005F130000}"/>
    <cellStyle name="Output 2 4 6" xfId="1787" xr:uid="{00000000-0005-0000-0000-000060130000}"/>
    <cellStyle name="Output 2 4 6 2" xfId="4143" xr:uid="{00000000-0005-0000-0000-000061130000}"/>
    <cellStyle name="Output 2 4 6 3" xfId="6041" xr:uid="{00000000-0005-0000-0000-000062130000}"/>
    <cellStyle name="Output 2 4 7" xfId="1788" xr:uid="{00000000-0005-0000-0000-000063130000}"/>
    <cellStyle name="Output 2 4 7 2" xfId="4144" xr:uid="{00000000-0005-0000-0000-000064130000}"/>
    <cellStyle name="Output 2 4 7 3" xfId="6042" xr:uid="{00000000-0005-0000-0000-000065130000}"/>
    <cellStyle name="Output 2 4 8" xfId="1789" xr:uid="{00000000-0005-0000-0000-000066130000}"/>
    <cellStyle name="Output 2 4 8 2" xfId="4145" xr:uid="{00000000-0005-0000-0000-000067130000}"/>
    <cellStyle name="Output 2 4 8 3" xfId="6043" xr:uid="{00000000-0005-0000-0000-000068130000}"/>
    <cellStyle name="Output 2 4 9" xfId="1790" xr:uid="{00000000-0005-0000-0000-000069130000}"/>
    <cellStyle name="Output 2 4 9 2" xfId="4146" xr:uid="{00000000-0005-0000-0000-00006A130000}"/>
    <cellStyle name="Output 2 4 9 3" xfId="6044" xr:uid="{00000000-0005-0000-0000-00006B130000}"/>
    <cellStyle name="Output 2 5" xfId="1791" xr:uid="{00000000-0005-0000-0000-00006C130000}"/>
    <cellStyle name="Output 2 5 10" xfId="1792" xr:uid="{00000000-0005-0000-0000-00006D130000}"/>
    <cellStyle name="Output 2 5 10 2" xfId="4148" xr:uid="{00000000-0005-0000-0000-00006E130000}"/>
    <cellStyle name="Output 2 5 10 3" xfId="6046" xr:uid="{00000000-0005-0000-0000-00006F130000}"/>
    <cellStyle name="Output 2 5 11" xfId="1793" xr:uid="{00000000-0005-0000-0000-000070130000}"/>
    <cellStyle name="Output 2 5 11 2" xfId="4149" xr:uid="{00000000-0005-0000-0000-000071130000}"/>
    <cellStyle name="Output 2 5 11 3" xfId="6047" xr:uid="{00000000-0005-0000-0000-000072130000}"/>
    <cellStyle name="Output 2 5 12" xfId="1794" xr:uid="{00000000-0005-0000-0000-000073130000}"/>
    <cellStyle name="Output 2 5 12 2" xfId="4150" xr:uid="{00000000-0005-0000-0000-000074130000}"/>
    <cellStyle name="Output 2 5 12 3" xfId="6048" xr:uid="{00000000-0005-0000-0000-000075130000}"/>
    <cellStyle name="Output 2 5 13" xfId="1795" xr:uid="{00000000-0005-0000-0000-000076130000}"/>
    <cellStyle name="Output 2 5 13 2" xfId="4151" xr:uid="{00000000-0005-0000-0000-000077130000}"/>
    <cellStyle name="Output 2 5 13 3" xfId="6049" xr:uid="{00000000-0005-0000-0000-000078130000}"/>
    <cellStyle name="Output 2 5 14" xfId="1796" xr:uid="{00000000-0005-0000-0000-000079130000}"/>
    <cellStyle name="Output 2 5 14 2" xfId="4152" xr:uid="{00000000-0005-0000-0000-00007A130000}"/>
    <cellStyle name="Output 2 5 14 3" xfId="6050" xr:uid="{00000000-0005-0000-0000-00007B130000}"/>
    <cellStyle name="Output 2 5 15" xfId="1797" xr:uid="{00000000-0005-0000-0000-00007C130000}"/>
    <cellStyle name="Output 2 5 15 2" xfId="4153" xr:uid="{00000000-0005-0000-0000-00007D130000}"/>
    <cellStyle name="Output 2 5 15 3" xfId="6051" xr:uid="{00000000-0005-0000-0000-00007E130000}"/>
    <cellStyle name="Output 2 5 16" xfId="1798" xr:uid="{00000000-0005-0000-0000-00007F130000}"/>
    <cellStyle name="Output 2 5 16 2" xfId="4154" xr:uid="{00000000-0005-0000-0000-000080130000}"/>
    <cellStyle name="Output 2 5 16 3" xfId="6052" xr:uid="{00000000-0005-0000-0000-000081130000}"/>
    <cellStyle name="Output 2 5 17" xfId="1799" xr:uid="{00000000-0005-0000-0000-000082130000}"/>
    <cellStyle name="Output 2 5 17 2" xfId="4155" xr:uid="{00000000-0005-0000-0000-000083130000}"/>
    <cellStyle name="Output 2 5 17 3" xfId="6053" xr:uid="{00000000-0005-0000-0000-000084130000}"/>
    <cellStyle name="Output 2 5 18" xfId="1800" xr:uid="{00000000-0005-0000-0000-000085130000}"/>
    <cellStyle name="Output 2 5 18 2" xfId="4156" xr:uid="{00000000-0005-0000-0000-000086130000}"/>
    <cellStyle name="Output 2 5 18 3" xfId="6054" xr:uid="{00000000-0005-0000-0000-000087130000}"/>
    <cellStyle name="Output 2 5 19" xfId="1801" xr:uid="{00000000-0005-0000-0000-000088130000}"/>
    <cellStyle name="Output 2 5 19 2" xfId="4157" xr:uid="{00000000-0005-0000-0000-000089130000}"/>
    <cellStyle name="Output 2 5 19 3" xfId="6055" xr:uid="{00000000-0005-0000-0000-00008A130000}"/>
    <cellStyle name="Output 2 5 2" xfId="1802" xr:uid="{00000000-0005-0000-0000-00008B130000}"/>
    <cellStyle name="Output 2 5 2 2" xfId="4158" xr:uid="{00000000-0005-0000-0000-00008C130000}"/>
    <cellStyle name="Output 2 5 2 3" xfId="6056" xr:uid="{00000000-0005-0000-0000-00008D130000}"/>
    <cellStyle name="Output 2 5 20" xfId="1803" xr:uid="{00000000-0005-0000-0000-00008E130000}"/>
    <cellStyle name="Output 2 5 20 2" xfId="4159" xr:uid="{00000000-0005-0000-0000-00008F130000}"/>
    <cellStyle name="Output 2 5 20 3" xfId="6057" xr:uid="{00000000-0005-0000-0000-000090130000}"/>
    <cellStyle name="Output 2 5 21" xfId="1804" xr:uid="{00000000-0005-0000-0000-000091130000}"/>
    <cellStyle name="Output 2 5 21 2" xfId="4160" xr:uid="{00000000-0005-0000-0000-000092130000}"/>
    <cellStyle name="Output 2 5 21 3" xfId="6058" xr:uid="{00000000-0005-0000-0000-000093130000}"/>
    <cellStyle name="Output 2 5 22" xfId="1805" xr:uid="{00000000-0005-0000-0000-000094130000}"/>
    <cellStyle name="Output 2 5 22 2" xfId="4161" xr:uid="{00000000-0005-0000-0000-000095130000}"/>
    <cellStyle name="Output 2 5 22 3" xfId="6059" xr:uid="{00000000-0005-0000-0000-000096130000}"/>
    <cellStyle name="Output 2 5 23" xfId="1806" xr:uid="{00000000-0005-0000-0000-000097130000}"/>
    <cellStyle name="Output 2 5 23 2" xfId="4162" xr:uid="{00000000-0005-0000-0000-000098130000}"/>
    <cellStyle name="Output 2 5 23 3" xfId="6060" xr:uid="{00000000-0005-0000-0000-000099130000}"/>
    <cellStyle name="Output 2 5 24" xfId="4147" xr:uid="{00000000-0005-0000-0000-00009A130000}"/>
    <cellStyle name="Output 2 5 25" xfId="6045" xr:uid="{00000000-0005-0000-0000-00009B130000}"/>
    <cellStyle name="Output 2 5 3" xfId="1807" xr:uid="{00000000-0005-0000-0000-00009C130000}"/>
    <cellStyle name="Output 2 5 3 2" xfId="4163" xr:uid="{00000000-0005-0000-0000-00009D130000}"/>
    <cellStyle name="Output 2 5 3 3" xfId="6061" xr:uid="{00000000-0005-0000-0000-00009E130000}"/>
    <cellStyle name="Output 2 5 4" xfId="1808" xr:uid="{00000000-0005-0000-0000-00009F130000}"/>
    <cellStyle name="Output 2 5 4 2" xfId="4164" xr:uid="{00000000-0005-0000-0000-0000A0130000}"/>
    <cellStyle name="Output 2 5 4 3" xfId="6062" xr:uid="{00000000-0005-0000-0000-0000A1130000}"/>
    <cellStyle name="Output 2 5 5" xfId="1809" xr:uid="{00000000-0005-0000-0000-0000A2130000}"/>
    <cellStyle name="Output 2 5 5 2" xfId="4165" xr:uid="{00000000-0005-0000-0000-0000A3130000}"/>
    <cellStyle name="Output 2 5 5 3" xfId="6063" xr:uid="{00000000-0005-0000-0000-0000A4130000}"/>
    <cellStyle name="Output 2 5 6" xfId="1810" xr:uid="{00000000-0005-0000-0000-0000A5130000}"/>
    <cellStyle name="Output 2 5 6 2" xfId="4166" xr:uid="{00000000-0005-0000-0000-0000A6130000}"/>
    <cellStyle name="Output 2 5 6 3" xfId="6064" xr:uid="{00000000-0005-0000-0000-0000A7130000}"/>
    <cellStyle name="Output 2 5 7" xfId="1811" xr:uid="{00000000-0005-0000-0000-0000A8130000}"/>
    <cellStyle name="Output 2 5 7 2" xfId="4167" xr:uid="{00000000-0005-0000-0000-0000A9130000}"/>
    <cellStyle name="Output 2 5 7 3" xfId="6065" xr:uid="{00000000-0005-0000-0000-0000AA130000}"/>
    <cellStyle name="Output 2 5 8" xfId="1812" xr:uid="{00000000-0005-0000-0000-0000AB130000}"/>
    <cellStyle name="Output 2 5 8 2" xfId="4168" xr:uid="{00000000-0005-0000-0000-0000AC130000}"/>
    <cellStyle name="Output 2 5 8 3" xfId="6066" xr:uid="{00000000-0005-0000-0000-0000AD130000}"/>
    <cellStyle name="Output 2 5 9" xfId="1813" xr:uid="{00000000-0005-0000-0000-0000AE130000}"/>
    <cellStyle name="Output 2 5 9 2" xfId="4169" xr:uid="{00000000-0005-0000-0000-0000AF130000}"/>
    <cellStyle name="Output 2 5 9 3" xfId="6067" xr:uid="{00000000-0005-0000-0000-0000B0130000}"/>
    <cellStyle name="Output 2 6" xfId="1814" xr:uid="{00000000-0005-0000-0000-0000B1130000}"/>
    <cellStyle name="Output 2 6 10" xfId="1815" xr:uid="{00000000-0005-0000-0000-0000B2130000}"/>
    <cellStyle name="Output 2 6 10 2" xfId="4171" xr:uid="{00000000-0005-0000-0000-0000B3130000}"/>
    <cellStyle name="Output 2 6 10 3" xfId="6069" xr:uid="{00000000-0005-0000-0000-0000B4130000}"/>
    <cellStyle name="Output 2 6 11" xfId="1816" xr:uid="{00000000-0005-0000-0000-0000B5130000}"/>
    <cellStyle name="Output 2 6 11 2" xfId="4172" xr:uid="{00000000-0005-0000-0000-0000B6130000}"/>
    <cellStyle name="Output 2 6 11 3" xfId="6070" xr:uid="{00000000-0005-0000-0000-0000B7130000}"/>
    <cellStyle name="Output 2 6 12" xfId="1817" xr:uid="{00000000-0005-0000-0000-0000B8130000}"/>
    <cellStyle name="Output 2 6 12 2" xfId="4173" xr:uid="{00000000-0005-0000-0000-0000B9130000}"/>
    <cellStyle name="Output 2 6 12 3" xfId="6071" xr:uid="{00000000-0005-0000-0000-0000BA130000}"/>
    <cellStyle name="Output 2 6 13" xfId="1818" xr:uid="{00000000-0005-0000-0000-0000BB130000}"/>
    <cellStyle name="Output 2 6 13 2" xfId="4174" xr:uid="{00000000-0005-0000-0000-0000BC130000}"/>
    <cellStyle name="Output 2 6 13 3" xfId="6072" xr:uid="{00000000-0005-0000-0000-0000BD130000}"/>
    <cellStyle name="Output 2 6 14" xfId="1819" xr:uid="{00000000-0005-0000-0000-0000BE130000}"/>
    <cellStyle name="Output 2 6 14 2" xfId="4175" xr:uid="{00000000-0005-0000-0000-0000BF130000}"/>
    <cellStyle name="Output 2 6 14 3" xfId="6073" xr:uid="{00000000-0005-0000-0000-0000C0130000}"/>
    <cellStyle name="Output 2 6 15" xfId="1820" xr:uid="{00000000-0005-0000-0000-0000C1130000}"/>
    <cellStyle name="Output 2 6 15 2" xfId="4176" xr:uid="{00000000-0005-0000-0000-0000C2130000}"/>
    <cellStyle name="Output 2 6 15 3" xfId="6074" xr:uid="{00000000-0005-0000-0000-0000C3130000}"/>
    <cellStyle name="Output 2 6 16" xfId="1821" xr:uid="{00000000-0005-0000-0000-0000C4130000}"/>
    <cellStyle name="Output 2 6 16 2" xfId="4177" xr:uid="{00000000-0005-0000-0000-0000C5130000}"/>
    <cellStyle name="Output 2 6 16 3" xfId="6075" xr:uid="{00000000-0005-0000-0000-0000C6130000}"/>
    <cellStyle name="Output 2 6 17" xfId="1822" xr:uid="{00000000-0005-0000-0000-0000C7130000}"/>
    <cellStyle name="Output 2 6 17 2" xfId="4178" xr:uid="{00000000-0005-0000-0000-0000C8130000}"/>
    <cellStyle name="Output 2 6 17 3" xfId="6076" xr:uid="{00000000-0005-0000-0000-0000C9130000}"/>
    <cellStyle name="Output 2 6 18" xfId="1823" xr:uid="{00000000-0005-0000-0000-0000CA130000}"/>
    <cellStyle name="Output 2 6 18 2" xfId="4179" xr:uid="{00000000-0005-0000-0000-0000CB130000}"/>
    <cellStyle name="Output 2 6 18 3" xfId="6077" xr:uid="{00000000-0005-0000-0000-0000CC130000}"/>
    <cellStyle name="Output 2 6 19" xfId="1824" xr:uid="{00000000-0005-0000-0000-0000CD130000}"/>
    <cellStyle name="Output 2 6 19 2" xfId="4180" xr:uid="{00000000-0005-0000-0000-0000CE130000}"/>
    <cellStyle name="Output 2 6 19 3" xfId="6078" xr:uid="{00000000-0005-0000-0000-0000CF130000}"/>
    <cellStyle name="Output 2 6 2" xfId="1825" xr:uid="{00000000-0005-0000-0000-0000D0130000}"/>
    <cellStyle name="Output 2 6 2 2" xfId="4181" xr:uid="{00000000-0005-0000-0000-0000D1130000}"/>
    <cellStyle name="Output 2 6 2 3" xfId="6079" xr:uid="{00000000-0005-0000-0000-0000D2130000}"/>
    <cellStyle name="Output 2 6 20" xfId="1826" xr:uid="{00000000-0005-0000-0000-0000D3130000}"/>
    <cellStyle name="Output 2 6 20 2" xfId="4182" xr:uid="{00000000-0005-0000-0000-0000D4130000}"/>
    <cellStyle name="Output 2 6 20 3" xfId="6080" xr:uid="{00000000-0005-0000-0000-0000D5130000}"/>
    <cellStyle name="Output 2 6 21" xfId="1827" xr:uid="{00000000-0005-0000-0000-0000D6130000}"/>
    <cellStyle name="Output 2 6 21 2" xfId="4183" xr:uid="{00000000-0005-0000-0000-0000D7130000}"/>
    <cellStyle name="Output 2 6 21 3" xfId="6081" xr:uid="{00000000-0005-0000-0000-0000D8130000}"/>
    <cellStyle name="Output 2 6 22" xfId="1828" xr:uid="{00000000-0005-0000-0000-0000D9130000}"/>
    <cellStyle name="Output 2 6 22 2" xfId="4184" xr:uid="{00000000-0005-0000-0000-0000DA130000}"/>
    <cellStyle name="Output 2 6 22 3" xfId="6082" xr:uid="{00000000-0005-0000-0000-0000DB130000}"/>
    <cellStyle name="Output 2 6 23" xfId="1829" xr:uid="{00000000-0005-0000-0000-0000DC130000}"/>
    <cellStyle name="Output 2 6 23 2" xfId="4185" xr:uid="{00000000-0005-0000-0000-0000DD130000}"/>
    <cellStyle name="Output 2 6 23 3" xfId="6083" xr:uid="{00000000-0005-0000-0000-0000DE130000}"/>
    <cellStyle name="Output 2 6 24" xfId="4170" xr:uid="{00000000-0005-0000-0000-0000DF130000}"/>
    <cellStyle name="Output 2 6 25" xfId="6068" xr:uid="{00000000-0005-0000-0000-0000E0130000}"/>
    <cellStyle name="Output 2 6 3" xfId="1830" xr:uid="{00000000-0005-0000-0000-0000E1130000}"/>
    <cellStyle name="Output 2 6 3 2" xfId="4186" xr:uid="{00000000-0005-0000-0000-0000E2130000}"/>
    <cellStyle name="Output 2 6 3 3" xfId="6084" xr:uid="{00000000-0005-0000-0000-0000E3130000}"/>
    <cellStyle name="Output 2 6 4" xfId="1831" xr:uid="{00000000-0005-0000-0000-0000E4130000}"/>
    <cellStyle name="Output 2 6 4 2" xfId="4187" xr:uid="{00000000-0005-0000-0000-0000E5130000}"/>
    <cellStyle name="Output 2 6 4 3" xfId="6085" xr:uid="{00000000-0005-0000-0000-0000E6130000}"/>
    <cellStyle name="Output 2 6 5" xfId="1832" xr:uid="{00000000-0005-0000-0000-0000E7130000}"/>
    <cellStyle name="Output 2 6 5 2" xfId="4188" xr:uid="{00000000-0005-0000-0000-0000E8130000}"/>
    <cellStyle name="Output 2 6 5 3" xfId="6086" xr:uid="{00000000-0005-0000-0000-0000E9130000}"/>
    <cellStyle name="Output 2 6 6" xfId="1833" xr:uid="{00000000-0005-0000-0000-0000EA130000}"/>
    <cellStyle name="Output 2 6 6 2" xfId="4189" xr:uid="{00000000-0005-0000-0000-0000EB130000}"/>
    <cellStyle name="Output 2 6 6 3" xfId="6087" xr:uid="{00000000-0005-0000-0000-0000EC130000}"/>
    <cellStyle name="Output 2 6 7" xfId="1834" xr:uid="{00000000-0005-0000-0000-0000ED130000}"/>
    <cellStyle name="Output 2 6 7 2" xfId="4190" xr:uid="{00000000-0005-0000-0000-0000EE130000}"/>
    <cellStyle name="Output 2 6 7 3" xfId="6088" xr:uid="{00000000-0005-0000-0000-0000EF130000}"/>
    <cellStyle name="Output 2 6 8" xfId="1835" xr:uid="{00000000-0005-0000-0000-0000F0130000}"/>
    <cellStyle name="Output 2 6 8 2" xfId="4191" xr:uid="{00000000-0005-0000-0000-0000F1130000}"/>
    <cellStyle name="Output 2 6 8 3" xfId="6089" xr:uid="{00000000-0005-0000-0000-0000F2130000}"/>
    <cellStyle name="Output 2 6 9" xfId="1836" xr:uid="{00000000-0005-0000-0000-0000F3130000}"/>
    <cellStyle name="Output 2 6 9 2" xfId="4192" xr:uid="{00000000-0005-0000-0000-0000F4130000}"/>
    <cellStyle name="Output 2 6 9 3" xfId="6090" xr:uid="{00000000-0005-0000-0000-0000F5130000}"/>
    <cellStyle name="Output 2 7" xfId="1837" xr:uid="{00000000-0005-0000-0000-0000F6130000}"/>
    <cellStyle name="Output 2 7 10" xfId="1838" xr:uid="{00000000-0005-0000-0000-0000F7130000}"/>
    <cellStyle name="Output 2 7 10 2" xfId="4194" xr:uid="{00000000-0005-0000-0000-0000F8130000}"/>
    <cellStyle name="Output 2 7 10 3" xfId="6092" xr:uid="{00000000-0005-0000-0000-0000F9130000}"/>
    <cellStyle name="Output 2 7 11" xfId="1839" xr:uid="{00000000-0005-0000-0000-0000FA130000}"/>
    <cellStyle name="Output 2 7 11 2" xfId="4195" xr:uid="{00000000-0005-0000-0000-0000FB130000}"/>
    <cellStyle name="Output 2 7 11 3" xfId="6093" xr:uid="{00000000-0005-0000-0000-0000FC130000}"/>
    <cellStyle name="Output 2 7 12" xfId="1840" xr:uid="{00000000-0005-0000-0000-0000FD130000}"/>
    <cellStyle name="Output 2 7 12 2" xfId="4196" xr:uid="{00000000-0005-0000-0000-0000FE130000}"/>
    <cellStyle name="Output 2 7 12 3" xfId="6094" xr:uid="{00000000-0005-0000-0000-0000FF130000}"/>
    <cellStyle name="Output 2 7 13" xfId="1841" xr:uid="{00000000-0005-0000-0000-000000140000}"/>
    <cellStyle name="Output 2 7 13 2" xfId="4197" xr:uid="{00000000-0005-0000-0000-000001140000}"/>
    <cellStyle name="Output 2 7 13 3" xfId="6095" xr:uid="{00000000-0005-0000-0000-000002140000}"/>
    <cellStyle name="Output 2 7 14" xfId="1842" xr:uid="{00000000-0005-0000-0000-000003140000}"/>
    <cellStyle name="Output 2 7 14 2" xfId="4198" xr:uid="{00000000-0005-0000-0000-000004140000}"/>
    <cellStyle name="Output 2 7 14 3" xfId="6096" xr:uid="{00000000-0005-0000-0000-000005140000}"/>
    <cellStyle name="Output 2 7 15" xfId="1843" xr:uid="{00000000-0005-0000-0000-000006140000}"/>
    <cellStyle name="Output 2 7 15 2" xfId="4199" xr:uid="{00000000-0005-0000-0000-000007140000}"/>
    <cellStyle name="Output 2 7 15 3" xfId="6097" xr:uid="{00000000-0005-0000-0000-000008140000}"/>
    <cellStyle name="Output 2 7 16" xfId="1844" xr:uid="{00000000-0005-0000-0000-000009140000}"/>
    <cellStyle name="Output 2 7 16 2" xfId="4200" xr:uid="{00000000-0005-0000-0000-00000A140000}"/>
    <cellStyle name="Output 2 7 16 3" xfId="6098" xr:uid="{00000000-0005-0000-0000-00000B140000}"/>
    <cellStyle name="Output 2 7 17" xfId="1845" xr:uid="{00000000-0005-0000-0000-00000C140000}"/>
    <cellStyle name="Output 2 7 17 2" xfId="4201" xr:uid="{00000000-0005-0000-0000-00000D140000}"/>
    <cellStyle name="Output 2 7 17 3" xfId="6099" xr:uid="{00000000-0005-0000-0000-00000E140000}"/>
    <cellStyle name="Output 2 7 18" xfId="1846" xr:uid="{00000000-0005-0000-0000-00000F140000}"/>
    <cellStyle name="Output 2 7 18 2" xfId="4202" xr:uid="{00000000-0005-0000-0000-000010140000}"/>
    <cellStyle name="Output 2 7 18 3" xfId="6100" xr:uid="{00000000-0005-0000-0000-000011140000}"/>
    <cellStyle name="Output 2 7 19" xfId="1847" xr:uid="{00000000-0005-0000-0000-000012140000}"/>
    <cellStyle name="Output 2 7 19 2" xfId="4203" xr:uid="{00000000-0005-0000-0000-000013140000}"/>
    <cellStyle name="Output 2 7 19 3" xfId="6101" xr:uid="{00000000-0005-0000-0000-000014140000}"/>
    <cellStyle name="Output 2 7 2" xfId="1848" xr:uid="{00000000-0005-0000-0000-000015140000}"/>
    <cellStyle name="Output 2 7 2 2" xfId="4204" xr:uid="{00000000-0005-0000-0000-000016140000}"/>
    <cellStyle name="Output 2 7 2 3" xfId="6102" xr:uid="{00000000-0005-0000-0000-000017140000}"/>
    <cellStyle name="Output 2 7 20" xfId="1849" xr:uid="{00000000-0005-0000-0000-000018140000}"/>
    <cellStyle name="Output 2 7 20 2" xfId="4205" xr:uid="{00000000-0005-0000-0000-000019140000}"/>
    <cellStyle name="Output 2 7 20 3" xfId="6103" xr:uid="{00000000-0005-0000-0000-00001A140000}"/>
    <cellStyle name="Output 2 7 21" xfId="1850" xr:uid="{00000000-0005-0000-0000-00001B140000}"/>
    <cellStyle name="Output 2 7 21 2" xfId="4206" xr:uid="{00000000-0005-0000-0000-00001C140000}"/>
    <cellStyle name="Output 2 7 21 3" xfId="6104" xr:uid="{00000000-0005-0000-0000-00001D140000}"/>
    <cellStyle name="Output 2 7 22" xfId="1851" xr:uid="{00000000-0005-0000-0000-00001E140000}"/>
    <cellStyle name="Output 2 7 22 2" xfId="4207" xr:uid="{00000000-0005-0000-0000-00001F140000}"/>
    <cellStyle name="Output 2 7 22 3" xfId="6105" xr:uid="{00000000-0005-0000-0000-000020140000}"/>
    <cellStyle name="Output 2 7 23" xfId="1852" xr:uid="{00000000-0005-0000-0000-000021140000}"/>
    <cellStyle name="Output 2 7 23 2" xfId="4208" xr:uid="{00000000-0005-0000-0000-000022140000}"/>
    <cellStyle name="Output 2 7 23 3" xfId="6106" xr:uid="{00000000-0005-0000-0000-000023140000}"/>
    <cellStyle name="Output 2 7 24" xfId="4193" xr:uid="{00000000-0005-0000-0000-000024140000}"/>
    <cellStyle name="Output 2 7 25" xfId="6091" xr:uid="{00000000-0005-0000-0000-000025140000}"/>
    <cellStyle name="Output 2 7 3" xfId="1853" xr:uid="{00000000-0005-0000-0000-000026140000}"/>
    <cellStyle name="Output 2 7 3 2" xfId="4209" xr:uid="{00000000-0005-0000-0000-000027140000}"/>
    <cellStyle name="Output 2 7 3 3" xfId="6107" xr:uid="{00000000-0005-0000-0000-000028140000}"/>
    <cellStyle name="Output 2 7 4" xfId="1854" xr:uid="{00000000-0005-0000-0000-000029140000}"/>
    <cellStyle name="Output 2 7 4 2" xfId="4210" xr:uid="{00000000-0005-0000-0000-00002A140000}"/>
    <cellStyle name="Output 2 7 4 3" xfId="6108" xr:uid="{00000000-0005-0000-0000-00002B140000}"/>
    <cellStyle name="Output 2 7 5" xfId="1855" xr:uid="{00000000-0005-0000-0000-00002C140000}"/>
    <cellStyle name="Output 2 7 5 2" xfId="4211" xr:uid="{00000000-0005-0000-0000-00002D140000}"/>
    <cellStyle name="Output 2 7 5 3" xfId="6109" xr:uid="{00000000-0005-0000-0000-00002E140000}"/>
    <cellStyle name="Output 2 7 6" xfId="1856" xr:uid="{00000000-0005-0000-0000-00002F140000}"/>
    <cellStyle name="Output 2 7 6 2" xfId="4212" xr:uid="{00000000-0005-0000-0000-000030140000}"/>
    <cellStyle name="Output 2 7 6 3" xfId="6110" xr:uid="{00000000-0005-0000-0000-000031140000}"/>
    <cellStyle name="Output 2 7 7" xfId="1857" xr:uid="{00000000-0005-0000-0000-000032140000}"/>
    <cellStyle name="Output 2 7 7 2" xfId="4213" xr:uid="{00000000-0005-0000-0000-000033140000}"/>
    <cellStyle name="Output 2 7 7 3" xfId="6111" xr:uid="{00000000-0005-0000-0000-000034140000}"/>
    <cellStyle name="Output 2 7 8" xfId="1858" xr:uid="{00000000-0005-0000-0000-000035140000}"/>
    <cellStyle name="Output 2 7 8 2" xfId="4214" xr:uid="{00000000-0005-0000-0000-000036140000}"/>
    <cellStyle name="Output 2 7 8 3" xfId="6112" xr:uid="{00000000-0005-0000-0000-000037140000}"/>
    <cellStyle name="Output 2 7 9" xfId="1859" xr:uid="{00000000-0005-0000-0000-000038140000}"/>
    <cellStyle name="Output 2 7 9 2" xfId="4215" xr:uid="{00000000-0005-0000-0000-000039140000}"/>
    <cellStyle name="Output 2 7 9 3" xfId="6113" xr:uid="{00000000-0005-0000-0000-00003A140000}"/>
    <cellStyle name="Output 2 8" xfId="1860" xr:uid="{00000000-0005-0000-0000-00003B140000}"/>
    <cellStyle name="Output 2 8 10" xfId="1861" xr:uid="{00000000-0005-0000-0000-00003C140000}"/>
    <cellStyle name="Output 2 8 10 2" xfId="4217" xr:uid="{00000000-0005-0000-0000-00003D140000}"/>
    <cellStyle name="Output 2 8 10 3" xfId="6115" xr:uid="{00000000-0005-0000-0000-00003E140000}"/>
    <cellStyle name="Output 2 8 11" xfId="1862" xr:uid="{00000000-0005-0000-0000-00003F140000}"/>
    <cellStyle name="Output 2 8 11 2" xfId="4218" xr:uid="{00000000-0005-0000-0000-000040140000}"/>
    <cellStyle name="Output 2 8 11 3" xfId="6116" xr:uid="{00000000-0005-0000-0000-000041140000}"/>
    <cellStyle name="Output 2 8 12" xfId="1863" xr:uid="{00000000-0005-0000-0000-000042140000}"/>
    <cellStyle name="Output 2 8 12 2" xfId="4219" xr:uid="{00000000-0005-0000-0000-000043140000}"/>
    <cellStyle name="Output 2 8 12 3" xfId="6117" xr:uid="{00000000-0005-0000-0000-000044140000}"/>
    <cellStyle name="Output 2 8 13" xfId="1864" xr:uid="{00000000-0005-0000-0000-000045140000}"/>
    <cellStyle name="Output 2 8 13 2" xfId="4220" xr:uid="{00000000-0005-0000-0000-000046140000}"/>
    <cellStyle name="Output 2 8 13 3" xfId="6118" xr:uid="{00000000-0005-0000-0000-000047140000}"/>
    <cellStyle name="Output 2 8 14" xfId="1865" xr:uid="{00000000-0005-0000-0000-000048140000}"/>
    <cellStyle name="Output 2 8 14 2" xfId="4221" xr:uid="{00000000-0005-0000-0000-000049140000}"/>
    <cellStyle name="Output 2 8 14 3" xfId="6119" xr:uid="{00000000-0005-0000-0000-00004A140000}"/>
    <cellStyle name="Output 2 8 15" xfId="1866" xr:uid="{00000000-0005-0000-0000-00004B140000}"/>
    <cellStyle name="Output 2 8 15 2" xfId="4222" xr:uid="{00000000-0005-0000-0000-00004C140000}"/>
    <cellStyle name="Output 2 8 15 3" xfId="6120" xr:uid="{00000000-0005-0000-0000-00004D140000}"/>
    <cellStyle name="Output 2 8 16" xfId="1867" xr:uid="{00000000-0005-0000-0000-00004E140000}"/>
    <cellStyle name="Output 2 8 16 2" xfId="4223" xr:uid="{00000000-0005-0000-0000-00004F140000}"/>
    <cellStyle name="Output 2 8 16 3" xfId="6121" xr:uid="{00000000-0005-0000-0000-000050140000}"/>
    <cellStyle name="Output 2 8 17" xfId="1868" xr:uid="{00000000-0005-0000-0000-000051140000}"/>
    <cellStyle name="Output 2 8 17 2" xfId="4224" xr:uid="{00000000-0005-0000-0000-000052140000}"/>
    <cellStyle name="Output 2 8 17 3" xfId="6122" xr:uid="{00000000-0005-0000-0000-000053140000}"/>
    <cellStyle name="Output 2 8 18" xfId="1869" xr:uid="{00000000-0005-0000-0000-000054140000}"/>
    <cellStyle name="Output 2 8 18 2" xfId="4225" xr:uid="{00000000-0005-0000-0000-000055140000}"/>
    <cellStyle name="Output 2 8 18 3" xfId="6123" xr:uid="{00000000-0005-0000-0000-000056140000}"/>
    <cellStyle name="Output 2 8 19" xfId="1870" xr:uid="{00000000-0005-0000-0000-000057140000}"/>
    <cellStyle name="Output 2 8 19 2" xfId="4226" xr:uid="{00000000-0005-0000-0000-000058140000}"/>
    <cellStyle name="Output 2 8 19 3" xfId="6124" xr:uid="{00000000-0005-0000-0000-000059140000}"/>
    <cellStyle name="Output 2 8 2" xfId="1871" xr:uid="{00000000-0005-0000-0000-00005A140000}"/>
    <cellStyle name="Output 2 8 2 2" xfId="4227" xr:uid="{00000000-0005-0000-0000-00005B140000}"/>
    <cellStyle name="Output 2 8 2 3" xfId="6125" xr:uid="{00000000-0005-0000-0000-00005C140000}"/>
    <cellStyle name="Output 2 8 20" xfId="1872" xr:uid="{00000000-0005-0000-0000-00005D140000}"/>
    <cellStyle name="Output 2 8 20 2" xfId="4228" xr:uid="{00000000-0005-0000-0000-00005E140000}"/>
    <cellStyle name="Output 2 8 20 3" xfId="6126" xr:uid="{00000000-0005-0000-0000-00005F140000}"/>
    <cellStyle name="Output 2 8 21" xfId="1873" xr:uid="{00000000-0005-0000-0000-000060140000}"/>
    <cellStyle name="Output 2 8 21 2" xfId="4229" xr:uid="{00000000-0005-0000-0000-000061140000}"/>
    <cellStyle name="Output 2 8 21 3" xfId="6127" xr:uid="{00000000-0005-0000-0000-000062140000}"/>
    <cellStyle name="Output 2 8 22" xfId="1874" xr:uid="{00000000-0005-0000-0000-000063140000}"/>
    <cellStyle name="Output 2 8 22 2" xfId="4230" xr:uid="{00000000-0005-0000-0000-000064140000}"/>
    <cellStyle name="Output 2 8 22 3" xfId="6128" xr:uid="{00000000-0005-0000-0000-000065140000}"/>
    <cellStyle name="Output 2 8 23" xfId="1875" xr:uid="{00000000-0005-0000-0000-000066140000}"/>
    <cellStyle name="Output 2 8 23 2" xfId="4231" xr:uid="{00000000-0005-0000-0000-000067140000}"/>
    <cellStyle name="Output 2 8 23 3" xfId="6129" xr:uid="{00000000-0005-0000-0000-000068140000}"/>
    <cellStyle name="Output 2 8 24" xfId="4216" xr:uid="{00000000-0005-0000-0000-000069140000}"/>
    <cellStyle name="Output 2 8 25" xfId="6114" xr:uid="{00000000-0005-0000-0000-00006A140000}"/>
    <cellStyle name="Output 2 8 3" xfId="1876" xr:uid="{00000000-0005-0000-0000-00006B140000}"/>
    <cellStyle name="Output 2 8 3 2" xfId="4232" xr:uid="{00000000-0005-0000-0000-00006C140000}"/>
    <cellStyle name="Output 2 8 3 3" xfId="6130" xr:uid="{00000000-0005-0000-0000-00006D140000}"/>
    <cellStyle name="Output 2 8 4" xfId="1877" xr:uid="{00000000-0005-0000-0000-00006E140000}"/>
    <cellStyle name="Output 2 8 4 2" xfId="4233" xr:uid="{00000000-0005-0000-0000-00006F140000}"/>
    <cellStyle name="Output 2 8 4 3" xfId="6131" xr:uid="{00000000-0005-0000-0000-000070140000}"/>
    <cellStyle name="Output 2 8 5" xfId="1878" xr:uid="{00000000-0005-0000-0000-000071140000}"/>
    <cellStyle name="Output 2 8 5 2" xfId="4234" xr:uid="{00000000-0005-0000-0000-000072140000}"/>
    <cellStyle name="Output 2 8 5 3" xfId="6132" xr:uid="{00000000-0005-0000-0000-000073140000}"/>
    <cellStyle name="Output 2 8 6" xfId="1879" xr:uid="{00000000-0005-0000-0000-000074140000}"/>
    <cellStyle name="Output 2 8 6 2" xfId="4235" xr:uid="{00000000-0005-0000-0000-000075140000}"/>
    <cellStyle name="Output 2 8 6 3" xfId="6133" xr:uid="{00000000-0005-0000-0000-000076140000}"/>
    <cellStyle name="Output 2 8 7" xfId="1880" xr:uid="{00000000-0005-0000-0000-000077140000}"/>
    <cellStyle name="Output 2 8 7 2" xfId="4236" xr:uid="{00000000-0005-0000-0000-000078140000}"/>
    <cellStyle name="Output 2 8 7 3" xfId="6134" xr:uid="{00000000-0005-0000-0000-000079140000}"/>
    <cellStyle name="Output 2 8 8" xfId="1881" xr:uid="{00000000-0005-0000-0000-00007A140000}"/>
    <cellStyle name="Output 2 8 8 2" xfId="4237" xr:uid="{00000000-0005-0000-0000-00007B140000}"/>
    <cellStyle name="Output 2 8 8 3" xfId="6135" xr:uid="{00000000-0005-0000-0000-00007C140000}"/>
    <cellStyle name="Output 2 8 9" xfId="1882" xr:uid="{00000000-0005-0000-0000-00007D140000}"/>
    <cellStyle name="Output 2 8 9 2" xfId="4238" xr:uid="{00000000-0005-0000-0000-00007E140000}"/>
    <cellStyle name="Output 2 8 9 3" xfId="6136" xr:uid="{00000000-0005-0000-0000-00007F140000}"/>
    <cellStyle name="Output 2 9" xfId="1883" xr:uid="{00000000-0005-0000-0000-000080140000}"/>
    <cellStyle name="Output 2 9 10" xfId="1884" xr:uid="{00000000-0005-0000-0000-000081140000}"/>
    <cellStyle name="Output 2 9 10 2" xfId="4240" xr:uid="{00000000-0005-0000-0000-000082140000}"/>
    <cellStyle name="Output 2 9 10 3" xfId="6138" xr:uid="{00000000-0005-0000-0000-000083140000}"/>
    <cellStyle name="Output 2 9 11" xfId="1885" xr:uid="{00000000-0005-0000-0000-000084140000}"/>
    <cellStyle name="Output 2 9 11 2" xfId="4241" xr:uid="{00000000-0005-0000-0000-000085140000}"/>
    <cellStyle name="Output 2 9 11 3" xfId="6139" xr:uid="{00000000-0005-0000-0000-000086140000}"/>
    <cellStyle name="Output 2 9 12" xfId="1886" xr:uid="{00000000-0005-0000-0000-000087140000}"/>
    <cellStyle name="Output 2 9 12 2" xfId="4242" xr:uid="{00000000-0005-0000-0000-000088140000}"/>
    <cellStyle name="Output 2 9 12 3" xfId="6140" xr:uid="{00000000-0005-0000-0000-000089140000}"/>
    <cellStyle name="Output 2 9 13" xfId="1887" xr:uid="{00000000-0005-0000-0000-00008A140000}"/>
    <cellStyle name="Output 2 9 13 2" xfId="4243" xr:uid="{00000000-0005-0000-0000-00008B140000}"/>
    <cellStyle name="Output 2 9 13 3" xfId="6141" xr:uid="{00000000-0005-0000-0000-00008C140000}"/>
    <cellStyle name="Output 2 9 14" xfId="1888" xr:uid="{00000000-0005-0000-0000-00008D140000}"/>
    <cellStyle name="Output 2 9 14 2" xfId="4244" xr:uid="{00000000-0005-0000-0000-00008E140000}"/>
    <cellStyle name="Output 2 9 14 3" xfId="6142" xr:uid="{00000000-0005-0000-0000-00008F140000}"/>
    <cellStyle name="Output 2 9 15" xfId="1889" xr:uid="{00000000-0005-0000-0000-000090140000}"/>
    <cellStyle name="Output 2 9 15 2" xfId="4245" xr:uid="{00000000-0005-0000-0000-000091140000}"/>
    <cellStyle name="Output 2 9 15 3" xfId="6143" xr:uid="{00000000-0005-0000-0000-000092140000}"/>
    <cellStyle name="Output 2 9 16" xfId="1890" xr:uid="{00000000-0005-0000-0000-000093140000}"/>
    <cellStyle name="Output 2 9 16 2" xfId="4246" xr:uid="{00000000-0005-0000-0000-000094140000}"/>
    <cellStyle name="Output 2 9 16 3" xfId="6144" xr:uid="{00000000-0005-0000-0000-000095140000}"/>
    <cellStyle name="Output 2 9 17" xfId="1891" xr:uid="{00000000-0005-0000-0000-000096140000}"/>
    <cellStyle name="Output 2 9 17 2" xfId="4247" xr:uid="{00000000-0005-0000-0000-000097140000}"/>
    <cellStyle name="Output 2 9 17 3" xfId="6145" xr:uid="{00000000-0005-0000-0000-000098140000}"/>
    <cellStyle name="Output 2 9 18" xfId="1892" xr:uid="{00000000-0005-0000-0000-000099140000}"/>
    <cellStyle name="Output 2 9 18 2" xfId="4248" xr:uid="{00000000-0005-0000-0000-00009A140000}"/>
    <cellStyle name="Output 2 9 18 3" xfId="6146" xr:uid="{00000000-0005-0000-0000-00009B140000}"/>
    <cellStyle name="Output 2 9 19" xfId="1893" xr:uid="{00000000-0005-0000-0000-00009C140000}"/>
    <cellStyle name="Output 2 9 19 2" xfId="4249" xr:uid="{00000000-0005-0000-0000-00009D140000}"/>
    <cellStyle name="Output 2 9 19 3" xfId="6147" xr:uid="{00000000-0005-0000-0000-00009E140000}"/>
    <cellStyle name="Output 2 9 2" xfId="1894" xr:uid="{00000000-0005-0000-0000-00009F140000}"/>
    <cellStyle name="Output 2 9 2 2" xfId="4250" xr:uid="{00000000-0005-0000-0000-0000A0140000}"/>
    <cellStyle name="Output 2 9 2 3" xfId="6148" xr:uid="{00000000-0005-0000-0000-0000A1140000}"/>
    <cellStyle name="Output 2 9 20" xfId="1895" xr:uid="{00000000-0005-0000-0000-0000A2140000}"/>
    <cellStyle name="Output 2 9 20 2" xfId="4251" xr:uid="{00000000-0005-0000-0000-0000A3140000}"/>
    <cellStyle name="Output 2 9 20 3" xfId="6149" xr:uid="{00000000-0005-0000-0000-0000A4140000}"/>
    <cellStyle name="Output 2 9 21" xfId="1896" xr:uid="{00000000-0005-0000-0000-0000A5140000}"/>
    <cellStyle name="Output 2 9 21 2" xfId="4252" xr:uid="{00000000-0005-0000-0000-0000A6140000}"/>
    <cellStyle name="Output 2 9 21 3" xfId="6150" xr:uid="{00000000-0005-0000-0000-0000A7140000}"/>
    <cellStyle name="Output 2 9 22" xfId="1897" xr:uid="{00000000-0005-0000-0000-0000A8140000}"/>
    <cellStyle name="Output 2 9 22 2" xfId="4253" xr:uid="{00000000-0005-0000-0000-0000A9140000}"/>
    <cellStyle name="Output 2 9 22 3" xfId="6151" xr:uid="{00000000-0005-0000-0000-0000AA140000}"/>
    <cellStyle name="Output 2 9 23" xfId="1898" xr:uid="{00000000-0005-0000-0000-0000AB140000}"/>
    <cellStyle name="Output 2 9 23 2" xfId="4254" xr:uid="{00000000-0005-0000-0000-0000AC140000}"/>
    <cellStyle name="Output 2 9 23 3" xfId="6152" xr:uid="{00000000-0005-0000-0000-0000AD140000}"/>
    <cellStyle name="Output 2 9 24" xfId="4239" xr:uid="{00000000-0005-0000-0000-0000AE140000}"/>
    <cellStyle name="Output 2 9 25" xfId="6137" xr:uid="{00000000-0005-0000-0000-0000AF140000}"/>
    <cellStyle name="Output 2 9 3" xfId="1899" xr:uid="{00000000-0005-0000-0000-0000B0140000}"/>
    <cellStyle name="Output 2 9 3 2" xfId="4255" xr:uid="{00000000-0005-0000-0000-0000B1140000}"/>
    <cellStyle name="Output 2 9 3 3" xfId="6153" xr:uid="{00000000-0005-0000-0000-0000B2140000}"/>
    <cellStyle name="Output 2 9 4" xfId="1900" xr:uid="{00000000-0005-0000-0000-0000B3140000}"/>
    <cellStyle name="Output 2 9 4 2" xfId="4256" xr:uid="{00000000-0005-0000-0000-0000B4140000}"/>
    <cellStyle name="Output 2 9 4 3" xfId="6154" xr:uid="{00000000-0005-0000-0000-0000B5140000}"/>
    <cellStyle name="Output 2 9 5" xfId="1901" xr:uid="{00000000-0005-0000-0000-0000B6140000}"/>
    <cellStyle name="Output 2 9 5 2" xfId="4257" xr:uid="{00000000-0005-0000-0000-0000B7140000}"/>
    <cellStyle name="Output 2 9 5 3" xfId="6155" xr:uid="{00000000-0005-0000-0000-0000B8140000}"/>
    <cellStyle name="Output 2 9 6" xfId="1902" xr:uid="{00000000-0005-0000-0000-0000B9140000}"/>
    <cellStyle name="Output 2 9 6 2" xfId="4258" xr:uid="{00000000-0005-0000-0000-0000BA140000}"/>
    <cellStyle name="Output 2 9 6 3" xfId="6156" xr:uid="{00000000-0005-0000-0000-0000BB140000}"/>
    <cellStyle name="Output 2 9 7" xfId="1903" xr:uid="{00000000-0005-0000-0000-0000BC140000}"/>
    <cellStyle name="Output 2 9 7 2" xfId="4259" xr:uid="{00000000-0005-0000-0000-0000BD140000}"/>
    <cellStyle name="Output 2 9 7 3" xfId="6157" xr:uid="{00000000-0005-0000-0000-0000BE140000}"/>
    <cellStyle name="Output 2 9 8" xfId="1904" xr:uid="{00000000-0005-0000-0000-0000BF140000}"/>
    <cellStyle name="Output 2 9 8 2" xfId="4260" xr:uid="{00000000-0005-0000-0000-0000C0140000}"/>
    <cellStyle name="Output 2 9 8 3" xfId="6158" xr:uid="{00000000-0005-0000-0000-0000C1140000}"/>
    <cellStyle name="Output 2 9 9" xfId="1905" xr:uid="{00000000-0005-0000-0000-0000C2140000}"/>
    <cellStyle name="Output 2 9 9 2" xfId="4261" xr:uid="{00000000-0005-0000-0000-0000C3140000}"/>
    <cellStyle name="Output 2 9 9 3" xfId="6159" xr:uid="{00000000-0005-0000-0000-0000C4140000}"/>
    <cellStyle name="Output 3" xfId="4751" xr:uid="{00000000-0005-0000-0000-0000C5140000}"/>
    <cellStyle name="Output 4" xfId="2487" xr:uid="{00000000-0005-0000-0000-0000C6140000}"/>
    <cellStyle name="Output 5" xfId="4726" xr:uid="{00000000-0005-0000-0000-0000C7140000}"/>
    <cellStyle name="OUTPUT AMOUNTS" xfId="48" xr:uid="{00000000-0005-0000-0000-0000C8140000}"/>
    <cellStyle name="OUTPUT COLUMN HEADINGS" xfId="49" xr:uid="{00000000-0005-0000-0000-0000C9140000}"/>
    <cellStyle name="OUTPUT LINE ITEMS" xfId="50" xr:uid="{00000000-0005-0000-0000-0000CA140000}"/>
    <cellStyle name="OUTPUT REPORT HEADING" xfId="51" xr:uid="{00000000-0005-0000-0000-0000CB140000}"/>
    <cellStyle name="OUTPUT REPORT TITLE" xfId="52" xr:uid="{00000000-0005-0000-0000-0000CC140000}"/>
    <cellStyle name="Percent 2" xfId="88" xr:uid="{00000000-0005-0000-0000-0000CD140000}"/>
    <cellStyle name="Percent 2 2" xfId="97" xr:uid="{00000000-0005-0000-0000-0000CE140000}"/>
    <cellStyle name="Percent 2 2 2" xfId="6674" xr:uid="{00000000-0005-0000-0000-0000CF140000}"/>
    <cellStyle name="Percent 2 3" xfId="2378" xr:uid="{00000000-0005-0000-0000-0000D0140000}"/>
    <cellStyle name="Percent 2 3 2" xfId="4725" xr:uid="{00000000-0005-0000-0000-0000D1140000}"/>
    <cellStyle name="Percent 2 4" xfId="2502" xr:uid="{00000000-0005-0000-0000-0000D2140000}"/>
    <cellStyle name="Percent 3" xfId="89" xr:uid="{00000000-0005-0000-0000-0000D3140000}"/>
    <cellStyle name="Percent 3 2" xfId="1906" xr:uid="{00000000-0005-0000-0000-0000D4140000}"/>
    <cellStyle name="Percent 3 3" xfId="2503" xr:uid="{00000000-0005-0000-0000-0000D5140000}"/>
    <cellStyle name="Percent 4" xfId="96" xr:uid="{00000000-0005-0000-0000-0000D6140000}"/>
    <cellStyle name="Percent 4 2" xfId="2448" xr:uid="{00000000-0005-0000-0000-0000D7140000}"/>
    <cellStyle name="Percent 5" xfId="2425" xr:uid="{00000000-0005-0000-0000-0000D8140000}"/>
    <cellStyle name="Percent 6" xfId="4741" xr:uid="{00000000-0005-0000-0000-0000D9140000}"/>
    <cellStyle name="ReportTitlePrompt" xfId="53" xr:uid="{00000000-0005-0000-0000-0000DA140000}"/>
    <cellStyle name="ReportTitleValue" xfId="54" xr:uid="{00000000-0005-0000-0000-0000DB140000}"/>
    <cellStyle name="RowAcctAbovePrompt" xfId="55" xr:uid="{00000000-0005-0000-0000-0000DC140000}"/>
    <cellStyle name="RowAcctSOBAbovePrompt" xfId="56" xr:uid="{00000000-0005-0000-0000-0000DD140000}"/>
    <cellStyle name="RowAcctSOBValue" xfId="57" xr:uid="{00000000-0005-0000-0000-0000DE140000}"/>
    <cellStyle name="RowAcctValue" xfId="58" xr:uid="{00000000-0005-0000-0000-0000DF140000}"/>
    <cellStyle name="RowAttrAbovePrompt" xfId="59" xr:uid="{00000000-0005-0000-0000-0000E0140000}"/>
    <cellStyle name="RowAttrValue" xfId="60" xr:uid="{00000000-0005-0000-0000-0000E1140000}"/>
    <cellStyle name="RowColSetAbovePrompt" xfId="61" xr:uid="{00000000-0005-0000-0000-0000E2140000}"/>
    <cellStyle name="RowColSetLeftPrompt" xfId="62" xr:uid="{00000000-0005-0000-0000-0000E3140000}"/>
    <cellStyle name="RowColSetValue" xfId="63" xr:uid="{00000000-0005-0000-0000-0000E4140000}"/>
    <cellStyle name="RowLeftPrompt" xfId="64" xr:uid="{00000000-0005-0000-0000-0000E5140000}"/>
    <cellStyle name="SampleUsingFormatMask" xfId="65" xr:uid="{00000000-0005-0000-0000-0000E6140000}"/>
    <cellStyle name="SampleWithNoFormatMask" xfId="66" xr:uid="{00000000-0005-0000-0000-0000E7140000}"/>
    <cellStyle name="SecondHeader1" xfId="90" xr:uid="{00000000-0005-0000-0000-0000E8140000}"/>
    <cellStyle name="StandardNumberRow1" xfId="91" xr:uid="{00000000-0005-0000-0000-0000E9140000}"/>
    <cellStyle name="StandardRowHeader1" xfId="92" xr:uid="{00000000-0005-0000-0000-0000EA140000}"/>
    <cellStyle name="STYLE1" xfId="67" xr:uid="{00000000-0005-0000-0000-0000EB140000}"/>
    <cellStyle name="STYLE1 2" xfId="2449" xr:uid="{00000000-0005-0000-0000-0000EC140000}"/>
    <cellStyle name="STYLE2" xfId="1907" xr:uid="{00000000-0005-0000-0000-0000ED140000}"/>
    <cellStyle name="STYLE3" xfId="1908" xr:uid="{00000000-0005-0000-0000-0000EE140000}"/>
    <cellStyle name="Suma" xfId="1909" xr:uid="{00000000-0005-0000-0000-0000EF140000}"/>
    <cellStyle name="Suma 10" xfId="1910" xr:uid="{00000000-0005-0000-0000-0000F0140000}"/>
    <cellStyle name="Suma 10 2" xfId="4264" xr:uid="{00000000-0005-0000-0000-0000F1140000}"/>
    <cellStyle name="Suma 10 3" xfId="6161" xr:uid="{00000000-0005-0000-0000-0000F2140000}"/>
    <cellStyle name="Suma 11" xfId="1911" xr:uid="{00000000-0005-0000-0000-0000F3140000}"/>
    <cellStyle name="Suma 11 2" xfId="4265" xr:uid="{00000000-0005-0000-0000-0000F4140000}"/>
    <cellStyle name="Suma 11 3" xfId="6162" xr:uid="{00000000-0005-0000-0000-0000F5140000}"/>
    <cellStyle name="Suma 12" xfId="1912" xr:uid="{00000000-0005-0000-0000-0000F6140000}"/>
    <cellStyle name="Suma 12 2" xfId="4266" xr:uid="{00000000-0005-0000-0000-0000F7140000}"/>
    <cellStyle name="Suma 12 3" xfId="6163" xr:uid="{00000000-0005-0000-0000-0000F8140000}"/>
    <cellStyle name="Suma 13" xfId="1913" xr:uid="{00000000-0005-0000-0000-0000F9140000}"/>
    <cellStyle name="Suma 13 2" xfId="4267" xr:uid="{00000000-0005-0000-0000-0000FA140000}"/>
    <cellStyle name="Suma 13 3" xfId="6164" xr:uid="{00000000-0005-0000-0000-0000FB140000}"/>
    <cellStyle name="Suma 14" xfId="1914" xr:uid="{00000000-0005-0000-0000-0000FC140000}"/>
    <cellStyle name="Suma 14 2" xfId="4268" xr:uid="{00000000-0005-0000-0000-0000FD140000}"/>
    <cellStyle name="Suma 14 3" xfId="6165" xr:uid="{00000000-0005-0000-0000-0000FE140000}"/>
    <cellStyle name="Suma 15" xfId="1915" xr:uid="{00000000-0005-0000-0000-0000FF140000}"/>
    <cellStyle name="Suma 15 2" xfId="4269" xr:uid="{00000000-0005-0000-0000-000000150000}"/>
    <cellStyle name="Suma 15 3" xfId="6166" xr:uid="{00000000-0005-0000-0000-000001150000}"/>
    <cellStyle name="Suma 16" xfId="1916" xr:uid="{00000000-0005-0000-0000-000002150000}"/>
    <cellStyle name="Suma 16 2" xfId="4270" xr:uid="{00000000-0005-0000-0000-000003150000}"/>
    <cellStyle name="Suma 16 3" xfId="6167" xr:uid="{00000000-0005-0000-0000-000004150000}"/>
    <cellStyle name="Suma 17" xfId="1917" xr:uid="{00000000-0005-0000-0000-000005150000}"/>
    <cellStyle name="Suma 17 2" xfId="4271" xr:uid="{00000000-0005-0000-0000-000006150000}"/>
    <cellStyle name="Suma 17 3" xfId="6168" xr:uid="{00000000-0005-0000-0000-000007150000}"/>
    <cellStyle name="Suma 18" xfId="1918" xr:uid="{00000000-0005-0000-0000-000008150000}"/>
    <cellStyle name="Suma 18 2" xfId="4272" xr:uid="{00000000-0005-0000-0000-000009150000}"/>
    <cellStyle name="Suma 18 3" xfId="6169" xr:uid="{00000000-0005-0000-0000-00000A150000}"/>
    <cellStyle name="Suma 19" xfId="1919" xr:uid="{00000000-0005-0000-0000-00000B150000}"/>
    <cellStyle name="Suma 19 2" xfId="4273" xr:uid="{00000000-0005-0000-0000-00000C150000}"/>
    <cellStyle name="Suma 19 3" xfId="6170" xr:uid="{00000000-0005-0000-0000-00000D150000}"/>
    <cellStyle name="Suma 2" xfId="1920" xr:uid="{00000000-0005-0000-0000-00000E150000}"/>
    <cellStyle name="Suma 2 10" xfId="1921" xr:uid="{00000000-0005-0000-0000-00000F150000}"/>
    <cellStyle name="Suma 2 10 2" xfId="4275" xr:uid="{00000000-0005-0000-0000-000010150000}"/>
    <cellStyle name="Suma 2 10 3" xfId="6172" xr:uid="{00000000-0005-0000-0000-000011150000}"/>
    <cellStyle name="Suma 2 11" xfId="1922" xr:uid="{00000000-0005-0000-0000-000012150000}"/>
    <cellStyle name="Suma 2 11 2" xfId="4276" xr:uid="{00000000-0005-0000-0000-000013150000}"/>
    <cellStyle name="Suma 2 11 3" xfId="6173" xr:uid="{00000000-0005-0000-0000-000014150000}"/>
    <cellStyle name="Suma 2 12" xfId="1923" xr:uid="{00000000-0005-0000-0000-000015150000}"/>
    <cellStyle name="Suma 2 12 2" xfId="4277" xr:uid="{00000000-0005-0000-0000-000016150000}"/>
    <cellStyle name="Suma 2 12 3" xfId="6174" xr:uid="{00000000-0005-0000-0000-000017150000}"/>
    <cellStyle name="Suma 2 13" xfId="1924" xr:uid="{00000000-0005-0000-0000-000018150000}"/>
    <cellStyle name="Suma 2 13 2" xfId="4278" xr:uid="{00000000-0005-0000-0000-000019150000}"/>
    <cellStyle name="Suma 2 13 3" xfId="6175" xr:uid="{00000000-0005-0000-0000-00001A150000}"/>
    <cellStyle name="Suma 2 14" xfId="1925" xr:uid="{00000000-0005-0000-0000-00001B150000}"/>
    <cellStyle name="Suma 2 14 2" xfId="4279" xr:uid="{00000000-0005-0000-0000-00001C150000}"/>
    <cellStyle name="Suma 2 14 3" xfId="6176" xr:uid="{00000000-0005-0000-0000-00001D150000}"/>
    <cellStyle name="Suma 2 15" xfId="1926" xr:uid="{00000000-0005-0000-0000-00001E150000}"/>
    <cellStyle name="Suma 2 15 2" xfId="4280" xr:uid="{00000000-0005-0000-0000-00001F150000}"/>
    <cellStyle name="Suma 2 15 3" xfId="6177" xr:uid="{00000000-0005-0000-0000-000020150000}"/>
    <cellStyle name="Suma 2 16" xfId="1927" xr:uid="{00000000-0005-0000-0000-000021150000}"/>
    <cellStyle name="Suma 2 16 2" xfId="4281" xr:uid="{00000000-0005-0000-0000-000022150000}"/>
    <cellStyle name="Suma 2 16 3" xfId="6178" xr:uid="{00000000-0005-0000-0000-000023150000}"/>
    <cellStyle name="Suma 2 17" xfId="1928" xr:uid="{00000000-0005-0000-0000-000024150000}"/>
    <cellStyle name="Suma 2 17 2" xfId="4282" xr:uid="{00000000-0005-0000-0000-000025150000}"/>
    <cellStyle name="Suma 2 17 3" xfId="6179" xr:uid="{00000000-0005-0000-0000-000026150000}"/>
    <cellStyle name="Suma 2 18" xfId="1929" xr:uid="{00000000-0005-0000-0000-000027150000}"/>
    <cellStyle name="Suma 2 18 2" xfId="4283" xr:uid="{00000000-0005-0000-0000-000028150000}"/>
    <cellStyle name="Suma 2 18 3" xfId="6180" xr:uid="{00000000-0005-0000-0000-000029150000}"/>
    <cellStyle name="Suma 2 19" xfId="1930" xr:uid="{00000000-0005-0000-0000-00002A150000}"/>
    <cellStyle name="Suma 2 19 2" xfId="4284" xr:uid="{00000000-0005-0000-0000-00002B150000}"/>
    <cellStyle name="Suma 2 19 3" xfId="6181" xr:uid="{00000000-0005-0000-0000-00002C150000}"/>
    <cellStyle name="Suma 2 2" xfId="1931" xr:uid="{00000000-0005-0000-0000-00002D150000}"/>
    <cellStyle name="Suma 2 2 2" xfId="4285" xr:uid="{00000000-0005-0000-0000-00002E150000}"/>
    <cellStyle name="Suma 2 2 3" xfId="6182" xr:uid="{00000000-0005-0000-0000-00002F150000}"/>
    <cellStyle name="Suma 2 20" xfId="1932" xr:uid="{00000000-0005-0000-0000-000030150000}"/>
    <cellStyle name="Suma 2 20 2" xfId="4286" xr:uid="{00000000-0005-0000-0000-000031150000}"/>
    <cellStyle name="Suma 2 20 3" xfId="6183" xr:uid="{00000000-0005-0000-0000-000032150000}"/>
    <cellStyle name="Suma 2 21" xfId="1933" xr:uid="{00000000-0005-0000-0000-000033150000}"/>
    <cellStyle name="Suma 2 21 2" xfId="4287" xr:uid="{00000000-0005-0000-0000-000034150000}"/>
    <cellStyle name="Suma 2 21 3" xfId="6184" xr:uid="{00000000-0005-0000-0000-000035150000}"/>
    <cellStyle name="Suma 2 22" xfId="1934" xr:uid="{00000000-0005-0000-0000-000036150000}"/>
    <cellStyle name="Suma 2 22 2" xfId="4288" xr:uid="{00000000-0005-0000-0000-000037150000}"/>
    <cellStyle name="Suma 2 22 3" xfId="6185" xr:uid="{00000000-0005-0000-0000-000038150000}"/>
    <cellStyle name="Suma 2 23" xfId="1935" xr:uid="{00000000-0005-0000-0000-000039150000}"/>
    <cellStyle name="Suma 2 23 2" xfId="4289" xr:uid="{00000000-0005-0000-0000-00003A150000}"/>
    <cellStyle name="Suma 2 23 3" xfId="6186" xr:uid="{00000000-0005-0000-0000-00003B150000}"/>
    <cellStyle name="Suma 2 24" xfId="4274" xr:uid="{00000000-0005-0000-0000-00003C150000}"/>
    <cellStyle name="Suma 2 25" xfId="6171" xr:uid="{00000000-0005-0000-0000-00003D150000}"/>
    <cellStyle name="Suma 2 3" xfId="1936" xr:uid="{00000000-0005-0000-0000-00003E150000}"/>
    <cellStyle name="Suma 2 3 2" xfId="4290" xr:uid="{00000000-0005-0000-0000-00003F150000}"/>
    <cellStyle name="Suma 2 3 3" xfId="6187" xr:uid="{00000000-0005-0000-0000-000040150000}"/>
    <cellStyle name="Suma 2 4" xfId="1937" xr:uid="{00000000-0005-0000-0000-000041150000}"/>
    <cellStyle name="Suma 2 4 2" xfId="4291" xr:uid="{00000000-0005-0000-0000-000042150000}"/>
    <cellStyle name="Suma 2 4 3" xfId="6188" xr:uid="{00000000-0005-0000-0000-000043150000}"/>
    <cellStyle name="Suma 2 5" xfId="1938" xr:uid="{00000000-0005-0000-0000-000044150000}"/>
    <cellStyle name="Suma 2 5 2" xfId="4292" xr:uid="{00000000-0005-0000-0000-000045150000}"/>
    <cellStyle name="Suma 2 5 3" xfId="6189" xr:uid="{00000000-0005-0000-0000-000046150000}"/>
    <cellStyle name="Suma 2 6" xfId="1939" xr:uid="{00000000-0005-0000-0000-000047150000}"/>
    <cellStyle name="Suma 2 6 2" xfId="4293" xr:uid="{00000000-0005-0000-0000-000048150000}"/>
    <cellStyle name="Suma 2 6 3" xfId="6190" xr:uid="{00000000-0005-0000-0000-000049150000}"/>
    <cellStyle name="Suma 2 7" xfId="1940" xr:uid="{00000000-0005-0000-0000-00004A150000}"/>
    <cellStyle name="Suma 2 7 2" xfId="4294" xr:uid="{00000000-0005-0000-0000-00004B150000}"/>
    <cellStyle name="Suma 2 7 3" xfId="6191" xr:uid="{00000000-0005-0000-0000-00004C150000}"/>
    <cellStyle name="Suma 2 8" xfId="1941" xr:uid="{00000000-0005-0000-0000-00004D150000}"/>
    <cellStyle name="Suma 2 8 2" xfId="4295" xr:uid="{00000000-0005-0000-0000-00004E150000}"/>
    <cellStyle name="Suma 2 8 3" xfId="6192" xr:uid="{00000000-0005-0000-0000-00004F150000}"/>
    <cellStyle name="Suma 2 9" xfId="1942" xr:uid="{00000000-0005-0000-0000-000050150000}"/>
    <cellStyle name="Suma 2 9 2" xfId="4296" xr:uid="{00000000-0005-0000-0000-000051150000}"/>
    <cellStyle name="Suma 2 9 3" xfId="6193" xr:uid="{00000000-0005-0000-0000-000052150000}"/>
    <cellStyle name="Suma 20" xfId="1943" xr:uid="{00000000-0005-0000-0000-000053150000}"/>
    <cellStyle name="Suma 20 2" xfId="4297" xr:uid="{00000000-0005-0000-0000-000054150000}"/>
    <cellStyle name="Suma 20 3" xfId="6194" xr:uid="{00000000-0005-0000-0000-000055150000}"/>
    <cellStyle name="Suma 21" xfId="1944" xr:uid="{00000000-0005-0000-0000-000056150000}"/>
    <cellStyle name="Suma 21 2" xfId="4298" xr:uid="{00000000-0005-0000-0000-000057150000}"/>
    <cellStyle name="Suma 21 3" xfId="6195" xr:uid="{00000000-0005-0000-0000-000058150000}"/>
    <cellStyle name="Suma 22" xfId="1945" xr:uid="{00000000-0005-0000-0000-000059150000}"/>
    <cellStyle name="Suma 22 2" xfId="4299" xr:uid="{00000000-0005-0000-0000-00005A150000}"/>
    <cellStyle name="Suma 22 3" xfId="6196" xr:uid="{00000000-0005-0000-0000-00005B150000}"/>
    <cellStyle name="Suma 23" xfId="1946" xr:uid="{00000000-0005-0000-0000-00005C150000}"/>
    <cellStyle name="Suma 23 2" xfId="4300" xr:uid="{00000000-0005-0000-0000-00005D150000}"/>
    <cellStyle name="Suma 23 3" xfId="6197" xr:uid="{00000000-0005-0000-0000-00005E150000}"/>
    <cellStyle name="Suma 24" xfId="1947" xr:uid="{00000000-0005-0000-0000-00005F150000}"/>
    <cellStyle name="Suma 24 2" xfId="4301" xr:uid="{00000000-0005-0000-0000-000060150000}"/>
    <cellStyle name="Suma 24 3" xfId="6198" xr:uid="{00000000-0005-0000-0000-000061150000}"/>
    <cellStyle name="Suma 25" xfId="1948" xr:uid="{00000000-0005-0000-0000-000062150000}"/>
    <cellStyle name="Suma 25 2" xfId="4302" xr:uid="{00000000-0005-0000-0000-000063150000}"/>
    <cellStyle name="Suma 25 3" xfId="6199" xr:uid="{00000000-0005-0000-0000-000064150000}"/>
    <cellStyle name="Suma 26" xfId="4263" xr:uid="{00000000-0005-0000-0000-000065150000}"/>
    <cellStyle name="Suma 27" xfId="6160" xr:uid="{00000000-0005-0000-0000-000066150000}"/>
    <cellStyle name="Suma 3" xfId="1949" xr:uid="{00000000-0005-0000-0000-000067150000}"/>
    <cellStyle name="Suma 3 10" xfId="1950" xr:uid="{00000000-0005-0000-0000-000068150000}"/>
    <cellStyle name="Suma 3 10 2" xfId="4304" xr:uid="{00000000-0005-0000-0000-000069150000}"/>
    <cellStyle name="Suma 3 10 3" xfId="6201" xr:uid="{00000000-0005-0000-0000-00006A150000}"/>
    <cellStyle name="Suma 3 11" xfId="1951" xr:uid="{00000000-0005-0000-0000-00006B150000}"/>
    <cellStyle name="Suma 3 11 2" xfId="4305" xr:uid="{00000000-0005-0000-0000-00006C150000}"/>
    <cellStyle name="Suma 3 11 3" xfId="6202" xr:uid="{00000000-0005-0000-0000-00006D150000}"/>
    <cellStyle name="Suma 3 12" xfId="1952" xr:uid="{00000000-0005-0000-0000-00006E150000}"/>
    <cellStyle name="Suma 3 12 2" xfId="4306" xr:uid="{00000000-0005-0000-0000-00006F150000}"/>
    <cellStyle name="Suma 3 12 3" xfId="6203" xr:uid="{00000000-0005-0000-0000-000070150000}"/>
    <cellStyle name="Suma 3 13" xfId="1953" xr:uid="{00000000-0005-0000-0000-000071150000}"/>
    <cellStyle name="Suma 3 13 2" xfId="4307" xr:uid="{00000000-0005-0000-0000-000072150000}"/>
    <cellStyle name="Suma 3 13 3" xfId="6204" xr:uid="{00000000-0005-0000-0000-000073150000}"/>
    <cellStyle name="Suma 3 14" xfId="1954" xr:uid="{00000000-0005-0000-0000-000074150000}"/>
    <cellStyle name="Suma 3 14 2" xfId="4308" xr:uid="{00000000-0005-0000-0000-000075150000}"/>
    <cellStyle name="Suma 3 14 3" xfId="6205" xr:uid="{00000000-0005-0000-0000-000076150000}"/>
    <cellStyle name="Suma 3 15" xfId="1955" xr:uid="{00000000-0005-0000-0000-000077150000}"/>
    <cellStyle name="Suma 3 15 2" xfId="4309" xr:uid="{00000000-0005-0000-0000-000078150000}"/>
    <cellStyle name="Suma 3 15 3" xfId="6206" xr:uid="{00000000-0005-0000-0000-000079150000}"/>
    <cellStyle name="Suma 3 16" xfId="1956" xr:uid="{00000000-0005-0000-0000-00007A150000}"/>
    <cellStyle name="Suma 3 16 2" xfId="4310" xr:uid="{00000000-0005-0000-0000-00007B150000}"/>
    <cellStyle name="Suma 3 16 3" xfId="6207" xr:uid="{00000000-0005-0000-0000-00007C150000}"/>
    <cellStyle name="Suma 3 17" xfId="1957" xr:uid="{00000000-0005-0000-0000-00007D150000}"/>
    <cellStyle name="Suma 3 17 2" xfId="4311" xr:uid="{00000000-0005-0000-0000-00007E150000}"/>
    <cellStyle name="Suma 3 17 3" xfId="6208" xr:uid="{00000000-0005-0000-0000-00007F150000}"/>
    <cellStyle name="Suma 3 18" xfId="1958" xr:uid="{00000000-0005-0000-0000-000080150000}"/>
    <cellStyle name="Suma 3 18 2" xfId="4312" xr:uid="{00000000-0005-0000-0000-000081150000}"/>
    <cellStyle name="Suma 3 18 3" xfId="6209" xr:uid="{00000000-0005-0000-0000-000082150000}"/>
    <cellStyle name="Suma 3 19" xfId="1959" xr:uid="{00000000-0005-0000-0000-000083150000}"/>
    <cellStyle name="Suma 3 19 2" xfId="4313" xr:uid="{00000000-0005-0000-0000-000084150000}"/>
    <cellStyle name="Suma 3 19 3" xfId="6210" xr:uid="{00000000-0005-0000-0000-000085150000}"/>
    <cellStyle name="Suma 3 2" xfId="1960" xr:uid="{00000000-0005-0000-0000-000086150000}"/>
    <cellStyle name="Suma 3 2 2" xfId="4314" xr:uid="{00000000-0005-0000-0000-000087150000}"/>
    <cellStyle name="Suma 3 2 3" xfId="6211" xr:uid="{00000000-0005-0000-0000-000088150000}"/>
    <cellStyle name="Suma 3 20" xfId="1961" xr:uid="{00000000-0005-0000-0000-000089150000}"/>
    <cellStyle name="Suma 3 20 2" xfId="4315" xr:uid="{00000000-0005-0000-0000-00008A150000}"/>
    <cellStyle name="Suma 3 20 3" xfId="6212" xr:uid="{00000000-0005-0000-0000-00008B150000}"/>
    <cellStyle name="Suma 3 21" xfId="1962" xr:uid="{00000000-0005-0000-0000-00008C150000}"/>
    <cellStyle name="Suma 3 21 2" xfId="4316" xr:uid="{00000000-0005-0000-0000-00008D150000}"/>
    <cellStyle name="Suma 3 21 3" xfId="6213" xr:uid="{00000000-0005-0000-0000-00008E150000}"/>
    <cellStyle name="Suma 3 22" xfId="1963" xr:uid="{00000000-0005-0000-0000-00008F150000}"/>
    <cellStyle name="Suma 3 22 2" xfId="4317" xr:uid="{00000000-0005-0000-0000-000090150000}"/>
    <cellStyle name="Suma 3 22 3" xfId="6214" xr:uid="{00000000-0005-0000-0000-000091150000}"/>
    <cellStyle name="Suma 3 23" xfId="1964" xr:uid="{00000000-0005-0000-0000-000092150000}"/>
    <cellStyle name="Suma 3 23 2" xfId="4318" xr:uid="{00000000-0005-0000-0000-000093150000}"/>
    <cellStyle name="Suma 3 23 3" xfId="6215" xr:uid="{00000000-0005-0000-0000-000094150000}"/>
    <cellStyle name="Suma 3 24" xfId="4303" xr:uid="{00000000-0005-0000-0000-000095150000}"/>
    <cellStyle name="Suma 3 25" xfId="6200" xr:uid="{00000000-0005-0000-0000-000096150000}"/>
    <cellStyle name="Suma 3 3" xfId="1965" xr:uid="{00000000-0005-0000-0000-000097150000}"/>
    <cellStyle name="Suma 3 3 2" xfId="4319" xr:uid="{00000000-0005-0000-0000-000098150000}"/>
    <cellStyle name="Suma 3 3 3" xfId="6216" xr:uid="{00000000-0005-0000-0000-000099150000}"/>
    <cellStyle name="Suma 3 4" xfId="1966" xr:uid="{00000000-0005-0000-0000-00009A150000}"/>
    <cellStyle name="Suma 3 4 2" xfId="4320" xr:uid="{00000000-0005-0000-0000-00009B150000}"/>
    <cellStyle name="Suma 3 4 3" xfId="6217" xr:uid="{00000000-0005-0000-0000-00009C150000}"/>
    <cellStyle name="Suma 3 5" xfId="1967" xr:uid="{00000000-0005-0000-0000-00009D150000}"/>
    <cellStyle name="Suma 3 5 2" xfId="4321" xr:uid="{00000000-0005-0000-0000-00009E150000}"/>
    <cellStyle name="Suma 3 5 3" xfId="6218" xr:uid="{00000000-0005-0000-0000-00009F150000}"/>
    <cellStyle name="Suma 3 6" xfId="1968" xr:uid="{00000000-0005-0000-0000-0000A0150000}"/>
    <cellStyle name="Suma 3 6 2" xfId="4322" xr:uid="{00000000-0005-0000-0000-0000A1150000}"/>
    <cellStyle name="Suma 3 6 3" xfId="6219" xr:uid="{00000000-0005-0000-0000-0000A2150000}"/>
    <cellStyle name="Suma 3 7" xfId="1969" xr:uid="{00000000-0005-0000-0000-0000A3150000}"/>
    <cellStyle name="Suma 3 7 2" xfId="4323" xr:uid="{00000000-0005-0000-0000-0000A4150000}"/>
    <cellStyle name="Suma 3 7 3" xfId="6220" xr:uid="{00000000-0005-0000-0000-0000A5150000}"/>
    <cellStyle name="Suma 3 8" xfId="1970" xr:uid="{00000000-0005-0000-0000-0000A6150000}"/>
    <cellStyle name="Suma 3 8 2" xfId="4324" xr:uid="{00000000-0005-0000-0000-0000A7150000}"/>
    <cellStyle name="Suma 3 8 3" xfId="6221" xr:uid="{00000000-0005-0000-0000-0000A8150000}"/>
    <cellStyle name="Suma 3 9" xfId="1971" xr:uid="{00000000-0005-0000-0000-0000A9150000}"/>
    <cellStyle name="Suma 3 9 2" xfId="4325" xr:uid="{00000000-0005-0000-0000-0000AA150000}"/>
    <cellStyle name="Suma 3 9 3" xfId="6222" xr:uid="{00000000-0005-0000-0000-0000AB150000}"/>
    <cellStyle name="Suma 4" xfId="1972" xr:uid="{00000000-0005-0000-0000-0000AC150000}"/>
    <cellStyle name="Suma 4 2" xfId="4326" xr:uid="{00000000-0005-0000-0000-0000AD150000}"/>
    <cellStyle name="Suma 4 3" xfId="6223" xr:uid="{00000000-0005-0000-0000-0000AE150000}"/>
    <cellStyle name="Suma 5" xfId="1973" xr:uid="{00000000-0005-0000-0000-0000AF150000}"/>
    <cellStyle name="Suma 5 2" xfId="4327" xr:uid="{00000000-0005-0000-0000-0000B0150000}"/>
    <cellStyle name="Suma 5 3" xfId="6224" xr:uid="{00000000-0005-0000-0000-0000B1150000}"/>
    <cellStyle name="Suma 6" xfId="1974" xr:uid="{00000000-0005-0000-0000-0000B2150000}"/>
    <cellStyle name="Suma 6 2" xfId="4328" xr:uid="{00000000-0005-0000-0000-0000B3150000}"/>
    <cellStyle name="Suma 6 3" xfId="6225" xr:uid="{00000000-0005-0000-0000-0000B4150000}"/>
    <cellStyle name="Suma 7" xfId="1975" xr:uid="{00000000-0005-0000-0000-0000B5150000}"/>
    <cellStyle name="Suma 7 2" xfId="4329" xr:uid="{00000000-0005-0000-0000-0000B6150000}"/>
    <cellStyle name="Suma 7 3" xfId="6226" xr:uid="{00000000-0005-0000-0000-0000B7150000}"/>
    <cellStyle name="Suma 8" xfId="1976" xr:uid="{00000000-0005-0000-0000-0000B8150000}"/>
    <cellStyle name="Suma 8 2" xfId="4330" xr:uid="{00000000-0005-0000-0000-0000B9150000}"/>
    <cellStyle name="Suma 8 3" xfId="6227" xr:uid="{00000000-0005-0000-0000-0000BA150000}"/>
    <cellStyle name="Suma 9" xfId="1977" xr:uid="{00000000-0005-0000-0000-0000BB150000}"/>
    <cellStyle name="Suma 9 2" xfId="4331" xr:uid="{00000000-0005-0000-0000-0000BC150000}"/>
    <cellStyle name="Suma 9 3" xfId="6228" xr:uid="{00000000-0005-0000-0000-0000BD150000}"/>
    <cellStyle name="Tekst objaśnienia" xfId="1978" xr:uid="{00000000-0005-0000-0000-0000BE150000}"/>
    <cellStyle name="Tekst ostrzeżenia" xfId="1979" xr:uid="{00000000-0005-0000-0000-0000BF150000}"/>
    <cellStyle name="Text" xfId="1980" xr:uid="{00000000-0005-0000-0000-0000C0150000}"/>
    <cellStyle name="Title" xfId="68" builtinId="15" customBuiltin="1"/>
    <cellStyle name="Title 2" xfId="1981" xr:uid="{00000000-0005-0000-0000-0000C2150000}"/>
    <cellStyle name="Title 3" xfId="4742" xr:uid="{00000000-0005-0000-0000-0000C3150000}"/>
    <cellStyle name="Total" xfId="69" builtinId="25" customBuiltin="1"/>
    <cellStyle name="Total 2" xfId="1982" xr:uid="{00000000-0005-0000-0000-0000C5150000}"/>
    <cellStyle name="Total 2 10" xfId="1983" xr:uid="{00000000-0005-0000-0000-0000C6150000}"/>
    <cellStyle name="Total 2 10 10" xfId="1984" xr:uid="{00000000-0005-0000-0000-0000C7150000}"/>
    <cellStyle name="Total 2 10 10 2" xfId="4334" xr:uid="{00000000-0005-0000-0000-0000C8150000}"/>
    <cellStyle name="Total 2 10 10 3" xfId="6231" xr:uid="{00000000-0005-0000-0000-0000C9150000}"/>
    <cellStyle name="Total 2 10 11" xfId="1985" xr:uid="{00000000-0005-0000-0000-0000CA150000}"/>
    <cellStyle name="Total 2 10 11 2" xfId="4335" xr:uid="{00000000-0005-0000-0000-0000CB150000}"/>
    <cellStyle name="Total 2 10 11 3" xfId="6232" xr:uid="{00000000-0005-0000-0000-0000CC150000}"/>
    <cellStyle name="Total 2 10 12" xfId="1986" xr:uid="{00000000-0005-0000-0000-0000CD150000}"/>
    <cellStyle name="Total 2 10 12 2" xfId="4336" xr:uid="{00000000-0005-0000-0000-0000CE150000}"/>
    <cellStyle name="Total 2 10 12 3" xfId="6233" xr:uid="{00000000-0005-0000-0000-0000CF150000}"/>
    <cellStyle name="Total 2 10 13" xfId="1987" xr:uid="{00000000-0005-0000-0000-0000D0150000}"/>
    <cellStyle name="Total 2 10 13 2" xfId="4337" xr:uid="{00000000-0005-0000-0000-0000D1150000}"/>
    <cellStyle name="Total 2 10 13 3" xfId="6234" xr:uid="{00000000-0005-0000-0000-0000D2150000}"/>
    <cellStyle name="Total 2 10 14" xfId="1988" xr:uid="{00000000-0005-0000-0000-0000D3150000}"/>
    <cellStyle name="Total 2 10 14 2" xfId="4338" xr:uid="{00000000-0005-0000-0000-0000D4150000}"/>
    <cellStyle name="Total 2 10 14 3" xfId="6235" xr:uid="{00000000-0005-0000-0000-0000D5150000}"/>
    <cellStyle name="Total 2 10 15" xfId="1989" xr:uid="{00000000-0005-0000-0000-0000D6150000}"/>
    <cellStyle name="Total 2 10 15 2" xfId="4339" xr:uid="{00000000-0005-0000-0000-0000D7150000}"/>
    <cellStyle name="Total 2 10 15 3" xfId="6236" xr:uid="{00000000-0005-0000-0000-0000D8150000}"/>
    <cellStyle name="Total 2 10 16" xfId="1990" xr:uid="{00000000-0005-0000-0000-0000D9150000}"/>
    <cellStyle name="Total 2 10 16 2" xfId="4340" xr:uid="{00000000-0005-0000-0000-0000DA150000}"/>
    <cellStyle name="Total 2 10 16 3" xfId="6237" xr:uid="{00000000-0005-0000-0000-0000DB150000}"/>
    <cellStyle name="Total 2 10 17" xfId="1991" xr:uid="{00000000-0005-0000-0000-0000DC150000}"/>
    <cellStyle name="Total 2 10 17 2" xfId="4341" xr:uid="{00000000-0005-0000-0000-0000DD150000}"/>
    <cellStyle name="Total 2 10 17 3" xfId="6238" xr:uid="{00000000-0005-0000-0000-0000DE150000}"/>
    <cellStyle name="Total 2 10 18" xfId="1992" xr:uid="{00000000-0005-0000-0000-0000DF150000}"/>
    <cellStyle name="Total 2 10 18 2" xfId="4342" xr:uid="{00000000-0005-0000-0000-0000E0150000}"/>
    <cellStyle name="Total 2 10 18 3" xfId="6239" xr:uid="{00000000-0005-0000-0000-0000E1150000}"/>
    <cellStyle name="Total 2 10 19" xfId="1993" xr:uid="{00000000-0005-0000-0000-0000E2150000}"/>
    <cellStyle name="Total 2 10 19 2" xfId="4343" xr:uid="{00000000-0005-0000-0000-0000E3150000}"/>
    <cellStyle name="Total 2 10 19 3" xfId="6240" xr:uid="{00000000-0005-0000-0000-0000E4150000}"/>
    <cellStyle name="Total 2 10 2" xfId="1994" xr:uid="{00000000-0005-0000-0000-0000E5150000}"/>
    <cellStyle name="Total 2 10 2 2" xfId="4344" xr:uid="{00000000-0005-0000-0000-0000E6150000}"/>
    <cellStyle name="Total 2 10 2 3" xfId="6241" xr:uid="{00000000-0005-0000-0000-0000E7150000}"/>
    <cellStyle name="Total 2 10 20" xfId="1995" xr:uid="{00000000-0005-0000-0000-0000E8150000}"/>
    <cellStyle name="Total 2 10 20 2" xfId="4345" xr:uid="{00000000-0005-0000-0000-0000E9150000}"/>
    <cellStyle name="Total 2 10 20 3" xfId="6242" xr:uid="{00000000-0005-0000-0000-0000EA150000}"/>
    <cellStyle name="Total 2 10 21" xfId="1996" xr:uid="{00000000-0005-0000-0000-0000EB150000}"/>
    <cellStyle name="Total 2 10 21 2" xfId="4346" xr:uid="{00000000-0005-0000-0000-0000EC150000}"/>
    <cellStyle name="Total 2 10 21 3" xfId="6243" xr:uid="{00000000-0005-0000-0000-0000ED150000}"/>
    <cellStyle name="Total 2 10 22" xfId="1997" xr:uid="{00000000-0005-0000-0000-0000EE150000}"/>
    <cellStyle name="Total 2 10 22 2" xfId="4347" xr:uid="{00000000-0005-0000-0000-0000EF150000}"/>
    <cellStyle name="Total 2 10 22 3" xfId="6244" xr:uid="{00000000-0005-0000-0000-0000F0150000}"/>
    <cellStyle name="Total 2 10 23" xfId="1998" xr:uid="{00000000-0005-0000-0000-0000F1150000}"/>
    <cellStyle name="Total 2 10 23 2" xfId="4348" xr:uid="{00000000-0005-0000-0000-0000F2150000}"/>
    <cellStyle name="Total 2 10 23 3" xfId="6245" xr:uid="{00000000-0005-0000-0000-0000F3150000}"/>
    <cellStyle name="Total 2 10 24" xfId="4333" xr:uid="{00000000-0005-0000-0000-0000F4150000}"/>
    <cellStyle name="Total 2 10 25" xfId="6230" xr:uid="{00000000-0005-0000-0000-0000F5150000}"/>
    <cellStyle name="Total 2 10 3" xfId="1999" xr:uid="{00000000-0005-0000-0000-0000F6150000}"/>
    <cellStyle name="Total 2 10 3 2" xfId="4349" xr:uid="{00000000-0005-0000-0000-0000F7150000}"/>
    <cellStyle name="Total 2 10 3 3" xfId="6246" xr:uid="{00000000-0005-0000-0000-0000F8150000}"/>
    <cellStyle name="Total 2 10 4" xfId="2000" xr:uid="{00000000-0005-0000-0000-0000F9150000}"/>
    <cellStyle name="Total 2 10 4 2" xfId="4350" xr:uid="{00000000-0005-0000-0000-0000FA150000}"/>
    <cellStyle name="Total 2 10 4 3" xfId="6247" xr:uid="{00000000-0005-0000-0000-0000FB150000}"/>
    <cellStyle name="Total 2 10 5" xfId="2001" xr:uid="{00000000-0005-0000-0000-0000FC150000}"/>
    <cellStyle name="Total 2 10 5 2" xfId="4351" xr:uid="{00000000-0005-0000-0000-0000FD150000}"/>
    <cellStyle name="Total 2 10 5 3" xfId="6248" xr:uid="{00000000-0005-0000-0000-0000FE150000}"/>
    <cellStyle name="Total 2 10 6" xfId="2002" xr:uid="{00000000-0005-0000-0000-0000FF150000}"/>
    <cellStyle name="Total 2 10 6 2" xfId="4352" xr:uid="{00000000-0005-0000-0000-000000160000}"/>
    <cellStyle name="Total 2 10 6 3" xfId="6249" xr:uid="{00000000-0005-0000-0000-000001160000}"/>
    <cellStyle name="Total 2 10 7" xfId="2003" xr:uid="{00000000-0005-0000-0000-000002160000}"/>
    <cellStyle name="Total 2 10 7 2" xfId="4353" xr:uid="{00000000-0005-0000-0000-000003160000}"/>
    <cellStyle name="Total 2 10 7 3" xfId="6250" xr:uid="{00000000-0005-0000-0000-000004160000}"/>
    <cellStyle name="Total 2 10 8" xfId="2004" xr:uid="{00000000-0005-0000-0000-000005160000}"/>
    <cellStyle name="Total 2 10 8 2" xfId="4354" xr:uid="{00000000-0005-0000-0000-000006160000}"/>
    <cellStyle name="Total 2 10 8 3" xfId="6251" xr:uid="{00000000-0005-0000-0000-000007160000}"/>
    <cellStyle name="Total 2 10 9" xfId="2005" xr:uid="{00000000-0005-0000-0000-000008160000}"/>
    <cellStyle name="Total 2 10 9 2" xfId="4355" xr:uid="{00000000-0005-0000-0000-000009160000}"/>
    <cellStyle name="Total 2 10 9 3" xfId="6252" xr:uid="{00000000-0005-0000-0000-00000A160000}"/>
    <cellStyle name="Total 2 11" xfId="2006" xr:uid="{00000000-0005-0000-0000-00000B160000}"/>
    <cellStyle name="Total 2 11 10" xfId="2007" xr:uid="{00000000-0005-0000-0000-00000C160000}"/>
    <cellStyle name="Total 2 11 10 2" xfId="4357" xr:uid="{00000000-0005-0000-0000-00000D160000}"/>
    <cellStyle name="Total 2 11 10 3" xfId="6254" xr:uid="{00000000-0005-0000-0000-00000E160000}"/>
    <cellStyle name="Total 2 11 11" xfId="2008" xr:uid="{00000000-0005-0000-0000-00000F160000}"/>
    <cellStyle name="Total 2 11 11 2" xfId="4358" xr:uid="{00000000-0005-0000-0000-000010160000}"/>
    <cellStyle name="Total 2 11 11 3" xfId="6255" xr:uid="{00000000-0005-0000-0000-000011160000}"/>
    <cellStyle name="Total 2 11 12" xfId="2009" xr:uid="{00000000-0005-0000-0000-000012160000}"/>
    <cellStyle name="Total 2 11 12 2" xfId="4359" xr:uid="{00000000-0005-0000-0000-000013160000}"/>
    <cellStyle name="Total 2 11 12 3" xfId="6256" xr:uid="{00000000-0005-0000-0000-000014160000}"/>
    <cellStyle name="Total 2 11 13" xfId="2010" xr:uid="{00000000-0005-0000-0000-000015160000}"/>
    <cellStyle name="Total 2 11 13 2" xfId="4360" xr:uid="{00000000-0005-0000-0000-000016160000}"/>
    <cellStyle name="Total 2 11 13 3" xfId="6257" xr:uid="{00000000-0005-0000-0000-000017160000}"/>
    <cellStyle name="Total 2 11 14" xfId="2011" xr:uid="{00000000-0005-0000-0000-000018160000}"/>
    <cellStyle name="Total 2 11 14 2" xfId="4361" xr:uid="{00000000-0005-0000-0000-000019160000}"/>
    <cellStyle name="Total 2 11 14 3" xfId="6258" xr:uid="{00000000-0005-0000-0000-00001A160000}"/>
    <cellStyle name="Total 2 11 15" xfId="2012" xr:uid="{00000000-0005-0000-0000-00001B160000}"/>
    <cellStyle name="Total 2 11 15 2" xfId="4362" xr:uid="{00000000-0005-0000-0000-00001C160000}"/>
    <cellStyle name="Total 2 11 15 3" xfId="6259" xr:uid="{00000000-0005-0000-0000-00001D160000}"/>
    <cellStyle name="Total 2 11 16" xfId="2013" xr:uid="{00000000-0005-0000-0000-00001E160000}"/>
    <cellStyle name="Total 2 11 16 2" xfId="4363" xr:uid="{00000000-0005-0000-0000-00001F160000}"/>
    <cellStyle name="Total 2 11 16 3" xfId="6260" xr:uid="{00000000-0005-0000-0000-000020160000}"/>
    <cellStyle name="Total 2 11 17" xfId="2014" xr:uid="{00000000-0005-0000-0000-000021160000}"/>
    <cellStyle name="Total 2 11 17 2" xfId="4364" xr:uid="{00000000-0005-0000-0000-000022160000}"/>
    <cellStyle name="Total 2 11 17 3" xfId="6261" xr:uid="{00000000-0005-0000-0000-000023160000}"/>
    <cellStyle name="Total 2 11 18" xfId="2015" xr:uid="{00000000-0005-0000-0000-000024160000}"/>
    <cellStyle name="Total 2 11 18 2" xfId="4365" xr:uid="{00000000-0005-0000-0000-000025160000}"/>
    <cellStyle name="Total 2 11 18 3" xfId="6262" xr:uid="{00000000-0005-0000-0000-000026160000}"/>
    <cellStyle name="Total 2 11 19" xfId="2016" xr:uid="{00000000-0005-0000-0000-000027160000}"/>
    <cellStyle name="Total 2 11 19 2" xfId="4366" xr:uid="{00000000-0005-0000-0000-000028160000}"/>
    <cellStyle name="Total 2 11 19 3" xfId="6263" xr:uid="{00000000-0005-0000-0000-000029160000}"/>
    <cellStyle name="Total 2 11 2" xfId="2017" xr:uid="{00000000-0005-0000-0000-00002A160000}"/>
    <cellStyle name="Total 2 11 2 2" xfId="4367" xr:uid="{00000000-0005-0000-0000-00002B160000}"/>
    <cellStyle name="Total 2 11 2 3" xfId="6264" xr:uid="{00000000-0005-0000-0000-00002C160000}"/>
    <cellStyle name="Total 2 11 20" xfId="2018" xr:uid="{00000000-0005-0000-0000-00002D160000}"/>
    <cellStyle name="Total 2 11 20 2" xfId="4368" xr:uid="{00000000-0005-0000-0000-00002E160000}"/>
    <cellStyle name="Total 2 11 20 3" xfId="6265" xr:uid="{00000000-0005-0000-0000-00002F160000}"/>
    <cellStyle name="Total 2 11 21" xfId="2019" xr:uid="{00000000-0005-0000-0000-000030160000}"/>
    <cellStyle name="Total 2 11 21 2" xfId="4369" xr:uid="{00000000-0005-0000-0000-000031160000}"/>
    <cellStyle name="Total 2 11 21 3" xfId="6266" xr:uid="{00000000-0005-0000-0000-000032160000}"/>
    <cellStyle name="Total 2 11 22" xfId="2020" xr:uid="{00000000-0005-0000-0000-000033160000}"/>
    <cellStyle name="Total 2 11 22 2" xfId="4370" xr:uid="{00000000-0005-0000-0000-000034160000}"/>
    <cellStyle name="Total 2 11 22 3" xfId="6267" xr:uid="{00000000-0005-0000-0000-000035160000}"/>
    <cellStyle name="Total 2 11 23" xfId="2021" xr:uid="{00000000-0005-0000-0000-000036160000}"/>
    <cellStyle name="Total 2 11 23 2" xfId="4371" xr:uid="{00000000-0005-0000-0000-000037160000}"/>
    <cellStyle name="Total 2 11 23 3" xfId="6268" xr:uid="{00000000-0005-0000-0000-000038160000}"/>
    <cellStyle name="Total 2 11 24" xfId="4356" xr:uid="{00000000-0005-0000-0000-000039160000}"/>
    <cellStyle name="Total 2 11 25" xfId="6253" xr:uid="{00000000-0005-0000-0000-00003A160000}"/>
    <cellStyle name="Total 2 11 3" xfId="2022" xr:uid="{00000000-0005-0000-0000-00003B160000}"/>
    <cellStyle name="Total 2 11 3 2" xfId="4372" xr:uid="{00000000-0005-0000-0000-00003C160000}"/>
    <cellStyle name="Total 2 11 3 3" xfId="6269" xr:uid="{00000000-0005-0000-0000-00003D160000}"/>
    <cellStyle name="Total 2 11 4" xfId="2023" xr:uid="{00000000-0005-0000-0000-00003E160000}"/>
    <cellStyle name="Total 2 11 4 2" xfId="4373" xr:uid="{00000000-0005-0000-0000-00003F160000}"/>
    <cellStyle name="Total 2 11 4 3" xfId="6270" xr:uid="{00000000-0005-0000-0000-000040160000}"/>
    <cellStyle name="Total 2 11 5" xfId="2024" xr:uid="{00000000-0005-0000-0000-000041160000}"/>
    <cellStyle name="Total 2 11 5 2" xfId="4374" xr:uid="{00000000-0005-0000-0000-000042160000}"/>
    <cellStyle name="Total 2 11 5 3" xfId="6271" xr:uid="{00000000-0005-0000-0000-000043160000}"/>
    <cellStyle name="Total 2 11 6" xfId="2025" xr:uid="{00000000-0005-0000-0000-000044160000}"/>
    <cellStyle name="Total 2 11 6 2" xfId="4375" xr:uid="{00000000-0005-0000-0000-000045160000}"/>
    <cellStyle name="Total 2 11 6 3" xfId="6272" xr:uid="{00000000-0005-0000-0000-000046160000}"/>
    <cellStyle name="Total 2 11 7" xfId="2026" xr:uid="{00000000-0005-0000-0000-000047160000}"/>
    <cellStyle name="Total 2 11 7 2" xfId="4376" xr:uid="{00000000-0005-0000-0000-000048160000}"/>
    <cellStyle name="Total 2 11 7 3" xfId="6273" xr:uid="{00000000-0005-0000-0000-000049160000}"/>
    <cellStyle name="Total 2 11 8" xfId="2027" xr:uid="{00000000-0005-0000-0000-00004A160000}"/>
    <cellStyle name="Total 2 11 8 2" xfId="4377" xr:uid="{00000000-0005-0000-0000-00004B160000}"/>
    <cellStyle name="Total 2 11 8 3" xfId="6274" xr:uid="{00000000-0005-0000-0000-00004C160000}"/>
    <cellStyle name="Total 2 11 9" xfId="2028" xr:uid="{00000000-0005-0000-0000-00004D160000}"/>
    <cellStyle name="Total 2 11 9 2" xfId="4378" xr:uid="{00000000-0005-0000-0000-00004E160000}"/>
    <cellStyle name="Total 2 11 9 3" xfId="6275" xr:uid="{00000000-0005-0000-0000-00004F160000}"/>
    <cellStyle name="Total 2 12" xfId="2029" xr:uid="{00000000-0005-0000-0000-000050160000}"/>
    <cellStyle name="Total 2 12 10" xfId="2030" xr:uid="{00000000-0005-0000-0000-000051160000}"/>
    <cellStyle name="Total 2 12 10 2" xfId="4380" xr:uid="{00000000-0005-0000-0000-000052160000}"/>
    <cellStyle name="Total 2 12 10 3" xfId="6277" xr:uid="{00000000-0005-0000-0000-000053160000}"/>
    <cellStyle name="Total 2 12 11" xfId="2031" xr:uid="{00000000-0005-0000-0000-000054160000}"/>
    <cellStyle name="Total 2 12 11 2" xfId="4381" xr:uid="{00000000-0005-0000-0000-000055160000}"/>
    <cellStyle name="Total 2 12 11 3" xfId="6278" xr:uid="{00000000-0005-0000-0000-000056160000}"/>
    <cellStyle name="Total 2 12 12" xfId="2032" xr:uid="{00000000-0005-0000-0000-000057160000}"/>
    <cellStyle name="Total 2 12 12 2" xfId="4382" xr:uid="{00000000-0005-0000-0000-000058160000}"/>
    <cellStyle name="Total 2 12 12 3" xfId="6279" xr:uid="{00000000-0005-0000-0000-000059160000}"/>
    <cellStyle name="Total 2 12 13" xfId="2033" xr:uid="{00000000-0005-0000-0000-00005A160000}"/>
    <cellStyle name="Total 2 12 13 2" xfId="4383" xr:uid="{00000000-0005-0000-0000-00005B160000}"/>
    <cellStyle name="Total 2 12 13 3" xfId="6280" xr:uid="{00000000-0005-0000-0000-00005C160000}"/>
    <cellStyle name="Total 2 12 14" xfId="2034" xr:uid="{00000000-0005-0000-0000-00005D160000}"/>
    <cellStyle name="Total 2 12 14 2" xfId="4384" xr:uid="{00000000-0005-0000-0000-00005E160000}"/>
    <cellStyle name="Total 2 12 14 3" xfId="6281" xr:uid="{00000000-0005-0000-0000-00005F160000}"/>
    <cellStyle name="Total 2 12 15" xfId="2035" xr:uid="{00000000-0005-0000-0000-000060160000}"/>
    <cellStyle name="Total 2 12 15 2" xfId="4385" xr:uid="{00000000-0005-0000-0000-000061160000}"/>
    <cellStyle name="Total 2 12 15 3" xfId="6282" xr:uid="{00000000-0005-0000-0000-000062160000}"/>
    <cellStyle name="Total 2 12 16" xfId="2036" xr:uid="{00000000-0005-0000-0000-000063160000}"/>
    <cellStyle name="Total 2 12 16 2" xfId="4386" xr:uid="{00000000-0005-0000-0000-000064160000}"/>
    <cellStyle name="Total 2 12 16 3" xfId="6283" xr:uid="{00000000-0005-0000-0000-000065160000}"/>
    <cellStyle name="Total 2 12 17" xfId="2037" xr:uid="{00000000-0005-0000-0000-000066160000}"/>
    <cellStyle name="Total 2 12 17 2" xfId="4387" xr:uid="{00000000-0005-0000-0000-000067160000}"/>
    <cellStyle name="Total 2 12 17 3" xfId="6284" xr:uid="{00000000-0005-0000-0000-000068160000}"/>
    <cellStyle name="Total 2 12 18" xfId="2038" xr:uid="{00000000-0005-0000-0000-000069160000}"/>
    <cellStyle name="Total 2 12 18 2" xfId="4388" xr:uid="{00000000-0005-0000-0000-00006A160000}"/>
    <cellStyle name="Total 2 12 18 3" xfId="6285" xr:uid="{00000000-0005-0000-0000-00006B160000}"/>
    <cellStyle name="Total 2 12 19" xfId="2039" xr:uid="{00000000-0005-0000-0000-00006C160000}"/>
    <cellStyle name="Total 2 12 19 2" xfId="4389" xr:uid="{00000000-0005-0000-0000-00006D160000}"/>
    <cellStyle name="Total 2 12 19 3" xfId="6286" xr:uid="{00000000-0005-0000-0000-00006E160000}"/>
    <cellStyle name="Total 2 12 2" xfId="2040" xr:uid="{00000000-0005-0000-0000-00006F160000}"/>
    <cellStyle name="Total 2 12 2 2" xfId="4390" xr:uid="{00000000-0005-0000-0000-000070160000}"/>
    <cellStyle name="Total 2 12 2 3" xfId="6287" xr:uid="{00000000-0005-0000-0000-000071160000}"/>
    <cellStyle name="Total 2 12 20" xfId="2041" xr:uid="{00000000-0005-0000-0000-000072160000}"/>
    <cellStyle name="Total 2 12 20 2" xfId="4391" xr:uid="{00000000-0005-0000-0000-000073160000}"/>
    <cellStyle name="Total 2 12 20 3" xfId="6288" xr:uid="{00000000-0005-0000-0000-000074160000}"/>
    <cellStyle name="Total 2 12 21" xfId="2042" xr:uid="{00000000-0005-0000-0000-000075160000}"/>
    <cellStyle name="Total 2 12 21 2" xfId="4392" xr:uid="{00000000-0005-0000-0000-000076160000}"/>
    <cellStyle name="Total 2 12 21 3" xfId="6289" xr:uid="{00000000-0005-0000-0000-000077160000}"/>
    <cellStyle name="Total 2 12 22" xfId="2043" xr:uid="{00000000-0005-0000-0000-000078160000}"/>
    <cellStyle name="Total 2 12 22 2" xfId="4393" xr:uid="{00000000-0005-0000-0000-000079160000}"/>
    <cellStyle name="Total 2 12 22 3" xfId="6290" xr:uid="{00000000-0005-0000-0000-00007A160000}"/>
    <cellStyle name="Total 2 12 23" xfId="2044" xr:uid="{00000000-0005-0000-0000-00007B160000}"/>
    <cellStyle name="Total 2 12 23 2" xfId="4394" xr:uid="{00000000-0005-0000-0000-00007C160000}"/>
    <cellStyle name="Total 2 12 23 3" xfId="6291" xr:uid="{00000000-0005-0000-0000-00007D160000}"/>
    <cellStyle name="Total 2 12 24" xfId="4379" xr:uid="{00000000-0005-0000-0000-00007E160000}"/>
    <cellStyle name="Total 2 12 25" xfId="6276" xr:uid="{00000000-0005-0000-0000-00007F160000}"/>
    <cellStyle name="Total 2 12 3" xfId="2045" xr:uid="{00000000-0005-0000-0000-000080160000}"/>
    <cellStyle name="Total 2 12 3 2" xfId="4395" xr:uid="{00000000-0005-0000-0000-000081160000}"/>
    <cellStyle name="Total 2 12 3 3" xfId="6292" xr:uid="{00000000-0005-0000-0000-000082160000}"/>
    <cellStyle name="Total 2 12 4" xfId="2046" xr:uid="{00000000-0005-0000-0000-000083160000}"/>
    <cellStyle name="Total 2 12 4 2" xfId="4396" xr:uid="{00000000-0005-0000-0000-000084160000}"/>
    <cellStyle name="Total 2 12 4 3" xfId="6293" xr:uid="{00000000-0005-0000-0000-000085160000}"/>
    <cellStyle name="Total 2 12 5" xfId="2047" xr:uid="{00000000-0005-0000-0000-000086160000}"/>
    <cellStyle name="Total 2 12 5 2" xfId="4397" xr:uid="{00000000-0005-0000-0000-000087160000}"/>
    <cellStyle name="Total 2 12 5 3" xfId="6294" xr:uid="{00000000-0005-0000-0000-000088160000}"/>
    <cellStyle name="Total 2 12 6" xfId="2048" xr:uid="{00000000-0005-0000-0000-000089160000}"/>
    <cellStyle name="Total 2 12 6 2" xfId="4398" xr:uid="{00000000-0005-0000-0000-00008A160000}"/>
    <cellStyle name="Total 2 12 6 3" xfId="6295" xr:uid="{00000000-0005-0000-0000-00008B160000}"/>
    <cellStyle name="Total 2 12 7" xfId="2049" xr:uid="{00000000-0005-0000-0000-00008C160000}"/>
    <cellStyle name="Total 2 12 7 2" xfId="4399" xr:uid="{00000000-0005-0000-0000-00008D160000}"/>
    <cellStyle name="Total 2 12 7 3" xfId="6296" xr:uid="{00000000-0005-0000-0000-00008E160000}"/>
    <cellStyle name="Total 2 12 8" xfId="2050" xr:uid="{00000000-0005-0000-0000-00008F160000}"/>
    <cellStyle name="Total 2 12 8 2" xfId="4400" xr:uid="{00000000-0005-0000-0000-000090160000}"/>
    <cellStyle name="Total 2 12 8 3" xfId="6297" xr:uid="{00000000-0005-0000-0000-000091160000}"/>
    <cellStyle name="Total 2 12 9" xfId="2051" xr:uid="{00000000-0005-0000-0000-000092160000}"/>
    <cellStyle name="Total 2 12 9 2" xfId="4401" xr:uid="{00000000-0005-0000-0000-000093160000}"/>
    <cellStyle name="Total 2 12 9 3" xfId="6298" xr:uid="{00000000-0005-0000-0000-000094160000}"/>
    <cellStyle name="Total 2 13" xfId="2052" xr:uid="{00000000-0005-0000-0000-000095160000}"/>
    <cellStyle name="Total 2 13 10" xfId="2053" xr:uid="{00000000-0005-0000-0000-000096160000}"/>
    <cellStyle name="Total 2 13 10 2" xfId="4403" xr:uid="{00000000-0005-0000-0000-000097160000}"/>
    <cellStyle name="Total 2 13 10 3" xfId="6300" xr:uid="{00000000-0005-0000-0000-000098160000}"/>
    <cellStyle name="Total 2 13 11" xfId="2054" xr:uid="{00000000-0005-0000-0000-000099160000}"/>
    <cellStyle name="Total 2 13 11 2" xfId="4404" xr:uid="{00000000-0005-0000-0000-00009A160000}"/>
    <cellStyle name="Total 2 13 11 3" xfId="6301" xr:uid="{00000000-0005-0000-0000-00009B160000}"/>
    <cellStyle name="Total 2 13 12" xfId="2055" xr:uid="{00000000-0005-0000-0000-00009C160000}"/>
    <cellStyle name="Total 2 13 12 2" xfId="4405" xr:uid="{00000000-0005-0000-0000-00009D160000}"/>
    <cellStyle name="Total 2 13 12 3" xfId="6302" xr:uid="{00000000-0005-0000-0000-00009E160000}"/>
    <cellStyle name="Total 2 13 13" xfId="2056" xr:uid="{00000000-0005-0000-0000-00009F160000}"/>
    <cellStyle name="Total 2 13 13 2" xfId="4406" xr:uid="{00000000-0005-0000-0000-0000A0160000}"/>
    <cellStyle name="Total 2 13 13 3" xfId="6303" xr:uid="{00000000-0005-0000-0000-0000A1160000}"/>
    <cellStyle name="Total 2 13 14" xfId="2057" xr:uid="{00000000-0005-0000-0000-0000A2160000}"/>
    <cellStyle name="Total 2 13 14 2" xfId="4407" xr:uid="{00000000-0005-0000-0000-0000A3160000}"/>
    <cellStyle name="Total 2 13 14 3" xfId="6304" xr:uid="{00000000-0005-0000-0000-0000A4160000}"/>
    <cellStyle name="Total 2 13 15" xfId="2058" xr:uid="{00000000-0005-0000-0000-0000A5160000}"/>
    <cellStyle name="Total 2 13 15 2" xfId="4408" xr:uid="{00000000-0005-0000-0000-0000A6160000}"/>
    <cellStyle name="Total 2 13 15 3" xfId="6305" xr:uid="{00000000-0005-0000-0000-0000A7160000}"/>
    <cellStyle name="Total 2 13 16" xfId="2059" xr:uid="{00000000-0005-0000-0000-0000A8160000}"/>
    <cellStyle name="Total 2 13 16 2" xfId="4409" xr:uid="{00000000-0005-0000-0000-0000A9160000}"/>
    <cellStyle name="Total 2 13 16 3" xfId="6306" xr:uid="{00000000-0005-0000-0000-0000AA160000}"/>
    <cellStyle name="Total 2 13 17" xfId="2060" xr:uid="{00000000-0005-0000-0000-0000AB160000}"/>
    <cellStyle name="Total 2 13 17 2" xfId="4410" xr:uid="{00000000-0005-0000-0000-0000AC160000}"/>
    <cellStyle name="Total 2 13 17 3" xfId="6307" xr:uid="{00000000-0005-0000-0000-0000AD160000}"/>
    <cellStyle name="Total 2 13 18" xfId="2061" xr:uid="{00000000-0005-0000-0000-0000AE160000}"/>
    <cellStyle name="Total 2 13 18 2" xfId="4411" xr:uid="{00000000-0005-0000-0000-0000AF160000}"/>
    <cellStyle name="Total 2 13 18 3" xfId="6308" xr:uid="{00000000-0005-0000-0000-0000B0160000}"/>
    <cellStyle name="Total 2 13 19" xfId="2062" xr:uid="{00000000-0005-0000-0000-0000B1160000}"/>
    <cellStyle name="Total 2 13 19 2" xfId="4412" xr:uid="{00000000-0005-0000-0000-0000B2160000}"/>
    <cellStyle name="Total 2 13 19 3" xfId="6309" xr:uid="{00000000-0005-0000-0000-0000B3160000}"/>
    <cellStyle name="Total 2 13 2" xfId="2063" xr:uid="{00000000-0005-0000-0000-0000B4160000}"/>
    <cellStyle name="Total 2 13 2 2" xfId="4413" xr:uid="{00000000-0005-0000-0000-0000B5160000}"/>
    <cellStyle name="Total 2 13 2 3" xfId="6310" xr:uid="{00000000-0005-0000-0000-0000B6160000}"/>
    <cellStyle name="Total 2 13 20" xfId="2064" xr:uid="{00000000-0005-0000-0000-0000B7160000}"/>
    <cellStyle name="Total 2 13 20 2" xfId="4414" xr:uid="{00000000-0005-0000-0000-0000B8160000}"/>
    <cellStyle name="Total 2 13 20 3" xfId="6311" xr:uid="{00000000-0005-0000-0000-0000B9160000}"/>
    <cellStyle name="Total 2 13 21" xfId="2065" xr:uid="{00000000-0005-0000-0000-0000BA160000}"/>
    <cellStyle name="Total 2 13 21 2" xfId="4415" xr:uid="{00000000-0005-0000-0000-0000BB160000}"/>
    <cellStyle name="Total 2 13 21 3" xfId="6312" xr:uid="{00000000-0005-0000-0000-0000BC160000}"/>
    <cellStyle name="Total 2 13 22" xfId="2066" xr:uid="{00000000-0005-0000-0000-0000BD160000}"/>
    <cellStyle name="Total 2 13 22 2" xfId="4416" xr:uid="{00000000-0005-0000-0000-0000BE160000}"/>
    <cellStyle name="Total 2 13 22 3" xfId="6313" xr:uid="{00000000-0005-0000-0000-0000BF160000}"/>
    <cellStyle name="Total 2 13 23" xfId="2067" xr:uid="{00000000-0005-0000-0000-0000C0160000}"/>
    <cellStyle name="Total 2 13 23 2" xfId="4417" xr:uid="{00000000-0005-0000-0000-0000C1160000}"/>
    <cellStyle name="Total 2 13 23 3" xfId="6314" xr:uid="{00000000-0005-0000-0000-0000C2160000}"/>
    <cellStyle name="Total 2 13 24" xfId="4402" xr:uid="{00000000-0005-0000-0000-0000C3160000}"/>
    <cellStyle name="Total 2 13 25" xfId="6299" xr:uid="{00000000-0005-0000-0000-0000C4160000}"/>
    <cellStyle name="Total 2 13 3" xfId="2068" xr:uid="{00000000-0005-0000-0000-0000C5160000}"/>
    <cellStyle name="Total 2 13 3 2" xfId="4418" xr:uid="{00000000-0005-0000-0000-0000C6160000}"/>
    <cellStyle name="Total 2 13 3 3" xfId="6315" xr:uid="{00000000-0005-0000-0000-0000C7160000}"/>
    <cellStyle name="Total 2 13 4" xfId="2069" xr:uid="{00000000-0005-0000-0000-0000C8160000}"/>
    <cellStyle name="Total 2 13 4 2" xfId="4419" xr:uid="{00000000-0005-0000-0000-0000C9160000}"/>
    <cellStyle name="Total 2 13 4 3" xfId="6316" xr:uid="{00000000-0005-0000-0000-0000CA160000}"/>
    <cellStyle name="Total 2 13 5" xfId="2070" xr:uid="{00000000-0005-0000-0000-0000CB160000}"/>
    <cellStyle name="Total 2 13 5 2" xfId="4420" xr:uid="{00000000-0005-0000-0000-0000CC160000}"/>
    <cellStyle name="Total 2 13 5 3" xfId="6317" xr:uid="{00000000-0005-0000-0000-0000CD160000}"/>
    <cellStyle name="Total 2 13 6" xfId="2071" xr:uid="{00000000-0005-0000-0000-0000CE160000}"/>
    <cellStyle name="Total 2 13 6 2" xfId="4421" xr:uid="{00000000-0005-0000-0000-0000CF160000}"/>
    <cellStyle name="Total 2 13 6 3" xfId="6318" xr:uid="{00000000-0005-0000-0000-0000D0160000}"/>
    <cellStyle name="Total 2 13 7" xfId="2072" xr:uid="{00000000-0005-0000-0000-0000D1160000}"/>
    <cellStyle name="Total 2 13 7 2" xfId="4422" xr:uid="{00000000-0005-0000-0000-0000D2160000}"/>
    <cellStyle name="Total 2 13 7 3" xfId="6319" xr:uid="{00000000-0005-0000-0000-0000D3160000}"/>
    <cellStyle name="Total 2 13 8" xfId="2073" xr:uid="{00000000-0005-0000-0000-0000D4160000}"/>
    <cellStyle name="Total 2 13 8 2" xfId="4423" xr:uid="{00000000-0005-0000-0000-0000D5160000}"/>
    <cellStyle name="Total 2 13 8 3" xfId="6320" xr:uid="{00000000-0005-0000-0000-0000D6160000}"/>
    <cellStyle name="Total 2 13 9" xfId="2074" xr:uid="{00000000-0005-0000-0000-0000D7160000}"/>
    <cellStyle name="Total 2 13 9 2" xfId="4424" xr:uid="{00000000-0005-0000-0000-0000D8160000}"/>
    <cellStyle name="Total 2 13 9 3" xfId="6321" xr:uid="{00000000-0005-0000-0000-0000D9160000}"/>
    <cellStyle name="Total 2 14" xfId="2075" xr:uid="{00000000-0005-0000-0000-0000DA160000}"/>
    <cellStyle name="Total 2 14 10" xfId="2076" xr:uid="{00000000-0005-0000-0000-0000DB160000}"/>
    <cellStyle name="Total 2 14 10 2" xfId="4426" xr:uid="{00000000-0005-0000-0000-0000DC160000}"/>
    <cellStyle name="Total 2 14 10 3" xfId="6323" xr:uid="{00000000-0005-0000-0000-0000DD160000}"/>
    <cellStyle name="Total 2 14 11" xfId="2077" xr:uid="{00000000-0005-0000-0000-0000DE160000}"/>
    <cellStyle name="Total 2 14 11 2" xfId="4427" xr:uid="{00000000-0005-0000-0000-0000DF160000}"/>
    <cellStyle name="Total 2 14 11 3" xfId="6324" xr:uid="{00000000-0005-0000-0000-0000E0160000}"/>
    <cellStyle name="Total 2 14 12" xfId="2078" xr:uid="{00000000-0005-0000-0000-0000E1160000}"/>
    <cellStyle name="Total 2 14 12 2" xfId="4428" xr:uid="{00000000-0005-0000-0000-0000E2160000}"/>
    <cellStyle name="Total 2 14 12 3" xfId="6325" xr:uid="{00000000-0005-0000-0000-0000E3160000}"/>
    <cellStyle name="Total 2 14 13" xfId="2079" xr:uid="{00000000-0005-0000-0000-0000E4160000}"/>
    <cellStyle name="Total 2 14 13 2" xfId="4429" xr:uid="{00000000-0005-0000-0000-0000E5160000}"/>
    <cellStyle name="Total 2 14 13 3" xfId="6326" xr:uid="{00000000-0005-0000-0000-0000E6160000}"/>
    <cellStyle name="Total 2 14 14" xfId="2080" xr:uid="{00000000-0005-0000-0000-0000E7160000}"/>
    <cellStyle name="Total 2 14 14 2" xfId="4430" xr:uid="{00000000-0005-0000-0000-0000E8160000}"/>
    <cellStyle name="Total 2 14 14 3" xfId="6327" xr:uid="{00000000-0005-0000-0000-0000E9160000}"/>
    <cellStyle name="Total 2 14 15" xfId="2081" xr:uid="{00000000-0005-0000-0000-0000EA160000}"/>
    <cellStyle name="Total 2 14 15 2" xfId="4431" xr:uid="{00000000-0005-0000-0000-0000EB160000}"/>
    <cellStyle name="Total 2 14 15 3" xfId="6328" xr:uid="{00000000-0005-0000-0000-0000EC160000}"/>
    <cellStyle name="Total 2 14 16" xfId="2082" xr:uid="{00000000-0005-0000-0000-0000ED160000}"/>
    <cellStyle name="Total 2 14 16 2" xfId="4432" xr:uid="{00000000-0005-0000-0000-0000EE160000}"/>
    <cellStyle name="Total 2 14 16 3" xfId="6329" xr:uid="{00000000-0005-0000-0000-0000EF160000}"/>
    <cellStyle name="Total 2 14 17" xfId="2083" xr:uid="{00000000-0005-0000-0000-0000F0160000}"/>
    <cellStyle name="Total 2 14 17 2" xfId="4433" xr:uid="{00000000-0005-0000-0000-0000F1160000}"/>
    <cellStyle name="Total 2 14 17 3" xfId="6330" xr:uid="{00000000-0005-0000-0000-0000F2160000}"/>
    <cellStyle name="Total 2 14 18" xfId="2084" xr:uid="{00000000-0005-0000-0000-0000F3160000}"/>
    <cellStyle name="Total 2 14 18 2" xfId="4434" xr:uid="{00000000-0005-0000-0000-0000F4160000}"/>
    <cellStyle name="Total 2 14 18 3" xfId="6331" xr:uid="{00000000-0005-0000-0000-0000F5160000}"/>
    <cellStyle name="Total 2 14 19" xfId="2085" xr:uid="{00000000-0005-0000-0000-0000F6160000}"/>
    <cellStyle name="Total 2 14 19 2" xfId="4435" xr:uid="{00000000-0005-0000-0000-0000F7160000}"/>
    <cellStyle name="Total 2 14 19 3" xfId="6332" xr:uid="{00000000-0005-0000-0000-0000F8160000}"/>
    <cellStyle name="Total 2 14 2" xfId="2086" xr:uid="{00000000-0005-0000-0000-0000F9160000}"/>
    <cellStyle name="Total 2 14 2 2" xfId="4436" xr:uid="{00000000-0005-0000-0000-0000FA160000}"/>
    <cellStyle name="Total 2 14 2 3" xfId="6333" xr:uid="{00000000-0005-0000-0000-0000FB160000}"/>
    <cellStyle name="Total 2 14 20" xfId="2087" xr:uid="{00000000-0005-0000-0000-0000FC160000}"/>
    <cellStyle name="Total 2 14 20 2" xfId="4437" xr:uid="{00000000-0005-0000-0000-0000FD160000}"/>
    <cellStyle name="Total 2 14 20 3" xfId="6334" xr:uid="{00000000-0005-0000-0000-0000FE160000}"/>
    <cellStyle name="Total 2 14 21" xfId="2088" xr:uid="{00000000-0005-0000-0000-0000FF160000}"/>
    <cellStyle name="Total 2 14 21 2" xfId="4438" xr:uid="{00000000-0005-0000-0000-000000170000}"/>
    <cellStyle name="Total 2 14 21 3" xfId="6335" xr:uid="{00000000-0005-0000-0000-000001170000}"/>
    <cellStyle name="Total 2 14 22" xfId="2089" xr:uid="{00000000-0005-0000-0000-000002170000}"/>
    <cellStyle name="Total 2 14 22 2" xfId="4439" xr:uid="{00000000-0005-0000-0000-000003170000}"/>
    <cellStyle name="Total 2 14 22 3" xfId="6336" xr:uid="{00000000-0005-0000-0000-000004170000}"/>
    <cellStyle name="Total 2 14 23" xfId="2090" xr:uid="{00000000-0005-0000-0000-000005170000}"/>
    <cellStyle name="Total 2 14 23 2" xfId="4440" xr:uid="{00000000-0005-0000-0000-000006170000}"/>
    <cellStyle name="Total 2 14 23 3" xfId="6337" xr:uid="{00000000-0005-0000-0000-000007170000}"/>
    <cellStyle name="Total 2 14 24" xfId="4425" xr:uid="{00000000-0005-0000-0000-000008170000}"/>
    <cellStyle name="Total 2 14 25" xfId="6322" xr:uid="{00000000-0005-0000-0000-000009170000}"/>
    <cellStyle name="Total 2 14 3" xfId="2091" xr:uid="{00000000-0005-0000-0000-00000A170000}"/>
    <cellStyle name="Total 2 14 3 2" xfId="4441" xr:uid="{00000000-0005-0000-0000-00000B170000}"/>
    <cellStyle name="Total 2 14 3 3" xfId="6338" xr:uid="{00000000-0005-0000-0000-00000C170000}"/>
    <cellStyle name="Total 2 14 4" xfId="2092" xr:uid="{00000000-0005-0000-0000-00000D170000}"/>
    <cellStyle name="Total 2 14 4 2" xfId="4442" xr:uid="{00000000-0005-0000-0000-00000E170000}"/>
    <cellStyle name="Total 2 14 4 3" xfId="6339" xr:uid="{00000000-0005-0000-0000-00000F170000}"/>
    <cellStyle name="Total 2 14 5" xfId="2093" xr:uid="{00000000-0005-0000-0000-000010170000}"/>
    <cellStyle name="Total 2 14 5 2" xfId="4443" xr:uid="{00000000-0005-0000-0000-000011170000}"/>
    <cellStyle name="Total 2 14 5 3" xfId="6340" xr:uid="{00000000-0005-0000-0000-000012170000}"/>
    <cellStyle name="Total 2 14 6" xfId="2094" xr:uid="{00000000-0005-0000-0000-000013170000}"/>
    <cellStyle name="Total 2 14 6 2" xfId="4444" xr:uid="{00000000-0005-0000-0000-000014170000}"/>
    <cellStyle name="Total 2 14 6 3" xfId="6341" xr:uid="{00000000-0005-0000-0000-000015170000}"/>
    <cellStyle name="Total 2 14 7" xfId="2095" xr:uid="{00000000-0005-0000-0000-000016170000}"/>
    <cellStyle name="Total 2 14 7 2" xfId="4445" xr:uid="{00000000-0005-0000-0000-000017170000}"/>
    <cellStyle name="Total 2 14 7 3" xfId="6342" xr:uid="{00000000-0005-0000-0000-000018170000}"/>
    <cellStyle name="Total 2 14 8" xfId="2096" xr:uid="{00000000-0005-0000-0000-000019170000}"/>
    <cellStyle name="Total 2 14 8 2" xfId="4446" xr:uid="{00000000-0005-0000-0000-00001A170000}"/>
    <cellStyle name="Total 2 14 8 3" xfId="6343" xr:uid="{00000000-0005-0000-0000-00001B170000}"/>
    <cellStyle name="Total 2 14 9" xfId="2097" xr:uid="{00000000-0005-0000-0000-00001C170000}"/>
    <cellStyle name="Total 2 14 9 2" xfId="4447" xr:uid="{00000000-0005-0000-0000-00001D170000}"/>
    <cellStyle name="Total 2 14 9 3" xfId="6344" xr:uid="{00000000-0005-0000-0000-00001E170000}"/>
    <cellStyle name="Total 2 15" xfId="2098" xr:uid="{00000000-0005-0000-0000-00001F170000}"/>
    <cellStyle name="Total 2 15 2" xfId="4448" xr:uid="{00000000-0005-0000-0000-000020170000}"/>
    <cellStyle name="Total 2 15 3" xfId="6345" xr:uid="{00000000-0005-0000-0000-000021170000}"/>
    <cellStyle name="Total 2 16" xfId="2099" xr:uid="{00000000-0005-0000-0000-000022170000}"/>
    <cellStyle name="Total 2 16 2" xfId="4449" xr:uid="{00000000-0005-0000-0000-000023170000}"/>
    <cellStyle name="Total 2 16 3" xfId="6346" xr:uid="{00000000-0005-0000-0000-000024170000}"/>
    <cellStyle name="Total 2 17" xfId="2100" xr:uid="{00000000-0005-0000-0000-000025170000}"/>
    <cellStyle name="Total 2 17 2" xfId="4450" xr:uid="{00000000-0005-0000-0000-000026170000}"/>
    <cellStyle name="Total 2 17 3" xfId="6347" xr:uid="{00000000-0005-0000-0000-000027170000}"/>
    <cellStyle name="Total 2 18" xfId="2101" xr:uid="{00000000-0005-0000-0000-000028170000}"/>
    <cellStyle name="Total 2 18 2" xfId="4451" xr:uid="{00000000-0005-0000-0000-000029170000}"/>
    <cellStyle name="Total 2 18 3" xfId="6348" xr:uid="{00000000-0005-0000-0000-00002A170000}"/>
    <cellStyle name="Total 2 19" xfId="2102" xr:uid="{00000000-0005-0000-0000-00002B170000}"/>
    <cellStyle name="Total 2 19 2" xfId="4452" xr:uid="{00000000-0005-0000-0000-00002C170000}"/>
    <cellStyle name="Total 2 19 3" xfId="6349" xr:uid="{00000000-0005-0000-0000-00002D170000}"/>
    <cellStyle name="Total 2 2" xfId="2103" xr:uid="{00000000-0005-0000-0000-00002E170000}"/>
    <cellStyle name="Total 2 2 10" xfId="2104" xr:uid="{00000000-0005-0000-0000-00002F170000}"/>
    <cellStyle name="Total 2 2 10 2" xfId="4454" xr:uid="{00000000-0005-0000-0000-000030170000}"/>
    <cellStyle name="Total 2 2 10 3" xfId="6351" xr:uid="{00000000-0005-0000-0000-000031170000}"/>
    <cellStyle name="Total 2 2 11" xfId="2105" xr:uid="{00000000-0005-0000-0000-000032170000}"/>
    <cellStyle name="Total 2 2 11 2" xfId="4455" xr:uid="{00000000-0005-0000-0000-000033170000}"/>
    <cellStyle name="Total 2 2 11 3" xfId="6352" xr:uid="{00000000-0005-0000-0000-000034170000}"/>
    <cellStyle name="Total 2 2 12" xfId="2106" xr:uid="{00000000-0005-0000-0000-000035170000}"/>
    <cellStyle name="Total 2 2 12 2" xfId="4456" xr:uid="{00000000-0005-0000-0000-000036170000}"/>
    <cellStyle name="Total 2 2 12 3" xfId="6353" xr:uid="{00000000-0005-0000-0000-000037170000}"/>
    <cellStyle name="Total 2 2 13" xfId="2107" xr:uid="{00000000-0005-0000-0000-000038170000}"/>
    <cellStyle name="Total 2 2 13 2" xfId="4457" xr:uid="{00000000-0005-0000-0000-000039170000}"/>
    <cellStyle name="Total 2 2 13 3" xfId="6354" xr:uid="{00000000-0005-0000-0000-00003A170000}"/>
    <cellStyle name="Total 2 2 14" xfId="2108" xr:uid="{00000000-0005-0000-0000-00003B170000}"/>
    <cellStyle name="Total 2 2 14 2" xfId="4458" xr:uid="{00000000-0005-0000-0000-00003C170000}"/>
    <cellStyle name="Total 2 2 14 3" xfId="6355" xr:uid="{00000000-0005-0000-0000-00003D170000}"/>
    <cellStyle name="Total 2 2 15" xfId="2109" xr:uid="{00000000-0005-0000-0000-00003E170000}"/>
    <cellStyle name="Total 2 2 15 2" xfId="4459" xr:uid="{00000000-0005-0000-0000-00003F170000}"/>
    <cellStyle name="Total 2 2 15 3" xfId="6356" xr:uid="{00000000-0005-0000-0000-000040170000}"/>
    <cellStyle name="Total 2 2 16" xfId="2110" xr:uid="{00000000-0005-0000-0000-000041170000}"/>
    <cellStyle name="Total 2 2 16 2" xfId="4460" xr:uid="{00000000-0005-0000-0000-000042170000}"/>
    <cellStyle name="Total 2 2 16 3" xfId="6357" xr:uid="{00000000-0005-0000-0000-000043170000}"/>
    <cellStyle name="Total 2 2 17" xfId="2111" xr:uid="{00000000-0005-0000-0000-000044170000}"/>
    <cellStyle name="Total 2 2 17 2" xfId="4461" xr:uid="{00000000-0005-0000-0000-000045170000}"/>
    <cellStyle name="Total 2 2 17 3" xfId="6358" xr:uid="{00000000-0005-0000-0000-000046170000}"/>
    <cellStyle name="Total 2 2 18" xfId="2112" xr:uid="{00000000-0005-0000-0000-000047170000}"/>
    <cellStyle name="Total 2 2 18 2" xfId="4462" xr:uid="{00000000-0005-0000-0000-000048170000}"/>
    <cellStyle name="Total 2 2 18 3" xfId="6359" xr:uid="{00000000-0005-0000-0000-000049170000}"/>
    <cellStyle name="Total 2 2 19" xfId="2113" xr:uid="{00000000-0005-0000-0000-00004A170000}"/>
    <cellStyle name="Total 2 2 19 2" xfId="4463" xr:uid="{00000000-0005-0000-0000-00004B170000}"/>
    <cellStyle name="Total 2 2 19 3" xfId="6360" xr:uid="{00000000-0005-0000-0000-00004C170000}"/>
    <cellStyle name="Total 2 2 2" xfId="2114" xr:uid="{00000000-0005-0000-0000-00004D170000}"/>
    <cellStyle name="Total 2 2 2 2" xfId="4464" xr:uid="{00000000-0005-0000-0000-00004E170000}"/>
    <cellStyle name="Total 2 2 2 3" xfId="6361" xr:uid="{00000000-0005-0000-0000-00004F170000}"/>
    <cellStyle name="Total 2 2 20" xfId="2115" xr:uid="{00000000-0005-0000-0000-000050170000}"/>
    <cellStyle name="Total 2 2 20 2" xfId="4465" xr:uid="{00000000-0005-0000-0000-000051170000}"/>
    <cellStyle name="Total 2 2 20 3" xfId="6362" xr:uid="{00000000-0005-0000-0000-000052170000}"/>
    <cellStyle name="Total 2 2 21" xfId="2116" xr:uid="{00000000-0005-0000-0000-000053170000}"/>
    <cellStyle name="Total 2 2 21 2" xfId="4466" xr:uid="{00000000-0005-0000-0000-000054170000}"/>
    <cellStyle name="Total 2 2 21 3" xfId="6363" xr:uid="{00000000-0005-0000-0000-000055170000}"/>
    <cellStyle name="Total 2 2 22" xfId="2117" xr:uid="{00000000-0005-0000-0000-000056170000}"/>
    <cellStyle name="Total 2 2 22 2" xfId="4467" xr:uid="{00000000-0005-0000-0000-000057170000}"/>
    <cellStyle name="Total 2 2 22 3" xfId="6364" xr:uid="{00000000-0005-0000-0000-000058170000}"/>
    <cellStyle name="Total 2 2 23" xfId="2118" xr:uid="{00000000-0005-0000-0000-000059170000}"/>
    <cellStyle name="Total 2 2 23 2" xfId="4468" xr:uid="{00000000-0005-0000-0000-00005A170000}"/>
    <cellStyle name="Total 2 2 23 3" xfId="6365" xr:uid="{00000000-0005-0000-0000-00005B170000}"/>
    <cellStyle name="Total 2 2 24" xfId="4453" xr:uid="{00000000-0005-0000-0000-00005C170000}"/>
    <cellStyle name="Total 2 2 25" xfId="6350" xr:uid="{00000000-0005-0000-0000-00005D170000}"/>
    <cellStyle name="Total 2 2 3" xfId="2119" xr:uid="{00000000-0005-0000-0000-00005E170000}"/>
    <cellStyle name="Total 2 2 3 2" xfId="4469" xr:uid="{00000000-0005-0000-0000-00005F170000}"/>
    <cellStyle name="Total 2 2 3 3" xfId="6366" xr:uid="{00000000-0005-0000-0000-000060170000}"/>
    <cellStyle name="Total 2 2 4" xfId="2120" xr:uid="{00000000-0005-0000-0000-000061170000}"/>
    <cellStyle name="Total 2 2 4 2" xfId="4470" xr:uid="{00000000-0005-0000-0000-000062170000}"/>
    <cellStyle name="Total 2 2 4 3" xfId="6367" xr:uid="{00000000-0005-0000-0000-000063170000}"/>
    <cellStyle name="Total 2 2 5" xfId="2121" xr:uid="{00000000-0005-0000-0000-000064170000}"/>
    <cellStyle name="Total 2 2 5 2" xfId="4471" xr:uid="{00000000-0005-0000-0000-000065170000}"/>
    <cellStyle name="Total 2 2 5 3" xfId="6368" xr:uid="{00000000-0005-0000-0000-000066170000}"/>
    <cellStyle name="Total 2 2 6" xfId="2122" xr:uid="{00000000-0005-0000-0000-000067170000}"/>
    <cellStyle name="Total 2 2 6 2" xfId="4472" xr:uid="{00000000-0005-0000-0000-000068170000}"/>
    <cellStyle name="Total 2 2 6 3" xfId="6369" xr:uid="{00000000-0005-0000-0000-000069170000}"/>
    <cellStyle name="Total 2 2 7" xfId="2123" xr:uid="{00000000-0005-0000-0000-00006A170000}"/>
    <cellStyle name="Total 2 2 7 2" xfId="4473" xr:uid="{00000000-0005-0000-0000-00006B170000}"/>
    <cellStyle name="Total 2 2 7 3" xfId="6370" xr:uid="{00000000-0005-0000-0000-00006C170000}"/>
    <cellStyle name="Total 2 2 8" xfId="2124" xr:uid="{00000000-0005-0000-0000-00006D170000}"/>
    <cellStyle name="Total 2 2 8 2" xfId="4474" xr:uid="{00000000-0005-0000-0000-00006E170000}"/>
    <cellStyle name="Total 2 2 8 3" xfId="6371" xr:uid="{00000000-0005-0000-0000-00006F170000}"/>
    <cellStyle name="Total 2 2 9" xfId="2125" xr:uid="{00000000-0005-0000-0000-000070170000}"/>
    <cellStyle name="Total 2 2 9 2" xfId="4475" xr:uid="{00000000-0005-0000-0000-000071170000}"/>
    <cellStyle name="Total 2 2 9 3" xfId="6372" xr:uid="{00000000-0005-0000-0000-000072170000}"/>
    <cellStyle name="Total 2 20" xfId="2126" xr:uid="{00000000-0005-0000-0000-000073170000}"/>
    <cellStyle name="Total 2 20 2" xfId="4476" xr:uid="{00000000-0005-0000-0000-000074170000}"/>
    <cellStyle name="Total 2 20 3" xfId="6373" xr:uid="{00000000-0005-0000-0000-000075170000}"/>
    <cellStyle name="Total 2 21" xfId="2127" xr:uid="{00000000-0005-0000-0000-000076170000}"/>
    <cellStyle name="Total 2 21 2" xfId="4477" xr:uid="{00000000-0005-0000-0000-000077170000}"/>
    <cellStyle name="Total 2 21 3" xfId="6374" xr:uid="{00000000-0005-0000-0000-000078170000}"/>
    <cellStyle name="Total 2 22" xfId="2128" xr:uid="{00000000-0005-0000-0000-000079170000}"/>
    <cellStyle name="Total 2 22 2" xfId="4478" xr:uid="{00000000-0005-0000-0000-00007A170000}"/>
    <cellStyle name="Total 2 22 3" xfId="6375" xr:uid="{00000000-0005-0000-0000-00007B170000}"/>
    <cellStyle name="Total 2 23" xfId="2129" xr:uid="{00000000-0005-0000-0000-00007C170000}"/>
    <cellStyle name="Total 2 23 2" xfId="4479" xr:uid="{00000000-0005-0000-0000-00007D170000}"/>
    <cellStyle name="Total 2 23 3" xfId="6376" xr:uid="{00000000-0005-0000-0000-00007E170000}"/>
    <cellStyle name="Total 2 24" xfId="2130" xr:uid="{00000000-0005-0000-0000-00007F170000}"/>
    <cellStyle name="Total 2 24 2" xfId="4480" xr:uid="{00000000-0005-0000-0000-000080170000}"/>
    <cellStyle name="Total 2 24 3" xfId="6377" xr:uid="{00000000-0005-0000-0000-000081170000}"/>
    <cellStyle name="Total 2 25" xfId="2131" xr:uid="{00000000-0005-0000-0000-000082170000}"/>
    <cellStyle name="Total 2 25 2" xfId="4481" xr:uid="{00000000-0005-0000-0000-000083170000}"/>
    <cellStyle name="Total 2 25 3" xfId="6378" xr:uid="{00000000-0005-0000-0000-000084170000}"/>
    <cellStyle name="Total 2 26" xfId="2132" xr:uid="{00000000-0005-0000-0000-000085170000}"/>
    <cellStyle name="Total 2 26 2" xfId="4482" xr:uid="{00000000-0005-0000-0000-000086170000}"/>
    <cellStyle name="Total 2 26 3" xfId="6379" xr:uid="{00000000-0005-0000-0000-000087170000}"/>
    <cellStyle name="Total 2 27" xfId="2133" xr:uid="{00000000-0005-0000-0000-000088170000}"/>
    <cellStyle name="Total 2 27 2" xfId="4483" xr:uid="{00000000-0005-0000-0000-000089170000}"/>
    <cellStyle name="Total 2 27 3" xfId="6380" xr:uid="{00000000-0005-0000-0000-00008A170000}"/>
    <cellStyle name="Total 2 28" xfId="2134" xr:uid="{00000000-0005-0000-0000-00008B170000}"/>
    <cellStyle name="Total 2 28 2" xfId="4484" xr:uid="{00000000-0005-0000-0000-00008C170000}"/>
    <cellStyle name="Total 2 28 3" xfId="6381" xr:uid="{00000000-0005-0000-0000-00008D170000}"/>
    <cellStyle name="Total 2 29" xfId="2135" xr:uid="{00000000-0005-0000-0000-00008E170000}"/>
    <cellStyle name="Total 2 29 2" xfId="4485" xr:uid="{00000000-0005-0000-0000-00008F170000}"/>
    <cellStyle name="Total 2 29 3" xfId="6382" xr:uid="{00000000-0005-0000-0000-000090170000}"/>
    <cellStyle name="Total 2 3" xfId="2136" xr:uid="{00000000-0005-0000-0000-000091170000}"/>
    <cellStyle name="Total 2 3 10" xfId="2137" xr:uid="{00000000-0005-0000-0000-000092170000}"/>
    <cellStyle name="Total 2 3 10 2" xfId="4487" xr:uid="{00000000-0005-0000-0000-000093170000}"/>
    <cellStyle name="Total 2 3 10 3" xfId="6384" xr:uid="{00000000-0005-0000-0000-000094170000}"/>
    <cellStyle name="Total 2 3 11" xfId="2138" xr:uid="{00000000-0005-0000-0000-000095170000}"/>
    <cellStyle name="Total 2 3 11 2" xfId="4488" xr:uid="{00000000-0005-0000-0000-000096170000}"/>
    <cellStyle name="Total 2 3 11 3" xfId="6385" xr:uid="{00000000-0005-0000-0000-000097170000}"/>
    <cellStyle name="Total 2 3 12" xfId="2139" xr:uid="{00000000-0005-0000-0000-000098170000}"/>
    <cellStyle name="Total 2 3 12 2" xfId="4489" xr:uid="{00000000-0005-0000-0000-000099170000}"/>
    <cellStyle name="Total 2 3 12 3" xfId="6386" xr:uid="{00000000-0005-0000-0000-00009A170000}"/>
    <cellStyle name="Total 2 3 13" xfId="2140" xr:uid="{00000000-0005-0000-0000-00009B170000}"/>
    <cellStyle name="Total 2 3 13 2" xfId="4490" xr:uid="{00000000-0005-0000-0000-00009C170000}"/>
    <cellStyle name="Total 2 3 13 3" xfId="6387" xr:uid="{00000000-0005-0000-0000-00009D170000}"/>
    <cellStyle name="Total 2 3 14" xfId="2141" xr:uid="{00000000-0005-0000-0000-00009E170000}"/>
    <cellStyle name="Total 2 3 14 2" xfId="4491" xr:uid="{00000000-0005-0000-0000-00009F170000}"/>
    <cellStyle name="Total 2 3 14 3" xfId="6388" xr:uid="{00000000-0005-0000-0000-0000A0170000}"/>
    <cellStyle name="Total 2 3 15" xfId="2142" xr:uid="{00000000-0005-0000-0000-0000A1170000}"/>
    <cellStyle name="Total 2 3 15 2" xfId="4492" xr:uid="{00000000-0005-0000-0000-0000A2170000}"/>
    <cellStyle name="Total 2 3 15 3" xfId="6389" xr:uid="{00000000-0005-0000-0000-0000A3170000}"/>
    <cellStyle name="Total 2 3 16" xfId="2143" xr:uid="{00000000-0005-0000-0000-0000A4170000}"/>
    <cellStyle name="Total 2 3 16 2" xfId="4493" xr:uid="{00000000-0005-0000-0000-0000A5170000}"/>
    <cellStyle name="Total 2 3 16 3" xfId="6390" xr:uid="{00000000-0005-0000-0000-0000A6170000}"/>
    <cellStyle name="Total 2 3 17" xfId="2144" xr:uid="{00000000-0005-0000-0000-0000A7170000}"/>
    <cellStyle name="Total 2 3 17 2" xfId="4494" xr:uid="{00000000-0005-0000-0000-0000A8170000}"/>
    <cellStyle name="Total 2 3 17 3" xfId="6391" xr:uid="{00000000-0005-0000-0000-0000A9170000}"/>
    <cellStyle name="Total 2 3 18" xfId="2145" xr:uid="{00000000-0005-0000-0000-0000AA170000}"/>
    <cellStyle name="Total 2 3 18 2" xfId="4495" xr:uid="{00000000-0005-0000-0000-0000AB170000}"/>
    <cellStyle name="Total 2 3 18 3" xfId="6392" xr:uid="{00000000-0005-0000-0000-0000AC170000}"/>
    <cellStyle name="Total 2 3 19" xfId="2146" xr:uid="{00000000-0005-0000-0000-0000AD170000}"/>
    <cellStyle name="Total 2 3 19 2" xfId="4496" xr:uid="{00000000-0005-0000-0000-0000AE170000}"/>
    <cellStyle name="Total 2 3 19 3" xfId="6393" xr:uid="{00000000-0005-0000-0000-0000AF170000}"/>
    <cellStyle name="Total 2 3 2" xfId="2147" xr:uid="{00000000-0005-0000-0000-0000B0170000}"/>
    <cellStyle name="Total 2 3 2 2" xfId="4497" xr:uid="{00000000-0005-0000-0000-0000B1170000}"/>
    <cellStyle name="Total 2 3 2 3" xfId="6394" xr:uid="{00000000-0005-0000-0000-0000B2170000}"/>
    <cellStyle name="Total 2 3 20" xfId="2148" xr:uid="{00000000-0005-0000-0000-0000B3170000}"/>
    <cellStyle name="Total 2 3 20 2" xfId="4498" xr:uid="{00000000-0005-0000-0000-0000B4170000}"/>
    <cellStyle name="Total 2 3 20 3" xfId="6395" xr:uid="{00000000-0005-0000-0000-0000B5170000}"/>
    <cellStyle name="Total 2 3 21" xfId="2149" xr:uid="{00000000-0005-0000-0000-0000B6170000}"/>
    <cellStyle name="Total 2 3 21 2" xfId="4499" xr:uid="{00000000-0005-0000-0000-0000B7170000}"/>
    <cellStyle name="Total 2 3 21 3" xfId="6396" xr:uid="{00000000-0005-0000-0000-0000B8170000}"/>
    <cellStyle name="Total 2 3 22" xfId="2150" xr:uid="{00000000-0005-0000-0000-0000B9170000}"/>
    <cellStyle name="Total 2 3 22 2" xfId="4500" xr:uid="{00000000-0005-0000-0000-0000BA170000}"/>
    <cellStyle name="Total 2 3 22 3" xfId="6397" xr:uid="{00000000-0005-0000-0000-0000BB170000}"/>
    <cellStyle name="Total 2 3 23" xfId="2151" xr:uid="{00000000-0005-0000-0000-0000BC170000}"/>
    <cellStyle name="Total 2 3 23 2" xfId="4501" xr:uid="{00000000-0005-0000-0000-0000BD170000}"/>
    <cellStyle name="Total 2 3 23 3" xfId="6398" xr:uid="{00000000-0005-0000-0000-0000BE170000}"/>
    <cellStyle name="Total 2 3 24" xfId="4486" xr:uid="{00000000-0005-0000-0000-0000BF170000}"/>
    <cellStyle name="Total 2 3 25" xfId="6383" xr:uid="{00000000-0005-0000-0000-0000C0170000}"/>
    <cellStyle name="Total 2 3 3" xfId="2152" xr:uid="{00000000-0005-0000-0000-0000C1170000}"/>
    <cellStyle name="Total 2 3 3 2" xfId="4502" xr:uid="{00000000-0005-0000-0000-0000C2170000}"/>
    <cellStyle name="Total 2 3 3 3" xfId="6399" xr:uid="{00000000-0005-0000-0000-0000C3170000}"/>
    <cellStyle name="Total 2 3 4" xfId="2153" xr:uid="{00000000-0005-0000-0000-0000C4170000}"/>
    <cellStyle name="Total 2 3 4 2" xfId="4503" xr:uid="{00000000-0005-0000-0000-0000C5170000}"/>
    <cellStyle name="Total 2 3 4 3" xfId="6400" xr:uid="{00000000-0005-0000-0000-0000C6170000}"/>
    <cellStyle name="Total 2 3 5" xfId="2154" xr:uid="{00000000-0005-0000-0000-0000C7170000}"/>
    <cellStyle name="Total 2 3 5 2" xfId="4504" xr:uid="{00000000-0005-0000-0000-0000C8170000}"/>
    <cellStyle name="Total 2 3 5 3" xfId="6401" xr:uid="{00000000-0005-0000-0000-0000C9170000}"/>
    <cellStyle name="Total 2 3 6" xfId="2155" xr:uid="{00000000-0005-0000-0000-0000CA170000}"/>
    <cellStyle name="Total 2 3 6 2" xfId="4505" xr:uid="{00000000-0005-0000-0000-0000CB170000}"/>
    <cellStyle name="Total 2 3 6 3" xfId="6402" xr:uid="{00000000-0005-0000-0000-0000CC170000}"/>
    <cellStyle name="Total 2 3 7" xfId="2156" xr:uid="{00000000-0005-0000-0000-0000CD170000}"/>
    <cellStyle name="Total 2 3 7 2" xfId="4506" xr:uid="{00000000-0005-0000-0000-0000CE170000}"/>
    <cellStyle name="Total 2 3 7 3" xfId="6403" xr:uid="{00000000-0005-0000-0000-0000CF170000}"/>
    <cellStyle name="Total 2 3 8" xfId="2157" xr:uid="{00000000-0005-0000-0000-0000D0170000}"/>
    <cellStyle name="Total 2 3 8 2" xfId="4507" xr:uid="{00000000-0005-0000-0000-0000D1170000}"/>
    <cellStyle name="Total 2 3 8 3" xfId="6404" xr:uid="{00000000-0005-0000-0000-0000D2170000}"/>
    <cellStyle name="Total 2 3 9" xfId="2158" xr:uid="{00000000-0005-0000-0000-0000D3170000}"/>
    <cellStyle name="Total 2 3 9 2" xfId="4508" xr:uid="{00000000-0005-0000-0000-0000D4170000}"/>
    <cellStyle name="Total 2 3 9 3" xfId="6405" xr:uid="{00000000-0005-0000-0000-0000D5170000}"/>
    <cellStyle name="Total 2 30" xfId="2159" xr:uid="{00000000-0005-0000-0000-0000D6170000}"/>
    <cellStyle name="Total 2 30 2" xfId="4509" xr:uid="{00000000-0005-0000-0000-0000D7170000}"/>
    <cellStyle name="Total 2 30 3" xfId="6406" xr:uid="{00000000-0005-0000-0000-0000D8170000}"/>
    <cellStyle name="Total 2 31" xfId="2160" xr:uid="{00000000-0005-0000-0000-0000D9170000}"/>
    <cellStyle name="Total 2 31 2" xfId="4510" xr:uid="{00000000-0005-0000-0000-0000DA170000}"/>
    <cellStyle name="Total 2 31 3" xfId="6407" xr:uid="{00000000-0005-0000-0000-0000DB170000}"/>
    <cellStyle name="Total 2 32" xfId="2161" xr:uid="{00000000-0005-0000-0000-0000DC170000}"/>
    <cellStyle name="Total 2 32 2" xfId="4511" xr:uid="{00000000-0005-0000-0000-0000DD170000}"/>
    <cellStyle name="Total 2 32 3" xfId="6408" xr:uid="{00000000-0005-0000-0000-0000DE170000}"/>
    <cellStyle name="Total 2 33" xfId="2162" xr:uid="{00000000-0005-0000-0000-0000DF170000}"/>
    <cellStyle name="Total 2 33 2" xfId="4512" xr:uid="{00000000-0005-0000-0000-0000E0170000}"/>
    <cellStyle name="Total 2 33 3" xfId="6409" xr:uid="{00000000-0005-0000-0000-0000E1170000}"/>
    <cellStyle name="Total 2 34" xfId="2163" xr:uid="{00000000-0005-0000-0000-0000E2170000}"/>
    <cellStyle name="Total 2 34 2" xfId="4513" xr:uid="{00000000-0005-0000-0000-0000E3170000}"/>
    <cellStyle name="Total 2 34 3" xfId="6410" xr:uid="{00000000-0005-0000-0000-0000E4170000}"/>
    <cellStyle name="Total 2 35" xfId="2164" xr:uid="{00000000-0005-0000-0000-0000E5170000}"/>
    <cellStyle name="Total 2 35 2" xfId="4514" xr:uid="{00000000-0005-0000-0000-0000E6170000}"/>
    <cellStyle name="Total 2 35 3" xfId="6411" xr:uid="{00000000-0005-0000-0000-0000E7170000}"/>
    <cellStyle name="Total 2 36" xfId="2165" xr:uid="{00000000-0005-0000-0000-0000E8170000}"/>
    <cellStyle name="Total 2 36 2" xfId="4515" xr:uid="{00000000-0005-0000-0000-0000E9170000}"/>
    <cellStyle name="Total 2 36 3" xfId="6412" xr:uid="{00000000-0005-0000-0000-0000EA170000}"/>
    <cellStyle name="Total 2 37" xfId="4332" xr:uid="{00000000-0005-0000-0000-0000EB170000}"/>
    <cellStyle name="Total 2 38" xfId="6229" xr:uid="{00000000-0005-0000-0000-0000EC170000}"/>
    <cellStyle name="Total 2 4" xfId="2166" xr:uid="{00000000-0005-0000-0000-0000ED170000}"/>
    <cellStyle name="Total 2 4 10" xfId="2167" xr:uid="{00000000-0005-0000-0000-0000EE170000}"/>
    <cellStyle name="Total 2 4 10 2" xfId="4517" xr:uid="{00000000-0005-0000-0000-0000EF170000}"/>
    <cellStyle name="Total 2 4 10 3" xfId="6414" xr:uid="{00000000-0005-0000-0000-0000F0170000}"/>
    <cellStyle name="Total 2 4 11" xfId="2168" xr:uid="{00000000-0005-0000-0000-0000F1170000}"/>
    <cellStyle name="Total 2 4 11 2" xfId="4518" xr:uid="{00000000-0005-0000-0000-0000F2170000}"/>
    <cellStyle name="Total 2 4 11 3" xfId="6415" xr:uid="{00000000-0005-0000-0000-0000F3170000}"/>
    <cellStyle name="Total 2 4 12" xfId="2169" xr:uid="{00000000-0005-0000-0000-0000F4170000}"/>
    <cellStyle name="Total 2 4 12 2" xfId="4519" xr:uid="{00000000-0005-0000-0000-0000F5170000}"/>
    <cellStyle name="Total 2 4 12 3" xfId="6416" xr:uid="{00000000-0005-0000-0000-0000F6170000}"/>
    <cellStyle name="Total 2 4 13" xfId="2170" xr:uid="{00000000-0005-0000-0000-0000F7170000}"/>
    <cellStyle name="Total 2 4 13 2" xfId="4520" xr:uid="{00000000-0005-0000-0000-0000F8170000}"/>
    <cellStyle name="Total 2 4 13 3" xfId="6417" xr:uid="{00000000-0005-0000-0000-0000F9170000}"/>
    <cellStyle name="Total 2 4 14" xfId="2171" xr:uid="{00000000-0005-0000-0000-0000FA170000}"/>
    <cellStyle name="Total 2 4 14 2" xfId="4521" xr:uid="{00000000-0005-0000-0000-0000FB170000}"/>
    <cellStyle name="Total 2 4 14 3" xfId="6418" xr:uid="{00000000-0005-0000-0000-0000FC170000}"/>
    <cellStyle name="Total 2 4 15" xfId="2172" xr:uid="{00000000-0005-0000-0000-0000FD170000}"/>
    <cellStyle name="Total 2 4 15 2" xfId="4522" xr:uid="{00000000-0005-0000-0000-0000FE170000}"/>
    <cellStyle name="Total 2 4 15 3" xfId="6419" xr:uid="{00000000-0005-0000-0000-0000FF170000}"/>
    <cellStyle name="Total 2 4 16" xfId="2173" xr:uid="{00000000-0005-0000-0000-000000180000}"/>
    <cellStyle name="Total 2 4 16 2" xfId="4523" xr:uid="{00000000-0005-0000-0000-000001180000}"/>
    <cellStyle name="Total 2 4 16 3" xfId="6420" xr:uid="{00000000-0005-0000-0000-000002180000}"/>
    <cellStyle name="Total 2 4 17" xfId="2174" xr:uid="{00000000-0005-0000-0000-000003180000}"/>
    <cellStyle name="Total 2 4 17 2" xfId="4524" xr:uid="{00000000-0005-0000-0000-000004180000}"/>
    <cellStyle name="Total 2 4 17 3" xfId="6421" xr:uid="{00000000-0005-0000-0000-000005180000}"/>
    <cellStyle name="Total 2 4 18" xfId="2175" xr:uid="{00000000-0005-0000-0000-000006180000}"/>
    <cellStyle name="Total 2 4 18 2" xfId="4525" xr:uid="{00000000-0005-0000-0000-000007180000}"/>
    <cellStyle name="Total 2 4 18 3" xfId="6422" xr:uid="{00000000-0005-0000-0000-000008180000}"/>
    <cellStyle name="Total 2 4 19" xfId="2176" xr:uid="{00000000-0005-0000-0000-000009180000}"/>
    <cellStyle name="Total 2 4 19 2" xfId="4526" xr:uid="{00000000-0005-0000-0000-00000A180000}"/>
    <cellStyle name="Total 2 4 19 3" xfId="6423" xr:uid="{00000000-0005-0000-0000-00000B180000}"/>
    <cellStyle name="Total 2 4 2" xfId="2177" xr:uid="{00000000-0005-0000-0000-00000C180000}"/>
    <cellStyle name="Total 2 4 2 2" xfId="4527" xr:uid="{00000000-0005-0000-0000-00000D180000}"/>
    <cellStyle name="Total 2 4 2 3" xfId="6424" xr:uid="{00000000-0005-0000-0000-00000E180000}"/>
    <cellStyle name="Total 2 4 20" xfId="2178" xr:uid="{00000000-0005-0000-0000-00000F180000}"/>
    <cellStyle name="Total 2 4 20 2" xfId="4528" xr:uid="{00000000-0005-0000-0000-000010180000}"/>
    <cellStyle name="Total 2 4 20 3" xfId="6425" xr:uid="{00000000-0005-0000-0000-000011180000}"/>
    <cellStyle name="Total 2 4 21" xfId="2179" xr:uid="{00000000-0005-0000-0000-000012180000}"/>
    <cellStyle name="Total 2 4 21 2" xfId="4529" xr:uid="{00000000-0005-0000-0000-000013180000}"/>
    <cellStyle name="Total 2 4 21 3" xfId="6426" xr:uid="{00000000-0005-0000-0000-000014180000}"/>
    <cellStyle name="Total 2 4 22" xfId="2180" xr:uid="{00000000-0005-0000-0000-000015180000}"/>
    <cellStyle name="Total 2 4 22 2" xfId="4530" xr:uid="{00000000-0005-0000-0000-000016180000}"/>
    <cellStyle name="Total 2 4 22 3" xfId="6427" xr:uid="{00000000-0005-0000-0000-000017180000}"/>
    <cellStyle name="Total 2 4 23" xfId="2181" xr:uid="{00000000-0005-0000-0000-000018180000}"/>
    <cellStyle name="Total 2 4 23 2" xfId="4531" xr:uid="{00000000-0005-0000-0000-000019180000}"/>
    <cellStyle name="Total 2 4 23 3" xfId="6428" xr:uid="{00000000-0005-0000-0000-00001A180000}"/>
    <cellStyle name="Total 2 4 24" xfId="4516" xr:uid="{00000000-0005-0000-0000-00001B180000}"/>
    <cellStyle name="Total 2 4 25" xfId="6413" xr:uid="{00000000-0005-0000-0000-00001C180000}"/>
    <cellStyle name="Total 2 4 3" xfId="2182" xr:uid="{00000000-0005-0000-0000-00001D180000}"/>
    <cellStyle name="Total 2 4 3 2" xfId="4532" xr:uid="{00000000-0005-0000-0000-00001E180000}"/>
    <cellStyle name="Total 2 4 3 3" xfId="6429" xr:uid="{00000000-0005-0000-0000-00001F180000}"/>
    <cellStyle name="Total 2 4 4" xfId="2183" xr:uid="{00000000-0005-0000-0000-000020180000}"/>
    <cellStyle name="Total 2 4 4 2" xfId="4533" xr:uid="{00000000-0005-0000-0000-000021180000}"/>
    <cellStyle name="Total 2 4 4 3" xfId="6430" xr:uid="{00000000-0005-0000-0000-000022180000}"/>
    <cellStyle name="Total 2 4 5" xfId="2184" xr:uid="{00000000-0005-0000-0000-000023180000}"/>
    <cellStyle name="Total 2 4 5 2" xfId="4534" xr:uid="{00000000-0005-0000-0000-000024180000}"/>
    <cellStyle name="Total 2 4 5 3" xfId="6431" xr:uid="{00000000-0005-0000-0000-000025180000}"/>
    <cellStyle name="Total 2 4 6" xfId="2185" xr:uid="{00000000-0005-0000-0000-000026180000}"/>
    <cellStyle name="Total 2 4 6 2" xfId="4535" xr:uid="{00000000-0005-0000-0000-000027180000}"/>
    <cellStyle name="Total 2 4 6 3" xfId="6432" xr:uid="{00000000-0005-0000-0000-000028180000}"/>
    <cellStyle name="Total 2 4 7" xfId="2186" xr:uid="{00000000-0005-0000-0000-000029180000}"/>
    <cellStyle name="Total 2 4 7 2" xfId="4536" xr:uid="{00000000-0005-0000-0000-00002A180000}"/>
    <cellStyle name="Total 2 4 7 3" xfId="6433" xr:uid="{00000000-0005-0000-0000-00002B180000}"/>
    <cellStyle name="Total 2 4 8" xfId="2187" xr:uid="{00000000-0005-0000-0000-00002C180000}"/>
    <cellStyle name="Total 2 4 8 2" xfId="4537" xr:uid="{00000000-0005-0000-0000-00002D180000}"/>
    <cellStyle name="Total 2 4 8 3" xfId="6434" xr:uid="{00000000-0005-0000-0000-00002E180000}"/>
    <cellStyle name="Total 2 4 9" xfId="2188" xr:uid="{00000000-0005-0000-0000-00002F180000}"/>
    <cellStyle name="Total 2 4 9 2" xfId="4538" xr:uid="{00000000-0005-0000-0000-000030180000}"/>
    <cellStyle name="Total 2 4 9 3" xfId="6435" xr:uid="{00000000-0005-0000-0000-000031180000}"/>
    <cellStyle name="Total 2 5" xfId="2189" xr:uid="{00000000-0005-0000-0000-000032180000}"/>
    <cellStyle name="Total 2 5 10" xfId="2190" xr:uid="{00000000-0005-0000-0000-000033180000}"/>
    <cellStyle name="Total 2 5 10 2" xfId="4540" xr:uid="{00000000-0005-0000-0000-000034180000}"/>
    <cellStyle name="Total 2 5 10 3" xfId="6437" xr:uid="{00000000-0005-0000-0000-000035180000}"/>
    <cellStyle name="Total 2 5 11" xfId="2191" xr:uid="{00000000-0005-0000-0000-000036180000}"/>
    <cellStyle name="Total 2 5 11 2" xfId="4541" xr:uid="{00000000-0005-0000-0000-000037180000}"/>
    <cellStyle name="Total 2 5 11 3" xfId="6438" xr:uid="{00000000-0005-0000-0000-000038180000}"/>
    <cellStyle name="Total 2 5 12" xfId="2192" xr:uid="{00000000-0005-0000-0000-000039180000}"/>
    <cellStyle name="Total 2 5 12 2" xfId="4542" xr:uid="{00000000-0005-0000-0000-00003A180000}"/>
    <cellStyle name="Total 2 5 12 3" xfId="6439" xr:uid="{00000000-0005-0000-0000-00003B180000}"/>
    <cellStyle name="Total 2 5 13" xfId="2193" xr:uid="{00000000-0005-0000-0000-00003C180000}"/>
    <cellStyle name="Total 2 5 13 2" xfId="4543" xr:uid="{00000000-0005-0000-0000-00003D180000}"/>
    <cellStyle name="Total 2 5 13 3" xfId="6440" xr:uid="{00000000-0005-0000-0000-00003E180000}"/>
    <cellStyle name="Total 2 5 14" xfId="2194" xr:uid="{00000000-0005-0000-0000-00003F180000}"/>
    <cellStyle name="Total 2 5 14 2" xfId="4544" xr:uid="{00000000-0005-0000-0000-000040180000}"/>
    <cellStyle name="Total 2 5 14 3" xfId="6441" xr:uid="{00000000-0005-0000-0000-000041180000}"/>
    <cellStyle name="Total 2 5 15" xfId="2195" xr:uid="{00000000-0005-0000-0000-000042180000}"/>
    <cellStyle name="Total 2 5 15 2" xfId="4545" xr:uid="{00000000-0005-0000-0000-000043180000}"/>
    <cellStyle name="Total 2 5 15 3" xfId="6442" xr:uid="{00000000-0005-0000-0000-000044180000}"/>
    <cellStyle name="Total 2 5 16" xfId="2196" xr:uid="{00000000-0005-0000-0000-000045180000}"/>
    <cellStyle name="Total 2 5 16 2" xfId="4546" xr:uid="{00000000-0005-0000-0000-000046180000}"/>
    <cellStyle name="Total 2 5 16 3" xfId="6443" xr:uid="{00000000-0005-0000-0000-000047180000}"/>
    <cellStyle name="Total 2 5 17" xfId="2197" xr:uid="{00000000-0005-0000-0000-000048180000}"/>
    <cellStyle name="Total 2 5 17 2" xfId="4547" xr:uid="{00000000-0005-0000-0000-000049180000}"/>
    <cellStyle name="Total 2 5 17 3" xfId="6444" xr:uid="{00000000-0005-0000-0000-00004A180000}"/>
    <cellStyle name="Total 2 5 18" xfId="2198" xr:uid="{00000000-0005-0000-0000-00004B180000}"/>
    <cellStyle name="Total 2 5 18 2" xfId="4548" xr:uid="{00000000-0005-0000-0000-00004C180000}"/>
    <cellStyle name="Total 2 5 18 3" xfId="6445" xr:uid="{00000000-0005-0000-0000-00004D180000}"/>
    <cellStyle name="Total 2 5 19" xfId="2199" xr:uid="{00000000-0005-0000-0000-00004E180000}"/>
    <cellStyle name="Total 2 5 19 2" xfId="4549" xr:uid="{00000000-0005-0000-0000-00004F180000}"/>
    <cellStyle name="Total 2 5 19 3" xfId="6446" xr:uid="{00000000-0005-0000-0000-000050180000}"/>
    <cellStyle name="Total 2 5 2" xfId="2200" xr:uid="{00000000-0005-0000-0000-000051180000}"/>
    <cellStyle name="Total 2 5 2 2" xfId="4550" xr:uid="{00000000-0005-0000-0000-000052180000}"/>
    <cellStyle name="Total 2 5 2 3" xfId="6447" xr:uid="{00000000-0005-0000-0000-000053180000}"/>
    <cellStyle name="Total 2 5 20" xfId="2201" xr:uid="{00000000-0005-0000-0000-000054180000}"/>
    <cellStyle name="Total 2 5 20 2" xfId="4551" xr:uid="{00000000-0005-0000-0000-000055180000}"/>
    <cellStyle name="Total 2 5 20 3" xfId="6448" xr:uid="{00000000-0005-0000-0000-000056180000}"/>
    <cellStyle name="Total 2 5 21" xfId="2202" xr:uid="{00000000-0005-0000-0000-000057180000}"/>
    <cellStyle name="Total 2 5 21 2" xfId="4552" xr:uid="{00000000-0005-0000-0000-000058180000}"/>
    <cellStyle name="Total 2 5 21 3" xfId="6449" xr:uid="{00000000-0005-0000-0000-000059180000}"/>
    <cellStyle name="Total 2 5 22" xfId="2203" xr:uid="{00000000-0005-0000-0000-00005A180000}"/>
    <cellStyle name="Total 2 5 22 2" xfId="4553" xr:uid="{00000000-0005-0000-0000-00005B180000}"/>
    <cellStyle name="Total 2 5 22 3" xfId="6450" xr:uid="{00000000-0005-0000-0000-00005C180000}"/>
    <cellStyle name="Total 2 5 23" xfId="2204" xr:uid="{00000000-0005-0000-0000-00005D180000}"/>
    <cellStyle name="Total 2 5 23 2" xfId="4554" xr:uid="{00000000-0005-0000-0000-00005E180000}"/>
    <cellStyle name="Total 2 5 23 3" xfId="6451" xr:uid="{00000000-0005-0000-0000-00005F180000}"/>
    <cellStyle name="Total 2 5 24" xfId="4539" xr:uid="{00000000-0005-0000-0000-000060180000}"/>
    <cellStyle name="Total 2 5 25" xfId="6436" xr:uid="{00000000-0005-0000-0000-000061180000}"/>
    <cellStyle name="Total 2 5 3" xfId="2205" xr:uid="{00000000-0005-0000-0000-000062180000}"/>
    <cellStyle name="Total 2 5 3 2" xfId="4555" xr:uid="{00000000-0005-0000-0000-000063180000}"/>
    <cellStyle name="Total 2 5 3 3" xfId="6452" xr:uid="{00000000-0005-0000-0000-000064180000}"/>
    <cellStyle name="Total 2 5 4" xfId="2206" xr:uid="{00000000-0005-0000-0000-000065180000}"/>
    <cellStyle name="Total 2 5 4 2" xfId="4556" xr:uid="{00000000-0005-0000-0000-000066180000}"/>
    <cellStyle name="Total 2 5 4 3" xfId="6453" xr:uid="{00000000-0005-0000-0000-000067180000}"/>
    <cellStyle name="Total 2 5 5" xfId="2207" xr:uid="{00000000-0005-0000-0000-000068180000}"/>
    <cellStyle name="Total 2 5 5 2" xfId="4557" xr:uid="{00000000-0005-0000-0000-000069180000}"/>
    <cellStyle name="Total 2 5 5 3" xfId="6454" xr:uid="{00000000-0005-0000-0000-00006A180000}"/>
    <cellStyle name="Total 2 5 6" xfId="2208" xr:uid="{00000000-0005-0000-0000-00006B180000}"/>
    <cellStyle name="Total 2 5 6 2" xfId="4558" xr:uid="{00000000-0005-0000-0000-00006C180000}"/>
    <cellStyle name="Total 2 5 6 3" xfId="6455" xr:uid="{00000000-0005-0000-0000-00006D180000}"/>
    <cellStyle name="Total 2 5 7" xfId="2209" xr:uid="{00000000-0005-0000-0000-00006E180000}"/>
    <cellStyle name="Total 2 5 7 2" xfId="4559" xr:uid="{00000000-0005-0000-0000-00006F180000}"/>
    <cellStyle name="Total 2 5 7 3" xfId="6456" xr:uid="{00000000-0005-0000-0000-000070180000}"/>
    <cellStyle name="Total 2 5 8" xfId="2210" xr:uid="{00000000-0005-0000-0000-000071180000}"/>
    <cellStyle name="Total 2 5 8 2" xfId="4560" xr:uid="{00000000-0005-0000-0000-000072180000}"/>
    <cellStyle name="Total 2 5 8 3" xfId="6457" xr:uid="{00000000-0005-0000-0000-000073180000}"/>
    <cellStyle name="Total 2 5 9" xfId="2211" xr:uid="{00000000-0005-0000-0000-000074180000}"/>
    <cellStyle name="Total 2 5 9 2" xfId="4561" xr:uid="{00000000-0005-0000-0000-000075180000}"/>
    <cellStyle name="Total 2 5 9 3" xfId="6458" xr:uid="{00000000-0005-0000-0000-000076180000}"/>
    <cellStyle name="Total 2 6" xfId="2212" xr:uid="{00000000-0005-0000-0000-000077180000}"/>
    <cellStyle name="Total 2 6 10" xfId="2213" xr:uid="{00000000-0005-0000-0000-000078180000}"/>
    <cellStyle name="Total 2 6 10 2" xfId="4563" xr:uid="{00000000-0005-0000-0000-000079180000}"/>
    <cellStyle name="Total 2 6 10 3" xfId="6460" xr:uid="{00000000-0005-0000-0000-00007A180000}"/>
    <cellStyle name="Total 2 6 11" xfId="2214" xr:uid="{00000000-0005-0000-0000-00007B180000}"/>
    <cellStyle name="Total 2 6 11 2" xfId="4564" xr:uid="{00000000-0005-0000-0000-00007C180000}"/>
    <cellStyle name="Total 2 6 11 3" xfId="6461" xr:uid="{00000000-0005-0000-0000-00007D180000}"/>
    <cellStyle name="Total 2 6 12" xfId="2215" xr:uid="{00000000-0005-0000-0000-00007E180000}"/>
    <cellStyle name="Total 2 6 12 2" xfId="4565" xr:uid="{00000000-0005-0000-0000-00007F180000}"/>
    <cellStyle name="Total 2 6 12 3" xfId="6462" xr:uid="{00000000-0005-0000-0000-000080180000}"/>
    <cellStyle name="Total 2 6 13" xfId="2216" xr:uid="{00000000-0005-0000-0000-000081180000}"/>
    <cellStyle name="Total 2 6 13 2" xfId="4566" xr:uid="{00000000-0005-0000-0000-000082180000}"/>
    <cellStyle name="Total 2 6 13 3" xfId="6463" xr:uid="{00000000-0005-0000-0000-000083180000}"/>
    <cellStyle name="Total 2 6 14" xfId="2217" xr:uid="{00000000-0005-0000-0000-000084180000}"/>
    <cellStyle name="Total 2 6 14 2" xfId="4567" xr:uid="{00000000-0005-0000-0000-000085180000}"/>
    <cellStyle name="Total 2 6 14 3" xfId="6464" xr:uid="{00000000-0005-0000-0000-000086180000}"/>
    <cellStyle name="Total 2 6 15" xfId="2218" xr:uid="{00000000-0005-0000-0000-000087180000}"/>
    <cellStyle name="Total 2 6 15 2" xfId="4568" xr:uid="{00000000-0005-0000-0000-000088180000}"/>
    <cellStyle name="Total 2 6 15 3" xfId="6465" xr:uid="{00000000-0005-0000-0000-000089180000}"/>
    <cellStyle name="Total 2 6 16" xfId="2219" xr:uid="{00000000-0005-0000-0000-00008A180000}"/>
    <cellStyle name="Total 2 6 16 2" xfId="4569" xr:uid="{00000000-0005-0000-0000-00008B180000}"/>
    <cellStyle name="Total 2 6 16 3" xfId="6466" xr:uid="{00000000-0005-0000-0000-00008C180000}"/>
    <cellStyle name="Total 2 6 17" xfId="2220" xr:uid="{00000000-0005-0000-0000-00008D180000}"/>
    <cellStyle name="Total 2 6 17 2" xfId="4570" xr:uid="{00000000-0005-0000-0000-00008E180000}"/>
    <cellStyle name="Total 2 6 17 3" xfId="6467" xr:uid="{00000000-0005-0000-0000-00008F180000}"/>
    <cellStyle name="Total 2 6 18" xfId="2221" xr:uid="{00000000-0005-0000-0000-000090180000}"/>
    <cellStyle name="Total 2 6 18 2" xfId="4571" xr:uid="{00000000-0005-0000-0000-000091180000}"/>
    <cellStyle name="Total 2 6 18 3" xfId="6468" xr:uid="{00000000-0005-0000-0000-000092180000}"/>
    <cellStyle name="Total 2 6 19" xfId="2222" xr:uid="{00000000-0005-0000-0000-000093180000}"/>
    <cellStyle name="Total 2 6 19 2" xfId="4572" xr:uid="{00000000-0005-0000-0000-000094180000}"/>
    <cellStyle name="Total 2 6 19 3" xfId="6469" xr:uid="{00000000-0005-0000-0000-000095180000}"/>
    <cellStyle name="Total 2 6 2" xfId="2223" xr:uid="{00000000-0005-0000-0000-000096180000}"/>
    <cellStyle name="Total 2 6 2 2" xfId="4573" xr:uid="{00000000-0005-0000-0000-000097180000}"/>
    <cellStyle name="Total 2 6 2 3" xfId="6470" xr:uid="{00000000-0005-0000-0000-000098180000}"/>
    <cellStyle name="Total 2 6 20" xfId="2224" xr:uid="{00000000-0005-0000-0000-000099180000}"/>
    <cellStyle name="Total 2 6 20 2" xfId="4574" xr:uid="{00000000-0005-0000-0000-00009A180000}"/>
    <cellStyle name="Total 2 6 20 3" xfId="6471" xr:uid="{00000000-0005-0000-0000-00009B180000}"/>
    <cellStyle name="Total 2 6 21" xfId="2225" xr:uid="{00000000-0005-0000-0000-00009C180000}"/>
    <cellStyle name="Total 2 6 21 2" xfId="4575" xr:uid="{00000000-0005-0000-0000-00009D180000}"/>
    <cellStyle name="Total 2 6 21 3" xfId="6472" xr:uid="{00000000-0005-0000-0000-00009E180000}"/>
    <cellStyle name="Total 2 6 22" xfId="2226" xr:uid="{00000000-0005-0000-0000-00009F180000}"/>
    <cellStyle name="Total 2 6 22 2" xfId="4576" xr:uid="{00000000-0005-0000-0000-0000A0180000}"/>
    <cellStyle name="Total 2 6 22 3" xfId="6473" xr:uid="{00000000-0005-0000-0000-0000A1180000}"/>
    <cellStyle name="Total 2 6 23" xfId="2227" xr:uid="{00000000-0005-0000-0000-0000A2180000}"/>
    <cellStyle name="Total 2 6 23 2" xfId="4577" xr:uid="{00000000-0005-0000-0000-0000A3180000}"/>
    <cellStyle name="Total 2 6 23 3" xfId="6474" xr:uid="{00000000-0005-0000-0000-0000A4180000}"/>
    <cellStyle name="Total 2 6 24" xfId="4562" xr:uid="{00000000-0005-0000-0000-0000A5180000}"/>
    <cellStyle name="Total 2 6 25" xfId="6459" xr:uid="{00000000-0005-0000-0000-0000A6180000}"/>
    <cellStyle name="Total 2 6 3" xfId="2228" xr:uid="{00000000-0005-0000-0000-0000A7180000}"/>
    <cellStyle name="Total 2 6 3 2" xfId="4578" xr:uid="{00000000-0005-0000-0000-0000A8180000}"/>
    <cellStyle name="Total 2 6 3 3" xfId="6475" xr:uid="{00000000-0005-0000-0000-0000A9180000}"/>
    <cellStyle name="Total 2 6 4" xfId="2229" xr:uid="{00000000-0005-0000-0000-0000AA180000}"/>
    <cellStyle name="Total 2 6 4 2" xfId="4579" xr:uid="{00000000-0005-0000-0000-0000AB180000}"/>
    <cellStyle name="Total 2 6 4 3" xfId="6476" xr:uid="{00000000-0005-0000-0000-0000AC180000}"/>
    <cellStyle name="Total 2 6 5" xfId="2230" xr:uid="{00000000-0005-0000-0000-0000AD180000}"/>
    <cellStyle name="Total 2 6 5 2" xfId="4580" xr:uid="{00000000-0005-0000-0000-0000AE180000}"/>
    <cellStyle name="Total 2 6 5 3" xfId="6477" xr:uid="{00000000-0005-0000-0000-0000AF180000}"/>
    <cellStyle name="Total 2 6 6" xfId="2231" xr:uid="{00000000-0005-0000-0000-0000B0180000}"/>
    <cellStyle name="Total 2 6 6 2" xfId="4581" xr:uid="{00000000-0005-0000-0000-0000B1180000}"/>
    <cellStyle name="Total 2 6 6 3" xfId="6478" xr:uid="{00000000-0005-0000-0000-0000B2180000}"/>
    <cellStyle name="Total 2 6 7" xfId="2232" xr:uid="{00000000-0005-0000-0000-0000B3180000}"/>
    <cellStyle name="Total 2 6 7 2" xfId="4582" xr:uid="{00000000-0005-0000-0000-0000B4180000}"/>
    <cellStyle name="Total 2 6 7 3" xfId="6479" xr:uid="{00000000-0005-0000-0000-0000B5180000}"/>
    <cellStyle name="Total 2 6 8" xfId="2233" xr:uid="{00000000-0005-0000-0000-0000B6180000}"/>
    <cellStyle name="Total 2 6 8 2" xfId="4583" xr:uid="{00000000-0005-0000-0000-0000B7180000}"/>
    <cellStyle name="Total 2 6 8 3" xfId="6480" xr:uid="{00000000-0005-0000-0000-0000B8180000}"/>
    <cellStyle name="Total 2 6 9" xfId="2234" xr:uid="{00000000-0005-0000-0000-0000B9180000}"/>
    <cellStyle name="Total 2 6 9 2" xfId="4584" xr:uid="{00000000-0005-0000-0000-0000BA180000}"/>
    <cellStyle name="Total 2 6 9 3" xfId="6481" xr:uid="{00000000-0005-0000-0000-0000BB180000}"/>
    <cellStyle name="Total 2 7" xfId="2235" xr:uid="{00000000-0005-0000-0000-0000BC180000}"/>
    <cellStyle name="Total 2 7 10" xfId="2236" xr:uid="{00000000-0005-0000-0000-0000BD180000}"/>
    <cellStyle name="Total 2 7 10 2" xfId="4586" xr:uid="{00000000-0005-0000-0000-0000BE180000}"/>
    <cellStyle name="Total 2 7 10 3" xfId="6483" xr:uid="{00000000-0005-0000-0000-0000BF180000}"/>
    <cellStyle name="Total 2 7 11" xfId="2237" xr:uid="{00000000-0005-0000-0000-0000C0180000}"/>
    <cellStyle name="Total 2 7 11 2" xfId="4587" xr:uid="{00000000-0005-0000-0000-0000C1180000}"/>
    <cellStyle name="Total 2 7 11 3" xfId="6484" xr:uid="{00000000-0005-0000-0000-0000C2180000}"/>
    <cellStyle name="Total 2 7 12" xfId="2238" xr:uid="{00000000-0005-0000-0000-0000C3180000}"/>
    <cellStyle name="Total 2 7 12 2" xfId="4588" xr:uid="{00000000-0005-0000-0000-0000C4180000}"/>
    <cellStyle name="Total 2 7 12 3" xfId="6485" xr:uid="{00000000-0005-0000-0000-0000C5180000}"/>
    <cellStyle name="Total 2 7 13" xfId="2239" xr:uid="{00000000-0005-0000-0000-0000C6180000}"/>
    <cellStyle name="Total 2 7 13 2" xfId="4589" xr:uid="{00000000-0005-0000-0000-0000C7180000}"/>
    <cellStyle name="Total 2 7 13 3" xfId="6486" xr:uid="{00000000-0005-0000-0000-0000C8180000}"/>
    <cellStyle name="Total 2 7 14" xfId="2240" xr:uid="{00000000-0005-0000-0000-0000C9180000}"/>
    <cellStyle name="Total 2 7 14 2" xfId="4590" xr:uid="{00000000-0005-0000-0000-0000CA180000}"/>
    <cellStyle name="Total 2 7 14 3" xfId="6487" xr:uid="{00000000-0005-0000-0000-0000CB180000}"/>
    <cellStyle name="Total 2 7 15" xfId="2241" xr:uid="{00000000-0005-0000-0000-0000CC180000}"/>
    <cellStyle name="Total 2 7 15 2" xfId="4591" xr:uid="{00000000-0005-0000-0000-0000CD180000}"/>
    <cellStyle name="Total 2 7 15 3" xfId="6488" xr:uid="{00000000-0005-0000-0000-0000CE180000}"/>
    <cellStyle name="Total 2 7 16" xfId="2242" xr:uid="{00000000-0005-0000-0000-0000CF180000}"/>
    <cellStyle name="Total 2 7 16 2" xfId="4592" xr:uid="{00000000-0005-0000-0000-0000D0180000}"/>
    <cellStyle name="Total 2 7 16 3" xfId="6489" xr:uid="{00000000-0005-0000-0000-0000D1180000}"/>
    <cellStyle name="Total 2 7 17" xfId="2243" xr:uid="{00000000-0005-0000-0000-0000D2180000}"/>
    <cellStyle name="Total 2 7 17 2" xfId="4593" xr:uid="{00000000-0005-0000-0000-0000D3180000}"/>
    <cellStyle name="Total 2 7 17 3" xfId="6490" xr:uid="{00000000-0005-0000-0000-0000D4180000}"/>
    <cellStyle name="Total 2 7 18" xfId="2244" xr:uid="{00000000-0005-0000-0000-0000D5180000}"/>
    <cellStyle name="Total 2 7 18 2" xfId="4594" xr:uid="{00000000-0005-0000-0000-0000D6180000}"/>
    <cellStyle name="Total 2 7 18 3" xfId="6491" xr:uid="{00000000-0005-0000-0000-0000D7180000}"/>
    <cellStyle name="Total 2 7 19" xfId="2245" xr:uid="{00000000-0005-0000-0000-0000D8180000}"/>
    <cellStyle name="Total 2 7 19 2" xfId="4595" xr:uid="{00000000-0005-0000-0000-0000D9180000}"/>
    <cellStyle name="Total 2 7 19 3" xfId="6492" xr:uid="{00000000-0005-0000-0000-0000DA180000}"/>
    <cellStyle name="Total 2 7 2" xfId="2246" xr:uid="{00000000-0005-0000-0000-0000DB180000}"/>
    <cellStyle name="Total 2 7 2 2" xfId="4596" xr:uid="{00000000-0005-0000-0000-0000DC180000}"/>
    <cellStyle name="Total 2 7 2 3" xfId="6493" xr:uid="{00000000-0005-0000-0000-0000DD180000}"/>
    <cellStyle name="Total 2 7 20" xfId="2247" xr:uid="{00000000-0005-0000-0000-0000DE180000}"/>
    <cellStyle name="Total 2 7 20 2" xfId="4597" xr:uid="{00000000-0005-0000-0000-0000DF180000}"/>
    <cellStyle name="Total 2 7 20 3" xfId="6494" xr:uid="{00000000-0005-0000-0000-0000E0180000}"/>
    <cellStyle name="Total 2 7 21" xfId="2248" xr:uid="{00000000-0005-0000-0000-0000E1180000}"/>
    <cellStyle name="Total 2 7 21 2" xfId="4598" xr:uid="{00000000-0005-0000-0000-0000E2180000}"/>
    <cellStyle name="Total 2 7 21 3" xfId="6495" xr:uid="{00000000-0005-0000-0000-0000E3180000}"/>
    <cellStyle name="Total 2 7 22" xfId="2249" xr:uid="{00000000-0005-0000-0000-0000E4180000}"/>
    <cellStyle name="Total 2 7 22 2" xfId="4599" xr:uid="{00000000-0005-0000-0000-0000E5180000}"/>
    <cellStyle name="Total 2 7 22 3" xfId="6496" xr:uid="{00000000-0005-0000-0000-0000E6180000}"/>
    <cellStyle name="Total 2 7 23" xfId="2250" xr:uid="{00000000-0005-0000-0000-0000E7180000}"/>
    <cellStyle name="Total 2 7 23 2" xfId="4600" xr:uid="{00000000-0005-0000-0000-0000E8180000}"/>
    <cellStyle name="Total 2 7 23 3" xfId="6497" xr:uid="{00000000-0005-0000-0000-0000E9180000}"/>
    <cellStyle name="Total 2 7 24" xfId="4585" xr:uid="{00000000-0005-0000-0000-0000EA180000}"/>
    <cellStyle name="Total 2 7 25" xfId="6482" xr:uid="{00000000-0005-0000-0000-0000EB180000}"/>
    <cellStyle name="Total 2 7 3" xfId="2251" xr:uid="{00000000-0005-0000-0000-0000EC180000}"/>
    <cellStyle name="Total 2 7 3 2" xfId="4601" xr:uid="{00000000-0005-0000-0000-0000ED180000}"/>
    <cellStyle name="Total 2 7 3 3" xfId="6498" xr:uid="{00000000-0005-0000-0000-0000EE180000}"/>
    <cellStyle name="Total 2 7 4" xfId="2252" xr:uid="{00000000-0005-0000-0000-0000EF180000}"/>
    <cellStyle name="Total 2 7 4 2" xfId="4602" xr:uid="{00000000-0005-0000-0000-0000F0180000}"/>
    <cellStyle name="Total 2 7 4 3" xfId="6499" xr:uid="{00000000-0005-0000-0000-0000F1180000}"/>
    <cellStyle name="Total 2 7 5" xfId="2253" xr:uid="{00000000-0005-0000-0000-0000F2180000}"/>
    <cellStyle name="Total 2 7 5 2" xfId="4603" xr:uid="{00000000-0005-0000-0000-0000F3180000}"/>
    <cellStyle name="Total 2 7 5 3" xfId="6500" xr:uid="{00000000-0005-0000-0000-0000F4180000}"/>
    <cellStyle name="Total 2 7 6" xfId="2254" xr:uid="{00000000-0005-0000-0000-0000F5180000}"/>
    <cellStyle name="Total 2 7 6 2" xfId="4604" xr:uid="{00000000-0005-0000-0000-0000F6180000}"/>
    <cellStyle name="Total 2 7 6 3" xfId="6501" xr:uid="{00000000-0005-0000-0000-0000F7180000}"/>
    <cellStyle name="Total 2 7 7" xfId="2255" xr:uid="{00000000-0005-0000-0000-0000F8180000}"/>
    <cellStyle name="Total 2 7 7 2" xfId="4605" xr:uid="{00000000-0005-0000-0000-0000F9180000}"/>
    <cellStyle name="Total 2 7 7 3" xfId="6502" xr:uid="{00000000-0005-0000-0000-0000FA180000}"/>
    <cellStyle name="Total 2 7 8" xfId="2256" xr:uid="{00000000-0005-0000-0000-0000FB180000}"/>
    <cellStyle name="Total 2 7 8 2" xfId="4606" xr:uid="{00000000-0005-0000-0000-0000FC180000}"/>
    <cellStyle name="Total 2 7 8 3" xfId="6503" xr:uid="{00000000-0005-0000-0000-0000FD180000}"/>
    <cellStyle name="Total 2 7 9" xfId="2257" xr:uid="{00000000-0005-0000-0000-0000FE180000}"/>
    <cellStyle name="Total 2 7 9 2" xfId="4607" xr:uid="{00000000-0005-0000-0000-0000FF180000}"/>
    <cellStyle name="Total 2 7 9 3" xfId="6504" xr:uid="{00000000-0005-0000-0000-000000190000}"/>
    <cellStyle name="Total 2 8" xfId="2258" xr:uid="{00000000-0005-0000-0000-000001190000}"/>
    <cellStyle name="Total 2 8 10" xfId="2259" xr:uid="{00000000-0005-0000-0000-000002190000}"/>
    <cellStyle name="Total 2 8 10 2" xfId="4609" xr:uid="{00000000-0005-0000-0000-000003190000}"/>
    <cellStyle name="Total 2 8 10 3" xfId="6506" xr:uid="{00000000-0005-0000-0000-000004190000}"/>
    <cellStyle name="Total 2 8 11" xfId="2260" xr:uid="{00000000-0005-0000-0000-000005190000}"/>
    <cellStyle name="Total 2 8 11 2" xfId="4610" xr:uid="{00000000-0005-0000-0000-000006190000}"/>
    <cellStyle name="Total 2 8 11 3" xfId="6507" xr:uid="{00000000-0005-0000-0000-000007190000}"/>
    <cellStyle name="Total 2 8 12" xfId="2261" xr:uid="{00000000-0005-0000-0000-000008190000}"/>
    <cellStyle name="Total 2 8 12 2" xfId="4611" xr:uid="{00000000-0005-0000-0000-000009190000}"/>
    <cellStyle name="Total 2 8 12 3" xfId="6508" xr:uid="{00000000-0005-0000-0000-00000A190000}"/>
    <cellStyle name="Total 2 8 13" xfId="2262" xr:uid="{00000000-0005-0000-0000-00000B190000}"/>
    <cellStyle name="Total 2 8 13 2" xfId="4612" xr:uid="{00000000-0005-0000-0000-00000C190000}"/>
    <cellStyle name="Total 2 8 13 3" xfId="6509" xr:uid="{00000000-0005-0000-0000-00000D190000}"/>
    <cellStyle name="Total 2 8 14" xfId="2263" xr:uid="{00000000-0005-0000-0000-00000E190000}"/>
    <cellStyle name="Total 2 8 14 2" xfId="4613" xr:uid="{00000000-0005-0000-0000-00000F190000}"/>
    <cellStyle name="Total 2 8 14 3" xfId="6510" xr:uid="{00000000-0005-0000-0000-000010190000}"/>
    <cellStyle name="Total 2 8 15" xfId="2264" xr:uid="{00000000-0005-0000-0000-000011190000}"/>
    <cellStyle name="Total 2 8 15 2" xfId="4614" xr:uid="{00000000-0005-0000-0000-000012190000}"/>
    <cellStyle name="Total 2 8 15 3" xfId="6511" xr:uid="{00000000-0005-0000-0000-000013190000}"/>
    <cellStyle name="Total 2 8 16" xfId="2265" xr:uid="{00000000-0005-0000-0000-000014190000}"/>
    <cellStyle name="Total 2 8 16 2" xfId="4615" xr:uid="{00000000-0005-0000-0000-000015190000}"/>
    <cellStyle name="Total 2 8 16 3" xfId="6512" xr:uid="{00000000-0005-0000-0000-000016190000}"/>
    <cellStyle name="Total 2 8 17" xfId="2266" xr:uid="{00000000-0005-0000-0000-000017190000}"/>
    <cellStyle name="Total 2 8 17 2" xfId="4616" xr:uid="{00000000-0005-0000-0000-000018190000}"/>
    <cellStyle name="Total 2 8 17 3" xfId="6513" xr:uid="{00000000-0005-0000-0000-000019190000}"/>
    <cellStyle name="Total 2 8 18" xfId="2267" xr:uid="{00000000-0005-0000-0000-00001A190000}"/>
    <cellStyle name="Total 2 8 18 2" xfId="4617" xr:uid="{00000000-0005-0000-0000-00001B190000}"/>
    <cellStyle name="Total 2 8 18 3" xfId="6514" xr:uid="{00000000-0005-0000-0000-00001C190000}"/>
    <cellStyle name="Total 2 8 19" xfId="2268" xr:uid="{00000000-0005-0000-0000-00001D190000}"/>
    <cellStyle name="Total 2 8 19 2" xfId="4618" xr:uid="{00000000-0005-0000-0000-00001E190000}"/>
    <cellStyle name="Total 2 8 19 3" xfId="6515" xr:uid="{00000000-0005-0000-0000-00001F190000}"/>
    <cellStyle name="Total 2 8 2" xfId="2269" xr:uid="{00000000-0005-0000-0000-000020190000}"/>
    <cellStyle name="Total 2 8 2 2" xfId="4619" xr:uid="{00000000-0005-0000-0000-000021190000}"/>
    <cellStyle name="Total 2 8 2 3" xfId="6516" xr:uid="{00000000-0005-0000-0000-000022190000}"/>
    <cellStyle name="Total 2 8 20" xfId="2270" xr:uid="{00000000-0005-0000-0000-000023190000}"/>
    <cellStyle name="Total 2 8 20 2" xfId="4620" xr:uid="{00000000-0005-0000-0000-000024190000}"/>
    <cellStyle name="Total 2 8 20 3" xfId="6517" xr:uid="{00000000-0005-0000-0000-000025190000}"/>
    <cellStyle name="Total 2 8 21" xfId="2271" xr:uid="{00000000-0005-0000-0000-000026190000}"/>
    <cellStyle name="Total 2 8 21 2" xfId="4621" xr:uid="{00000000-0005-0000-0000-000027190000}"/>
    <cellStyle name="Total 2 8 21 3" xfId="6518" xr:uid="{00000000-0005-0000-0000-000028190000}"/>
    <cellStyle name="Total 2 8 22" xfId="2272" xr:uid="{00000000-0005-0000-0000-000029190000}"/>
    <cellStyle name="Total 2 8 22 2" xfId="4622" xr:uid="{00000000-0005-0000-0000-00002A190000}"/>
    <cellStyle name="Total 2 8 22 3" xfId="6519" xr:uid="{00000000-0005-0000-0000-00002B190000}"/>
    <cellStyle name="Total 2 8 23" xfId="2273" xr:uid="{00000000-0005-0000-0000-00002C190000}"/>
    <cellStyle name="Total 2 8 23 2" xfId="4623" xr:uid="{00000000-0005-0000-0000-00002D190000}"/>
    <cellStyle name="Total 2 8 23 3" xfId="6520" xr:uid="{00000000-0005-0000-0000-00002E190000}"/>
    <cellStyle name="Total 2 8 24" xfId="4608" xr:uid="{00000000-0005-0000-0000-00002F190000}"/>
    <cellStyle name="Total 2 8 25" xfId="6505" xr:uid="{00000000-0005-0000-0000-000030190000}"/>
    <cellStyle name="Total 2 8 3" xfId="2274" xr:uid="{00000000-0005-0000-0000-000031190000}"/>
    <cellStyle name="Total 2 8 3 2" xfId="4624" xr:uid="{00000000-0005-0000-0000-000032190000}"/>
    <cellStyle name="Total 2 8 3 3" xfId="6521" xr:uid="{00000000-0005-0000-0000-000033190000}"/>
    <cellStyle name="Total 2 8 4" xfId="2275" xr:uid="{00000000-0005-0000-0000-000034190000}"/>
    <cellStyle name="Total 2 8 4 2" xfId="4625" xr:uid="{00000000-0005-0000-0000-000035190000}"/>
    <cellStyle name="Total 2 8 4 3" xfId="6522" xr:uid="{00000000-0005-0000-0000-000036190000}"/>
    <cellStyle name="Total 2 8 5" xfId="2276" xr:uid="{00000000-0005-0000-0000-000037190000}"/>
    <cellStyle name="Total 2 8 5 2" xfId="4626" xr:uid="{00000000-0005-0000-0000-000038190000}"/>
    <cellStyle name="Total 2 8 5 3" xfId="6523" xr:uid="{00000000-0005-0000-0000-000039190000}"/>
    <cellStyle name="Total 2 8 6" xfId="2277" xr:uid="{00000000-0005-0000-0000-00003A190000}"/>
    <cellStyle name="Total 2 8 6 2" xfId="4627" xr:uid="{00000000-0005-0000-0000-00003B190000}"/>
    <cellStyle name="Total 2 8 6 3" xfId="6524" xr:uid="{00000000-0005-0000-0000-00003C190000}"/>
    <cellStyle name="Total 2 8 7" xfId="2278" xr:uid="{00000000-0005-0000-0000-00003D190000}"/>
    <cellStyle name="Total 2 8 7 2" xfId="4628" xr:uid="{00000000-0005-0000-0000-00003E190000}"/>
    <cellStyle name="Total 2 8 7 3" xfId="6525" xr:uid="{00000000-0005-0000-0000-00003F190000}"/>
    <cellStyle name="Total 2 8 8" xfId="2279" xr:uid="{00000000-0005-0000-0000-000040190000}"/>
    <cellStyle name="Total 2 8 8 2" xfId="4629" xr:uid="{00000000-0005-0000-0000-000041190000}"/>
    <cellStyle name="Total 2 8 8 3" xfId="6526" xr:uid="{00000000-0005-0000-0000-000042190000}"/>
    <cellStyle name="Total 2 8 9" xfId="2280" xr:uid="{00000000-0005-0000-0000-000043190000}"/>
    <cellStyle name="Total 2 8 9 2" xfId="4630" xr:uid="{00000000-0005-0000-0000-000044190000}"/>
    <cellStyle name="Total 2 8 9 3" xfId="6527" xr:uid="{00000000-0005-0000-0000-000045190000}"/>
    <cellStyle name="Total 2 9" xfId="2281" xr:uid="{00000000-0005-0000-0000-000046190000}"/>
    <cellStyle name="Total 2 9 10" xfId="2282" xr:uid="{00000000-0005-0000-0000-000047190000}"/>
    <cellStyle name="Total 2 9 10 2" xfId="4632" xr:uid="{00000000-0005-0000-0000-000048190000}"/>
    <cellStyle name="Total 2 9 10 3" xfId="6529" xr:uid="{00000000-0005-0000-0000-000049190000}"/>
    <cellStyle name="Total 2 9 11" xfId="2283" xr:uid="{00000000-0005-0000-0000-00004A190000}"/>
    <cellStyle name="Total 2 9 11 2" xfId="4633" xr:uid="{00000000-0005-0000-0000-00004B190000}"/>
    <cellStyle name="Total 2 9 11 3" xfId="6530" xr:uid="{00000000-0005-0000-0000-00004C190000}"/>
    <cellStyle name="Total 2 9 12" xfId="2284" xr:uid="{00000000-0005-0000-0000-00004D190000}"/>
    <cellStyle name="Total 2 9 12 2" xfId="4634" xr:uid="{00000000-0005-0000-0000-00004E190000}"/>
    <cellStyle name="Total 2 9 12 3" xfId="6531" xr:uid="{00000000-0005-0000-0000-00004F190000}"/>
    <cellStyle name="Total 2 9 13" xfId="2285" xr:uid="{00000000-0005-0000-0000-000050190000}"/>
    <cellStyle name="Total 2 9 13 2" xfId="4635" xr:uid="{00000000-0005-0000-0000-000051190000}"/>
    <cellStyle name="Total 2 9 13 3" xfId="6532" xr:uid="{00000000-0005-0000-0000-000052190000}"/>
    <cellStyle name="Total 2 9 14" xfId="2286" xr:uid="{00000000-0005-0000-0000-000053190000}"/>
    <cellStyle name="Total 2 9 14 2" xfId="4636" xr:uid="{00000000-0005-0000-0000-000054190000}"/>
    <cellStyle name="Total 2 9 14 3" xfId="6533" xr:uid="{00000000-0005-0000-0000-000055190000}"/>
    <cellStyle name="Total 2 9 15" xfId="2287" xr:uid="{00000000-0005-0000-0000-000056190000}"/>
    <cellStyle name="Total 2 9 15 2" xfId="4637" xr:uid="{00000000-0005-0000-0000-000057190000}"/>
    <cellStyle name="Total 2 9 15 3" xfId="6534" xr:uid="{00000000-0005-0000-0000-000058190000}"/>
    <cellStyle name="Total 2 9 16" xfId="2288" xr:uid="{00000000-0005-0000-0000-000059190000}"/>
    <cellStyle name="Total 2 9 16 2" xfId="4638" xr:uid="{00000000-0005-0000-0000-00005A190000}"/>
    <cellStyle name="Total 2 9 16 3" xfId="6535" xr:uid="{00000000-0005-0000-0000-00005B190000}"/>
    <cellStyle name="Total 2 9 17" xfId="2289" xr:uid="{00000000-0005-0000-0000-00005C190000}"/>
    <cellStyle name="Total 2 9 17 2" xfId="4639" xr:uid="{00000000-0005-0000-0000-00005D190000}"/>
    <cellStyle name="Total 2 9 17 3" xfId="6536" xr:uid="{00000000-0005-0000-0000-00005E190000}"/>
    <cellStyle name="Total 2 9 18" xfId="2290" xr:uid="{00000000-0005-0000-0000-00005F190000}"/>
    <cellStyle name="Total 2 9 18 2" xfId="4640" xr:uid="{00000000-0005-0000-0000-000060190000}"/>
    <cellStyle name="Total 2 9 18 3" xfId="6537" xr:uid="{00000000-0005-0000-0000-000061190000}"/>
    <cellStyle name="Total 2 9 19" xfId="2291" xr:uid="{00000000-0005-0000-0000-000062190000}"/>
    <cellStyle name="Total 2 9 19 2" xfId="4641" xr:uid="{00000000-0005-0000-0000-000063190000}"/>
    <cellStyle name="Total 2 9 19 3" xfId="6538" xr:uid="{00000000-0005-0000-0000-000064190000}"/>
    <cellStyle name="Total 2 9 2" xfId="2292" xr:uid="{00000000-0005-0000-0000-000065190000}"/>
    <cellStyle name="Total 2 9 2 2" xfId="4642" xr:uid="{00000000-0005-0000-0000-000066190000}"/>
    <cellStyle name="Total 2 9 2 3" xfId="6539" xr:uid="{00000000-0005-0000-0000-000067190000}"/>
    <cellStyle name="Total 2 9 20" xfId="2293" xr:uid="{00000000-0005-0000-0000-000068190000}"/>
    <cellStyle name="Total 2 9 20 2" xfId="4643" xr:uid="{00000000-0005-0000-0000-000069190000}"/>
    <cellStyle name="Total 2 9 20 3" xfId="6540" xr:uid="{00000000-0005-0000-0000-00006A190000}"/>
    <cellStyle name="Total 2 9 21" xfId="2294" xr:uid="{00000000-0005-0000-0000-00006B190000}"/>
    <cellStyle name="Total 2 9 21 2" xfId="4644" xr:uid="{00000000-0005-0000-0000-00006C190000}"/>
    <cellStyle name="Total 2 9 21 3" xfId="6541" xr:uid="{00000000-0005-0000-0000-00006D190000}"/>
    <cellStyle name="Total 2 9 22" xfId="2295" xr:uid="{00000000-0005-0000-0000-00006E190000}"/>
    <cellStyle name="Total 2 9 22 2" xfId="4645" xr:uid="{00000000-0005-0000-0000-00006F190000}"/>
    <cellStyle name="Total 2 9 22 3" xfId="6542" xr:uid="{00000000-0005-0000-0000-000070190000}"/>
    <cellStyle name="Total 2 9 23" xfId="2296" xr:uid="{00000000-0005-0000-0000-000071190000}"/>
    <cellStyle name="Total 2 9 23 2" xfId="4646" xr:uid="{00000000-0005-0000-0000-000072190000}"/>
    <cellStyle name="Total 2 9 23 3" xfId="6543" xr:uid="{00000000-0005-0000-0000-000073190000}"/>
    <cellStyle name="Total 2 9 24" xfId="4631" xr:uid="{00000000-0005-0000-0000-000074190000}"/>
    <cellStyle name="Total 2 9 25" xfId="6528" xr:uid="{00000000-0005-0000-0000-000075190000}"/>
    <cellStyle name="Total 2 9 3" xfId="2297" xr:uid="{00000000-0005-0000-0000-000076190000}"/>
    <cellStyle name="Total 2 9 3 2" xfId="4647" xr:uid="{00000000-0005-0000-0000-000077190000}"/>
    <cellStyle name="Total 2 9 3 3" xfId="6544" xr:uid="{00000000-0005-0000-0000-000078190000}"/>
    <cellStyle name="Total 2 9 4" xfId="2298" xr:uid="{00000000-0005-0000-0000-000079190000}"/>
    <cellStyle name="Total 2 9 4 2" xfId="4648" xr:uid="{00000000-0005-0000-0000-00007A190000}"/>
    <cellStyle name="Total 2 9 4 3" xfId="6545" xr:uid="{00000000-0005-0000-0000-00007B190000}"/>
    <cellStyle name="Total 2 9 5" xfId="2299" xr:uid="{00000000-0005-0000-0000-00007C190000}"/>
    <cellStyle name="Total 2 9 5 2" xfId="4649" xr:uid="{00000000-0005-0000-0000-00007D190000}"/>
    <cellStyle name="Total 2 9 5 3" xfId="6546" xr:uid="{00000000-0005-0000-0000-00007E190000}"/>
    <cellStyle name="Total 2 9 6" xfId="2300" xr:uid="{00000000-0005-0000-0000-00007F190000}"/>
    <cellStyle name="Total 2 9 6 2" xfId="4650" xr:uid="{00000000-0005-0000-0000-000080190000}"/>
    <cellStyle name="Total 2 9 6 3" xfId="6547" xr:uid="{00000000-0005-0000-0000-000081190000}"/>
    <cellStyle name="Total 2 9 7" xfId="2301" xr:uid="{00000000-0005-0000-0000-000082190000}"/>
    <cellStyle name="Total 2 9 7 2" xfId="4651" xr:uid="{00000000-0005-0000-0000-000083190000}"/>
    <cellStyle name="Total 2 9 7 3" xfId="6548" xr:uid="{00000000-0005-0000-0000-000084190000}"/>
    <cellStyle name="Total 2 9 8" xfId="2302" xr:uid="{00000000-0005-0000-0000-000085190000}"/>
    <cellStyle name="Total 2 9 8 2" xfId="4652" xr:uid="{00000000-0005-0000-0000-000086190000}"/>
    <cellStyle name="Total 2 9 8 3" xfId="6549" xr:uid="{00000000-0005-0000-0000-000087190000}"/>
    <cellStyle name="Total 2 9 9" xfId="2303" xr:uid="{00000000-0005-0000-0000-000088190000}"/>
    <cellStyle name="Total 2 9 9 2" xfId="4653" xr:uid="{00000000-0005-0000-0000-000089190000}"/>
    <cellStyle name="Total 2 9 9 3" xfId="6550" xr:uid="{00000000-0005-0000-0000-00008A190000}"/>
    <cellStyle name="Total 3" xfId="4758" xr:uid="{00000000-0005-0000-0000-00008B190000}"/>
    <cellStyle name="Total 4" xfId="2488" xr:uid="{00000000-0005-0000-0000-00008C190000}"/>
    <cellStyle name="Total 5" xfId="4262" xr:uid="{00000000-0005-0000-0000-00008D190000}"/>
    <cellStyle name="Tytuł" xfId="2304" xr:uid="{00000000-0005-0000-0000-00008E190000}"/>
    <cellStyle name="UploadThisRowValue" xfId="70" xr:uid="{00000000-0005-0000-0000-00008F190000}"/>
    <cellStyle name="Uwaga" xfId="2305" xr:uid="{00000000-0005-0000-0000-000090190000}"/>
    <cellStyle name="Uwaga 10" xfId="2306" xr:uid="{00000000-0005-0000-0000-000091190000}"/>
    <cellStyle name="Uwaga 10 2" xfId="4655" xr:uid="{00000000-0005-0000-0000-000092190000}"/>
    <cellStyle name="Uwaga 10 3" xfId="6552" xr:uid="{00000000-0005-0000-0000-000093190000}"/>
    <cellStyle name="Uwaga 11" xfId="2307" xr:uid="{00000000-0005-0000-0000-000094190000}"/>
    <cellStyle name="Uwaga 11 2" xfId="4656" xr:uid="{00000000-0005-0000-0000-000095190000}"/>
    <cellStyle name="Uwaga 11 3" xfId="6553" xr:uid="{00000000-0005-0000-0000-000096190000}"/>
    <cellStyle name="Uwaga 12" xfId="2308" xr:uid="{00000000-0005-0000-0000-000097190000}"/>
    <cellStyle name="Uwaga 12 2" xfId="4657" xr:uid="{00000000-0005-0000-0000-000098190000}"/>
    <cellStyle name="Uwaga 12 3" xfId="6554" xr:uid="{00000000-0005-0000-0000-000099190000}"/>
    <cellStyle name="Uwaga 13" xfId="2309" xr:uid="{00000000-0005-0000-0000-00009A190000}"/>
    <cellStyle name="Uwaga 13 2" xfId="4658" xr:uid="{00000000-0005-0000-0000-00009B190000}"/>
    <cellStyle name="Uwaga 13 3" xfId="6555" xr:uid="{00000000-0005-0000-0000-00009C190000}"/>
    <cellStyle name="Uwaga 14" xfId="2310" xr:uid="{00000000-0005-0000-0000-00009D190000}"/>
    <cellStyle name="Uwaga 14 2" xfId="4659" xr:uid="{00000000-0005-0000-0000-00009E190000}"/>
    <cellStyle name="Uwaga 14 3" xfId="6556" xr:uid="{00000000-0005-0000-0000-00009F190000}"/>
    <cellStyle name="Uwaga 15" xfId="2311" xr:uid="{00000000-0005-0000-0000-0000A0190000}"/>
    <cellStyle name="Uwaga 15 2" xfId="4660" xr:uid="{00000000-0005-0000-0000-0000A1190000}"/>
    <cellStyle name="Uwaga 15 3" xfId="6557" xr:uid="{00000000-0005-0000-0000-0000A2190000}"/>
    <cellStyle name="Uwaga 16" xfId="2312" xr:uid="{00000000-0005-0000-0000-0000A3190000}"/>
    <cellStyle name="Uwaga 16 2" xfId="4661" xr:uid="{00000000-0005-0000-0000-0000A4190000}"/>
    <cellStyle name="Uwaga 16 3" xfId="6558" xr:uid="{00000000-0005-0000-0000-0000A5190000}"/>
    <cellStyle name="Uwaga 17" xfId="2313" xr:uid="{00000000-0005-0000-0000-0000A6190000}"/>
    <cellStyle name="Uwaga 17 2" xfId="4662" xr:uid="{00000000-0005-0000-0000-0000A7190000}"/>
    <cellStyle name="Uwaga 17 3" xfId="6559" xr:uid="{00000000-0005-0000-0000-0000A8190000}"/>
    <cellStyle name="Uwaga 18" xfId="2314" xr:uid="{00000000-0005-0000-0000-0000A9190000}"/>
    <cellStyle name="Uwaga 18 2" xfId="4663" xr:uid="{00000000-0005-0000-0000-0000AA190000}"/>
    <cellStyle name="Uwaga 18 3" xfId="6560" xr:uid="{00000000-0005-0000-0000-0000AB190000}"/>
    <cellStyle name="Uwaga 19" xfId="2315" xr:uid="{00000000-0005-0000-0000-0000AC190000}"/>
    <cellStyle name="Uwaga 19 2" xfId="4664" xr:uid="{00000000-0005-0000-0000-0000AD190000}"/>
    <cellStyle name="Uwaga 19 3" xfId="6561" xr:uid="{00000000-0005-0000-0000-0000AE190000}"/>
    <cellStyle name="Uwaga 2" xfId="2316" xr:uid="{00000000-0005-0000-0000-0000AF190000}"/>
    <cellStyle name="Uwaga 2 10" xfId="2317" xr:uid="{00000000-0005-0000-0000-0000B0190000}"/>
    <cellStyle name="Uwaga 2 10 2" xfId="4666" xr:uid="{00000000-0005-0000-0000-0000B1190000}"/>
    <cellStyle name="Uwaga 2 10 3" xfId="6563" xr:uid="{00000000-0005-0000-0000-0000B2190000}"/>
    <cellStyle name="Uwaga 2 11" xfId="2318" xr:uid="{00000000-0005-0000-0000-0000B3190000}"/>
    <cellStyle name="Uwaga 2 11 2" xfId="4667" xr:uid="{00000000-0005-0000-0000-0000B4190000}"/>
    <cellStyle name="Uwaga 2 11 3" xfId="6564" xr:uid="{00000000-0005-0000-0000-0000B5190000}"/>
    <cellStyle name="Uwaga 2 12" xfId="2319" xr:uid="{00000000-0005-0000-0000-0000B6190000}"/>
    <cellStyle name="Uwaga 2 12 2" xfId="4668" xr:uid="{00000000-0005-0000-0000-0000B7190000}"/>
    <cellStyle name="Uwaga 2 12 3" xfId="6565" xr:uid="{00000000-0005-0000-0000-0000B8190000}"/>
    <cellStyle name="Uwaga 2 13" xfId="2320" xr:uid="{00000000-0005-0000-0000-0000B9190000}"/>
    <cellStyle name="Uwaga 2 13 2" xfId="4669" xr:uid="{00000000-0005-0000-0000-0000BA190000}"/>
    <cellStyle name="Uwaga 2 13 3" xfId="6566" xr:uid="{00000000-0005-0000-0000-0000BB190000}"/>
    <cellStyle name="Uwaga 2 14" xfId="2321" xr:uid="{00000000-0005-0000-0000-0000BC190000}"/>
    <cellStyle name="Uwaga 2 14 2" xfId="4670" xr:uid="{00000000-0005-0000-0000-0000BD190000}"/>
    <cellStyle name="Uwaga 2 14 3" xfId="6567" xr:uid="{00000000-0005-0000-0000-0000BE190000}"/>
    <cellStyle name="Uwaga 2 15" xfId="2322" xr:uid="{00000000-0005-0000-0000-0000BF190000}"/>
    <cellStyle name="Uwaga 2 15 2" xfId="4671" xr:uid="{00000000-0005-0000-0000-0000C0190000}"/>
    <cellStyle name="Uwaga 2 15 3" xfId="6568" xr:uid="{00000000-0005-0000-0000-0000C1190000}"/>
    <cellStyle name="Uwaga 2 16" xfId="2323" xr:uid="{00000000-0005-0000-0000-0000C2190000}"/>
    <cellStyle name="Uwaga 2 16 2" xfId="4672" xr:uid="{00000000-0005-0000-0000-0000C3190000}"/>
    <cellStyle name="Uwaga 2 16 3" xfId="6569" xr:uid="{00000000-0005-0000-0000-0000C4190000}"/>
    <cellStyle name="Uwaga 2 17" xfId="2324" xr:uid="{00000000-0005-0000-0000-0000C5190000}"/>
    <cellStyle name="Uwaga 2 17 2" xfId="4673" xr:uid="{00000000-0005-0000-0000-0000C6190000}"/>
    <cellStyle name="Uwaga 2 17 3" xfId="6570" xr:uid="{00000000-0005-0000-0000-0000C7190000}"/>
    <cellStyle name="Uwaga 2 18" xfId="2325" xr:uid="{00000000-0005-0000-0000-0000C8190000}"/>
    <cellStyle name="Uwaga 2 18 2" xfId="4674" xr:uid="{00000000-0005-0000-0000-0000C9190000}"/>
    <cellStyle name="Uwaga 2 18 3" xfId="6571" xr:uid="{00000000-0005-0000-0000-0000CA190000}"/>
    <cellStyle name="Uwaga 2 19" xfId="2326" xr:uid="{00000000-0005-0000-0000-0000CB190000}"/>
    <cellStyle name="Uwaga 2 19 2" xfId="4675" xr:uid="{00000000-0005-0000-0000-0000CC190000}"/>
    <cellStyle name="Uwaga 2 19 3" xfId="6572" xr:uid="{00000000-0005-0000-0000-0000CD190000}"/>
    <cellStyle name="Uwaga 2 2" xfId="2327" xr:uid="{00000000-0005-0000-0000-0000CE190000}"/>
    <cellStyle name="Uwaga 2 2 2" xfId="4676" xr:uid="{00000000-0005-0000-0000-0000CF190000}"/>
    <cellStyle name="Uwaga 2 2 3" xfId="6573" xr:uid="{00000000-0005-0000-0000-0000D0190000}"/>
    <cellStyle name="Uwaga 2 20" xfId="2328" xr:uid="{00000000-0005-0000-0000-0000D1190000}"/>
    <cellStyle name="Uwaga 2 20 2" xfId="4677" xr:uid="{00000000-0005-0000-0000-0000D2190000}"/>
    <cellStyle name="Uwaga 2 20 3" xfId="6574" xr:uid="{00000000-0005-0000-0000-0000D3190000}"/>
    <cellStyle name="Uwaga 2 21" xfId="2329" xr:uid="{00000000-0005-0000-0000-0000D4190000}"/>
    <cellStyle name="Uwaga 2 21 2" xfId="4678" xr:uid="{00000000-0005-0000-0000-0000D5190000}"/>
    <cellStyle name="Uwaga 2 21 3" xfId="6575" xr:uid="{00000000-0005-0000-0000-0000D6190000}"/>
    <cellStyle name="Uwaga 2 22" xfId="2330" xr:uid="{00000000-0005-0000-0000-0000D7190000}"/>
    <cellStyle name="Uwaga 2 22 2" xfId="4679" xr:uid="{00000000-0005-0000-0000-0000D8190000}"/>
    <cellStyle name="Uwaga 2 22 3" xfId="6576" xr:uid="{00000000-0005-0000-0000-0000D9190000}"/>
    <cellStyle name="Uwaga 2 23" xfId="2331" xr:uid="{00000000-0005-0000-0000-0000DA190000}"/>
    <cellStyle name="Uwaga 2 23 2" xfId="4680" xr:uid="{00000000-0005-0000-0000-0000DB190000}"/>
    <cellStyle name="Uwaga 2 23 3" xfId="6577" xr:uid="{00000000-0005-0000-0000-0000DC190000}"/>
    <cellStyle name="Uwaga 2 24" xfId="4665" xr:uid="{00000000-0005-0000-0000-0000DD190000}"/>
    <cellStyle name="Uwaga 2 25" xfId="6562" xr:uid="{00000000-0005-0000-0000-0000DE190000}"/>
    <cellStyle name="Uwaga 2 3" xfId="2332" xr:uid="{00000000-0005-0000-0000-0000DF190000}"/>
    <cellStyle name="Uwaga 2 3 2" xfId="4681" xr:uid="{00000000-0005-0000-0000-0000E0190000}"/>
    <cellStyle name="Uwaga 2 3 3" xfId="6578" xr:uid="{00000000-0005-0000-0000-0000E1190000}"/>
    <cellStyle name="Uwaga 2 4" xfId="2333" xr:uid="{00000000-0005-0000-0000-0000E2190000}"/>
    <cellStyle name="Uwaga 2 4 2" xfId="4682" xr:uid="{00000000-0005-0000-0000-0000E3190000}"/>
    <cellStyle name="Uwaga 2 4 3" xfId="6579" xr:uid="{00000000-0005-0000-0000-0000E4190000}"/>
    <cellStyle name="Uwaga 2 5" xfId="2334" xr:uid="{00000000-0005-0000-0000-0000E5190000}"/>
    <cellStyle name="Uwaga 2 5 2" xfId="4683" xr:uid="{00000000-0005-0000-0000-0000E6190000}"/>
    <cellStyle name="Uwaga 2 5 3" xfId="6580" xr:uid="{00000000-0005-0000-0000-0000E7190000}"/>
    <cellStyle name="Uwaga 2 6" xfId="2335" xr:uid="{00000000-0005-0000-0000-0000E8190000}"/>
    <cellStyle name="Uwaga 2 6 2" xfId="4684" xr:uid="{00000000-0005-0000-0000-0000E9190000}"/>
    <cellStyle name="Uwaga 2 6 3" xfId="6581" xr:uid="{00000000-0005-0000-0000-0000EA190000}"/>
    <cellStyle name="Uwaga 2 7" xfId="2336" xr:uid="{00000000-0005-0000-0000-0000EB190000}"/>
    <cellStyle name="Uwaga 2 7 2" xfId="4685" xr:uid="{00000000-0005-0000-0000-0000EC190000}"/>
    <cellStyle name="Uwaga 2 7 3" xfId="6582" xr:uid="{00000000-0005-0000-0000-0000ED190000}"/>
    <cellStyle name="Uwaga 2 8" xfId="2337" xr:uid="{00000000-0005-0000-0000-0000EE190000}"/>
    <cellStyle name="Uwaga 2 8 2" xfId="4686" xr:uid="{00000000-0005-0000-0000-0000EF190000}"/>
    <cellStyle name="Uwaga 2 8 3" xfId="6583" xr:uid="{00000000-0005-0000-0000-0000F0190000}"/>
    <cellStyle name="Uwaga 2 9" xfId="2338" xr:uid="{00000000-0005-0000-0000-0000F1190000}"/>
    <cellStyle name="Uwaga 2 9 2" xfId="4687" xr:uid="{00000000-0005-0000-0000-0000F2190000}"/>
    <cellStyle name="Uwaga 2 9 3" xfId="6584" xr:uid="{00000000-0005-0000-0000-0000F3190000}"/>
    <cellStyle name="Uwaga 20" xfId="2339" xr:uid="{00000000-0005-0000-0000-0000F4190000}"/>
    <cellStyle name="Uwaga 20 2" xfId="4688" xr:uid="{00000000-0005-0000-0000-0000F5190000}"/>
    <cellStyle name="Uwaga 20 3" xfId="6585" xr:uid="{00000000-0005-0000-0000-0000F6190000}"/>
    <cellStyle name="Uwaga 21" xfId="2340" xr:uid="{00000000-0005-0000-0000-0000F7190000}"/>
    <cellStyle name="Uwaga 21 2" xfId="4689" xr:uid="{00000000-0005-0000-0000-0000F8190000}"/>
    <cellStyle name="Uwaga 21 3" xfId="6586" xr:uid="{00000000-0005-0000-0000-0000F9190000}"/>
    <cellStyle name="Uwaga 22" xfId="2341" xr:uid="{00000000-0005-0000-0000-0000FA190000}"/>
    <cellStyle name="Uwaga 22 2" xfId="4690" xr:uid="{00000000-0005-0000-0000-0000FB190000}"/>
    <cellStyle name="Uwaga 22 3" xfId="6587" xr:uid="{00000000-0005-0000-0000-0000FC190000}"/>
    <cellStyle name="Uwaga 23" xfId="2342" xr:uid="{00000000-0005-0000-0000-0000FD190000}"/>
    <cellStyle name="Uwaga 23 2" xfId="4691" xr:uid="{00000000-0005-0000-0000-0000FE190000}"/>
    <cellStyle name="Uwaga 23 3" xfId="6588" xr:uid="{00000000-0005-0000-0000-0000FF190000}"/>
    <cellStyle name="Uwaga 24" xfId="2343" xr:uid="{00000000-0005-0000-0000-0000001A0000}"/>
    <cellStyle name="Uwaga 24 2" xfId="4692" xr:uid="{00000000-0005-0000-0000-0000011A0000}"/>
    <cellStyle name="Uwaga 24 3" xfId="6589" xr:uid="{00000000-0005-0000-0000-0000021A0000}"/>
    <cellStyle name="Uwaga 25" xfId="2344" xr:uid="{00000000-0005-0000-0000-0000031A0000}"/>
    <cellStyle name="Uwaga 25 2" xfId="4693" xr:uid="{00000000-0005-0000-0000-0000041A0000}"/>
    <cellStyle name="Uwaga 25 3" xfId="6590" xr:uid="{00000000-0005-0000-0000-0000051A0000}"/>
    <cellStyle name="Uwaga 26" xfId="4654" xr:uid="{00000000-0005-0000-0000-0000061A0000}"/>
    <cellStyle name="Uwaga 27" xfId="6551" xr:uid="{00000000-0005-0000-0000-0000071A0000}"/>
    <cellStyle name="Uwaga 3" xfId="2345" xr:uid="{00000000-0005-0000-0000-0000081A0000}"/>
    <cellStyle name="Uwaga 3 10" xfId="2346" xr:uid="{00000000-0005-0000-0000-0000091A0000}"/>
    <cellStyle name="Uwaga 3 10 2" xfId="4695" xr:uid="{00000000-0005-0000-0000-00000A1A0000}"/>
    <cellStyle name="Uwaga 3 10 3" xfId="6592" xr:uid="{00000000-0005-0000-0000-00000B1A0000}"/>
    <cellStyle name="Uwaga 3 11" xfId="2347" xr:uid="{00000000-0005-0000-0000-00000C1A0000}"/>
    <cellStyle name="Uwaga 3 11 2" xfId="4696" xr:uid="{00000000-0005-0000-0000-00000D1A0000}"/>
    <cellStyle name="Uwaga 3 11 3" xfId="6593" xr:uid="{00000000-0005-0000-0000-00000E1A0000}"/>
    <cellStyle name="Uwaga 3 12" xfId="2348" xr:uid="{00000000-0005-0000-0000-00000F1A0000}"/>
    <cellStyle name="Uwaga 3 12 2" xfId="4697" xr:uid="{00000000-0005-0000-0000-0000101A0000}"/>
    <cellStyle name="Uwaga 3 12 3" xfId="6594" xr:uid="{00000000-0005-0000-0000-0000111A0000}"/>
    <cellStyle name="Uwaga 3 13" xfId="2349" xr:uid="{00000000-0005-0000-0000-0000121A0000}"/>
    <cellStyle name="Uwaga 3 13 2" xfId="4698" xr:uid="{00000000-0005-0000-0000-0000131A0000}"/>
    <cellStyle name="Uwaga 3 13 3" xfId="6595" xr:uid="{00000000-0005-0000-0000-0000141A0000}"/>
    <cellStyle name="Uwaga 3 14" xfId="2350" xr:uid="{00000000-0005-0000-0000-0000151A0000}"/>
    <cellStyle name="Uwaga 3 14 2" xfId="4699" xr:uid="{00000000-0005-0000-0000-0000161A0000}"/>
    <cellStyle name="Uwaga 3 14 3" xfId="6596" xr:uid="{00000000-0005-0000-0000-0000171A0000}"/>
    <cellStyle name="Uwaga 3 15" xfId="2351" xr:uid="{00000000-0005-0000-0000-0000181A0000}"/>
    <cellStyle name="Uwaga 3 15 2" xfId="4700" xr:uid="{00000000-0005-0000-0000-0000191A0000}"/>
    <cellStyle name="Uwaga 3 15 3" xfId="6597" xr:uid="{00000000-0005-0000-0000-00001A1A0000}"/>
    <cellStyle name="Uwaga 3 16" xfId="2352" xr:uid="{00000000-0005-0000-0000-00001B1A0000}"/>
    <cellStyle name="Uwaga 3 16 2" xfId="4701" xr:uid="{00000000-0005-0000-0000-00001C1A0000}"/>
    <cellStyle name="Uwaga 3 16 3" xfId="6598" xr:uid="{00000000-0005-0000-0000-00001D1A0000}"/>
    <cellStyle name="Uwaga 3 17" xfId="2353" xr:uid="{00000000-0005-0000-0000-00001E1A0000}"/>
    <cellStyle name="Uwaga 3 17 2" xfId="4702" xr:uid="{00000000-0005-0000-0000-00001F1A0000}"/>
    <cellStyle name="Uwaga 3 17 3" xfId="6599" xr:uid="{00000000-0005-0000-0000-0000201A0000}"/>
    <cellStyle name="Uwaga 3 18" xfId="2354" xr:uid="{00000000-0005-0000-0000-0000211A0000}"/>
    <cellStyle name="Uwaga 3 18 2" xfId="4703" xr:uid="{00000000-0005-0000-0000-0000221A0000}"/>
    <cellStyle name="Uwaga 3 18 3" xfId="6600" xr:uid="{00000000-0005-0000-0000-0000231A0000}"/>
    <cellStyle name="Uwaga 3 19" xfId="2355" xr:uid="{00000000-0005-0000-0000-0000241A0000}"/>
    <cellStyle name="Uwaga 3 19 2" xfId="4704" xr:uid="{00000000-0005-0000-0000-0000251A0000}"/>
    <cellStyle name="Uwaga 3 19 3" xfId="6601" xr:uid="{00000000-0005-0000-0000-0000261A0000}"/>
    <cellStyle name="Uwaga 3 2" xfId="2356" xr:uid="{00000000-0005-0000-0000-0000271A0000}"/>
    <cellStyle name="Uwaga 3 2 2" xfId="4705" xr:uid="{00000000-0005-0000-0000-0000281A0000}"/>
    <cellStyle name="Uwaga 3 2 3" xfId="6602" xr:uid="{00000000-0005-0000-0000-0000291A0000}"/>
    <cellStyle name="Uwaga 3 20" xfId="2357" xr:uid="{00000000-0005-0000-0000-00002A1A0000}"/>
    <cellStyle name="Uwaga 3 20 2" xfId="4706" xr:uid="{00000000-0005-0000-0000-00002B1A0000}"/>
    <cellStyle name="Uwaga 3 20 3" xfId="6603" xr:uid="{00000000-0005-0000-0000-00002C1A0000}"/>
    <cellStyle name="Uwaga 3 21" xfId="2358" xr:uid="{00000000-0005-0000-0000-00002D1A0000}"/>
    <cellStyle name="Uwaga 3 21 2" xfId="4707" xr:uid="{00000000-0005-0000-0000-00002E1A0000}"/>
    <cellStyle name="Uwaga 3 21 3" xfId="6604" xr:uid="{00000000-0005-0000-0000-00002F1A0000}"/>
    <cellStyle name="Uwaga 3 22" xfId="2359" xr:uid="{00000000-0005-0000-0000-0000301A0000}"/>
    <cellStyle name="Uwaga 3 22 2" xfId="4708" xr:uid="{00000000-0005-0000-0000-0000311A0000}"/>
    <cellStyle name="Uwaga 3 22 3" xfId="6605" xr:uid="{00000000-0005-0000-0000-0000321A0000}"/>
    <cellStyle name="Uwaga 3 23" xfId="2360" xr:uid="{00000000-0005-0000-0000-0000331A0000}"/>
    <cellStyle name="Uwaga 3 23 2" xfId="4709" xr:uid="{00000000-0005-0000-0000-0000341A0000}"/>
    <cellStyle name="Uwaga 3 23 3" xfId="6606" xr:uid="{00000000-0005-0000-0000-0000351A0000}"/>
    <cellStyle name="Uwaga 3 24" xfId="4694" xr:uid="{00000000-0005-0000-0000-0000361A0000}"/>
    <cellStyle name="Uwaga 3 25" xfId="6591" xr:uid="{00000000-0005-0000-0000-0000371A0000}"/>
    <cellStyle name="Uwaga 3 3" xfId="2361" xr:uid="{00000000-0005-0000-0000-0000381A0000}"/>
    <cellStyle name="Uwaga 3 3 2" xfId="4710" xr:uid="{00000000-0005-0000-0000-0000391A0000}"/>
    <cellStyle name="Uwaga 3 3 3" xfId="6607" xr:uid="{00000000-0005-0000-0000-00003A1A0000}"/>
    <cellStyle name="Uwaga 3 4" xfId="2362" xr:uid="{00000000-0005-0000-0000-00003B1A0000}"/>
    <cellStyle name="Uwaga 3 4 2" xfId="4711" xr:uid="{00000000-0005-0000-0000-00003C1A0000}"/>
    <cellStyle name="Uwaga 3 4 3" xfId="6608" xr:uid="{00000000-0005-0000-0000-00003D1A0000}"/>
    <cellStyle name="Uwaga 3 5" xfId="2363" xr:uid="{00000000-0005-0000-0000-00003E1A0000}"/>
    <cellStyle name="Uwaga 3 5 2" xfId="4712" xr:uid="{00000000-0005-0000-0000-00003F1A0000}"/>
    <cellStyle name="Uwaga 3 5 3" xfId="6609" xr:uid="{00000000-0005-0000-0000-0000401A0000}"/>
    <cellStyle name="Uwaga 3 6" xfId="2364" xr:uid="{00000000-0005-0000-0000-0000411A0000}"/>
    <cellStyle name="Uwaga 3 6 2" xfId="4713" xr:uid="{00000000-0005-0000-0000-0000421A0000}"/>
    <cellStyle name="Uwaga 3 6 3" xfId="6610" xr:uid="{00000000-0005-0000-0000-0000431A0000}"/>
    <cellStyle name="Uwaga 3 7" xfId="2365" xr:uid="{00000000-0005-0000-0000-0000441A0000}"/>
    <cellStyle name="Uwaga 3 7 2" xfId="4714" xr:uid="{00000000-0005-0000-0000-0000451A0000}"/>
    <cellStyle name="Uwaga 3 7 3" xfId="6611" xr:uid="{00000000-0005-0000-0000-0000461A0000}"/>
    <cellStyle name="Uwaga 3 8" xfId="2366" xr:uid="{00000000-0005-0000-0000-0000471A0000}"/>
    <cellStyle name="Uwaga 3 8 2" xfId="4715" xr:uid="{00000000-0005-0000-0000-0000481A0000}"/>
    <cellStyle name="Uwaga 3 8 3" xfId="6612" xr:uid="{00000000-0005-0000-0000-0000491A0000}"/>
    <cellStyle name="Uwaga 3 9" xfId="2367" xr:uid="{00000000-0005-0000-0000-00004A1A0000}"/>
    <cellStyle name="Uwaga 3 9 2" xfId="4716" xr:uid="{00000000-0005-0000-0000-00004B1A0000}"/>
    <cellStyle name="Uwaga 3 9 3" xfId="6613" xr:uid="{00000000-0005-0000-0000-00004C1A0000}"/>
    <cellStyle name="Uwaga 4" xfId="2368" xr:uid="{00000000-0005-0000-0000-00004D1A0000}"/>
    <cellStyle name="Uwaga 4 2" xfId="4717" xr:uid="{00000000-0005-0000-0000-00004E1A0000}"/>
    <cellStyle name="Uwaga 4 3" xfId="6614" xr:uid="{00000000-0005-0000-0000-00004F1A0000}"/>
    <cellStyle name="Uwaga 5" xfId="2369" xr:uid="{00000000-0005-0000-0000-0000501A0000}"/>
    <cellStyle name="Uwaga 5 2" xfId="4718" xr:uid="{00000000-0005-0000-0000-0000511A0000}"/>
    <cellStyle name="Uwaga 5 3" xfId="6615" xr:uid="{00000000-0005-0000-0000-0000521A0000}"/>
    <cellStyle name="Uwaga 6" xfId="2370" xr:uid="{00000000-0005-0000-0000-0000531A0000}"/>
    <cellStyle name="Uwaga 6 2" xfId="4719" xr:uid="{00000000-0005-0000-0000-0000541A0000}"/>
    <cellStyle name="Uwaga 6 3" xfId="6616" xr:uid="{00000000-0005-0000-0000-0000551A0000}"/>
    <cellStyle name="Uwaga 7" xfId="2371" xr:uid="{00000000-0005-0000-0000-0000561A0000}"/>
    <cellStyle name="Uwaga 7 2" xfId="4720" xr:uid="{00000000-0005-0000-0000-0000571A0000}"/>
    <cellStyle name="Uwaga 7 3" xfId="6617" xr:uid="{00000000-0005-0000-0000-0000581A0000}"/>
    <cellStyle name="Uwaga 8" xfId="2372" xr:uid="{00000000-0005-0000-0000-0000591A0000}"/>
    <cellStyle name="Uwaga 8 2" xfId="4721" xr:uid="{00000000-0005-0000-0000-00005A1A0000}"/>
    <cellStyle name="Uwaga 8 3" xfId="6618" xr:uid="{00000000-0005-0000-0000-00005B1A0000}"/>
    <cellStyle name="Uwaga 9" xfId="2373" xr:uid="{00000000-0005-0000-0000-00005C1A0000}"/>
    <cellStyle name="Uwaga 9 2" xfId="4722" xr:uid="{00000000-0005-0000-0000-00005D1A0000}"/>
    <cellStyle name="Uwaga 9 3" xfId="6619" xr:uid="{00000000-0005-0000-0000-00005E1A0000}"/>
    <cellStyle name="Warning Text" xfId="71" builtinId="11" customBuiltin="1"/>
    <cellStyle name="Warning Text 2" xfId="2374" xr:uid="{00000000-0005-0000-0000-0000601A0000}"/>
    <cellStyle name="Warning Text 3" xfId="4755" xr:uid="{00000000-0005-0000-0000-0000611A0000}"/>
    <cellStyle name="Złe" xfId="2375" xr:uid="{00000000-0005-0000-0000-0000621A0000}"/>
  </cellStyles>
  <dxfs count="104">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font>
      <fill>
        <patternFill>
          <bgColor rgb="FFFFFF00"/>
        </patternFill>
      </fill>
    </dxf>
    <dxf>
      <font>
        <b val="0"/>
        <i/>
      </font>
      <fill>
        <patternFill>
          <bgColor rgb="FFFFFF00"/>
        </patternFill>
      </fill>
    </dxf>
    <dxf>
      <fill>
        <patternFill patternType="solid">
          <bgColor indexed="65"/>
        </patternFill>
      </fill>
    </dxf>
    <dxf>
      <font>
        <color theme="0"/>
      </font>
      <fill>
        <patternFill>
          <bgColor theme="3"/>
        </patternFill>
      </fill>
      <border>
        <left style="thin">
          <color auto="1"/>
        </left>
        <right style="thin">
          <color auto="1"/>
        </right>
        <bottom style="thin">
          <color auto="1"/>
        </bottom>
      </border>
    </dxf>
    <dxf>
      <font>
        <b val="0"/>
        <i/>
      </font>
      <fill>
        <patternFill>
          <bgColor rgb="FFFFFF00"/>
        </patternFill>
      </fill>
    </dxf>
    <dxf>
      <font>
        <b val="0"/>
        <i/>
      </font>
      <fill>
        <patternFill>
          <bgColor rgb="FFFFFF00"/>
        </patternFill>
      </fill>
    </dxf>
    <dxf>
      <font>
        <color rgb="FFFF0000"/>
      </font>
    </dxf>
    <dxf>
      <fill>
        <patternFill>
          <bgColor theme="0" tint="-0.14996795556505021"/>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b val="0"/>
        <i/>
      </font>
      <fill>
        <patternFill>
          <bgColor rgb="FFFFFF00"/>
        </patternFill>
      </fill>
    </dxf>
    <dxf>
      <font>
        <color rgb="FFFF0000"/>
      </font>
      <fill>
        <patternFill patternType="none">
          <bgColor auto="1"/>
        </patternFill>
      </fill>
    </dxf>
    <dxf>
      <font>
        <color rgb="FFFF0000"/>
      </font>
    </dxf>
    <dxf>
      <font>
        <color rgb="FFFF0000"/>
      </font>
      <fill>
        <patternFill>
          <bgColor theme="0"/>
        </patternFill>
      </fill>
    </dxf>
    <dxf>
      <fill>
        <patternFill>
          <bgColor rgb="FFFFFF00"/>
        </patternFill>
      </fill>
    </dxf>
    <dxf>
      <font>
        <color rgb="FFFF0000"/>
      </font>
      <border>
        <left/>
        <right/>
        <top/>
        <bottom/>
      </border>
    </dxf>
    <dxf>
      <font>
        <b val="0"/>
        <i/>
      </font>
      <fill>
        <patternFill>
          <bgColor rgb="FFFFFF00"/>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
      <fill>
        <patternFill>
          <bgColor theme="0" tint="-0.14996795556505021"/>
        </patternFill>
      </fill>
    </dxf>
  </dxfs>
  <tableStyles count="0" defaultTableStyle="TableStyleMedium9" defaultPivotStyle="PivotStyleLight16"/>
  <colors>
    <mruColors>
      <color rgb="FFCCCCFF"/>
      <color rgb="FFFFCC99"/>
      <color rgb="FF003366"/>
      <color rgb="FF333333"/>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CONTROL!$E$43"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Name of School'!D1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a:extLst>
            <a:ext uri="{FF2B5EF4-FFF2-40B4-BE49-F238E27FC236}">
              <a16:creationId xmlns:a16="http://schemas.microsoft.com/office/drawing/2014/main" id="{00000000-0008-0000-0000-0000AD500000}"/>
            </a:ext>
          </a:extLst>
        </xdr:cNvPr>
        <xdr:cNvPicPr>
          <a:picLocks noChangeAspect="1" noChangeArrowheads="1"/>
        </xdr:cNvPicPr>
      </xdr:nvPicPr>
      <xdr:blipFill>
        <a:blip xmlns:r="http://schemas.openxmlformats.org/officeDocument/2006/relationships" r:embed="rId1"/>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1</xdr:row>
      <xdr:rowOff>52917</xdr:rowOff>
    </xdr:from>
    <xdr:to>
      <xdr:col>3</xdr:col>
      <xdr:colOff>148167</xdr:colOff>
      <xdr:row>3</xdr:row>
      <xdr:rowOff>95276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33917" y="254000"/>
          <a:ext cx="539750" cy="423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83835</xdr:colOff>
      <xdr:row>1</xdr:row>
      <xdr:rowOff>15052</xdr:rowOff>
    </xdr:from>
    <xdr:to>
      <xdr:col>4</xdr:col>
      <xdr:colOff>1042454</xdr:colOff>
      <xdr:row>6</xdr:row>
      <xdr:rowOff>43627</xdr:rowOff>
    </xdr:to>
    <xdr:pic>
      <xdr:nvPicPr>
        <xdr:cNvPr id="43527" name="Picture 3" descr="charter schools logo bw">
          <a:extLst>
            <a:ext uri="{FF2B5EF4-FFF2-40B4-BE49-F238E27FC236}">
              <a16:creationId xmlns:a16="http://schemas.microsoft.com/office/drawing/2014/main" id="{00000000-0008-0000-0200-000007AA0000}"/>
            </a:ext>
          </a:extLst>
        </xdr:cNvPr>
        <xdr:cNvPicPr>
          <a:picLocks noChangeAspect="1" noChangeArrowheads="1"/>
        </xdr:cNvPicPr>
      </xdr:nvPicPr>
      <xdr:blipFill>
        <a:blip xmlns:r="http://schemas.openxmlformats.org/officeDocument/2006/relationships" r:embed="rId1"/>
        <a:stretch>
          <a:fillRect/>
        </a:stretch>
      </xdr:blipFill>
      <xdr:spPr bwMode="auto">
        <a:xfrm>
          <a:off x="2156475" y="129352"/>
          <a:ext cx="307888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3593</xdr:colOff>
      <xdr:row>10</xdr:row>
      <xdr:rowOff>20310</xdr:rowOff>
    </xdr:from>
    <xdr:to>
      <xdr:col>5</xdr:col>
      <xdr:colOff>167641</xdr:colOff>
      <xdr:row>10</xdr:row>
      <xdr:rowOff>180998</xdr:rowOff>
    </xdr:to>
    <xdr:pic>
      <xdr:nvPicPr>
        <xdr:cNvPr id="3" name="Picture 2">
          <a:hlinkClick xmlns:r="http://schemas.openxmlformats.org/officeDocument/2006/relationships" r:id="rId2" tooltip="Select Typ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45413" y="2405370"/>
          <a:ext cx="164048" cy="160688"/>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3</xdr:col>
          <xdr:colOff>548640</xdr:colOff>
          <xdr:row>20</xdr:row>
          <xdr:rowOff>182880</xdr:rowOff>
        </xdr:from>
        <xdr:to>
          <xdr:col>3</xdr:col>
          <xdr:colOff>1813560</xdr:colOff>
          <xdr:row>22</xdr:row>
          <xdr:rowOff>15240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577465" y="4859655"/>
              <a:ext cx="1264920" cy="213360"/>
              <a:chOff x="2484120" y="5135880"/>
              <a:chExt cx="1264920" cy="213360"/>
            </a:xfrm>
          </xdr:grpSpPr>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200-000002E00000}"/>
                  </a:ext>
                </a:extLst>
              </xdr:cNvPr>
              <xdr:cNvSpPr/>
            </xdr:nvSpPr>
            <xdr:spPr bwMode="auto">
              <a:xfrm>
                <a:off x="24841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200-000003E00000}"/>
                  </a:ext>
                </a:extLst>
              </xdr:cNvPr>
              <xdr:cNvSpPr/>
            </xdr:nvSpPr>
            <xdr:spPr bwMode="auto">
              <a:xfrm>
                <a:off x="31318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59249</xdr:colOff>
      <xdr:row>1</xdr:row>
      <xdr:rowOff>220976</xdr:rowOff>
    </xdr:from>
    <xdr:to>
      <xdr:col>3</xdr:col>
      <xdr:colOff>2201315</xdr:colOff>
      <xdr:row>7</xdr:row>
      <xdr:rowOff>42332</xdr:rowOff>
    </xdr:to>
    <xdr:sp macro="" textlink="BSNote1">
      <xdr:nvSpPr>
        <xdr:cNvPr id="2" name="TextBox 1">
          <a:extLst>
            <a:ext uri="{FF2B5EF4-FFF2-40B4-BE49-F238E27FC236}">
              <a16:creationId xmlns:a16="http://schemas.microsoft.com/office/drawing/2014/main" id="{00000000-0008-0000-0600-000002000000}"/>
            </a:ext>
          </a:extLst>
        </xdr:cNvPr>
        <xdr:cNvSpPr txBox="1"/>
      </xdr:nvSpPr>
      <xdr:spPr>
        <a:xfrm>
          <a:off x="59249" y="220976"/>
          <a:ext cx="4656666" cy="1286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78604D5-113C-46FA-B910-87188032A51A}" type="TxLink">
            <a:rPr lang="en-US" sz="1200" b="1" i="0" u="none" strike="noStrike">
              <a:solidFill>
                <a:srgbClr val="FF0000"/>
              </a:solidFill>
              <a:latin typeface="Calibri"/>
            </a:rPr>
            <a:pPr algn="ctr"/>
            <a:t>#N/A</a:t>
          </a:fld>
          <a:endParaRPr lang="en-US" sz="1200" b="1"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581025</xdr:colOff>
      <xdr:row>2</xdr:row>
      <xdr:rowOff>57150</xdr:rowOff>
    </xdr:from>
    <xdr:to>
      <xdr:col>3</xdr:col>
      <xdr:colOff>2114550</xdr:colOff>
      <xdr:row>5</xdr:row>
      <xdr:rowOff>161925</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43100" y="447675"/>
          <a:ext cx="2286000" cy="676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ENFS1\DeptData$\My%20Documents\TEMPLATES\Annual%20Budget%20&amp;%20Quarterly%20Report%20Template\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808:H1022" totalsRowShown="0" dataDxfId="7">
  <autoFilter ref="B808:H1022" xr:uid="{00000000-0009-0000-0100-000002000000}"/>
  <sortState xmlns:xlrd2="http://schemas.microsoft.com/office/spreadsheetml/2017/richdata2" ref="B809:H1022">
    <sortCondition ref="B808:B1022"/>
  </sortState>
  <tableColumns count="7">
    <tableColumn id="2" xr3:uid="{00000000-0010-0000-0000-000002000000}" name="SCHOOLS" dataDxfId="6"/>
    <tableColumn id="3" xr3:uid="{00000000-0010-0000-0000-000003000000}" name="YrOpen" dataDxfId="5"/>
    <tableColumn id="4" xr3:uid="{00000000-0010-0000-0000-000004000000}" name="MergeYr" dataDxfId="4"/>
    <tableColumn id="5" xr3:uid="{00000000-0010-0000-0000-000005000000}" name="MergeCorpID" dataDxfId="3"/>
    <tableColumn id="6" xr3:uid="{00000000-0010-0000-0000-000006000000}" name="MergeName" dataDxfId="2"/>
    <tableColumn id="7" xr3:uid="{00000000-0010-0000-0000-000007000000}" name="SurvivingEdCorp" dataDxfId="1">
      <calculatedColumnFormula>IF(ISBLANK(Table2[[#This Row],[MergeCorpID]]=TRUE),"",AND(ISNUMBER(Table2[[#This Row],[MergeCorpID]])=TRUE,ISBLANK(Table2[[#This Row],[MergeName]])=FALSE))</calculatedColumnFormula>
    </tableColumn>
    <tableColumn id="8" xr3:uid="{00000000-0010-0000-0000-000008000000}" name="BS-NeedCode" dataDxfId="0">
      <calculatedColumnFormula>IF(ISBLANK(Table2[[#This Row],[MergeCorpID]])=TRUE,0,IF(Table2[[#This Row],[SurvivingEdCorp]]=TRUE,1,2))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bin"/><Relationship Id="rId1" Type="http://schemas.openxmlformats.org/officeDocument/2006/relationships/hyperlink" Target="http://www.contextures.com/xlDataVal03.html" TargetMode="External"/><Relationship Id="rId5" Type="http://schemas.openxmlformats.org/officeDocument/2006/relationships/comments" Target="../comments7.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indexed="63"/>
    <pageSetUpPr fitToPage="1"/>
  </sheetPr>
  <dimension ref="B1:J39"/>
  <sheetViews>
    <sheetView showGridLines="0" tabSelected="1" zoomScale="90" zoomScaleNormal="90" zoomScaleSheetLayoutView="100" workbookViewId="0">
      <selection activeCell="E6" sqref="E6"/>
    </sheetView>
  </sheetViews>
  <sheetFormatPr defaultColWidth="8.85546875" defaultRowHeight="15"/>
  <cols>
    <col min="1" max="1" width="5.7109375" style="1" customWidth="1"/>
    <col min="2" max="2" width="2.7109375" style="1" customWidth="1"/>
    <col min="3" max="3" width="4" style="1" customWidth="1"/>
    <col min="4" max="4" width="41.85546875" style="1" customWidth="1"/>
    <col min="5" max="5" width="65.5703125" style="1" customWidth="1"/>
    <col min="6" max="6" width="2.7109375" style="1" customWidth="1"/>
    <col min="7" max="16384" width="8.85546875" style="1"/>
  </cols>
  <sheetData>
    <row r="1" spans="2:10" ht="15.75" thickBot="1"/>
    <row r="2" spans="2:10">
      <c r="B2" s="181"/>
      <c r="C2" s="182"/>
      <c r="D2" s="182"/>
      <c r="E2" s="182"/>
      <c r="F2" s="183"/>
    </row>
    <row r="3" spans="2:10">
      <c r="B3" s="184"/>
      <c r="C3" s="69"/>
      <c r="D3" s="69"/>
      <c r="E3" s="69"/>
      <c r="F3" s="185"/>
    </row>
    <row r="4" spans="2:10">
      <c r="B4" s="184"/>
      <c r="C4" s="69"/>
      <c r="D4" s="69"/>
      <c r="E4" s="69"/>
      <c r="F4" s="185"/>
    </row>
    <row r="5" spans="2:10">
      <c r="B5" s="184"/>
      <c r="C5" s="69"/>
      <c r="D5" s="69"/>
      <c r="E5" s="69"/>
      <c r="F5" s="185"/>
    </row>
    <row r="6" spans="2:10">
      <c r="B6" s="184"/>
      <c r="C6" s="69"/>
      <c r="D6" s="69"/>
      <c r="E6" s="69"/>
      <c r="F6" s="185"/>
    </row>
    <row r="7" spans="2:10" ht="37.5">
      <c r="B7" s="186"/>
      <c r="C7" s="187" t="s">
        <v>363</v>
      </c>
      <c r="D7" s="188"/>
      <c r="E7" s="189"/>
      <c r="F7" s="190"/>
    </row>
    <row r="8" spans="2:10">
      <c r="B8" s="184"/>
      <c r="C8" s="179"/>
      <c r="D8" s="179"/>
      <c r="E8" s="69"/>
      <c r="F8" s="185"/>
    </row>
    <row r="9" spans="2:10">
      <c r="B9" s="184"/>
      <c r="C9" s="160" t="s">
        <v>371</v>
      </c>
      <c r="D9" s="160"/>
      <c r="E9" s="160"/>
      <c r="F9" s="185"/>
    </row>
    <row r="10" spans="2:10" ht="24.95" customHeight="1">
      <c r="B10" s="184"/>
      <c r="C10" s="194" t="s">
        <v>369</v>
      </c>
      <c r="E10" s="195"/>
      <c r="F10" s="185"/>
    </row>
    <row r="11" spans="2:10">
      <c r="B11" s="184"/>
      <c r="C11" s="196"/>
      <c r="D11" s="613" t="s">
        <v>152</v>
      </c>
      <c r="E11" s="566" t="s">
        <v>359</v>
      </c>
      <c r="F11" s="185"/>
    </row>
    <row r="12" spans="2:10">
      <c r="B12" s="631"/>
      <c r="C12" s="196"/>
      <c r="D12" s="634" t="s">
        <v>153</v>
      </c>
      <c r="E12" s="632" t="s">
        <v>496</v>
      </c>
      <c r="F12" s="563"/>
    </row>
    <row r="13" spans="2:10" ht="24.95" customHeight="1">
      <c r="B13" s="184"/>
      <c r="C13" s="194" t="s">
        <v>370</v>
      </c>
      <c r="E13" s="69"/>
      <c r="F13" s="185"/>
    </row>
    <row r="14" spans="2:10" ht="30">
      <c r="B14" s="184"/>
      <c r="C14" s="69"/>
      <c r="D14" s="633" t="s">
        <v>352</v>
      </c>
      <c r="E14" s="565" t="s">
        <v>527</v>
      </c>
      <c r="F14" s="185"/>
    </row>
    <row r="15" spans="2:10" ht="60">
      <c r="B15" s="184"/>
      <c r="C15" s="69"/>
      <c r="D15" s="633" t="s">
        <v>353</v>
      </c>
      <c r="E15" s="565" t="s">
        <v>528</v>
      </c>
      <c r="F15" s="185"/>
    </row>
    <row r="16" spans="2:10" ht="92.45" customHeight="1">
      <c r="B16" s="184"/>
      <c r="C16" s="69"/>
      <c r="D16" s="633" t="s">
        <v>354</v>
      </c>
      <c r="E16" s="565" t="s">
        <v>639</v>
      </c>
      <c r="F16" s="185"/>
      <c r="J16" s="561"/>
    </row>
    <row r="17" spans="2:10" ht="200.45" customHeight="1">
      <c r="B17" s="184"/>
      <c r="C17" s="69"/>
      <c r="D17" s="564" t="s">
        <v>355</v>
      </c>
      <c r="E17" s="565" t="s">
        <v>637</v>
      </c>
      <c r="F17" s="563"/>
      <c r="J17" s="561"/>
    </row>
    <row r="18" spans="2:10" ht="76.150000000000006" customHeight="1">
      <c r="B18" s="184"/>
      <c r="C18" s="69"/>
      <c r="D18" s="633" t="s">
        <v>356</v>
      </c>
      <c r="E18" s="565" t="s">
        <v>638</v>
      </c>
      <c r="F18" s="563"/>
      <c r="J18" s="561"/>
    </row>
    <row r="19" spans="2:10" ht="107.45" customHeight="1">
      <c r="B19" s="184"/>
      <c r="C19" s="69"/>
      <c r="D19" s="564" t="s">
        <v>357</v>
      </c>
      <c r="E19" s="565" t="s">
        <v>530</v>
      </c>
      <c r="F19" s="563"/>
      <c r="J19" s="561"/>
    </row>
    <row r="20" spans="2:10">
      <c r="B20" s="184"/>
      <c r="C20" s="69"/>
      <c r="D20" s="564" t="s">
        <v>358</v>
      </c>
      <c r="E20" s="565" t="s">
        <v>362</v>
      </c>
      <c r="F20" s="563"/>
      <c r="J20" s="561"/>
    </row>
    <row r="21" spans="2:10">
      <c r="B21" s="184"/>
      <c r="C21" s="69"/>
      <c r="D21" s="561"/>
      <c r="E21" s="562"/>
      <c r="F21" s="563"/>
      <c r="J21" s="561"/>
    </row>
    <row r="22" spans="2:10">
      <c r="B22" s="184"/>
      <c r="C22" s="179"/>
      <c r="D22" s="198"/>
      <c r="E22" s="69"/>
      <c r="F22" s="185"/>
    </row>
    <row r="23" spans="2:10">
      <c r="B23" s="184"/>
      <c r="C23" s="160" t="s">
        <v>154</v>
      </c>
      <c r="D23" s="160"/>
      <c r="E23" s="160"/>
      <c r="F23" s="185"/>
    </row>
    <row r="24" spans="2:10" ht="24.95" customHeight="1">
      <c r="B24" s="184"/>
      <c r="C24" s="197"/>
      <c r="D24" s="197"/>
      <c r="E24" s="69"/>
      <c r="F24" s="185"/>
    </row>
    <row r="25" spans="2:10">
      <c r="B25" s="184"/>
      <c r="C25" s="161"/>
      <c r="D25" s="199" t="s">
        <v>161</v>
      </c>
      <c r="E25" s="200"/>
      <c r="F25" s="185"/>
    </row>
    <row r="26" spans="2:10" ht="5.0999999999999996" customHeight="1">
      <c r="B26" s="184"/>
      <c r="C26" s="162"/>
      <c r="D26" s="82"/>
      <c r="E26" s="200"/>
      <c r="F26" s="185"/>
    </row>
    <row r="27" spans="2:10">
      <c r="B27" s="184"/>
      <c r="C27" s="163"/>
      <c r="D27" s="199" t="s">
        <v>167</v>
      </c>
      <c r="E27" s="200"/>
      <c r="F27" s="185"/>
    </row>
    <row r="28" spans="2:10" ht="5.0999999999999996" customHeight="1">
      <c r="B28" s="184"/>
      <c r="C28" s="162"/>
      <c r="D28" s="199"/>
      <c r="E28" s="200"/>
      <c r="F28" s="185"/>
    </row>
    <row r="29" spans="2:10" s="180" customFormat="1" ht="31.5" customHeight="1">
      <c r="B29" s="191"/>
      <c r="C29" s="164"/>
      <c r="D29" s="1042" t="s">
        <v>162</v>
      </c>
      <c r="E29" s="1043"/>
      <c r="F29" s="193"/>
    </row>
    <row r="30" spans="2:10" ht="15" customHeight="1" thickBot="1">
      <c r="B30" s="192"/>
      <c r="C30" s="201"/>
      <c r="D30" s="201"/>
      <c r="E30" s="202"/>
      <c r="F30" s="1019" t="s">
        <v>2056</v>
      </c>
    </row>
    <row r="31" spans="2:10" ht="15" customHeight="1">
      <c r="E31" s="82"/>
      <c r="F31" s="69"/>
    </row>
    <row r="32" spans="2:10" ht="15" customHeight="1">
      <c r="E32" s="82"/>
      <c r="F32" s="69"/>
    </row>
    <row r="33" spans="6:6">
      <c r="F33" s="69"/>
    </row>
    <row r="34" spans="6:6" ht="13.5" customHeight="1"/>
    <row r="35" spans="6:6" ht="15.75" customHeight="1"/>
    <row r="36" spans="6:6" ht="15" customHeight="1"/>
    <row r="37" spans="6:6" ht="12.75" customHeight="1"/>
    <row r="38" spans="6:6" ht="12.75" customHeight="1"/>
    <row r="39" spans="6:6" ht="12.75" customHeight="1"/>
  </sheetData>
  <sheetProtection algorithmName="SHA-512" hashValue="eBXZgS2oSyNDlfHf792JLjtj27jtXT8SMR3HZ4tgLHOE8l2ZDWTOsFf1tovsCLhal0ONBoIdgh2wvYr67XBatA==" saltValue="0g8NRF25URuw6PsFwQNAzw==" spinCount="100000" sheet="1" objects="1" scenarios="1"/>
  <customSheetViews>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s>
  <mergeCells count="1">
    <mergeCell ref="D29:E29"/>
  </mergeCells>
  <phoneticPr fontId="5" type="noConversion"/>
  <hyperlinks>
    <hyperlink ref="D11" location="INSTRUCTIONS!A1" display="Instructions" xr:uid="{00000000-0004-0000-0000-000000000000}"/>
    <hyperlink ref="D14" location="'1.) Name of School'!A1" display="1.) Name of School" xr:uid="{00000000-0004-0000-0000-000001000000}"/>
    <hyperlink ref="D15" location="'2.) Enrollment'!A1" display="2.) Enrollment" xr:uid="{00000000-0004-0000-0000-000002000000}"/>
    <hyperlink ref="D16" location="'3.) Staffing Plan'!A1" display="3.) Staffing Plan" xr:uid="{00000000-0004-0000-0000-000003000000}"/>
    <hyperlink ref="D17" location="'4.) Yearly Budget'!A1" display="4.) Yearly Budget" xr:uid="{00000000-0004-0000-0000-000004000000}"/>
    <hyperlink ref="D18" location="'5.) Balance Sheet'!A1" display="5.) Balance Sheet" xr:uid="{00000000-0004-0000-0000-000005000000}"/>
    <hyperlink ref="D19" location="'6.) Quarterly Report'!A1" display="6.) Quarterly Report" xr:uid="{00000000-0004-0000-0000-000006000000}"/>
    <hyperlink ref="D20" location="'7.) Annual Report Requirement'!A1" display="7.) Annual Report Requirement" xr:uid="{00000000-0004-0000-0000-000007000000}"/>
    <hyperlink ref="D12" location="'Funding by District'!A1" display="Funding by District" xr:uid="{00000000-0004-0000-0000-000008000000}"/>
  </hyperlinks>
  <printOptions horizontalCentered="1"/>
  <pageMargins left="0.7" right="0.7" top="0.85" bottom="0.75" header="0.3" footer="0.3"/>
  <pageSetup scale="7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rgb="FFFF0000"/>
  </sheetPr>
  <dimension ref="A1:AH1022"/>
  <sheetViews>
    <sheetView topLeftCell="A984" zoomScale="90" zoomScaleNormal="90" workbookViewId="0">
      <selection activeCell="B808" sqref="B808:H1022"/>
    </sheetView>
  </sheetViews>
  <sheetFormatPr defaultColWidth="9.140625" defaultRowHeight="15"/>
  <cols>
    <col min="1" max="1" width="9.140625" style="7"/>
    <col min="2" max="2" width="51.28515625" style="4" customWidth="1"/>
    <col min="3" max="3" width="11.5703125" style="4" customWidth="1"/>
    <col min="4" max="4" width="15.7109375" style="4" customWidth="1"/>
    <col min="5" max="5" width="17.28515625" style="4" customWidth="1"/>
    <col min="6" max="6" width="52.7109375" style="4" customWidth="1"/>
    <col min="7" max="8" width="15.7109375" style="4" customWidth="1"/>
    <col min="9" max="9" width="18.140625" style="4" customWidth="1"/>
    <col min="10" max="10" width="13.85546875" style="36" customWidth="1"/>
    <col min="11" max="11" width="27.5703125" style="22" customWidth="1"/>
    <col min="12" max="15" width="12.7109375" style="4" customWidth="1"/>
    <col min="16" max="16" width="13.85546875" style="4" customWidth="1"/>
    <col min="17" max="17" width="12.7109375" style="4" customWidth="1"/>
    <col min="18" max="18" width="12.7109375" customWidth="1"/>
    <col min="19" max="19" width="55.7109375" bestFit="1" customWidth="1"/>
    <col min="20" max="23" width="11.28515625" customWidth="1"/>
    <col min="24" max="24" width="14.7109375" bestFit="1" customWidth="1"/>
    <col min="25" max="25" width="16.7109375" bestFit="1" customWidth="1"/>
    <col min="26" max="29" width="11.28515625" bestFit="1" customWidth="1"/>
    <col min="30" max="30" width="8.85546875"/>
    <col min="31" max="31" width="17.7109375" customWidth="1"/>
    <col min="32" max="32" width="6.140625" bestFit="1" customWidth="1"/>
    <col min="33" max="34" width="8.85546875" customWidth="1"/>
    <col min="35" max="16384" width="9.140625" style="4"/>
  </cols>
  <sheetData>
    <row r="1" spans="1:34" ht="18.75">
      <c r="A1" s="24"/>
      <c r="L1"/>
      <c r="M1"/>
      <c r="N1"/>
      <c r="O1"/>
      <c r="P1"/>
      <c r="Q1"/>
    </row>
    <row r="2" spans="1:34" ht="18.75">
      <c r="A2" s="24"/>
      <c r="J2" s="22"/>
      <c r="L2"/>
      <c r="M2"/>
      <c r="N2"/>
      <c r="O2"/>
      <c r="P2"/>
      <c r="Q2"/>
    </row>
    <row r="3" spans="1:34" ht="31.5" thickBot="1">
      <c r="A3" s="24"/>
      <c r="J3" s="37" t="s">
        <v>132</v>
      </c>
      <c r="K3" s="38" t="s">
        <v>164</v>
      </c>
      <c r="L3"/>
      <c r="N3"/>
      <c r="O3"/>
      <c r="P3"/>
      <c r="Q3"/>
    </row>
    <row r="4" spans="1:34" ht="19.5" thickBot="1">
      <c r="A4" s="33" t="s">
        <v>139</v>
      </c>
      <c r="B4" s="34"/>
      <c r="L4"/>
      <c r="M4" s="1132" t="s">
        <v>511</v>
      </c>
      <c r="N4" s="1133"/>
      <c r="O4" s="1134"/>
      <c r="P4"/>
      <c r="Q4"/>
    </row>
    <row r="5" spans="1:34" ht="18.75">
      <c r="A5" s="24"/>
      <c r="B5" s="4" t="s">
        <v>133</v>
      </c>
      <c r="E5" s="12" t="s">
        <v>134</v>
      </c>
      <c r="F5" s="13"/>
      <c r="G5" s="13"/>
      <c r="H5" s="14"/>
      <c r="I5" s="15" t="str">
        <f>UPPER('1.) Name of School'!C9)</f>
        <v/>
      </c>
      <c r="J5" s="38">
        <f>IF(I5="Select SCHOOL or MERGED EDCORP from drop-down list→",0,1)</f>
        <v>1</v>
      </c>
      <c r="L5"/>
      <c r="M5" s="788" t="s">
        <v>507</v>
      </c>
      <c r="N5" s="783" t="s">
        <v>508</v>
      </c>
      <c r="O5" s="789" t="s">
        <v>509</v>
      </c>
      <c r="P5"/>
      <c r="Q5"/>
    </row>
    <row r="6" spans="1:34" ht="18.75">
      <c r="A6" s="25"/>
      <c r="B6" s="4" t="s">
        <v>135</v>
      </c>
      <c r="E6" s="12" t="s">
        <v>134</v>
      </c>
      <c r="F6" s="13"/>
      <c r="G6" s="13"/>
      <c r="H6" s="14"/>
      <c r="I6" s="15" t="str">
        <f>'1.) Name of School'!D13</f>
        <v>enter name</v>
      </c>
      <c r="J6" s="38">
        <f>IF(I6="enter name",0,1)</f>
        <v>0</v>
      </c>
      <c r="M6" s="784" t="s">
        <v>194</v>
      </c>
      <c r="N6" s="780">
        <f>COUNTIF('6.) Quarterly Report'!I6:I9,"&gt;0")</f>
        <v>0</v>
      </c>
      <c r="O6" s="785" t="b">
        <f>IF(N6&gt;0,1)</f>
        <v>0</v>
      </c>
      <c r="P6"/>
      <c r="Q6"/>
    </row>
    <row r="7" spans="1:34" ht="18.75">
      <c r="A7" s="25"/>
      <c r="B7" s="4" t="s">
        <v>136</v>
      </c>
      <c r="E7" s="12" t="s">
        <v>134</v>
      </c>
      <c r="F7" s="13"/>
      <c r="G7" s="13"/>
      <c r="H7" s="14"/>
      <c r="I7" s="15" t="str">
        <f>'1.) Name of School'!D14</f>
        <v>enter title</v>
      </c>
      <c r="J7" s="38">
        <f>IF(I7="enter title",0,1)</f>
        <v>0</v>
      </c>
      <c r="M7" s="784" t="s">
        <v>195</v>
      </c>
      <c r="N7" s="780">
        <f>COUNTIF('6.) Quarterly Report'!L6:L9,"&gt;0")</f>
        <v>0</v>
      </c>
      <c r="O7" s="785" t="b">
        <f>IF(N7&gt;0,2)</f>
        <v>0</v>
      </c>
      <c r="P7"/>
      <c r="Q7"/>
    </row>
    <row r="8" spans="1:34" ht="18.75">
      <c r="A8" s="25"/>
      <c r="B8" s="4" t="s">
        <v>137</v>
      </c>
      <c r="E8" s="12" t="s">
        <v>134</v>
      </c>
      <c r="F8" s="13"/>
      <c r="G8" s="13"/>
      <c r="H8" s="14"/>
      <c r="I8" s="15" t="str">
        <f>'1.) Name of School'!D15</f>
        <v>enter email address</v>
      </c>
      <c r="J8" s="38">
        <f>IF(I8="enter email address",0,1)</f>
        <v>0</v>
      </c>
      <c r="M8" s="784" t="s">
        <v>196</v>
      </c>
      <c r="N8" s="780">
        <f>COUNTIF('6.) Quarterly Report'!O6:O9,"&gt;0")</f>
        <v>0</v>
      </c>
      <c r="O8" s="785" t="b">
        <f>IF(N8&gt;0,3)</f>
        <v>0</v>
      </c>
      <c r="P8"/>
      <c r="Q8"/>
    </row>
    <row r="9" spans="1:34" ht="19.5" thickBot="1">
      <c r="A9" s="25"/>
      <c r="B9" s="4" t="s">
        <v>138</v>
      </c>
      <c r="E9" s="12" t="s">
        <v>134</v>
      </c>
      <c r="F9" s="13"/>
      <c r="G9" s="13"/>
      <c r="H9" s="14"/>
      <c r="I9" s="15" t="str">
        <f>'1.) Name of School'!D16</f>
        <v>enter phone number</v>
      </c>
      <c r="J9" s="38">
        <f>IF(I9="enter phone number",0,1)</f>
        <v>0</v>
      </c>
      <c r="M9" s="786" t="s">
        <v>197</v>
      </c>
      <c r="N9" s="782">
        <f>COUNTIF('6.) Quarterly Report'!R6:R9,"&gt;0")</f>
        <v>0</v>
      </c>
      <c r="O9" s="787" t="b">
        <f>IF(N9&gt;0,4)</f>
        <v>0</v>
      </c>
      <c r="P9"/>
      <c r="Q9"/>
    </row>
    <row r="10" spans="1:34" ht="19.5" thickBot="1">
      <c r="A10" s="24"/>
      <c r="E10"/>
      <c r="F10"/>
      <c r="G10"/>
      <c r="H10"/>
      <c r="I10"/>
      <c r="J10" s="38"/>
      <c r="L10"/>
      <c r="M10" s="790" t="s">
        <v>510</v>
      </c>
      <c r="N10" s="791"/>
      <c r="O10" s="792">
        <f>MAX(O6:O9)</f>
        <v>0</v>
      </c>
      <c r="P10"/>
      <c r="Q10"/>
    </row>
    <row r="11" spans="1:34" ht="30.75" customHeight="1" thickBot="1">
      <c r="E11" s="32" t="s">
        <v>287</v>
      </c>
      <c r="J11" s="22"/>
      <c r="L11"/>
      <c r="M11" s="1129" t="s">
        <v>512</v>
      </c>
      <c r="N11" s="1130"/>
      <c r="O11" s="1131"/>
      <c r="P11"/>
      <c r="Q11"/>
    </row>
    <row r="12" spans="1:34" ht="15.75" thickBot="1">
      <c r="A12" s="4"/>
      <c r="E12" s="12" t="s">
        <v>129</v>
      </c>
      <c r="F12" s="13"/>
      <c r="G12" s="13"/>
      <c r="H12" s="14"/>
      <c r="I12" s="15" t="str">
        <f>AcadYr1</f>
        <v>2023-24</v>
      </c>
      <c r="J12" s="36">
        <f>IF(I12=B15,0,1)</f>
        <v>1</v>
      </c>
      <c r="L12"/>
      <c r="M12" s="1135" t="str">
        <f>IF(QTR&gt;0,"QUARTER "&amp;QTR,"")</f>
        <v/>
      </c>
      <c r="N12" s="1136"/>
      <c r="O12" s="1137"/>
      <c r="P12"/>
      <c r="Q12"/>
    </row>
    <row r="13" spans="1:34" ht="15.75" thickBot="1">
      <c r="A13" s="35" t="s">
        <v>119</v>
      </c>
      <c r="L13"/>
      <c r="N13"/>
      <c r="O13"/>
      <c r="P13"/>
      <c r="Q13"/>
    </row>
    <row r="14" spans="1:34" s="6" customFormat="1">
      <c r="A14" s="7" t="s">
        <v>127</v>
      </c>
      <c r="B14" s="6" t="s">
        <v>126</v>
      </c>
      <c r="C14" s="5" t="s">
        <v>120</v>
      </c>
      <c r="E14" s="11" t="s">
        <v>128</v>
      </c>
      <c r="F14" s="9"/>
      <c r="G14" s="9"/>
      <c r="H14" s="9"/>
      <c r="I14" s="10"/>
      <c r="J14" s="38"/>
      <c r="K14" s="39"/>
      <c r="L14"/>
      <c r="M14" s="998" t="s">
        <v>640</v>
      </c>
      <c r="N14" s="831"/>
      <c r="O14" s="831"/>
      <c r="P14" s="831"/>
      <c r="Q14" s="831"/>
      <c r="R14" s="999"/>
      <c r="S14"/>
      <c r="T14"/>
      <c r="U14"/>
      <c r="V14"/>
      <c r="W14"/>
      <c r="X14"/>
      <c r="Y14"/>
      <c r="Z14"/>
      <c r="AA14"/>
      <c r="AB14"/>
      <c r="AC14"/>
      <c r="AD14"/>
      <c r="AE14"/>
      <c r="AF14"/>
      <c r="AG14"/>
      <c r="AH14"/>
    </row>
    <row r="15" spans="1:34" ht="15.75" thickBot="1">
      <c r="A15" s="4">
        <v>0</v>
      </c>
      <c r="B15" s="1" t="s">
        <v>492</v>
      </c>
      <c r="C15" s="32" t="s">
        <v>573</v>
      </c>
      <c r="E15" s="8" t="s">
        <v>124</v>
      </c>
      <c r="F15" s="8" t="s">
        <v>123</v>
      </c>
      <c r="G15" s="8" t="s">
        <v>125</v>
      </c>
      <c r="H15" s="8" t="s">
        <v>121</v>
      </c>
      <c r="I15" s="8" t="s">
        <v>122</v>
      </c>
      <c r="L15"/>
      <c r="M15" s="1000" t="s">
        <v>547</v>
      </c>
      <c r="N15" s="1001"/>
      <c r="O15" s="1001"/>
      <c r="P15" s="1001"/>
      <c r="Q15" s="1001"/>
      <c r="R15" s="1001"/>
    </row>
    <row r="16" spans="1:34" ht="15.75" thickBot="1">
      <c r="A16" s="4">
        <v>1</v>
      </c>
      <c r="B16" s="1" t="str">
        <f t="shared" ref="B16:B24" si="0">C16&amp;"-"&amp;RIGHT(C17,2)</f>
        <v>2023-24</v>
      </c>
      <c r="C16" s="954">
        <v>2023</v>
      </c>
      <c r="E16" s="8" t="s">
        <v>103</v>
      </c>
      <c r="F16" s="8">
        <f>IFERROR(MATCH(AcadYr1,$B$16:$B$20,0),"")</f>
        <v>1</v>
      </c>
      <c r="G16" s="8" t="str">
        <f>IF(AcadYr1=B15,"",AcadYr1)</f>
        <v>2023-24</v>
      </c>
      <c r="H16" s="8">
        <f>IFERROR(VLOOKUP(F16,$A$16:$C$25,3),"")</f>
        <v>2023</v>
      </c>
      <c r="I16" s="8">
        <f>IFERROR(H16+1,"")</f>
        <v>2024</v>
      </c>
      <c r="L16"/>
      <c r="M16" s="1002" t="s">
        <v>540</v>
      </c>
      <c r="N16" s="1001"/>
      <c r="O16" s="1001"/>
      <c r="P16" s="1001"/>
      <c r="Q16" s="1001"/>
      <c r="R16" s="1001"/>
    </row>
    <row r="17" spans="1:18">
      <c r="A17" s="4">
        <v>2</v>
      </c>
      <c r="B17" s="1" t="str">
        <f t="shared" si="0"/>
        <v>2024-25</v>
      </c>
      <c r="C17" s="3">
        <f t="shared" ref="C17:C25" si="1">C16+1</f>
        <v>2024</v>
      </c>
      <c r="E17" s="8" t="s">
        <v>104</v>
      </c>
      <c r="F17" s="8">
        <f>IFERROR(F16+1,"")</f>
        <v>2</v>
      </c>
      <c r="G17" s="8" t="str">
        <f>IFERROR(VLOOKUP(F17,$A$16:$C$25,2),"")</f>
        <v>2024-25</v>
      </c>
      <c r="H17" s="8">
        <f>IFERROR(VLOOKUP(F17,$A$16:$C$25,3),"")</f>
        <v>2024</v>
      </c>
      <c r="I17" s="8">
        <f>IFERROR(H17+1,"")</f>
        <v>2025</v>
      </c>
      <c r="L17"/>
      <c r="M17" s="1001"/>
      <c r="N17" s="1001"/>
      <c r="O17" s="1001"/>
      <c r="P17" s="1001"/>
      <c r="Q17" s="1001"/>
      <c r="R17" s="1001"/>
    </row>
    <row r="18" spans="1:18">
      <c r="A18" s="4">
        <v>3</v>
      </c>
      <c r="B18" s="1" t="str">
        <f t="shared" si="0"/>
        <v>2025-26</v>
      </c>
      <c r="C18" s="2">
        <f t="shared" si="1"/>
        <v>2025</v>
      </c>
      <c r="E18" s="8" t="s">
        <v>105</v>
      </c>
      <c r="F18" s="8">
        <f>IFERROR(F17+1,"")</f>
        <v>3</v>
      </c>
      <c r="G18" s="8" t="str">
        <f>IFERROR(VLOOKUP(F18,$A$16:$C$25,2),"")</f>
        <v>2025-26</v>
      </c>
      <c r="H18" s="8">
        <f>IFERROR(VLOOKUP(F18,$A$16:$C$25,3),"")</f>
        <v>2025</v>
      </c>
      <c r="I18" s="8">
        <f>IFERROR(H18+1,"")</f>
        <v>2026</v>
      </c>
      <c r="L18"/>
      <c r="M18" s="1001"/>
      <c r="N18" s="1001"/>
      <c r="O18" s="1001"/>
      <c r="P18" s="1001"/>
      <c r="Q18" s="1001"/>
      <c r="R18" s="1001"/>
    </row>
    <row r="19" spans="1:18">
      <c r="A19" s="4">
        <v>4</v>
      </c>
      <c r="B19" s="1" t="str">
        <f t="shared" si="0"/>
        <v>2026-27</v>
      </c>
      <c r="C19" s="2">
        <f t="shared" si="1"/>
        <v>2026</v>
      </c>
      <c r="E19" s="8" t="s">
        <v>106</v>
      </c>
      <c r="F19" s="8">
        <f>IFERROR(F18+1,"")</f>
        <v>4</v>
      </c>
      <c r="G19" s="8" t="str">
        <f>IFERROR(VLOOKUP(F19,$A$16:$C$25,2),"")</f>
        <v>2026-27</v>
      </c>
      <c r="H19" s="8">
        <f>IFERROR(VLOOKUP(F19,$A$16:$C$25,3),"")</f>
        <v>2026</v>
      </c>
      <c r="I19" s="8">
        <f>IFERROR(H19+1,"")</f>
        <v>2027</v>
      </c>
      <c r="L19"/>
      <c r="M19" s="1001"/>
      <c r="N19" s="1001"/>
      <c r="O19" s="1001"/>
      <c r="P19" s="1001"/>
      <c r="Q19" s="1001"/>
      <c r="R19" s="1001"/>
    </row>
    <row r="20" spans="1:18">
      <c r="A20" s="4">
        <v>5</v>
      </c>
      <c r="B20" s="1" t="str">
        <f t="shared" si="0"/>
        <v>2027-28</v>
      </c>
      <c r="C20" s="2">
        <f t="shared" si="1"/>
        <v>2027</v>
      </c>
      <c r="E20" s="8" t="s">
        <v>107</v>
      </c>
      <c r="F20" s="8">
        <f>IFERROR(F19+1,"")</f>
        <v>5</v>
      </c>
      <c r="G20" s="8" t="str">
        <f>IFERROR(VLOOKUP(F20,$A$16:$C$25,2),"")</f>
        <v>2027-28</v>
      </c>
      <c r="H20" s="8">
        <f>IFERROR(VLOOKUP(F20,$A$16:$C$25,3),"")</f>
        <v>2027</v>
      </c>
      <c r="I20" s="8">
        <f>IFERROR(H20+1,"")</f>
        <v>2028</v>
      </c>
      <c r="M20" s="1003"/>
      <c r="N20" s="1003"/>
      <c r="O20" s="1003"/>
      <c r="P20" s="1003"/>
      <c r="Q20" s="1003"/>
      <c r="R20" s="1001"/>
    </row>
    <row r="21" spans="1:18">
      <c r="A21" s="4">
        <v>6</v>
      </c>
      <c r="B21" s="1" t="str">
        <f t="shared" si="0"/>
        <v>2028-29</v>
      </c>
      <c r="C21" s="2">
        <f t="shared" si="1"/>
        <v>2028</v>
      </c>
      <c r="J21" s="40"/>
      <c r="L21"/>
      <c r="M21" s="1001"/>
      <c r="N21" s="1003"/>
      <c r="O21" s="1003"/>
      <c r="P21" s="1003"/>
      <c r="Q21" s="1003"/>
      <c r="R21" s="1001"/>
    </row>
    <row r="22" spans="1:18">
      <c r="A22" s="4">
        <v>7</v>
      </c>
      <c r="B22" s="1" t="str">
        <f t="shared" si="0"/>
        <v>2029-30</v>
      </c>
      <c r="C22" s="2">
        <f t="shared" si="1"/>
        <v>2029</v>
      </c>
      <c r="E22" s="17" t="s">
        <v>191</v>
      </c>
      <c r="F22" s="47"/>
      <c r="G22" s="47"/>
      <c r="H22" s="47"/>
      <c r="I22" s="23" t="str">
        <f>IF(INDEX(Table2[[#All],[YrOpen]],MATCH('1.) Name of School'!D11,Table2[[#All],[SCHOOLS]],0))=VALUE(LEFT(AcadYr1,4)),"Planning Year",IFERROR(LEFT(I12,4)-1&amp;"-"&amp;MID(I12,3,2),""))</f>
        <v>2022-23</v>
      </c>
      <c r="J22" s="40"/>
      <c r="L22"/>
      <c r="M22" s="1001"/>
      <c r="N22" s="1003"/>
      <c r="O22" s="1003"/>
      <c r="P22" s="1003"/>
      <c r="Q22" s="1003"/>
      <c r="R22" s="1001"/>
    </row>
    <row r="23" spans="1:18">
      <c r="A23" s="4">
        <v>8</v>
      </c>
      <c r="B23" s="1" t="str">
        <f t="shared" si="0"/>
        <v>2030-31</v>
      </c>
      <c r="C23" s="2">
        <f t="shared" si="1"/>
        <v>2030</v>
      </c>
      <c r="J23" s="40"/>
      <c r="L23"/>
      <c r="M23" s="1001"/>
      <c r="N23" s="1003"/>
      <c r="O23" s="1003"/>
      <c r="P23" s="1003"/>
      <c r="Q23" s="1003"/>
      <c r="R23" s="1001"/>
    </row>
    <row r="24" spans="1:18">
      <c r="A24" s="4">
        <v>9</v>
      </c>
      <c r="B24" s="1" t="str">
        <f t="shared" si="0"/>
        <v>2031-32</v>
      </c>
      <c r="C24" s="2">
        <f t="shared" si="1"/>
        <v>2031</v>
      </c>
      <c r="J24" s="40"/>
      <c r="L24"/>
      <c r="M24" s="1001"/>
      <c r="N24" s="1003"/>
      <c r="O24" s="1003"/>
      <c r="P24" s="1003"/>
      <c r="Q24" s="1003"/>
      <c r="R24" s="1001"/>
    </row>
    <row r="25" spans="1:18">
      <c r="A25" s="4">
        <v>10</v>
      </c>
      <c r="B25" s="1" t="str">
        <f>C25&amp;"-"&amp;RIGHT(C25+1,2)</f>
        <v>2032-33</v>
      </c>
      <c r="C25" s="2">
        <f t="shared" si="1"/>
        <v>2032</v>
      </c>
      <c r="J25" s="40"/>
      <c r="L25"/>
      <c r="M25" s="1001"/>
      <c r="N25" s="1003"/>
      <c r="O25" s="1003"/>
      <c r="P25" s="1003"/>
      <c r="Q25" s="1003"/>
      <c r="R25" s="1001"/>
    </row>
    <row r="26" spans="1:18">
      <c r="J26" s="40"/>
      <c r="L26"/>
      <c r="M26" s="1001"/>
      <c r="N26" s="1003"/>
      <c r="O26" s="1003"/>
      <c r="P26" s="1003"/>
      <c r="Q26" s="1003"/>
      <c r="R26" s="1001"/>
    </row>
    <row r="27" spans="1:18">
      <c r="J27" s="40"/>
      <c r="K27" s="30"/>
      <c r="L27"/>
      <c r="M27" s="1001"/>
      <c r="N27" s="1003"/>
      <c r="O27" s="1003"/>
      <c r="P27" s="1003"/>
      <c r="Q27" s="1003"/>
      <c r="R27" s="1001"/>
    </row>
    <row r="28" spans="1:18">
      <c r="A28" s="35" t="s">
        <v>189</v>
      </c>
      <c r="E28" s="178"/>
      <c r="F28" s="14"/>
      <c r="G28" s="235"/>
      <c r="H28" s="14"/>
      <c r="I28" s="15"/>
    </row>
    <row r="29" spans="1:18">
      <c r="A29" s="7" t="s">
        <v>127</v>
      </c>
      <c r="B29" s="4" t="s">
        <v>131</v>
      </c>
      <c r="E29" s="16"/>
    </row>
    <row r="30" spans="1:18">
      <c r="A30" s="7">
        <v>0</v>
      </c>
      <c r="B30" s="1" t="s">
        <v>492</v>
      </c>
      <c r="E30"/>
      <c r="F30"/>
      <c r="G30"/>
      <c r="H30"/>
    </row>
    <row r="31" spans="1:18">
      <c r="A31" s="7">
        <v>1</v>
      </c>
      <c r="B31" s="4" t="s">
        <v>190</v>
      </c>
      <c r="E31"/>
      <c r="F31"/>
      <c r="G31"/>
      <c r="H31"/>
      <c r="I31"/>
    </row>
    <row r="32" spans="1:18">
      <c r="A32" s="7">
        <v>2</v>
      </c>
      <c r="B32" s="4" t="s">
        <v>190</v>
      </c>
      <c r="E32"/>
      <c r="F32"/>
      <c r="G32"/>
      <c r="H32"/>
      <c r="I32"/>
    </row>
    <row r="33" spans="1:16">
      <c r="C33"/>
    </row>
    <row r="35" spans="1:16">
      <c r="A35" s="35" t="s">
        <v>150</v>
      </c>
      <c r="E35" s="46" t="s">
        <v>151</v>
      </c>
      <c r="F35" s="47"/>
      <c r="G35" s="47"/>
      <c r="H35" s="47"/>
      <c r="I35" s="23" t="str">
        <f>MID('Funding by District'!$F$5,FIND(" 2",'Funding by District'!$F$5)+1,7)</f>
        <v>2023-24</v>
      </c>
    </row>
    <row r="36" spans="1:16">
      <c r="K36" s="30"/>
    </row>
    <row r="37" spans="1:16">
      <c r="A37" s="35" t="s">
        <v>140</v>
      </c>
      <c r="C37" s="1"/>
      <c r="K37" s="30"/>
    </row>
    <row r="38" spans="1:16">
      <c r="A38" s="7">
        <v>1</v>
      </c>
      <c r="B38" s="18" t="s">
        <v>368</v>
      </c>
      <c r="C38" s="19"/>
      <c r="D38" s="19"/>
      <c r="E38" s="19"/>
      <c r="F38" s="19"/>
      <c r="G38" s="19"/>
      <c r="H38" s="19"/>
      <c r="I38" s="20"/>
      <c r="K38" s="30"/>
      <c r="L38" s="22"/>
      <c r="M38" s="22"/>
      <c r="N38" s="22"/>
      <c r="O38" s="22"/>
      <c r="P38" s="22"/>
    </row>
    <row r="39" spans="1:16">
      <c r="A39" s="7">
        <v>2</v>
      </c>
      <c r="B39" s="18" t="s">
        <v>367</v>
      </c>
      <c r="C39" s="19"/>
      <c r="D39" s="19"/>
      <c r="E39" s="19"/>
      <c r="F39" s="19"/>
      <c r="G39" s="19"/>
      <c r="H39" s="19"/>
      <c r="I39" s="20"/>
      <c r="K39" s="30"/>
    </row>
    <row r="40" spans="1:16">
      <c r="A40" s="7">
        <v>3</v>
      </c>
      <c r="B40" s="229" t="s">
        <v>183</v>
      </c>
      <c r="C40" s="230"/>
      <c r="D40" s="230"/>
      <c r="E40" s="230"/>
      <c r="F40" s="230"/>
      <c r="G40" s="230"/>
      <c r="H40" s="230"/>
      <c r="I40" s="231"/>
    </row>
    <row r="42" spans="1:16">
      <c r="A42" s="35" t="s">
        <v>143</v>
      </c>
      <c r="E42" s="32" t="s">
        <v>556</v>
      </c>
    </row>
    <row r="43" spans="1:16">
      <c r="A43" s="7">
        <v>0</v>
      </c>
      <c r="B43" s="1" t="s">
        <v>493</v>
      </c>
      <c r="E43" s="859">
        <v>0</v>
      </c>
      <c r="F43" s="856" t="str">
        <f>IF(E43=2,"Budgets submitted to the Institute must be approved by the school board.
Please submit a request for an extension of the due date to charters@suny.edu.","")</f>
        <v/>
      </c>
    </row>
    <row r="44" spans="1:16">
      <c r="A44" s="7">
        <v>1</v>
      </c>
      <c r="B44" s="4" t="s">
        <v>144</v>
      </c>
      <c r="F44" s="858"/>
    </row>
    <row r="45" spans="1:16">
      <c r="A45" s="7">
        <v>2</v>
      </c>
      <c r="B45" s="4" t="s">
        <v>145</v>
      </c>
    </row>
    <row r="46" spans="1:16">
      <c r="A46" s="7">
        <v>3</v>
      </c>
      <c r="B46" s="4" t="s">
        <v>146</v>
      </c>
    </row>
    <row r="48" spans="1:16" ht="15.75" thickBot="1">
      <c r="A48" s="35" t="s">
        <v>141</v>
      </c>
    </row>
    <row r="49" spans="1:23" ht="15" customHeight="1">
      <c r="B49" s="45" t="s">
        <v>149</v>
      </c>
      <c r="D49"/>
      <c r="E49"/>
      <c r="F49"/>
      <c r="G49"/>
      <c r="H49"/>
      <c r="I49"/>
      <c r="K49"/>
      <c r="L49"/>
      <c r="M49"/>
      <c r="N49"/>
      <c r="O49"/>
      <c r="P49"/>
      <c r="Q49"/>
    </row>
    <row r="50" spans="1:23" ht="15.75" thickBot="1">
      <c r="B50" s="234" t="s">
        <v>147</v>
      </c>
      <c r="C50" s="1124" t="s">
        <v>186</v>
      </c>
      <c r="D50"/>
      <c r="E50"/>
      <c r="F50" s="485" t="s">
        <v>329</v>
      </c>
      <c r="G50"/>
      <c r="H50"/>
      <c r="I50"/>
      <c r="K50"/>
      <c r="L50" s="485" t="s">
        <v>330</v>
      </c>
      <c r="M50"/>
      <c r="N50"/>
      <c r="O50"/>
      <c r="P50"/>
      <c r="Q50"/>
      <c r="T50" s="485" t="s">
        <v>141</v>
      </c>
    </row>
    <row r="51" spans="1:23">
      <c r="B51" s="32"/>
      <c r="C51" s="1125"/>
      <c r="D51"/>
      <c r="E51" s="32" t="s">
        <v>331</v>
      </c>
      <c r="F51" s="618" t="s">
        <v>194</v>
      </c>
      <c r="G51" s="618" t="s">
        <v>195</v>
      </c>
      <c r="H51" s="618" t="s">
        <v>196</v>
      </c>
      <c r="I51" s="619" t="s">
        <v>197</v>
      </c>
      <c r="J51" s="826" t="s">
        <v>519</v>
      </c>
      <c r="K51"/>
      <c r="L51" s="618" t="s">
        <v>194</v>
      </c>
      <c r="M51" s="618" t="s">
        <v>195</v>
      </c>
      <c r="N51" s="618" t="s">
        <v>196</v>
      </c>
      <c r="O51" s="619" t="s">
        <v>197</v>
      </c>
      <c r="P51" s="826" t="s">
        <v>519</v>
      </c>
      <c r="Q51"/>
      <c r="T51" s="486" t="s">
        <v>194</v>
      </c>
      <c r="U51" s="486" t="s">
        <v>195</v>
      </c>
      <c r="V51" s="486" t="s">
        <v>196</v>
      </c>
      <c r="W51" s="487" t="s">
        <v>197</v>
      </c>
    </row>
    <row r="52" spans="1:23">
      <c r="A52" s="4">
        <v>1</v>
      </c>
      <c r="B52" s="477" t="str">
        <f>IF(OR('2.) Enrollment'!C22=$B$109,ISBLANK('2.) Enrollment'!C22)),"-",'2.) Enrollment'!C22)</f>
        <v>-</v>
      </c>
      <c r="C52" s="233">
        <f>IF(ISNA(MATCH(School,$M$15:$M$27,0)),1,0)*IFERROR(VLOOKUP($B52,'Funding by District'!$D$6:$F$683,3,FALSE),0)</f>
        <v>0</v>
      </c>
      <c r="D52"/>
      <c r="E52">
        <f>SUM(T52:W52)/4</f>
        <v>0</v>
      </c>
      <c r="F52" s="321">
        <f>$C52*'2.) Enrollment'!G22*'4.) Yearly Budget'!$J$17</f>
        <v>0</v>
      </c>
      <c r="G52" s="321">
        <f>$C52*'2.) Enrollment'!I22*'4.) Yearly Budget'!$M$17</f>
        <v>0</v>
      </c>
      <c r="H52" s="321">
        <f>$C52*'2.) Enrollment'!K22*'4.) Yearly Budget'!$P$17</f>
        <v>0</v>
      </c>
      <c r="I52" s="321">
        <f>$C52*'2.) Enrollment'!M22*'4.) Yearly Budget'!$S$17</f>
        <v>0</v>
      </c>
      <c r="J52" s="827">
        <f>SUM(F52:I52)</f>
        <v>0</v>
      </c>
      <c r="K52"/>
      <c r="L52" s="321">
        <f>$C52*'2.) Enrollment'!H22*'4.) Yearly Budget'!$K$17</f>
        <v>0</v>
      </c>
      <c r="M52" s="321">
        <f>$C52*'2.) Enrollment'!J22*'4.) Yearly Budget'!$N$17</f>
        <v>0</v>
      </c>
      <c r="N52" s="321">
        <f>$C52*'2.) Enrollment'!L22*'4.) Yearly Budget'!$Q$17</f>
        <v>0</v>
      </c>
      <c r="O52" s="321">
        <f>$C52*'2.) Enrollment'!N22*'4.) Yearly Budget'!$T$17</f>
        <v>0</v>
      </c>
      <c r="P52" s="827">
        <f>SUM(L52:O52)</f>
        <v>0</v>
      </c>
      <c r="Q52"/>
      <c r="R52">
        <f>SUM(IF(L52&gt;0,L52,F52)+IF(M52&gt;0,M52,G52)+IF(N52&gt;0,N52,H52)+IF(O52&gt;0,O52,I52))</f>
        <v>0</v>
      </c>
      <c r="T52">
        <f>IF(ISBLANK('2.) Enrollment'!H22)=TRUE,'2.) Enrollment'!G22,'2.) Enrollment'!H22)</f>
        <v>0</v>
      </c>
      <c r="U52">
        <f>IF(ISBLANK('2.) Enrollment'!J22)=TRUE,'2.) Enrollment'!I22,'2.) Enrollment'!J22)</f>
        <v>0</v>
      </c>
      <c r="V52">
        <f>IF(ISBLANK('2.) Enrollment'!L22)=TRUE,'2.) Enrollment'!K22,'2.) Enrollment'!L22)</f>
        <v>0</v>
      </c>
      <c r="W52">
        <f>IF(ISBLANK('2.) Enrollment'!N22)=TRUE,'2.) Enrollment'!M22,'2.) Enrollment'!N22)</f>
        <v>0</v>
      </c>
    </row>
    <row r="53" spans="1:23">
      <c r="A53" s="4">
        <v>2</v>
      </c>
      <c r="B53" s="477" t="str">
        <f>IF(OR('2.) Enrollment'!C23=$B$109,ISBLANK('2.) Enrollment'!C23)),"-",'2.) Enrollment'!C23)</f>
        <v>-</v>
      </c>
      <c r="C53" s="233">
        <f>IF(ISNA(MATCH(School,$M$15:$M$27,0)),1,0)*IFERROR(VLOOKUP($B53,'Funding by District'!$D$6:$F$683,3,FALSE),0)</f>
        <v>0</v>
      </c>
      <c r="D53"/>
      <c r="E53">
        <f t="shared" ref="E53:E101" si="2">SUM(T53:W53)/4</f>
        <v>0</v>
      </c>
      <c r="F53" s="321">
        <f>$C53*'2.) Enrollment'!G23*'4.) Yearly Budget'!$J$17</f>
        <v>0</v>
      </c>
      <c r="G53" s="321">
        <f>$C53*'2.) Enrollment'!I23*'4.) Yearly Budget'!$M$17</f>
        <v>0</v>
      </c>
      <c r="H53" s="321">
        <f>$C53*'2.) Enrollment'!K23*'4.) Yearly Budget'!$P$17</f>
        <v>0</v>
      </c>
      <c r="I53" s="321">
        <f>$C53*'2.) Enrollment'!M23*'4.) Yearly Budget'!$S$17</f>
        <v>0</v>
      </c>
      <c r="J53" s="827">
        <f t="shared" ref="J53:J101" si="3">SUM(F53:I53)</f>
        <v>0</v>
      </c>
      <c r="K53"/>
      <c r="L53" s="321">
        <f>$C53*'2.) Enrollment'!H23*'4.) Yearly Budget'!$K$17</f>
        <v>0</v>
      </c>
      <c r="M53" s="321">
        <f>$C53*'2.) Enrollment'!J23*'4.) Yearly Budget'!$N$17</f>
        <v>0</v>
      </c>
      <c r="N53" s="321">
        <f>$C53*'2.) Enrollment'!L23*'4.) Yearly Budget'!$Q$17</f>
        <v>0</v>
      </c>
      <c r="O53" s="321">
        <f>$C53*'2.) Enrollment'!N23*'4.) Yearly Budget'!$T$17</f>
        <v>0</v>
      </c>
      <c r="P53" s="827">
        <f t="shared" ref="P53:P101" si="4">SUM(L53:O53)</f>
        <v>0</v>
      </c>
      <c r="Q53"/>
      <c r="R53">
        <f t="shared" ref="R53:R101" si="5">SUM(IF(L53&gt;0,L53,F53)+IF(M53&gt;0,M53,G53)+IF(N53&gt;0,N53,H53)+IF(O53&gt;0,O53,I53))</f>
        <v>0</v>
      </c>
      <c r="T53">
        <f>IF(ISBLANK('2.) Enrollment'!H23)=TRUE,'2.) Enrollment'!G23,'2.) Enrollment'!H23)</f>
        <v>0</v>
      </c>
      <c r="U53">
        <f>IF(ISBLANK('2.) Enrollment'!J23)=TRUE,'2.) Enrollment'!I23,'2.) Enrollment'!J23)</f>
        <v>0</v>
      </c>
      <c r="V53">
        <f>IF(ISBLANK('2.) Enrollment'!L23)=TRUE,'2.) Enrollment'!K23,'2.) Enrollment'!L23)</f>
        <v>0</v>
      </c>
      <c r="W53">
        <f>IF(ISBLANK('2.) Enrollment'!N23)=TRUE,'2.) Enrollment'!M23,'2.) Enrollment'!N23)</f>
        <v>0</v>
      </c>
    </row>
    <row r="54" spans="1:23">
      <c r="A54" s="4">
        <v>3</v>
      </c>
      <c r="B54" s="477" t="str">
        <f>IF(OR('2.) Enrollment'!C24=$B$109,ISBLANK('2.) Enrollment'!C24)),"-",'2.) Enrollment'!C24)</f>
        <v>-</v>
      </c>
      <c r="C54" s="233">
        <f>IF(ISNA(MATCH(School,$M$15:$M$27,0)),1,0)*IFERROR(VLOOKUP($B54,'Funding by District'!$D$6:$F$683,3,FALSE),0)</f>
        <v>0</v>
      </c>
      <c r="D54"/>
      <c r="E54">
        <f t="shared" si="2"/>
        <v>0</v>
      </c>
      <c r="F54" s="321">
        <f>$C54*'2.) Enrollment'!G24*'4.) Yearly Budget'!$J$17</f>
        <v>0</v>
      </c>
      <c r="G54" s="321">
        <f>$C54*'2.) Enrollment'!I24*'4.) Yearly Budget'!$M$17</f>
        <v>0</v>
      </c>
      <c r="H54" s="321">
        <f>$C54*'2.) Enrollment'!K24*'4.) Yearly Budget'!$P$17</f>
        <v>0</v>
      </c>
      <c r="I54" s="321">
        <f>$C54*'2.) Enrollment'!M24*'4.) Yearly Budget'!$S$17</f>
        <v>0</v>
      </c>
      <c r="J54" s="827">
        <f t="shared" si="3"/>
        <v>0</v>
      </c>
      <c r="K54"/>
      <c r="L54" s="321">
        <f>$C54*'2.) Enrollment'!H24*'4.) Yearly Budget'!$K$17</f>
        <v>0</v>
      </c>
      <c r="M54" s="321">
        <f>$C54*'2.) Enrollment'!J24*'4.) Yearly Budget'!$N$17</f>
        <v>0</v>
      </c>
      <c r="N54" s="321">
        <f>$C54*'2.) Enrollment'!L24*'4.) Yearly Budget'!$Q$17</f>
        <v>0</v>
      </c>
      <c r="O54" s="321">
        <f>$C54*'2.) Enrollment'!N24*'4.) Yearly Budget'!$T$17</f>
        <v>0</v>
      </c>
      <c r="P54" s="827">
        <f t="shared" si="4"/>
        <v>0</v>
      </c>
      <c r="Q54"/>
      <c r="R54">
        <f t="shared" si="5"/>
        <v>0</v>
      </c>
      <c r="T54">
        <f>IF(ISBLANK('2.) Enrollment'!H24)=TRUE,'2.) Enrollment'!G24,'2.) Enrollment'!H24)</f>
        <v>0</v>
      </c>
      <c r="U54">
        <f>IF(ISBLANK('2.) Enrollment'!J24)=TRUE,'2.) Enrollment'!I24,'2.) Enrollment'!J24)</f>
        <v>0</v>
      </c>
      <c r="V54">
        <f>IF(ISBLANK('2.) Enrollment'!L24)=TRUE,'2.) Enrollment'!K24,'2.) Enrollment'!L24)</f>
        <v>0</v>
      </c>
      <c r="W54">
        <f>IF(ISBLANK('2.) Enrollment'!N24)=TRUE,'2.) Enrollment'!M24,'2.) Enrollment'!N24)</f>
        <v>0</v>
      </c>
    </row>
    <row r="55" spans="1:23">
      <c r="A55" s="4">
        <v>4</v>
      </c>
      <c r="B55" s="477" t="str">
        <f>IF(OR('2.) Enrollment'!C25=$B$109,ISBLANK('2.) Enrollment'!C25)),"-",'2.) Enrollment'!C25)</f>
        <v>-</v>
      </c>
      <c r="C55" s="233">
        <f>IF(ISNA(MATCH(School,$M$15:$M$27,0)),1,0)*IFERROR(VLOOKUP($B55,'Funding by District'!$D$6:$F$683,3,FALSE),0)</f>
        <v>0</v>
      </c>
      <c r="D55"/>
      <c r="E55">
        <f t="shared" si="2"/>
        <v>0</v>
      </c>
      <c r="F55" s="321">
        <f>$C55*'2.) Enrollment'!G25*'4.) Yearly Budget'!$J$17</f>
        <v>0</v>
      </c>
      <c r="G55" s="321">
        <f>$C55*'2.) Enrollment'!I25*'4.) Yearly Budget'!$M$17</f>
        <v>0</v>
      </c>
      <c r="H55" s="321">
        <f>$C55*'2.) Enrollment'!K25*'4.) Yearly Budget'!$P$17</f>
        <v>0</v>
      </c>
      <c r="I55" s="321">
        <f>$C55*'2.) Enrollment'!M25*'4.) Yearly Budget'!$S$17</f>
        <v>0</v>
      </c>
      <c r="J55" s="827">
        <f t="shared" si="3"/>
        <v>0</v>
      </c>
      <c r="K55"/>
      <c r="L55" s="321">
        <f>$C55*'2.) Enrollment'!H25*'4.) Yearly Budget'!$K$17</f>
        <v>0</v>
      </c>
      <c r="M55" s="321">
        <f>$C55*'2.) Enrollment'!J25*'4.) Yearly Budget'!$N$17</f>
        <v>0</v>
      </c>
      <c r="N55" s="321">
        <f>$C55*'2.) Enrollment'!L25*'4.) Yearly Budget'!$Q$17</f>
        <v>0</v>
      </c>
      <c r="O55" s="321">
        <f>$C55*'2.) Enrollment'!N25*'4.) Yearly Budget'!$T$17</f>
        <v>0</v>
      </c>
      <c r="P55" s="827">
        <f t="shared" si="4"/>
        <v>0</v>
      </c>
      <c r="Q55"/>
      <c r="R55">
        <f t="shared" si="5"/>
        <v>0</v>
      </c>
      <c r="T55">
        <f>IF(ISBLANK('2.) Enrollment'!H25)=TRUE,'2.) Enrollment'!G25,'2.) Enrollment'!H25)</f>
        <v>0</v>
      </c>
      <c r="U55">
        <f>IF(ISBLANK('2.) Enrollment'!J25)=TRUE,'2.) Enrollment'!I25,'2.) Enrollment'!J25)</f>
        <v>0</v>
      </c>
      <c r="V55">
        <f>IF(ISBLANK('2.) Enrollment'!L25)=TRUE,'2.) Enrollment'!K25,'2.) Enrollment'!L25)</f>
        <v>0</v>
      </c>
      <c r="W55">
        <f>IF(ISBLANK('2.) Enrollment'!N25)=TRUE,'2.) Enrollment'!M25,'2.) Enrollment'!N25)</f>
        <v>0</v>
      </c>
    </row>
    <row r="56" spans="1:23">
      <c r="A56" s="4">
        <v>5</v>
      </c>
      <c r="B56" s="477" t="str">
        <f>IF(OR('2.) Enrollment'!C26=$B$109,ISBLANK('2.) Enrollment'!C26)),"-",'2.) Enrollment'!C26)</f>
        <v>-</v>
      </c>
      <c r="C56" s="233">
        <f>IF(ISNA(MATCH(School,$M$15:$M$27,0)),1,0)*IFERROR(VLOOKUP($B56,'Funding by District'!$D$6:$F$683,3,FALSE),0)</f>
        <v>0</v>
      </c>
      <c r="D56"/>
      <c r="E56">
        <f t="shared" si="2"/>
        <v>0</v>
      </c>
      <c r="F56" s="321">
        <f>$C56*'2.) Enrollment'!G26*'4.) Yearly Budget'!$J$17</f>
        <v>0</v>
      </c>
      <c r="G56" s="321">
        <f>$C56*'2.) Enrollment'!I26*'4.) Yearly Budget'!$M$17</f>
        <v>0</v>
      </c>
      <c r="H56" s="321">
        <f>$C56*'2.) Enrollment'!K26*'4.) Yearly Budget'!$P$17</f>
        <v>0</v>
      </c>
      <c r="I56" s="321">
        <f>$C56*'2.) Enrollment'!M26*'4.) Yearly Budget'!$S$17</f>
        <v>0</v>
      </c>
      <c r="J56" s="827">
        <f t="shared" si="3"/>
        <v>0</v>
      </c>
      <c r="K56"/>
      <c r="L56" s="321">
        <f>$C56*'2.) Enrollment'!H26*'4.) Yearly Budget'!$K$17</f>
        <v>0</v>
      </c>
      <c r="M56" s="321">
        <f>$C56*'2.) Enrollment'!J26*'4.) Yearly Budget'!$N$17</f>
        <v>0</v>
      </c>
      <c r="N56" s="321">
        <f>$C56*'2.) Enrollment'!L26*'4.) Yearly Budget'!$Q$17</f>
        <v>0</v>
      </c>
      <c r="O56" s="321">
        <f>$C56*'2.) Enrollment'!N26*'4.) Yearly Budget'!$T$17</f>
        <v>0</v>
      </c>
      <c r="P56" s="827">
        <f t="shared" si="4"/>
        <v>0</v>
      </c>
      <c r="Q56"/>
      <c r="R56">
        <f t="shared" si="5"/>
        <v>0</v>
      </c>
      <c r="T56">
        <f>IF(ISBLANK('2.) Enrollment'!H26)=TRUE,'2.) Enrollment'!G26,'2.) Enrollment'!H26)</f>
        <v>0</v>
      </c>
      <c r="U56">
        <f>IF(ISBLANK('2.) Enrollment'!J26)=TRUE,'2.) Enrollment'!I26,'2.) Enrollment'!J26)</f>
        <v>0</v>
      </c>
      <c r="V56">
        <f>IF(ISBLANK('2.) Enrollment'!L26)=TRUE,'2.) Enrollment'!K26,'2.) Enrollment'!L26)</f>
        <v>0</v>
      </c>
      <c r="W56">
        <f>IF(ISBLANK('2.) Enrollment'!N26)=TRUE,'2.) Enrollment'!M26,'2.) Enrollment'!N26)</f>
        <v>0</v>
      </c>
    </row>
    <row r="57" spans="1:23">
      <c r="A57" s="4">
        <v>6</v>
      </c>
      <c r="B57" s="477" t="str">
        <f>IF(OR('2.) Enrollment'!C27=$B$109,ISBLANK('2.) Enrollment'!C27)),"-",'2.) Enrollment'!C27)</f>
        <v>-</v>
      </c>
      <c r="C57" s="233">
        <f>IF(ISNA(MATCH(School,$M$15:$M$27,0)),1,0)*IFERROR(VLOOKUP($B57,'Funding by District'!$D$6:$F$683,3,FALSE),0)</f>
        <v>0</v>
      </c>
      <c r="D57"/>
      <c r="E57">
        <f t="shared" si="2"/>
        <v>0</v>
      </c>
      <c r="F57" s="321">
        <f>$C57*'2.) Enrollment'!G27*'4.) Yearly Budget'!$J$17</f>
        <v>0</v>
      </c>
      <c r="G57" s="321">
        <f>$C57*'2.) Enrollment'!I27*'4.) Yearly Budget'!$M$17</f>
        <v>0</v>
      </c>
      <c r="H57" s="321">
        <f>$C57*'2.) Enrollment'!K27*'4.) Yearly Budget'!$P$17</f>
        <v>0</v>
      </c>
      <c r="I57" s="321">
        <f>$C57*'2.) Enrollment'!M27*'4.) Yearly Budget'!$S$17</f>
        <v>0</v>
      </c>
      <c r="J57" s="827">
        <f t="shared" si="3"/>
        <v>0</v>
      </c>
      <c r="K57"/>
      <c r="L57" s="321">
        <f>$C57*'2.) Enrollment'!H27*'4.) Yearly Budget'!$K$17</f>
        <v>0</v>
      </c>
      <c r="M57" s="321">
        <f>$C57*'2.) Enrollment'!J27*'4.) Yearly Budget'!$N$17</f>
        <v>0</v>
      </c>
      <c r="N57" s="321">
        <f>$C57*'2.) Enrollment'!L27*'4.) Yearly Budget'!$Q$17</f>
        <v>0</v>
      </c>
      <c r="O57" s="321">
        <f>$C57*'2.) Enrollment'!N27*'4.) Yearly Budget'!$T$17</f>
        <v>0</v>
      </c>
      <c r="P57" s="827">
        <f t="shared" si="4"/>
        <v>0</v>
      </c>
      <c r="Q57"/>
      <c r="R57">
        <f t="shared" si="5"/>
        <v>0</v>
      </c>
      <c r="T57">
        <f>IF(ISBLANK('2.) Enrollment'!H27)=TRUE,'2.) Enrollment'!G27,'2.) Enrollment'!H27)</f>
        <v>0</v>
      </c>
      <c r="U57">
        <f>IF(ISBLANK('2.) Enrollment'!J27)=TRUE,'2.) Enrollment'!I27,'2.) Enrollment'!J27)</f>
        <v>0</v>
      </c>
      <c r="V57">
        <f>IF(ISBLANK('2.) Enrollment'!L27)=TRUE,'2.) Enrollment'!K27,'2.) Enrollment'!L27)</f>
        <v>0</v>
      </c>
      <c r="W57">
        <f>IF(ISBLANK('2.) Enrollment'!N27)=TRUE,'2.) Enrollment'!M27,'2.) Enrollment'!N27)</f>
        <v>0</v>
      </c>
    </row>
    <row r="58" spans="1:23">
      <c r="A58" s="4">
        <v>7</v>
      </c>
      <c r="B58" s="477" t="str">
        <f>IF(OR('2.) Enrollment'!C28=$B$109,ISBLANK('2.) Enrollment'!C28)),"-",'2.) Enrollment'!C28)</f>
        <v>-</v>
      </c>
      <c r="C58" s="233">
        <f>IF(ISNA(MATCH(School,$M$15:$M$27,0)),1,0)*IFERROR(VLOOKUP($B58,'Funding by District'!$D$6:$F$683,3,FALSE),0)</f>
        <v>0</v>
      </c>
      <c r="D58"/>
      <c r="E58">
        <f t="shared" si="2"/>
        <v>0</v>
      </c>
      <c r="F58" s="321">
        <f>$C58*'2.) Enrollment'!G28*'4.) Yearly Budget'!$J$17</f>
        <v>0</v>
      </c>
      <c r="G58" s="321">
        <f>$C58*'2.) Enrollment'!I28*'4.) Yearly Budget'!$M$17</f>
        <v>0</v>
      </c>
      <c r="H58" s="321">
        <f>$C58*'2.) Enrollment'!K28*'4.) Yearly Budget'!$P$17</f>
        <v>0</v>
      </c>
      <c r="I58" s="321">
        <f>$C58*'2.) Enrollment'!M28*'4.) Yearly Budget'!$S$17</f>
        <v>0</v>
      </c>
      <c r="J58" s="827">
        <f t="shared" si="3"/>
        <v>0</v>
      </c>
      <c r="K58"/>
      <c r="L58" s="321">
        <f>$C58*'2.) Enrollment'!H28*'4.) Yearly Budget'!$K$17</f>
        <v>0</v>
      </c>
      <c r="M58" s="321">
        <f>$C58*'2.) Enrollment'!J28*'4.) Yearly Budget'!$N$17</f>
        <v>0</v>
      </c>
      <c r="N58" s="321">
        <f>$C58*'2.) Enrollment'!L28*'4.) Yearly Budget'!$Q$17</f>
        <v>0</v>
      </c>
      <c r="O58" s="321">
        <f>$C58*'2.) Enrollment'!N28*'4.) Yearly Budget'!$T$17</f>
        <v>0</v>
      </c>
      <c r="P58" s="827">
        <f t="shared" si="4"/>
        <v>0</v>
      </c>
      <c r="Q58"/>
      <c r="R58">
        <f t="shared" si="5"/>
        <v>0</v>
      </c>
      <c r="T58">
        <f>IF(ISBLANK('2.) Enrollment'!H28)=TRUE,'2.) Enrollment'!G28,'2.) Enrollment'!H28)</f>
        <v>0</v>
      </c>
      <c r="U58">
        <f>IF(ISBLANK('2.) Enrollment'!J28)=TRUE,'2.) Enrollment'!I28,'2.) Enrollment'!J28)</f>
        <v>0</v>
      </c>
      <c r="V58">
        <f>IF(ISBLANK('2.) Enrollment'!L28)=TRUE,'2.) Enrollment'!K28,'2.) Enrollment'!L28)</f>
        <v>0</v>
      </c>
      <c r="W58">
        <f>IF(ISBLANK('2.) Enrollment'!N28)=TRUE,'2.) Enrollment'!M28,'2.) Enrollment'!N28)</f>
        <v>0</v>
      </c>
    </row>
    <row r="59" spans="1:23">
      <c r="A59" s="4">
        <v>8</v>
      </c>
      <c r="B59" s="477" t="str">
        <f>IF(OR('2.) Enrollment'!C29=$B$109,ISBLANK('2.) Enrollment'!C29)),"-",'2.) Enrollment'!C29)</f>
        <v>-</v>
      </c>
      <c r="C59" s="233">
        <f>IF(ISNA(MATCH(School,$M$15:$M$27,0)),1,0)*IFERROR(VLOOKUP($B59,'Funding by District'!$D$6:$F$683,3,FALSE),0)</f>
        <v>0</v>
      </c>
      <c r="D59"/>
      <c r="E59">
        <f t="shared" si="2"/>
        <v>0</v>
      </c>
      <c r="F59" s="321">
        <f>$C59*'2.) Enrollment'!G29*'4.) Yearly Budget'!$J$17</f>
        <v>0</v>
      </c>
      <c r="G59" s="321">
        <f>$C59*'2.) Enrollment'!I29*'4.) Yearly Budget'!$M$17</f>
        <v>0</v>
      </c>
      <c r="H59" s="321">
        <f>$C59*'2.) Enrollment'!K29*'4.) Yearly Budget'!$P$17</f>
        <v>0</v>
      </c>
      <c r="I59" s="321">
        <f>$C59*'2.) Enrollment'!M29*'4.) Yearly Budget'!$S$17</f>
        <v>0</v>
      </c>
      <c r="J59" s="827">
        <f t="shared" si="3"/>
        <v>0</v>
      </c>
      <c r="K59"/>
      <c r="L59" s="321">
        <f>$C59*'2.) Enrollment'!H29*'4.) Yearly Budget'!$K$17</f>
        <v>0</v>
      </c>
      <c r="M59" s="321">
        <f>$C59*'2.) Enrollment'!J29*'4.) Yearly Budget'!$N$17</f>
        <v>0</v>
      </c>
      <c r="N59" s="321">
        <f>$C59*'2.) Enrollment'!L29*'4.) Yearly Budget'!$Q$17</f>
        <v>0</v>
      </c>
      <c r="O59" s="321">
        <f>$C59*'2.) Enrollment'!N29*'4.) Yearly Budget'!$T$17</f>
        <v>0</v>
      </c>
      <c r="P59" s="827">
        <f t="shared" si="4"/>
        <v>0</v>
      </c>
      <c r="Q59"/>
      <c r="R59">
        <f t="shared" si="5"/>
        <v>0</v>
      </c>
      <c r="T59">
        <f>IF(ISBLANK('2.) Enrollment'!H29)=TRUE,'2.) Enrollment'!G29,'2.) Enrollment'!H29)</f>
        <v>0</v>
      </c>
      <c r="U59">
        <f>IF(ISBLANK('2.) Enrollment'!J29)=TRUE,'2.) Enrollment'!I29,'2.) Enrollment'!J29)</f>
        <v>0</v>
      </c>
      <c r="V59">
        <f>IF(ISBLANK('2.) Enrollment'!L29)=TRUE,'2.) Enrollment'!K29,'2.) Enrollment'!L29)</f>
        <v>0</v>
      </c>
      <c r="W59">
        <f>IF(ISBLANK('2.) Enrollment'!N29)=TRUE,'2.) Enrollment'!M29,'2.) Enrollment'!N29)</f>
        <v>0</v>
      </c>
    </row>
    <row r="60" spans="1:23">
      <c r="A60" s="4">
        <v>9</v>
      </c>
      <c r="B60" s="477" t="str">
        <f>IF(OR('2.) Enrollment'!C30=$B$109,ISBLANK('2.) Enrollment'!C30)),"-",'2.) Enrollment'!C30)</f>
        <v>-</v>
      </c>
      <c r="C60" s="233">
        <f>IF(ISNA(MATCH(School,$M$15:$M$27,0)),1,0)*IFERROR(VLOOKUP($B60,'Funding by District'!$D$6:$F$683,3,FALSE),0)</f>
        <v>0</v>
      </c>
      <c r="D60"/>
      <c r="E60">
        <f t="shared" si="2"/>
        <v>0</v>
      </c>
      <c r="F60" s="321">
        <f>$C60*'2.) Enrollment'!G30*'4.) Yearly Budget'!$J$17</f>
        <v>0</v>
      </c>
      <c r="G60" s="321">
        <f>$C60*'2.) Enrollment'!I30*'4.) Yearly Budget'!$M$17</f>
        <v>0</v>
      </c>
      <c r="H60" s="321">
        <f>$C60*'2.) Enrollment'!K30*'4.) Yearly Budget'!$P$17</f>
        <v>0</v>
      </c>
      <c r="I60" s="321">
        <f>$C60*'2.) Enrollment'!M30*'4.) Yearly Budget'!$S$17</f>
        <v>0</v>
      </c>
      <c r="J60" s="827">
        <f t="shared" si="3"/>
        <v>0</v>
      </c>
      <c r="K60"/>
      <c r="L60" s="321">
        <f>$C60*'2.) Enrollment'!H30*'4.) Yearly Budget'!$K$17</f>
        <v>0</v>
      </c>
      <c r="M60" s="321">
        <f>$C60*'2.) Enrollment'!J30*'4.) Yearly Budget'!$N$17</f>
        <v>0</v>
      </c>
      <c r="N60" s="321">
        <f>$C60*'2.) Enrollment'!L30*'4.) Yearly Budget'!$Q$17</f>
        <v>0</v>
      </c>
      <c r="O60" s="321">
        <f>$C60*'2.) Enrollment'!N30*'4.) Yearly Budget'!$T$17</f>
        <v>0</v>
      </c>
      <c r="P60" s="827">
        <f t="shared" si="4"/>
        <v>0</v>
      </c>
      <c r="Q60"/>
      <c r="R60">
        <f t="shared" si="5"/>
        <v>0</v>
      </c>
      <c r="T60">
        <f>IF(ISBLANK('2.) Enrollment'!H30)=TRUE,'2.) Enrollment'!G30,'2.) Enrollment'!H30)</f>
        <v>0</v>
      </c>
      <c r="U60">
        <f>IF(ISBLANK('2.) Enrollment'!J30)=TRUE,'2.) Enrollment'!I30,'2.) Enrollment'!J30)</f>
        <v>0</v>
      </c>
      <c r="V60">
        <f>IF(ISBLANK('2.) Enrollment'!L30)=TRUE,'2.) Enrollment'!K30,'2.) Enrollment'!L30)</f>
        <v>0</v>
      </c>
      <c r="W60">
        <f>IF(ISBLANK('2.) Enrollment'!N30)=TRUE,'2.) Enrollment'!M30,'2.) Enrollment'!N30)</f>
        <v>0</v>
      </c>
    </row>
    <row r="61" spans="1:23">
      <c r="A61" s="4">
        <v>10</v>
      </c>
      <c r="B61" s="477" t="str">
        <f>IF(OR('2.) Enrollment'!C31=$B$109,ISBLANK('2.) Enrollment'!C31)),"-",'2.) Enrollment'!C31)</f>
        <v>-</v>
      </c>
      <c r="C61" s="233">
        <f>IF(ISNA(MATCH(School,$M$15:$M$27,0)),1,0)*IFERROR(VLOOKUP($B61,'Funding by District'!$D$6:$F$683,3,FALSE),0)</f>
        <v>0</v>
      </c>
      <c r="D61"/>
      <c r="E61">
        <f t="shared" si="2"/>
        <v>0</v>
      </c>
      <c r="F61" s="321">
        <f>$C61*'2.) Enrollment'!G31*'4.) Yearly Budget'!$J$17</f>
        <v>0</v>
      </c>
      <c r="G61" s="321">
        <f>$C61*'2.) Enrollment'!I31*'4.) Yearly Budget'!$M$17</f>
        <v>0</v>
      </c>
      <c r="H61" s="321">
        <f>$C61*'2.) Enrollment'!K31*'4.) Yearly Budget'!$P$17</f>
        <v>0</v>
      </c>
      <c r="I61" s="321">
        <f>$C61*'2.) Enrollment'!M31*'4.) Yearly Budget'!$S$17</f>
        <v>0</v>
      </c>
      <c r="J61" s="827">
        <f t="shared" si="3"/>
        <v>0</v>
      </c>
      <c r="K61"/>
      <c r="L61" s="321">
        <f>$C61*'2.) Enrollment'!H31*'4.) Yearly Budget'!$K$17</f>
        <v>0</v>
      </c>
      <c r="M61" s="321">
        <f>$C61*'2.) Enrollment'!J31*'4.) Yearly Budget'!$N$17</f>
        <v>0</v>
      </c>
      <c r="N61" s="321">
        <f>$C61*'2.) Enrollment'!L31*'4.) Yearly Budget'!$Q$17</f>
        <v>0</v>
      </c>
      <c r="O61" s="321">
        <f>$C61*'2.) Enrollment'!N31*'4.) Yearly Budget'!$T$17</f>
        <v>0</v>
      </c>
      <c r="P61" s="827">
        <f t="shared" si="4"/>
        <v>0</v>
      </c>
      <c r="Q61"/>
      <c r="R61">
        <f t="shared" si="5"/>
        <v>0</v>
      </c>
      <c r="T61">
        <f>IF(ISBLANK('2.) Enrollment'!H31)=TRUE,'2.) Enrollment'!G31,'2.) Enrollment'!H31)</f>
        <v>0</v>
      </c>
      <c r="U61">
        <f>IF(ISBLANK('2.) Enrollment'!J31)=TRUE,'2.) Enrollment'!I31,'2.) Enrollment'!J31)</f>
        <v>0</v>
      </c>
      <c r="V61">
        <f>IF(ISBLANK('2.) Enrollment'!L31)=TRUE,'2.) Enrollment'!K31,'2.) Enrollment'!L31)</f>
        <v>0</v>
      </c>
      <c r="W61">
        <f>IF(ISBLANK('2.) Enrollment'!N31)=TRUE,'2.) Enrollment'!M31,'2.) Enrollment'!N31)</f>
        <v>0</v>
      </c>
    </row>
    <row r="62" spans="1:23">
      <c r="A62" s="4">
        <v>11</v>
      </c>
      <c r="B62" s="477" t="str">
        <f>IF(OR('2.) Enrollment'!C32=$B$109,ISBLANK('2.) Enrollment'!C32)),"-",'2.) Enrollment'!C32)</f>
        <v>-</v>
      </c>
      <c r="C62" s="233">
        <f>IF(ISNA(MATCH(School,$M$15:$M$27,0)),1,0)*IFERROR(VLOOKUP($B62,'Funding by District'!$D$6:$F$683,3,FALSE),0)</f>
        <v>0</v>
      </c>
      <c r="D62"/>
      <c r="E62">
        <f t="shared" si="2"/>
        <v>0</v>
      </c>
      <c r="F62" s="321">
        <f>$C62*'2.) Enrollment'!G32*'4.) Yearly Budget'!$J$17</f>
        <v>0</v>
      </c>
      <c r="G62" s="321">
        <f>$C62*'2.) Enrollment'!I32*'4.) Yearly Budget'!$M$17</f>
        <v>0</v>
      </c>
      <c r="H62" s="321">
        <f>$C62*'2.) Enrollment'!K32*'4.) Yearly Budget'!$P$17</f>
        <v>0</v>
      </c>
      <c r="I62" s="321">
        <f>$C62*'2.) Enrollment'!M32*'4.) Yearly Budget'!$S$17</f>
        <v>0</v>
      </c>
      <c r="J62" s="827">
        <f t="shared" si="3"/>
        <v>0</v>
      </c>
      <c r="K62"/>
      <c r="L62" s="321">
        <f>$C62*'2.) Enrollment'!H32*'4.) Yearly Budget'!$K$17</f>
        <v>0</v>
      </c>
      <c r="M62" s="321">
        <f>$C62*'2.) Enrollment'!J32*'4.) Yearly Budget'!$N$17</f>
        <v>0</v>
      </c>
      <c r="N62" s="321">
        <f>$C62*'2.) Enrollment'!L32*'4.) Yearly Budget'!$Q$17</f>
        <v>0</v>
      </c>
      <c r="O62" s="321">
        <f>$C62*'2.) Enrollment'!N32*'4.) Yearly Budget'!$T$17</f>
        <v>0</v>
      </c>
      <c r="P62" s="827">
        <f t="shared" si="4"/>
        <v>0</v>
      </c>
      <c r="Q62"/>
      <c r="R62">
        <f t="shared" si="5"/>
        <v>0</v>
      </c>
      <c r="T62">
        <f>IF(ISBLANK('2.) Enrollment'!H32)=TRUE,'2.) Enrollment'!G32,'2.) Enrollment'!H32)</f>
        <v>0</v>
      </c>
      <c r="U62">
        <f>IF(ISBLANK('2.) Enrollment'!J32)=TRUE,'2.) Enrollment'!I32,'2.) Enrollment'!J32)</f>
        <v>0</v>
      </c>
      <c r="V62">
        <f>IF(ISBLANK('2.) Enrollment'!L32)=TRUE,'2.) Enrollment'!K32,'2.) Enrollment'!L32)</f>
        <v>0</v>
      </c>
      <c r="W62">
        <f>IF(ISBLANK('2.) Enrollment'!N32)=TRUE,'2.) Enrollment'!M32,'2.) Enrollment'!N32)</f>
        <v>0</v>
      </c>
    </row>
    <row r="63" spans="1:23">
      <c r="A63" s="4">
        <v>12</v>
      </c>
      <c r="B63" s="477" t="str">
        <f>IF(OR('2.) Enrollment'!C33=$B$109,ISBLANK('2.) Enrollment'!C33)),"-",'2.) Enrollment'!C33)</f>
        <v>-</v>
      </c>
      <c r="C63" s="233">
        <f>IF(ISNA(MATCH(School,$M$15:$M$27,0)),1,0)*IFERROR(VLOOKUP($B63,'Funding by District'!$D$6:$F$683,3,FALSE),0)</f>
        <v>0</v>
      </c>
      <c r="D63"/>
      <c r="E63">
        <f t="shared" si="2"/>
        <v>0</v>
      </c>
      <c r="F63" s="321">
        <f>$C63*'2.) Enrollment'!G33*'4.) Yearly Budget'!$J$17</f>
        <v>0</v>
      </c>
      <c r="G63" s="321">
        <f>$C63*'2.) Enrollment'!I33*'4.) Yearly Budget'!$M$17</f>
        <v>0</v>
      </c>
      <c r="H63" s="321">
        <f>$C63*'2.) Enrollment'!K33*'4.) Yearly Budget'!$P$17</f>
        <v>0</v>
      </c>
      <c r="I63" s="321">
        <f>$C63*'2.) Enrollment'!M33*'4.) Yearly Budget'!$S$17</f>
        <v>0</v>
      </c>
      <c r="J63" s="827">
        <f t="shared" si="3"/>
        <v>0</v>
      </c>
      <c r="K63"/>
      <c r="L63" s="321">
        <f>$C63*'2.) Enrollment'!H33*'4.) Yearly Budget'!$K$17</f>
        <v>0</v>
      </c>
      <c r="M63" s="321">
        <f>$C63*'2.) Enrollment'!J33*'4.) Yearly Budget'!$N$17</f>
        <v>0</v>
      </c>
      <c r="N63" s="321">
        <f>$C63*'2.) Enrollment'!L33*'4.) Yearly Budget'!$Q$17</f>
        <v>0</v>
      </c>
      <c r="O63" s="321">
        <f>$C63*'2.) Enrollment'!N33*'4.) Yearly Budget'!$T$17</f>
        <v>0</v>
      </c>
      <c r="P63" s="827">
        <f t="shared" si="4"/>
        <v>0</v>
      </c>
      <c r="Q63"/>
      <c r="R63">
        <f t="shared" si="5"/>
        <v>0</v>
      </c>
      <c r="T63">
        <f>IF(ISBLANK('2.) Enrollment'!H33)=TRUE,'2.) Enrollment'!G33,'2.) Enrollment'!H33)</f>
        <v>0</v>
      </c>
      <c r="U63">
        <f>IF(ISBLANK('2.) Enrollment'!J33)=TRUE,'2.) Enrollment'!I33,'2.) Enrollment'!J33)</f>
        <v>0</v>
      </c>
      <c r="V63">
        <f>IF(ISBLANK('2.) Enrollment'!L33)=TRUE,'2.) Enrollment'!K33,'2.) Enrollment'!L33)</f>
        <v>0</v>
      </c>
      <c r="W63">
        <f>IF(ISBLANK('2.) Enrollment'!N33)=TRUE,'2.) Enrollment'!M33,'2.) Enrollment'!N33)</f>
        <v>0</v>
      </c>
    </row>
    <row r="64" spans="1:23">
      <c r="A64" s="4">
        <v>13</v>
      </c>
      <c r="B64" s="477" t="str">
        <f>IF(OR('2.) Enrollment'!C34=$B$109,ISBLANK('2.) Enrollment'!C34)),"-",'2.) Enrollment'!C34)</f>
        <v>-</v>
      </c>
      <c r="C64" s="233">
        <f>IF(ISNA(MATCH(School,$M$15:$M$27,0)),1,0)*IFERROR(VLOOKUP($B64,'Funding by District'!$D$6:$F$683,3,FALSE),0)</f>
        <v>0</v>
      </c>
      <c r="D64"/>
      <c r="E64">
        <f t="shared" si="2"/>
        <v>0</v>
      </c>
      <c r="F64" s="321">
        <f>$C64*'2.) Enrollment'!G34*'4.) Yearly Budget'!$J$17</f>
        <v>0</v>
      </c>
      <c r="G64" s="321">
        <f>$C64*'2.) Enrollment'!I34*'4.) Yearly Budget'!$M$17</f>
        <v>0</v>
      </c>
      <c r="H64" s="321">
        <f>$C64*'2.) Enrollment'!K34*'4.) Yearly Budget'!$P$17</f>
        <v>0</v>
      </c>
      <c r="I64" s="321">
        <f>$C64*'2.) Enrollment'!M34*'4.) Yearly Budget'!$S$17</f>
        <v>0</v>
      </c>
      <c r="J64" s="827">
        <f t="shared" si="3"/>
        <v>0</v>
      </c>
      <c r="K64"/>
      <c r="L64" s="321">
        <f>$C64*'2.) Enrollment'!H34*'4.) Yearly Budget'!$K$17</f>
        <v>0</v>
      </c>
      <c r="M64" s="321">
        <f>$C64*'2.) Enrollment'!J34*'4.) Yearly Budget'!$N$17</f>
        <v>0</v>
      </c>
      <c r="N64" s="321">
        <f>$C64*'2.) Enrollment'!L34*'4.) Yearly Budget'!$Q$17</f>
        <v>0</v>
      </c>
      <c r="O64" s="321">
        <f>$C64*'2.) Enrollment'!N34*'4.) Yearly Budget'!$T$17</f>
        <v>0</v>
      </c>
      <c r="P64" s="827">
        <f t="shared" si="4"/>
        <v>0</v>
      </c>
      <c r="Q64"/>
      <c r="R64">
        <f t="shared" si="5"/>
        <v>0</v>
      </c>
      <c r="T64">
        <f>IF(ISBLANK('2.) Enrollment'!H34)=TRUE,'2.) Enrollment'!G34,'2.) Enrollment'!H34)</f>
        <v>0</v>
      </c>
      <c r="U64">
        <f>IF(ISBLANK('2.) Enrollment'!J34)=TRUE,'2.) Enrollment'!I34,'2.) Enrollment'!J34)</f>
        <v>0</v>
      </c>
      <c r="V64">
        <f>IF(ISBLANK('2.) Enrollment'!L34)=TRUE,'2.) Enrollment'!K34,'2.) Enrollment'!L34)</f>
        <v>0</v>
      </c>
      <c r="W64">
        <f>IF(ISBLANK('2.) Enrollment'!N34)=TRUE,'2.) Enrollment'!M34,'2.) Enrollment'!N34)</f>
        <v>0</v>
      </c>
    </row>
    <row r="65" spans="1:23">
      <c r="A65" s="4">
        <v>14</v>
      </c>
      <c r="B65" s="477" t="str">
        <f>IF(OR('2.) Enrollment'!C35=$B$109,ISBLANK('2.) Enrollment'!C35)),"-",'2.) Enrollment'!C35)</f>
        <v>-</v>
      </c>
      <c r="C65" s="233">
        <f>IF(ISNA(MATCH(School,$M$15:$M$27,0)),1,0)*IFERROR(VLOOKUP($B65,'Funding by District'!$D$6:$F$683,3,FALSE),0)</f>
        <v>0</v>
      </c>
      <c r="D65"/>
      <c r="E65">
        <f t="shared" si="2"/>
        <v>0</v>
      </c>
      <c r="F65" s="321">
        <f>$C65*'2.) Enrollment'!G35*'4.) Yearly Budget'!$J$17</f>
        <v>0</v>
      </c>
      <c r="G65" s="321">
        <f>$C65*'2.) Enrollment'!I35*'4.) Yearly Budget'!$M$17</f>
        <v>0</v>
      </c>
      <c r="H65" s="321">
        <f>$C65*'2.) Enrollment'!K35*'4.) Yearly Budget'!$P$17</f>
        <v>0</v>
      </c>
      <c r="I65" s="321">
        <f>$C65*'2.) Enrollment'!M35*'4.) Yearly Budget'!$S$17</f>
        <v>0</v>
      </c>
      <c r="J65" s="827">
        <f t="shared" si="3"/>
        <v>0</v>
      </c>
      <c r="K65"/>
      <c r="L65" s="321">
        <f>$C65*'2.) Enrollment'!H35*'4.) Yearly Budget'!$K$17</f>
        <v>0</v>
      </c>
      <c r="M65" s="321">
        <f>$C65*'2.) Enrollment'!J35*'4.) Yearly Budget'!$N$17</f>
        <v>0</v>
      </c>
      <c r="N65" s="321">
        <f>$C65*'2.) Enrollment'!L35*'4.) Yearly Budget'!$Q$17</f>
        <v>0</v>
      </c>
      <c r="O65" s="321">
        <f>$C65*'2.) Enrollment'!N35*'4.) Yearly Budget'!$T$17</f>
        <v>0</v>
      </c>
      <c r="P65" s="827">
        <f t="shared" si="4"/>
        <v>0</v>
      </c>
      <c r="Q65"/>
      <c r="R65">
        <f t="shared" si="5"/>
        <v>0</v>
      </c>
      <c r="T65">
        <f>IF(ISBLANK('2.) Enrollment'!H35)=TRUE,'2.) Enrollment'!G35,'2.) Enrollment'!H35)</f>
        <v>0</v>
      </c>
      <c r="U65">
        <f>IF(ISBLANK('2.) Enrollment'!J35)=TRUE,'2.) Enrollment'!I35,'2.) Enrollment'!J35)</f>
        <v>0</v>
      </c>
      <c r="V65">
        <f>IF(ISBLANK('2.) Enrollment'!L35)=TRUE,'2.) Enrollment'!K35,'2.) Enrollment'!L35)</f>
        <v>0</v>
      </c>
      <c r="W65">
        <f>IF(ISBLANK('2.) Enrollment'!N35)=TRUE,'2.) Enrollment'!M35,'2.) Enrollment'!N35)</f>
        <v>0</v>
      </c>
    </row>
    <row r="66" spans="1:23" ht="15.75" thickBot="1">
      <c r="A66" s="213">
        <v>15</v>
      </c>
      <c r="B66" s="483" t="str">
        <f>IF(OR('2.) Enrollment'!C36=$B$109,ISBLANK('2.) Enrollment'!C36)),"-",'2.) Enrollment'!C36)</f>
        <v>-</v>
      </c>
      <c r="C66" s="233">
        <f>IF(ISNA(MATCH(School,$M$15:$M$27,0)),1,0)*IFERROR(VLOOKUP($B66,'Funding by District'!$D$6:$F$683,3,FALSE),0)</f>
        <v>0</v>
      </c>
      <c r="D66" s="489"/>
      <c r="E66" s="617">
        <f t="shared" si="2"/>
        <v>0</v>
      </c>
      <c r="F66" s="616">
        <f>$C66*'2.) Enrollment'!G36*'4.) Yearly Budget'!$J$17</f>
        <v>0</v>
      </c>
      <c r="G66" s="616">
        <f>$C66*'2.) Enrollment'!I36*'4.) Yearly Budget'!$M$17</f>
        <v>0</v>
      </c>
      <c r="H66" s="616">
        <f>$C66*'2.) Enrollment'!K36*'4.) Yearly Budget'!$P$17</f>
        <v>0</v>
      </c>
      <c r="I66" s="616">
        <f>$C66*'2.) Enrollment'!M36*'4.) Yearly Budget'!$S$17</f>
        <v>0</v>
      </c>
      <c r="J66" s="828">
        <f t="shared" si="3"/>
        <v>0</v>
      </c>
      <c r="K66" s="617"/>
      <c r="L66" s="616">
        <f>$C66*'2.) Enrollment'!H36*'4.) Yearly Budget'!$K$17</f>
        <v>0</v>
      </c>
      <c r="M66" s="616">
        <f>$C66*'2.) Enrollment'!J36*'4.) Yearly Budget'!$N$17</f>
        <v>0</v>
      </c>
      <c r="N66" s="616">
        <f>$C66*'2.) Enrollment'!L36*'4.) Yearly Budget'!$Q$17</f>
        <v>0</v>
      </c>
      <c r="O66" s="616">
        <f>$C66*'2.) Enrollment'!N36*'4.) Yearly Budget'!$T$17</f>
        <v>0</v>
      </c>
      <c r="P66" s="828">
        <f t="shared" si="4"/>
        <v>0</v>
      </c>
      <c r="Q66" s="617"/>
      <c r="R66">
        <f t="shared" si="5"/>
        <v>0</v>
      </c>
      <c r="S66" s="617"/>
      <c r="T66" s="617">
        <f>IF(ISBLANK('2.) Enrollment'!H36)=TRUE,'2.) Enrollment'!G36,'2.) Enrollment'!H36)</f>
        <v>0</v>
      </c>
      <c r="U66" s="617">
        <f>IF(ISBLANK('2.) Enrollment'!J36)=TRUE,'2.) Enrollment'!I36,'2.) Enrollment'!J36)</f>
        <v>0</v>
      </c>
      <c r="V66" s="617">
        <f>IF(ISBLANK('2.) Enrollment'!L36)=TRUE,'2.) Enrollment'!K36,'2.) Enrollment'!L36)</f>
        <v>0</v>
      </c>
      <c r="W66" s="617">
        <f>IF(ISBLANK('2.) Enrollment'!N36)=TRUE,'2.) Enrollment'!M36,'2.) Enrollment'!N36)</f>
        <v>0</v>
      </c>
    </row>
    <row r="67" spans="1:23">
      <c r="A67" s="4">
        <v>16</v>
      </c>
      <c r="B67" s="482" t="str">
        <f>IF(OR('2.) Enrollment'!C37=$B$109,ISBLANK('2.) Enrollment'!C37)),"-",'2.) Enrollment'!C37)</f>
        <v>-</v>
      </c>
      <c r="C67" s="233">
        <f>IF(ISNA(MATCH(School,$M$15:$M$27,0)),1,0)*IFERROR(VLOOKUP($B67,'Funding by District'!$D$6:$F$683,3,FALSE),0)</f>
        <v>0</v>
      </c>
      <c r="D67"/>
      <c r="E67">
        <f t="shared" si="2"/>
        <v>0</v>
      </c>
      <c r="F67" s="321">
        <f>$C67*'2.) Enrollment'!G37*'4.) Yearly Budget'!$J$17</f>
        <v>0</v>
      </c>
      <c r="G67" s="321">
        <f>$C67*'2.) Enrollment'!I37*'4.) Yearly Budget'!$M$17</f>
        <v>0</v>
      </c>
      <c r="H67" s="321">
        <f>$C67*'2.) Enrollment'!K37*'4.) Yearly Budget'!$P$17</f>
        <v>0</v>
      </c>
      <c r="I67" s="321">
        <f>$C67*'2.) Enrollment'!M37*'4.) Yearly Budget'!$S$17</f>
        <v>0</v>
      </c>
      <c r="J67" s="827">
        <f t="shared" si="3"/>
        <v>0</v>
      </c>
      <c r="K67" s="831"/>
      <c r="L67" s="829">
        <f>$C67*'2.) Enrollment'!H37*'4.) Yearly Budget'!$K$17</f>
        <v>0</v>
      </c>
      <c r="M67" s="829">
        <f>$C67*'2.) Enrollment'!J37*'4.) Yearly Budget'!$N$17</f>
        <v>0</v>
      </c>
      <c r="N67" s="829">
        <f>$C67*'2.) Enrollment'!L37*'4.) Yearly Budget'!$Q$17</f>
        <v>0</v>
      </c>
      <c r="O67" s="829">
        <f>$C67*'2.) Enrollment'!N37*'4.) Yearly Budget'!$T$17</f>
        <v>0</v>
      </c>
      <c r="P67" s="830">
        <f t="shared" si="4"/>
        <v>0</v>
      </c>
      <c r="Q67"/>
      <c r="R67">
        <f t="shared" si="5"/>
        <v>0</v>
      </c>
      <c r="T67">
        <f>IF(ISBLANK('2.) Enrollment'!H37)=TRUE,'2.) Enrollment'!G37,'2.) Enrollment'!H37)</f>
        <v>0</v>
      </c>
      <c r="U67">
        <f>IF(ISBLANK('2.) Enrollment'!J37)=TRUE,'2.) Enrollment'!I37,'2.) Enrollment'!J37)</f>
        <v>0</v>
      </c>
      <c r="V67">
        <f>IF(ISBLANK('2.) Enrollment'!L37)=TRUE,'2.) Enrollment'!K37,'2.) Enrollment'!L37)</f>
        <v>0</v>
      </c>
      <c r="W67">
        <f>IF(ISBLANK('2.) Enrollment'!N37)=TRUE,'2.) Enrollment'!M37,'2.) Enrollment'!N37)</f>
        <v>0</v>
      </c>
    </row>
    <row r="68" spans="1:23">
      <c r="A68" s="4">
        <v>17</v>
      </c>
      <c r="B68" s="477" t="str">
        <f>IF(OR('2.) Enrollment'!C38=$B$109,ISBLANK('2.) Enrollment'!C38)),"-",'2.) Enrollment'!C38)</f>
        <v>-</v>
      </c>
      <c r="C68" s="233">
        <f>IF(ISNA(MATCH(School,$M$15:$M$27,0)),1,0)*IFERROR(VLOOKUP($B68,'Funding by District'!$D$6:$F$683,3,FALSE),0)</f>
        <v>0</v>
      </c>
      <c r="D68"/>
      <c r="E68">
        <f t="shared" si="2"/>
        <v>0</v>
      </c>
      <c r="F68" s="321">
        <f>$C68*'2.) Enrollment'!G38*'4.) Yearly Budget'!$J$17</f>
        <v>0</v>
      </c>
      <c r="G68" s="321">
        <f>$C68*'2.) Enrollment'!I38*'4.) Yearly Budget'!$M$17</f>
        <v>0</v>
      </c>
      <c r="H68" s="321">
        <f>$C68*'2.) Enrollment'!K38*'4.) Yearly Budget'!$P$17</f>
        <v>0</v>
      </c>
      <c r="I68" s="321">
        <f>$C68*'2.) Enrollment'!M38*'4.) Yearly Budget'!$S$17</f>
        <v>0</v>
      </c>
      <c r="J68" s="827">
        <f t="shared" si="3"/>
        <v>0</v>
      </c>
      <c r="K68"/>
      <c r="L68" s="321">
        <f>$C68*'2.) Enrollment'!H38*'4.) Yearly Budget'!$K$17</f>
        <v>0</v>
      </c>
      <c r="M68" s="321">
        <f>$C68*'2.) Enrollment'!J38*'4.) Yearly Budget'!$N$17</f>
        <v>0</v>
      </c>
      <c r="N68" s="321">
        <f>$C68*'2.) Enrollment'!L38*'4.) Yearly Budget'!$Q$17</f>
        <v>0</v>
      </c>
      <c r="O68" s="321">
        <f>$C68*'2.) Enrollment'!N38*'4.) Yearly Budget'!$T$17</f>
        <v>0</v>
      </c>
      <c r="P68" s="827">
        <f t="shared" si="4"/>
        <v>0</v>
      </c>
      <c r="Q68"/>
      <c r="R68">
        <f t="shared" si="5"/>
        <v>0</v>
      </c>
      <c r="T68">
        <f>IF(ISBLANK('2.) Enrollment'!H38)=TRUE,'2.) Enrollment'!G38,'2.) Enrollment'!H38)</f>
        <v>0</v>
      </c>
      <c r="U68">
        <f>IF(ISBLANK('2.) Enrollment'!J38)=TRUE,'2.) Enrollment'!I38,'2.) Enrollment'!J38)</f>
        <v>0</v>
      </c>
      <c r="V68">
        <f>IF(ISBLANK('2.) Enrollment'!L38)=TRUE,'2.) Enrollment'!K38,'2.) Enrollment'!L38)</f>
        <v>0</v>
      </c>
      <c r="W68">
        <f>IF(ISBLANK('2.) Enrollment'!N38)=TRUE,'2.) Enrollment'!M38,'2.) Enrollment'!N38)</f>
        <v>0</v>
      </c>
    </row>
    <row r="69" spans="1:23">
      <c r="A69" s="4">
        <v>18</v>
      </c>
      <c r="B69" s="477" t="str">
        <f>IF(OR('2.) Enrollment'!C39=$B$109,ISBLANK('2.) Enrollment'!C39)),"-",'2.) Enrollment'!C39)</f>
        <v>-</v>
      </c>
      <c r="C69" s="233">
        <f>IF(ISNA(MATCH(School,$M$15:$M$27,0)),1,0)*IFERROR(VLOOKUP($B69,'Funding by District'!$D$6:$F$683,3,FALSE),0)</f>
        <v>0</v>
      </c>
      <c r="D69"/>
      <c r="E69">
        <f t="shared" si="2"/>
        <v>0</v>
      </c>
      <c r="F69" s="321">
        <f>$C69*'2.) Enrollment'!G39*'4.) Yearly Budget'!$J$17</f>
        <v>0</v>
      </c>
      <c r="G69" s="321">
        <f>$C69*'2.) Enrollment'!I39*'4.) Yearly Budget'!$M$17</f>
        <v>0</v>
      </c>
      <c r="H69" s="321">
        <f>$C69*'2.) Enrollment'!K39*'4.) Yearly Budget'!$P$17</f>
        <v>0</v>
      </c>
      <c r="I69" s="321">
        <f>$C69*'2.) Enrollment'!M39*'4.) Yearly Budget'!$S$17</f>
        <v>0</v>
      </c>
      <c r="J69" s="827">
        <f t="shared" si="3"/>
        <v>0</v>
      </c>
      <c r="K69"/>
      <c r="L69" s="321">
        <f>$C69*'2.) Enrollment'!H39*'4.) Yearly Budget'!$K$17</f>
        <v>0</v>
      </c>
      <c r="M69" s="321">
        <f>$C69*'2.) Enrollment'!J39*'4.) Yearly Budget'!$N$17</f>
        <v>0</v>
      </c>
      <c r="N69" s="321">
        <f>$C69*'2.) Enrollment'!L39*'4.) Yearly Budget'!$Q$17</f>
        <v>0</v>
      </c>
      <c r="O69" s="321">
        <f>$C69*'2.) Enrollment'!N39*'4.) Yearly Budget'!$T$17</f>
        <v>0</v>
      </c>
      <c r="P69" s="827">
        <f t="shared" si="4"/>
        <v>0</v>
      </c>
      <c r="Q69"/>
      <c r="R69">
        <f t="shared" si="5"/>
        <v>0</v>
      </c>
      <c r="T69">
        <f>IF(ISBLANK('2.) Enrollment'!H39)=TRUE,'2.) Enrollment'!G39,'2.) Enrollment'!H39)</f>
        <v>0</v>
      </c>
      <c r="U69">
        <f>IF(ISBLANK('2.) Enrollment'!J39)=TRUE,'2.) Enrollment'!I39,'2.) Enrollment'!J39)</f>
        <v>0</v>
      </c>
      <c r="V69">
        <f>IF(ISBLANK('2.) Enrollment'!L39)=TRUE,'2.) Enrollment'!K39,'2.) Enrollment'!L39)</f>
        <v>0</v>
      </c>
      <c r="W69">
        <f>IF(ISBLANK('2.) Enrollment'!N39)=TRUE,'2.) Enrollment'!M39,'2.) Enrollment'!N39)</f>
        <v>0</v>
      </c>
    </row>
    <row r="70" spans="1:23">
      <c r="A70" s="4">
        <v>19</v>
      </c>
      <c r="B70" s="477" t="str">
        <f>IF(OR('2.) Enrollment'!C40=$B$109,ISBLANK('2.) Enrollment'!C40)),"-",'2.) Enrollment'!C40)</f>
        <v>-</v>
      </c>
      <c r="C70" s="233">
        <f>IF(ISNA(MATCH(School,$M$15:$M$27,0)),1,0)*IFERROR(VLOOKUP($B70,'Funding by District'!$D$6:$F$683,3,FALSE),0)</f>
        <v>0</v>
      </c>
      <c r="D70"/>
      <c r="E70">
        <f t="shared" si="2"/>
        <v>0</v>
      </c>
      <c r="F70" s="321">
        <f>$C70*'2.) Enrollment'!G40*'4.) Yearly Budget'!$J$17</f>
        <v>0</v>
      </c>
      <c r="G70" s="321">
        <f>$C70*'2.) Enrollment'!I40*'4.) Yearly Budget'!$M$17</f>
        <v>0</v>
      </c>
      <c r="H70" s="321">
        <f>$C70*'2.) Enrollment'!K40*'4.) Yearly Budget'!$P$17</f>
        <v>0</v>
      </c>
      <c r="I70" s="321">
        <f>$C70*'2.) Enrollment'!M40*'4.) Yearly Budget'!$S$17</f>
        <v>0</v>
      </c>
      <c r="J70" s="827">
        <f t="shared" si="3"/>
        <v>0</v>
      </c>
      <c r="K70"/>
      <c r="L70" s="321">
        <f>$C70*'2.) Enrollment'!H40*'4.) Yearly Budget'!$K$17</f>
        <v>0</v>
      </c>
      <c r="M70" s="321">
        <f>$C70*'2.) Enrollment'!J40*'4.) Yearly Budget'!$N$17</f>
        <v>0</v>
      </c>
      <c r="N70" s="321">
        <f>$C70*'2.) Enrollment'!L40*'4.) Yearly Budget'!$Q$17</f>
        <v>0</v>
      </c>
      <c r="O70" s="321">
        <f>$C70*'2.) Enrollment'!N40*'4.) Yearly Budget'!$T$17</f>
        <v>0</v>
      </c>
      <c r="P70" s="827">
        <f t="shared" si="4"/>
        <v>0</v>
      </c>
      <c r="Q70"/>
      <c r="R70">
        <f t="shared" si="5"/>
        <v>0</v>
      </c>
      <c r="T70">
        <f>IF(ISBLANK('2.) Enrollment'!H40)=TRUE,'2.) Enrollment'!G40,'2.) Enrollment'!H40)</f>
        <v>0</v>
      </c>
      <c r="U70">
        <f>IF(ISBLANK('2.) Enrollment'!J40)=TRUE,'2.) Enrollment'!I40,'2.) Enrollment'!J40)</f>
        <v>0</v>
      </c>
      <c r="V70">
        <f>IF(ISBLANK('2.) Enrollment'!L40)=TRUE,'2.) Enrollment'!K40,'2.) Enrollment'!L40)</f>
        <v>0</v>
      </c>
      <c r="W70">
        <f>IF(ISBLANK('2.) Enrollment'!N40)=TRUE,'2.) Enrollment'!M40,'2.) Enrollment'!N40)</f>
        <v>0</v>
      </c>
    </row>
    <row r="71" spans="1:23">
      <c r="A71" s="4">
        <v>20</v>
      </c>
      <c r="B71" s="477" t="str">
        <f>IF(OR('2.) Enrollment'!C41=$B$109,ISBLANK('2.) Enrollment'!C41)),"-",'2.) Enrollment'!C41)</f>
        <v>-</v>
      </c>
      <c r="C71" s="233">
        <f>IF(ISNA(MATCH(School,$M$15:$M$27,0)),1,0)*IFERROR(VLOOKUP($B71,'Funding by District'!$D$6:$F$683,3,FALSE),0)</f>
        <v>0</v>
      </c>
      <c r="D71"/>
      <c r="E71">
        <f t="shared" si="2"/>
        <v>0</v>
      </c>
      <c r="F71" s="321">
        <f>$C71*'2.) Enrollment'!G41*'4.) Yearly Budget'!$J$17</f>
        <v>0</v>
      </c>
      <c r="G71" s="321">
        <f>$C71*'2.) Enrollment'!I41*'4.) Yearly Budget'!$M$17</f>
        <v>0</v>
      </c>
      <c r="H71" s="321">
        <f>$C71*'2.) Enrollment'!K41*'4.) Yearly Budget'!$P$17</f>
        <v>0</v>
      </c>
      <c r="I71" s="321">
        <f>$C71*'2.) Enrollment'!M41*'4.) Yearly Budget'!$S$17</f>
        <v>0</v>
      </c>
      <c r="J71" s="827">
        <f t="shared" si="3"/>
        <v>0</v>
      </c>
      <c r="K71"/>
      <c r="L71" s="321">
        <f>$C71*'2.) Enrollment'!H41*'4.) Yearly Budget'!$K$17</f>
        <v>0</v>
      </c>
      <c r="M71" s="321">
        <f>$C71*'2.) Enrollment'!J41*'4.) Yearly Budget'!$N$17</f>
        <v>0</v>
      </c>
      <c r="N71" s="321">
        <f>$C71*'2.) Enrollment'!L41*'4.) Yearly Budget'!$Q$17</f>
        <v>0</v>
      </c>
      <c r="O71" s="321">
        <f>$C71*'2.) Enrollment'!N41*'4.) Yearly Budget'!$T$17</f>
        <v>0</v>
      </c>
      <c r="P71" s="827">
        <f t="shared" si="4"/>
        <v>0</v>
      </c>
      <c r="Q71"/>
      <c r="R71">
        <f t="shared" si="5"/>
        <v>0</v>
      </c>
      <c r="T71">
        <f>IF(ISBLANK('2.) Enrollment'!H41)=TRUE,'2.) Enrollment'!G41,'2.) Enrollment'!H41)</f>
        <v>0</v>
      </c>
      <c r="U71">
        <f>IF(ISBLANK('2.) Enrollment'!J41)=TRUE,'2.) Enrollment'!I41,'2.) Enrollment'!J41)</f>
        <v>0</v>
      </c>
      <c r="V71">
        <f>IF(ISBLANK('2.) Enrollment'!L41)=TRUE,'2.) Enrollment'!K41,'2.) Enrollment'!L41)</f>
        <v>0</v>
      </c>
      <c r="W71">
        <f>IF(ISBLANK('2.) Enrollment'!N41)=TRUE,'2.) Enrollment'!M41,'2.) Enrollment'!N41)</f>
        <v>0</v>
      </c>
    </row>
    <row r="72" spans="1:23">
      <c r="A72" s="4">
        <v>21</v>
      </c>
      <c r="B72" s="477" t="str">
        <f>IF(OR('2.) Enrollment'!C42=$B$109,ISBLANK('2.) Enrollment'!C42)),"-",'2.) Enrollment'!C42)</f>
        <v>-</v>
      </c>
      <c r="C72" s="233">
        <f>IF(ISNA(MATCH(School,$M$15:$M$27,0)),1,0)*IFERROR(VLOOKUP($B72,'Funding by District'!$D$6:$F$683,3,FALSE),0)</f>
        <v>0</v>
      </c>
      <c r="D72"/>
      <c r="E72">
        <f t="shared" si="2"/>
        <v>0</v>
      </c>
      <c r="F72" s="321">
        <f>$C72*'2.) Enrollment'!G42*'4.) Yearly Budget'!$J$17</f>
        <v>0</v>
      </c>
      <c r="G72" s="321">
        <f>$C72*'2.) Enrollment'!I42*'4.) Yearly Budget'!$M$17</f>
        <v>0</v>
      </c>
      <c r="H72" s="321">
        <f>$C72*'2.) Enrollment'!K42*'4.) Yearly Budget'!$P$17</f>
        <v>0</v>
      </c>
      <c r="I72" s="321">
        <f>$C72*'2.) Enrollment'!M42*'4.) Yearly Budget'!$S$17</f>
        <v>0</v>
      </c>
      <c r="J72" s="827">
        <f t="shared" si="3"/>
        <v>0</v>
      </c>
      <c r="K72"/>
      <c r="L72" s="321">
        <f>$C72*'2.) Enrollment'!H42*'4.) Yearly Budget'!$K$17</f>
        <v>0</v>
      </c>
      <c r="M72" s="321">
        <f>$C72*'2.) Enrollment'!J42*'4.) Yearly Budget'!$N$17</f>
        <v>0</v>
      </c>
      <c r="N72" s="321">
        <f>$C72*'2.) Enrollment'!L42*'4.) Yearly Budget'!$Q$17</f>
        <v>0</v>
      </c>
      <c r="O72" s="321">
        <f>$C72*'2.) Enrollment'!N42*'4.) Yearly Budget'!$T$17</f>
        <v>0</v>
      </c>
      <c r="P72" s="827">
        <f t="shared" si="4"/>
        <v>0</v>
      </c>
      <c r="Q72"/>
      <c r="R72">
        <f t="shared" si="5"/>
        <v>0</v>
      </c>
      <c r="T72">
        <f>IF(ISBLANK('2.) Enrollment'!H42)=TRUE,'2.) Enrollment'!G42,'2.) Enrollment'!H42)</f>
        <v>0</v>
      </c>
      <c r="U72">
        <f>IF(ISBLANK('2.) Enrollment'!J42)=TRUE,'2.) Enrollment'!I42,'2.) Enrollment'!J42)</f>
        <v>0</v>
      </c>
      <c r="V72">
        <f>IF(ISBLANK('2.) Enrollment'!L42)=TRUE,'2.) Enrollment'!K42,'2.) Enrollment'!L42)</f>
        <v>0</v>
      </c>
      <c r="W72">
        <f>IF(ISBLANK('2.) Enrollment'!N42)=TRUE,'2.) Enrollment'!M42,'2.) Enrollment'!N42)</f>
        <v>0</v>
      </c>
    </row>
    <row r="73" spans="1:23">
      <c r="A73" s="4">
        <v>22</v>
      </c>
      <c r="B73" s="477" t="str">
        <f>IF(OR('2.) Enrollment'!C43=$B$109,ISBLANK('2.) Enrollment'!C43)),"-",'2.) Enrollment'!C43)</f>
        <v>-</v>
      </c>
      <c r="C73" s="233">
        <f>IF(ISNA(MATCH(School,$M$15:$M$27,0)),1,0)*IFERROR(VLOOKUP($B73,'Funding by District'!$D$6:$F$683,3,FALSE),0)</f>
        <v>0</v>
      </c>
      <c r="D73"/>
      <c r="E73">
        <f t="shared" si="2"/>
        <v>0</v>
      </c>
      <c r="F73" s="321">
        <f>$C73*'2.) Enrollment'!G43*'4.) Yearly Budget'!$J$17</f>
        <v>0</v>
      </c>
      <c r="G73" s="321">
        <f>$C73*'2.) Enrollment'!I43*'4.) Yearly Budget'!$M$17</f>
        <v>0</v>
      </c>
      <c r="H73" s="321">
        <f>$C73*'2.) Enrollment'!K43*'4.) Yearly Budget'!$P$17</f>
        <v>0</v>
      </c>
      <c r="I73" s="321">
        <f>$C73*'2.) Enrollment'!M43*'4.) Yearly Budget'!$S$17</f>
        <v>0</v>
      </c>
      <c r="J73" s="827">
        <f t="shared" si="3"/>
        <v>0</v>
      </c>
      <c r="K73"/>
      <c r="L73" s="321">
        <f>$C73*'2.) Enrollment'!H43*'4.) Yearly Budget'!$K$17</f>
        <v>0</v>
      </c>
      <c r="M73" s="321">
        <f>$C73*'2.) Enrollment'!J43*'4.) Yearly Budget'!$N$17</f>
        <v>0</v>
      </c>
      <c r="N73" s="321">
        <f>$C73*'2.) Enrollment'!L43*'4.) Yearly Budget'!$Q$17</f>
        <v>0</v>
      </c>
      <c r="O73" s="321">
        <f>$C73*'2.) Enrollment'!N43*'4.) Yearly Budget'!$T$17</f>
        <v>0</v>
      </c>
      <c r="P73" s="827">
        <f t="shared" si="4"/>
        <v>0</v>
      </c>
      <c r="Q73"/>
      <c r="R73">
        <f t="shared" si="5"/>
        <v>0</v>
      </c>
      <c r="T73">
        <f>IF(ISBLANK('2.) Enrollment'!H43)=TRUE,'2.) Enrollment'!G43,'2.) Enrollment'!H43)</f>
        <v>0</v>
      </c>
      <c r="U73">
        <f>IF(ISBLANK('2.) Enrollment'!J43)=TRUE,'2.) Enrollment'!I43,'2.) Enrollment'!J43)</f>
        <v>0</v>
      </c>
      <c r="V73">
        <f>IF(ISBLANK('2.) Enrollment'!L43)=TRUE,'2.) Enrollment'!K43,'2.) Enrollment'!L43)</f>
        <v>0</v>
      </c>
      <c r="W73">
        <f>IF(ISBLANK('2.) Enrollment'!N43)=TRUE,'2.) Enrollment'!M43,'2.) Enrollment'!N43)</f>
        <v>0</v>
      </c>
    </row>
    <row r="74" spans="1:23">
      <c r="A74" s="4">
        <v>23</v>
      </c>
      <c r="B74" s="477" t="str">
        <f>IF(OR('2.) Enrollment'!C44=$B$109,ISBLANK('2.) Enrollment'!C44)),"-",'2.) Enrollment'!C44)</f>
        <v>-</v>
      </c>
      <c r="C74" s="233">
        <f>IF(ISNA(MATCH(School,$M$15:$M$27,0)),1,0)*IFERROR(VLOOKUP($B74,'Funding by District'!$D$6:$F$683,3,FALSE),0)</f>
        <v>0</v>
      </c>
      <c r="D74"/>
      <c r="E74">
        <f t="shared" si="2"/>
        <v>0</v>
      </c>
      <c r="F74" s="321">
        <f>$C74*'2.) Enrollment'!G44*'4.) Yearly Budget'!$J$17</f>
        <v>0</v>
      </c>
      <c r="G74" s="321">
        <f>$C74*'2.) Enrollment'!I44*'4.) Yearly Budget'!$M$17</f>
        <v>0</v>
      </c>
      <c r="H74" s="321">
        <f>$C74*'2.) Enrollment'!K44*'4.) Yearly Budget'!$P$17</f>
        <v>0</v>
      </c>
      <c r="I74" s="321">
        <f>$C74*'2.) Enrollment'!M44*'4.) Yearly Budget'!$S$17</f>
        <v>0</v>
      </c>
      <c r="J74" s="827">
        <f t="shared" si="3"/>
        <v>0</v>
      </c>
      <c r="K74"/>
      <c r="L74" s="321">
        <f>$C74*'2.) Enrollment'!H44*'4.) Yearly Budget'!$K$17</f>
        <v>0</v>
      </c>
      <c r="M74" s="321">
        <f>$C74*'2.) Enrollment'!J44*'4.) Yearly Budget'!$N$17</f>
        <v>0</v>
      </c>
      <c r="N74" s="321">
        <f>$C74*'2.) Enrollment'!L44*'4.) Yearly Budget'!$Q$17</f>
        <v>0</v>
      </c>
      <c r="O74" s="321">
        <f>$C74*'2.) Enrollment'!N44*'4.) Yearly Budget'!$T$17</f>
        <v>0</v>
      </c>
      <c r="P74" s="827">
        <f t="shared" si="4"/>
        <v>0</v>
      </c>
      <c r="Q74"/>
      <c r="R74">
        <f t="shared" si="5"/>
        <v>0</v>
      </c>
      <c r="T74">
        <f>IF(ISBLANK('2.) Enrollment'!H44)=TRUE,'2.) Enrollment'!G44,'2.) Enrollment'!H44)</f>
        <v>0</v>
      </c>
      <c r="U74">
        <f>IF(ISBLANK('2.) Enrollment'!J44)=TRUE,'2.) Enrollment'!I44,'2.) Enrollment'!J44)</f>
        <v>0</v>
      </c>
      <c r="V74">
        <f>IF(ISBLANK('2.) Enrollment'!L44)=TRUE,'2.) Enrollment'!K44,'2.) Enrollment'!L44)</f>
        <v>0</v>
      </c>
      <c r="W74">
        <f>IF(ISBLANK('2.) Enrollment'!N44)=TRUE,'2.) Enrollment'!M44,'2.) Enrollment'!N44)</f>
        <v>0</v>
      </c>
    </row>
    <row r="75" spans="1:23">
      <c r="A75" s="4">
        <v>24</v>
      </c>
      <c r="B75" s="477" t="str">
        <f>IF(OR('2.) Enrollment'!C45=$B$109,ISBLANK('2.) Enrollment'!C45)),"-",'2.) Enrollment'!C45)</f>
        <v>-</v>
      </c>
      <c r="C75" s="233">
        <f>IF(ISNA(MATCH(School,$M$15:$M$27,0)),1,0)*IFERROR(VLOOKUP($B75,'Funding by District'!$D$6:$F$683,3,FALSE),0)</f>
        <v>0</v>
      </c>
      <c r="D75"/>
      <c r="E75">
        <f t="shared" si="2"/>
        <v>0</v>
      </c>
      <c r="F75" s="321">
        <f>$C75*'2.) Enrollment'!G45*'4.) Yearly Budget'!$J$17</f>
        <v>0</v>
      </c>
      <c r="G75" s="321">
        <f>$C75*'2.) Enrollment'!I45*'4.) Yearly Budget'!$M$17</f>
        <v>0</v>
      </c>
      <c r="H75" s="321">
        <f>$C75*'2.) Enrollment'!K45*'4.) Yearly Budget'!$P$17</f>
        <v>0</v>
      </c>
      <c r="I75" s="321">
        <f>$C75*'2.) Enrollment'!M45*'4.) Yearly Budget'!$S$17</f>
        <v>0</v>
      </c>
      <c r="J75" s="827">
        <f t="shared" si="3"/>
        <v>0</v>
      </c>
      <c r="K75"/>
      <c r="L75" s="321">
        <f>$C75*'2.) Enrollment'!H45*'4.) Yearly Budget'!$K$17</f>
        <v>0</v>
      </c>
      <c r="M75" s="321">
        <f>$C75*'2.) Enrollment'!J45*'4.) Yearly Budget'!$N$17</f>
        <v>0</v>
      </c>
      <c r="N75" s="321">
        <f>$C75*'2.) Enrollment'!L45*'4.) Yearly Budget'!$Q$17</f>
        <v>0</v>
      </c>
      <c r="O75" s="321">
        <f>$C75*'2.) Enrollment'!N45*'4.) Yearly Budget'!$T$17</f>
        <v>0</v>
      </c>
      <c r="P75" s="827">
        <f t="shared" si="4"/>
        <v>0</v>
      </c>
      <c r="Q75"/>
      <c r="R75">
        <f t="shared" si="5"/>
        <v>0</v>
      </c>
      <c r="T75">
        <f>IF(ISBLANK('2.) Enrollment'!H45)=TRUE,'2.) Enrollment'!G45,'2.) Enrollment'!H45)</f>
        <v>0</v>
      </c>
      <c r="U75">
        <f>IF(ISBLANK('2.) Enrollment'!J45)=TRUE,'2.) Enrollment'!I45,'2.) Enrollment'!J45)</f>
        <v>0</v>
      </c>
      <c r="V75">
        <f>IF(ISBLANK('2.) Enrollment'!L45)=TRUE,'2.) Enrollment'!K45,'2.) Enrollment'!L45)</f>
        <v>0</v>
      </c>
      <c r="W75">
        <f>IF(ISBLANK('2.) Enrollment'!N45)=TRUE,'2.) Enrollment'!M45,'2.) Enrollment'!N45)</f>
        <v>0</v>
      </c>
    </row>
    <row r="76" spans="1:23">
      <c r="A76" s="4">
        <v>25</v>
      </c>
      <c r="B76" s="477" t="str">
        <f>IF(OR('2.) Enrollment'!C46=$B$109,ISBLANK('2.) Enrollment'!C46)),"-",'2.) Enrollment'!C46)</f>
        <v>-</v>
      </c>
      <c r="C76" s="233">
        <f>IF(ISNA(MATCH(School,$M$15:$M$27,0)),1,0)*IFERROR(VLOOKUP($B76,'Funding by District'!$D$6:$F$683,3,FALSE),0)</f>
        <v>0</v>
      </c>
      <c r="D76"/>
      <c r="E76">
        <f t="shared" si="2"/>
        <v>0</v>
      </c>
      <c r="F76" s="321">
        <f>$C76*'2.) Enrollment'!G46*'4.) Yearly Budget'!$J$17</f>
        <v>0</v>
      </c>
      <c r="G76" s="321">
        <f>$C76*'2.) Enrollment'!I46*'4.) Yearly Budget'!$M$17</f>
        <v>0</v>
      </c>
      <c r="H76" s="321">
        <f>$C76*'2.) Enrollment'!K46*'4.) Yearly Budget'!$P$17</f>
        <v>0</v>
      </c>
      <c r="I76" s="321">
        <f>$C76*'2.) Enrollment'!M46*'4.) Yearly Budget'!$S$17</f>
        <v>0</v>
      </c>
      <c r="J76" s="827">
        <f t="shared" si="3"/>
        <v>0</v>
      </c>
      <c r="K76"/>
      <c r="L76" s="321">
        <f>$C76*'2.) Enrollment'!H46*'4.) Yearly Budget'!$K$17</f>
        <v>0</v>
      </c>
      <c r="M76" s="321">
        <f>$C76*'2.) Enrollment'!J46*'4.) Yearly Budget'!$N$17</f>
        <v>0</v>
      </c>
      <c r="N76" s="321">
        <f>$C76*'2.) Enrollment'!L46*'4.) Yearly Budget'!$Q$17</f>
        <v>0</v>
      </c>
      <c r="O76" s="321">
        <f>$C76*'2.) Enrollment'!N46*'4.) Yearly Budget'!$T$17</f>
        <v>0</v>
      </c>
      <c r="P76" s="827">
        <f t="shared" si="4"/>
        <v>0</v>
      </c>
      <c r="Q76"/>
      <c r="R76">
        <f t="shared" si="5"/>
        <v>0</v>
      </c>
      <c r="T76">
        <f>IF(ISBLANK('2.) Enrollment'!H46)=TRUE,'2.) Enrollment'!G46,'2.) Enrollment'!H46)</f>
        <v>0</v>
      </c>
      <c r="U76">
        <f>IF(ISBLANK('2.) Enrollment'!J46)=TRUE,'2.) Enrollment'!I46,'2.) Enrollment'!J46)</f>
        <v>0</v>
      </c>
      <c r="V76">
        <f>IF(ISBLANK('2.) Enrollment'!L46)=TRUE,'2.) Enrollment'!K46,'2.) Enrollment'!L46)</f>
        <v>0</v>
      </c>
      <c r="W76">
        <f>IF(ISBLANK('2.) Enrollment'!N46)=TRUE,'2.) Enrollment'!M46,'2.) Enrollment'!N46)</f>
        <v>0</v>
      </c>
    </row>
    <row r="77" spans="1:23">
      <c r="A77" s="4">
        <v>26</v>
      </c>
      <c r="B77" s="477" t="str">
        <f>IF(OR('2.) Enrollment'!C47=$B$109,ISBLANK('2.) Enrollment'!C47)),"-",'2.) Enrollment'!C47)</f>
        <v>-</v>
      </c>
      <c r="C77" s="233">
        <f>IF(ISNA(MATCH(School,$M$15:$M$27,0)),1,0)*IFERROR(VLOOKUP($B77,'Funding by District'!$D$6:$F$683,3,FALSE),0)</f>
        <v>0</v>
      </c>
      <c r="D77"/>
      <c r="E77">
        <f t="shared" si="2"/>
        <v>0</v>
      </c>
      <c r="F77" s="321">
        <f>$C77*'2.) Enrollment'!G47*'4.) Yearly Budget'!$J$17</f>
        <v>0</v>
      </c>
      <c r="G77" s="321">
        <f>$C77*'2.) Enrollment'!I47*'4.) Yearly Budget'!$M$17</f>
        <v>0</v>
      </c>
      <c r="H77" s="321">
        <f>$C77*'2.) Enrollment'!K47*'4.) Yearly Budget'!$P$17</f>
        <v>0</v>
      </c>
      <c r="I77" s="321">
        <f>$C77*'2.) Enrollment'!M47*'4.) Yearly Budget'!$S$17</f>
        <v>0</v>
      </c>
      <c r="J77" s="827">
        <f t="shared" si="3"/>
        <v>0</v>
      </c>
      <c r="K77"/>
      <c r="L77" s="321">
        <f>$C77*'2.) Enrollment'!H47*'4.) Yearly Budget'!$K$17</f>
        <v>0</v>
      </c>
      <c r="M77" s="321">
        <f>$C77*'2.) Enrollment'!J47*'4.) Yearly Budget'!$N$17</f>
        <v>0</v>
      </c>
      <c r="N77" s="321">
        <f>$C77*'2.) Enrollment'!L47*'4.) Yearly Budget'!$Q$17</f>
        <v>0</v>
      </c>
      <c r="O77" s="321">
        <f>$C77*'2.) Enrollment'!N47*'4.) Yearly Budget'!$T$17</f>
        <v>0</v>
      </c>
      <c r="P77" s="827">
        <f t="shared" si="4"/>
        <v>0</v>
      </c>
      <c r="Q77"/>
      <c r="R77">
        <f t="shared" si="5"/>
        <v>0</v>
      </c>
      <c r="T77">
        <f>IF(ISBLANK('2.) Enrollment'!H47)=TRUE,'2.) Enrollment'!G47,'2.) Enrollment'!H47)</f>
        <v>0</v>
      </c>
      <c r="U77">
        <f>IF(ISBLANK('2.) Enrollment'!J47)=TRUE,'2.) Enrollment'!I47,'2.) Enrollment'!J47)</f>
        <v>0</v>
      </c>
      <c r="V77">
        <f>IF(ISBLANK('2.) Enrollment'!L47)=TRUE,'2.) Enrollment'!K47,'2.) Enrollment'!L47)</f>
        <v>0</v>
      </c>
      <c r="W77">
        <f>IF(ISBLANK('2.) Enrollment'!N47)=TRUE,'2.) Enrollment'!M47,'2.) Enrollment'!N47)</f>
        <v>0</v>
      </c>
    </row>
    <row r="78" spans="1:23">
      <c r="A78" s="4">
        <v>27</v>
      </c>
      <c r="B78" s="477" t="str">
        <f>IF(OR('2.) Enrollment'!C48=$B$109,ISBLANK('2.) Enrollment'!C48)),"-",'2.) Enrollment'!C48)</f>
        <v>-</v>
      </c>
      <c r="C78" s="233">
        <f>IF(ISNA(MATCH(School,$M$15:$M$27,0)),1,0)*IFERROR(VLOOKUP($B78,'Funding by District'!$D$6:$F$683,3,FALSE),0)</f>
        <v>0</v>
      </c>
      <c r="D78"/>
      <c r="E78">
        <f t="shared" si="2"/>
        <v>0</v>
      </c>
      <c r="F78" s="321">
        <f>$C78*'2.) Enrollment'!G48*'4.) Yearly Budget'!$J$17</f>
        <v>0</v>
      </c>
      <c r="G78" s="321">
        <f>$C78*'2.) Enrollment'!I48*'4.) Yearly Budget'!$M$17</f>
        <v>0</v>
      </c>
      <c r="H78" s="321">
        <f>$C78*'2.) Enrollment'!K48*'4.) Yearly Budget'!$P$17</f>
        <v>0</v>
      </c>
      <c r="I78" s="321">
        <f>$C78*'2.) Enrollment'!M48*'4.) Yearly Budget'!$S$17</f>
        <v>0</v>
      </c>
      <c r="J78" s="827">
        <f t="shared" si="3"/>
        <v>0</v>
      </c>
      <c r="K78"/>
      <c r="L78" s="321">
        <f>$C78*'2.) Enrollment'!H48*'4.) Yearly Budget'!$K$17</f>
        <v>0</v>
      </c>
      <c r="M78" s="321">
        <f>$C78*'2.) Enrollment'!J48*'4.) Yearly Budget'!$N$17</f>
        <v>0</v>
      </c>
      <c r="N78" s="321">
        <f>$C78*'2.) Enrollment'!L48*'4.) Yearly Budget'!$Q$17</f>
        <v>0</v>
      </c>
      <c r="O78" s="321">
        <f>$C78*'2.) Enrollment'!N48*'4.) Yearly Budget'!$T$17</f>
        <v>0</v>
      </c>
      <c r="P78" s="827">
        <f t="shared" si="4"/>
        <v>0</v>
      </c>
      <c r="Q78"/>
      <c r="R78">
        <f t="shared" si="5"/>
        <v>0</v>
      </c>
      <c r="T78">
        <f>IF(ISBLANK('2.) Enrollment'!H48)=TRUE,'2.) Enrollment'!G48,'2.) Enrollment'!H48)</f>
        <v>0</v>
      </c>
      <c r="U78">
        <f>IF(ISBLANK('2.) Enrollment'!J48)=TRUE,'2.) Enrollment'!I48,'2.) Enrollment'!J48)</f>
        <v>0</v>
      </c>
      <c r="V78">
        <f>IF(ISBLANK('2.) Enrollment'!L48)=TRUE,'2.) Enrollment'!K48,'2.) Enrollment'!L48)</f>
        <v>0</v>
      </c>
      <c r="W78">
        <f>IF(ISBLANK('2.) Enrollment'!N48)=TRUE,'2.) Enrollment'!M48,'2.) Enrollment'!N48)</f>
        <v>0</v>
      </c>
    </row>
    <row r="79" spans="1:23">
      <c r="A79" s="4">
        <v>28</v>
      </c>
      <c r="B79" s="477" t="str">
        <f>IF(OR('2.) Enrollment'!C49=$B$109,ISBLANK('2.) Enrollment'!C49)),"-",'2.) Enrollment'!C49)</f>
        <v>-</v>
      </c>
      <c r="C79" s="233">
        <f>IF(ISNA(MATCH(School,$M$15:$M$27,0)),1,0)*IFERROR(VLOOKUP($B79,'Funding by District'!$D$6:$F$683,3,FALSE),0)</f>
        <v>0</v>
      </c>
      <c r="D79"/>
      <c r="E79">
        <f t="shared" si="2"/>
        <v>0</v>
      </c>
      <c r="F79" s="321">
        <f>$C79*'2.) Enrollment'!G49*'4.) Yearly Budget'!$J$17</f>
        <v>0</v>
      </c>
      <c r="G79" s="321">
        <f>$C79*'2.) Enrollment'!I49*'4.) Yearly Budget'!$M$17</f>
        <v>0</v>
      </c>
      <c r="H79" s="321">
        <f>$C79*'2.) Enrollment'!K49*'4.) Yearly Budget'!$P$17</f>
        <v>0</v>
      </c>
      <c r="I79" s="321">
        <f>$C79*'2.) Enrollment'!M49*'4.) Yearly Budget'!$S$17</f>
        <v>0</v>
      </c>
      <c r="J79" s="827">
        <f t="shared" si="3"/>
        <v>0</v>
      </c>
      <c r="K79"/>
      <c r="L79" s="321">
        <f>$C79*'2.) Enrollment'!H49*'4.) Yearly Budget'!$K$17</f>
        <v>0</v>
      </c>
      <c r="M79" s="321">
        <f>$C79*'2.) Enrollment'!J49*'4.) Yearly Budget'!$N$17</f>
        <v>0</v>
      </c>
      <c r="N79" s="321">
        <f>$C79*'2.) Enrollment'!L49*'4.) Yearly Budget'!$Q$17</f>
        <v>0</v>
      </c>
      <c r="O79" s="321">
        <f>$C79*'2.) Enrollment'!N49*'4.) Yearly Budget'!$T$17</f>
        <v>0</v>
      </c>
      <c r="P79" s="827">
        <f t="shared" si="4"/>
        <v>0</v>
      </c>
      <c r="Q79"/>
      <c r="R79">
        <f t="shared" si="5"/>
        <v>0</v>
      </c>
      <c r="T79">
        <f>IF(ISBLANK('2.) Enrollment'!H49)=TRUE,'2.) Enrollment'!G49,'2.) Enrollment'!H49)</f>
        <v>0</v>
      </c>
      <c r="U79">
        <f>IF(ISBLANK('2.) Enrollment'!J49)=TRUE,'2.) Enrollment'!I49,'2.) Enrollment'!J49)</f>
        <v>0</v>
      </c>
      <c r="V79">
        <f>IF(ISBLANK('2.) Enrollment'!L49)=TRUE,'2.) Enrollment'!K49,'2.) Enrollment'!L49)</f>
        <v>0</v>
      </c>
      <c r="W79">
        <f>IF(ISBLANK('2.) Enrollment'!N49)=TRUE,'2.) Enrollment'!M49,'2.) Enrollment'!N49)</f>
        <v>0</v>
      </c>
    </row>
    <row r="80" spans="1:23">
      <c r="A80" s="4">
        <v>29</v>
      </c>
      <c r="B80" s="477" t="str">
        <f>IF(OR('2.) Enrollment'!C50=$B$109,ISBLANK('2.) Enrollment'!C50)),"-",'2.) Enrollment'!C50)</f>
        <v>-</v>
      </c>
      <c r="C80" s="233">
        <f>IF(ISNA(MATCH(School,$M$15:$M$27,0)),1,0)*IFERROR(VLOOKUP($B80,'Funding by District'!$D$6:$F$683,3,FALSE),0)</f>
        <v>0</v>
      </c>
      <c r="D80"/>
      <c r="E80">
        <f t="shared" si="2"/>
        <v>0</v>
      </c>
      <c r="F80" s="321">
        <f>$C80*'2.) Enrollment'!G50*'4.) Yearly Budget'!$J$17</f>
        <v>0</v>
      </c>
      <c r="G80" s="321">
        <f>$C80*'2.) Enrollment'!I50*'4.) Yearly Budget'!$M$17</f>
        <v>0</v>
      </c>
      <c r="H80" s="321">
        <f>$C80*'2.) Enrollment'!K50*'4.) Yearly Budget'!$P$17</f>
        <v>0</v>
      </c>
      <c r="I80" s="321">
        <f>$C80*'2.) Enrollment'!M50*'4.) Yearly Budget'!$S$17</f>
        <v>0</v>
      </c>
      <c r="J80" s="827">
        <f t="shared" si="3"/>
        <v>0</v>
      </c>
      <c r="K80"/>
      <c r="L80" s="321">
        <f>$C80*'2.) Enrollment'!H50*'4.) Yearly Budget'!$K$17</f>
        <v>0</v>
      </c>
      <c r="M80" s="321">
        <f>$C80*'2.) Enrollment'!J50*'4.) Yearly Budget'!$N$17</f>
        <v>0</v>
      </c>
      <c r="N80" s="321">
        <f>$C80*'2.) Enrollment'!L50*'4.) Yearly Budget'!$Q$17</f>
        <v>0</v>
      </c>
      <c r="O80" s="321">
        <f>$C80*'2.) Enrollment'!N50*'4.) Yearly Budget'!$T$17</f>
        <v>0</v>
      </c>
      <c r="P80" s="827">
        <f t="shared" si="4"/>
        <v>0</v>
      </c>
      <c r="Q80"/>
      <c r="R80">
        <f t="shared" si="5"/>
        <v>0</v>
      </c>
      <c r="T80">
        <f>IF(ISBLANK('2.) Enrollment'!H50)=TRUE,'2.) Enrollment'!G50,'2.) Enrollment'!H50)</f>
        <v>0</v>
      </c>
      <c r="U80">
        <f>IF(ISBLANK('2.) Enrollment'!J50)=TRUE,'2.) Enrollment'!I50,'2.) Enrollment'!J50)</f>
        <v>0</v>
      </c>
      <c r="V80">
        <f>IF(ISBLANK('2.) Enrollment'!L50)=TRUE,'2.) Enrollment'!K50,'2.) Enrollment'!L50)</f>
        <v>0</v>
      </c>
      <c r="W80">
        <f>IF(ISBLANK('2.) Enrollment'!N50)=TRUE,'2.) Enrollment'!M50,'2.) Enrollment'!N50)</f>
        <v>0</v>
      </c>
    </row>
    <row r="81" spans="1:23">
      <c r="A81" s="4">
        <v>30</v>
      </c>
      <c r="B81" s="477" t="str">
        <f>IF(OR('2.) Enrollment'!C51=$B$109,ISBLANK('2.) Enrollment'!C51)),"-",'2.) Enrollment'!C51)</f>
        <v>-</v>
      </c>
      <c r="C81" s="233">
        <f>IF(ISNA(MATCH(School,$M$15:$M$27,0)),1,0)*IFERROR(VLOOKUP($B81,'Funding by District'!$D$6:$F$683,3,FALSE),0)</f>
        <v>0</v>
      </c>
      <c r="D81"/>
      <c r="E81">
        <f t="shared" si="2"/>
        <v>0</v>
      </c>
      <c r="F81" s="321">
        <f>$C81*'2.) Enrollment'!G51*'4.) Yearly Budget'!$J$17</f>
        <v>0</v>
      </c>
      <c r="G81" s="321">
        <f>$C81*'2.) Enrollment'!I51*'4.) Yearly Budget'!$M$17</f>
        <v>0</v>
      </c>
      <c r="H81" s="321">
        <f>$C81*'2.) Enrollment'!K51*'4.) Yearly Budget'!$P$17</f>
        <v>0</v>
      </c>
      <c r="I81" s="321">
        <f>$C81*'2.) Enrollment'!M51*'4.) Yearly Budget'!$S$17</f>
        <v>0</v>
      </c>
      <c r="J81" s="827">
        <f t="shared" si="3"/>
        <v>0</v>
      </c>
      <c r="K81"/>
      <c r="L81" s="321">
        <f>$C81*'2.) Enrollment'!H51*'4.) Yearly Budget'!$K$17</f>
        <v>0</v>
      </c>
      <c r="M81" s="321">
        <f>$C81*'2.) Enrollment'!J51*'4.) Yearly Budget'!$N$17</f>
        <v>0</v>
      </c>
      <c r="N81" s="321">
        <f>$C81*'2.) Enrollment'!L51*'4.) Yearly Budget'!$Q$17</f>
        <v>0</v>
      </c>
      <c r="O81" s="321">
        <f>$C81*'2.) Enrollment'!N51*'4.) Yearly Budget'!$T$17</f>
        <v>0</v>
      </c>
      <c r="P81" s="827">
        <f t="shared" si="4"/>
        <v>0</v>
      </c>
      <c r="Q81"/>
      <c r="R81">
        <f t="shared" si="5"/>
        <v>0</v>
      </c>
      <c r="T81">
        <f>IF(ISBLANK('2.) Enrollment'!H51)=TRUE,'2.) Enrollment'!G51,'2.) Enrollment'!H51)</f>
        <v>0</v>
      </c>
      <c r="U81">
        <f>IF(ISBLANK('2.) Enrollment'!J51)=TRUE,'2.) Enrollment'!I51,'2.) Enrollment'!J51)</f>
        <v>0</v>
      </c>
      <c r="V81">
        <f>IF(ISBLANK('2.) Enrollment'!L51)=TRUE,'2.) Enrollment'!K51,'2.) Enrollment'!L51)</f>
        <v>0</v>
      </c>
      <c r="W81">
        <f>IF(ISBLANK('2.) Enrollment'!N51)=TRUE,'2.) Enrollment'!M51,'2.) Enrollment'!N51)</f>
        <v>0</v>
      </c>
    </row>
    <row r="82" spans="1:23">
      <c r="A82" s="4">
        <v>31</v>
      </c>
      <c r="B82" s="477" t="str">
        <f>IF(OR('2.) Enrollment'!C52=$B$109,ISBLANK('2.) Enrollment'!C52)),"-",'2.) Enrollment'!C52)</f>
        <v>-</v>
      </c>
      <c r="C82" s="233">
        <f>IF(ISNA(MATCH(School,$M$15:$M$27,0)),1,0)*IFERROR(VLOOKUP($B82,'Funding by District'!$D$6:$F$683,3,FALSE),0)</f>
        <v>0</v>
      </c>
      <c r="D82"/>
      <c r="E82">
        <f t="shared" si="2"/>
        <v>0</v>
      </c>
      <c r="F82" s="321">
        <f>$C82*'2.) Enrollment'!G52*'4.) Yearly Budget'!$J$17</f>
        <v>0</v>
      </c>
      <c r="G82" s="321">
        <f>$C82*'2.) Enrollment'!I52*'4.) Yearly Budget'!$M$17</f>
        <v>0</v>
      </c>
      <c r="H82" s="321">
        <f>$C82*'2.) Enrollment'!K52*'4.) Yearly Budget'!$P$17</f>
        <v>0</v>
      </c>
      <c r="I82" s="321">
        <f>$C82*'2.) Enrollment'!M52*'4.) Yearly Budget'!$S$17</f>
        <v>0</v>
      </c>
      <c r="J82" s="827">
        <f t="shared" si="3"/>
        <v>0</v>
      </c>
      <c r="K82"/>
      <c r="L82" s="321">
        <f>$C82*'2.) Enrollment'!H52*'4.) Yearly Budget'!$K$17</f>
        <v>0</v>
      </c>
      <c r="M82" s="321">
        <f>$C82*'2.) Enrollment'!J52*'4.) Yearly Budget'!$N$17</f>
        <v>0</v>
      </c>
      <c r="N82" s="321">
        <f>$C82*'2.) Enrollment'!L52*'4.) Yearly Budget'!$Q$17</f>
        <v>0</v>
      </c>
      <c r="O82" s="321">
        <f>$C82*'2.) Enrollment'!N52*'4.) Yearly Budget'!$T$17</f>
        <v>0</v>
      </c>
      <c r="P82" s="827">
        <f t="shared" si="4"/>
        <v>0</v>
      </c>
      <c r="Q82"/>
      <c r="R82">
        <f t="shared" si="5"/>
        <v>0</v>
      </c>
      <c r="T82">
        <f>IF(ISBLANK('2.) Enrollment'!H52)=TRUE,'2.) Enrollment'!G52,'2.) Enrollment'!H52)</f>
        <v>0</v>
      </c>
      <c r="U82">
        <f>IF(ISBLANK('2.) Enrollment'!J52)=TRUE,'2.) Enrollment'!I52,'2.) Enrollment'!J52)</f>
        <v>0</v>
      </c>
      <c r="V82">
        <f>IF(ISBLANK('2.) Enrollment'!L52)=TRUE,'2.) Enrollment'!K52,'2.) Enrollment'!L52)</f>
        <v>0</v>
      </c>
      <c r="W82">
        <f>IF(ISBLANK('2.) Enrollment'!N52)=TRUE,'2.) Enrollment'!M52,'2.) Enrollment'!N52)</f>
        <v>0</v>
      </c>
    </row>
    <row r="83" spans="1:23">
      <c r="A83" s="4">
        <v>32</v>
      </c>
      <c r="B83" s="477" t="str">
        <f>IF(OR('2.) Enrollment'!C53=$B$109,ISBLANK('2.) Enrollment'!C53)),"-",'2.) Enrollment'!C53)</f>
        <v>-</v>
      </c>
      <c r="C83" s="233">
        <f>IF(ISNA(MATCH(School,$M$15:$M$27,0)),1,0)*IFERROR(VLOOKUP($B83,'Funding by District'!$D$6:$F$683,3,FALSE),0)</f>
        <v>0</v>
      </c>
      <c r="D83"/>
      <c r="E83">
        <f t="shared" si="2"/>
        <v>0</v>
      </c>
      <c r="F83" s="321">
        <f>$C83*'2.) Enrollment'!G53*'4.) Yearly Budget'!$J$17</f>
        <v>0</v>
      </c>
      <c r="G83" s="321">
        <f>$C83*'2.) Enrollment'!I53*'4.) Yearly Budget'!$M$17</f>
        <v>0</v>
      </c>
      <c r="H83" s="321">
        <f>$C83*'2.) Enrollment'!K53*'4.) Yearly Budget'!$P$17</f>
        <v>0</v>
      </c>
      <c r="I83" s="321">
        <f>$C83*'2.) Enrollment'!M53*'4.) Yearly Budget'!$S$17</f>
        <v>0</v>
      </c>
      <c r="J83" s="827">
        <f t="shared" si="3"/>
        <v>0</v>
      </c>
      <c r="K83"/>
      <c r="L83" s="321">
        <f>$C83*'2.) Enrollment'!H53*'4.) Yearly Budget'!$K$17</f>
        <v>0</v>
      </c>
      <c r="M83" s="321">
        <f>$C83*'2.) Enrollment'!J53*'4.) Yearly Budget'!$N$17</f>
        <v>0</v>
      </c>
      <c r="N83" s="321">
        <f>$C83*'2.) Enrollment'!L53*'4.) Yearly Budget'!$Q$17</f>
        <v>0</v>
      </c>
      <c r="O83" s="321">
        <f>$C83*'2.) Enrollment'!N53*'4.) Yearly Budget'!$T$17</f>
        <v>0</v>
      </c>
      <c r="P83" s="827">
        <f t="shared" si="4"/>
        <v>0</v>
      </c>
      <c r="Q83"/>
      <c r="R83">
        <f t="shared" si="5"/>
        <v>0</v>
      </c>
      <c r="T83">
        <f>IF(ISBLANK('2.) Enrollment'!H53)=TRUE,'2.) Enrollment'!G53,'2.) Enrollment'!H53)</f>
        <v>0</v>
      </c>
      <c r="U83">
        <f>IF(ISBLANK('2.) Enrollment'!J53)=TRUE,'2.) Enrollment'!I53,'2.) Enrollment'!J53)</f>
        <v>0</v>
      </c>
      <c r="V83">
        <f>IF(ISBLANK('2.) Enrollment'!L53)=TRUE,'2.) Enrollment'!K53,'2.) Enrollment'!L53)</f>
        <v>0</v>
      </c>
      <c r="W83">
        <f>IF(ISBLANK('2.) Enrollment'!N53)=TRUE,'2.) Enrollment'!M53,'2.) Enrollment'!N53)</f>
        <v>0</v>
      </c>
    </row>
    <row r="84" spans="1:23">
      <c r="A84" s="4">
        <v>33</v>
      </c>
      <c r="B84" s="477" t="str">
        <f>IF(OR('2.) Enrollment'!C54=$B$109,ISBLANK('2.) Enrollment'!C54)),"-",'2.) Enrollment'!C54)</f>
        <v>-</v>
      </c>
      <c r="C84" s="233">
        <f>IF(ISNA(MATCH(School,$M$15:$M$27,0)),1,0)*IFERROR(VLOOKUP($B84,'Funding by District'!$D$6:$F$683,3,FALSE),0)</f>
        <v>0</v>
      </c>
      <c r="D84"/>
      <c r="E84">
        <f t="shared" si="2"/>
        <v>0</v>
      </c>
      <c r="F84" s="321">
        <f>$C84*'2.) Enrollment'!G54*'4.) Yearly Budget'!$J$17</f>
        <v>0</v>
      </c>
      <c r="G84" s="321">
        <f>$C84*'2.) Enrollment'!I54*'4.) Yearly Budget'!$M$17</f>
        <v>0</v>
      </c>
      <c r="H84" s="321">
        <f>$C84*'2.) Enrollment'!K54*'4.) Yearly Budget'!$P$17</f>
        <v>0</v>
      </c>
      <c r="I84" s="321">
        <f>$C84*'2.) Enrollment'!M54*'4.) Yearly Budget'!$S$17</f>
        <v>0</v>
      </c>
      <c r="J84" s="827">
        <f t="shared" si="3"/>
        <v>0</v>
      </c>
      <c r="K84"/>
      <c r="L84" s="321">
        <f>$C84*'2.) Enrollment'!H54*'4.) Yearly Budget'!$K$17</f>
        <v>0</v>
      </c>
      <c r="M84" s="321">
        <f>$C84*'2.) Enrollment'!J54*'4.) Yearly Budget'!$N$17</f>
        <v>0</v>
      </c>
      <c r="N84" s="321">
        <f>$C84*'2.) Enrollment'!L54*'4.) Yearly Budget'!$Q$17</f>
        <v>0</v>
      </c>
      <c r="O84" s="321">
        <f>$C84*'2.) Enrollment'!N54*'4.) Yearly Budget'!$T$17</f>
        <v>0</v>
      </c>
      <c r="P84" s="827">
        <f t="shared" si="4"/>
        <v>0</v>
      </c>
      <c r="Q84"/>
      <c r="R84">
        <f t="shared" si="5"/>
        <v>0</v>
      </c>
      <c r="T84">
        <f>IF(ISBLANK('2.) Enrollment'!H54)=TRUE,'2.) Enrollment'!G54,'2.) Enrollment'!H54)</f>
        <v>0</v>
      </c>
      <c r="U84">
        <f>IF(ISBLANK('2.) Enrollment'!J54)=TRUE,'2.) Enrollment'!I54,'2.) Enrollment'!J54)</f>
        <v>0</v>
      </c>
      <c r="V84">
        <f>IF(ISBLANK('2.) Enrollment'!L54)=TRUE,'2.) Enrollment'!K54,'2.) Enrollment'!L54)</f>
        <v>0</v>
      </c>
      <c r="W84">
        <f>IF(ISBLANK('2.) Enrollment'!N54)=TRUE,'2.) Enrollment'!M54,'2.) Enrollment'!N54)</f>
        <v>0</v>
      </c>
    </row>
    <row r="85" spans="1:23">
      <c r="A85" s="4">
        <v>34</v>
      </c>
      <c r="B85" s="477" t="str">
        <f>IF(OR('2.) Enrollment'!C55=$B$109,ISBLANK('2.) Enrollment'!C55)),"-",'2.) Enrollment'!C55)</f>
        <v>-</v>
      </c>
      <c r="C85" s="233">
        <f>IF(ISNA(MATCH(School,$M$15:$M$27,0)),1,0)*IFERROR(VLOOKUP($B85,'Funding by District'!$D$6:$F$683,3,FALSE),0)</f>
        <v>0</v>
      </c>
      <c r="D85"/>
      <c r="E85">
        <f t="shared" si="2"/>
        <v>0</v>
      </c>
      <c r="F85" s="321">
        <f>$C85*'2.) Enrollment'!G55*'4.) Yearly Budget'!$J$17</f>
        <v>0</v>
      </c>
      <c r="G85" s="321">
        <f>$C85*'2.) Enrollment'!I55*'4.) Yearly Budget'!$M$17</f>
        <v>0</v>
      </c>
      <c r="H85" s="321">
        <f>$C85*'2.) Enrollment'!K55*'4.) Yearly Budget'!$P$17</f>
        <v>0</v>
      </c>
      <c r="I85" s="321">
        <f>$C85*'2.) Enrollment'!M55*'4.) Yearly Budget'!$S$17</f>
        <v>0</v>
      </c>
      <c r="J85" s="827">
        <f t="shared" si="3"/>
        <v>0</v>
      </c>
      <c r="K85"/>
      <c r="L85" s="321">
        <f>$C85*'2.) Enrollment'!H55*'4.) Yearly Budget'!$K$17</f>
        <v>0</v>
      </c>
      <c r="M85" s="321">
        <f>$C85*'2.) Enrollment'!J55*'4.) Yearly Budget'!$N$17</f>
        <v>0</v>
      </c>
      <c r="N85" s="321">
        <f>$C85*'2.) Enrollment'!L55*'4.) Yearly Budget'!$Q$17</f>
        <v>0</v>
      </c>
      <c r="O85" s="321">
        <f>$C85*'2.) Enrollment'!N55*'4.) Yearly Budget'!$T$17</f>
        <v>0</v>
      </c>
      <c r="P85" s="827">
        <f t="shared" si="4"/>
        <v>0</v>
      </c>
      <c r="Q85"/>
      <c r="R85">
        <f t="shared" si="5"/>
        <v>0</v>
      </c>
      <c r="T85">
        <f>IF(ISBLANK('2.) Enrollment'!H55)=TRUE,'2.) Enrollment'!G55,'2.) Enrollment'!H55)</f>
        <v>0</v>
      </c>
      <c r="U85">
        <f>IF(ISBLANK('2.) Enrollment'!J55)=TRUE,'2.) Enrollment'!I55,'2.) Enrollment'!J55)</f>
        <v>0</v>
      </c>
      <c r="V85">
        <f>IF(ISBLANK('2.) Enrollment'!L55)=TRUE,'2.) Enrollment'!K55,'2.) Enrollment'!L55)</f>
        <v>0</v>
      </c>
      <c r="W85">
        <f>IF(ISBLANK('2.) Enrollment'!N55)=TRUE,'2.) Enrollment'!M55,'2.) Enrollment'!N55)</f>
        <v>0</v>
      </c>
    </row>
    <row r="86" spans="1:23">
      <c r="A86" s="4">
        <v>35</v>
      </c>
      <c r="B86" s="477" t="str">
        <f>IF(OR('2.) Enrollment'!C56=$B$109,ISBLANK('2.) Enrollment'!C56)),"-",'2.) Enrollment'!C56)</f>
        <v>-</v>
      </c>
      <c r="C86" s="233">
        <f>IF(ISNA(MATCH(School,$M$15:$M$27,0)),1,0)*IFERROR(VLOOKUP($B86,'Funding by District'!$D$6:$F$683,3,FALSE),0)</f>
        <v>0</v>
      </c>
      <c r="D86"/>
      <c r="E86">
        <f t="shared" si="2"/>
        <v>0</v>
      </c>
      <c r="F86" s="321">
        <f>$C86*'2.) Enrollment'!G56*'4.) Yearly Budget'!$J$17</f>
        <v>0</v>
      </c>
      <c r="G86" s="321">
        <f>$C86*'2.) Enrollment'!I56*'4.) Yearly Budget'!$M$17</f>
        <v>0</v>
      </c>
      <c r="H86" s="321">
        <f>$C86*'2.) Enrollment'!K56*'4.) Yearly Budget'!$P$17</f>
        <v>0</v>
      </c>
      <c r="I86" s="321">
        <f>$C86*'2.) Enrollment'!M56*'4.) Yearly Budget'!$S$17</f>
        <v>0</v>
      </c>
      <c r="J86" s="827">
        <f t="shared" si="3"/>
        <v>0</v>
      </c>
      <c r="K86"/>
      <c r="L86" s="321">
        <f>$C86*'2.) Enrollment'!H56*'4.) Yearly Budget'!$K$17</f>
        <v>0</v>
      </c>
      <c r="M86" s="321">
        <f>$C86*'2.) Enrollment'!J56*'4.) Yearly Budget'!$N$17</f>
        <v>0</v>
      </c>
      <c r="N86" s="321">
        <f>$C86*'2.) Enrollment'!L56*'4.) Yearly Budget'!$Q$17</f>
        <v>0</v>
      </c>
      <c r="O86" s="321">
        <f>$C86*'2.) Enrollment'!N56*'4.) Yearly Budget'!$T$17</f>
        <v>0</v>
      </c>
      <c r="P86" s="827">
        <f t="shared" si="4"/>
        <v>0</v>
      </c>
      <c r="Q86"/>
      <c r="R86">
        <f t="shared" si="5"/>
        <v>0</v>
      </c>
      <c r="T86">
        <f>IF(ISBLANK('2.) Enrollment'!H56)=TRUE,'2.) Enrollment'!G56,'2.) Enrollment'!H56)</f>
        <v>0</v>
      </c>
      <c r="U86">
        <f>IF(ISBLANK('2.) Enrollment'!J56)=TRUE,'2.) Enrollment'!I56,'2.) Enrollment'!J56)</f>
        <v>0</v>
      </c>
      <c r="V86">
        <f>IF(ISBLANK('2.) Enrollment'!L56)=TRUE,'2.) Enrollment'!K56,'2.) Enrollment'!L56)</f>
        <v>0</v>
      </c>
      <c r="W86">
        <f>IF(ISBLANK('2.) Enrollment'!N56)=TRUE,'2.) Enrollment'!M56,'2.) Enrollment'!N56)</f>
        <v>0</v>
      </c>
    </row>
    <row r="87" spans="1:23">
      <c r="A87" s="4">
        <v>36</v>
      </c>
      <c r="B87" s="477" t="str">
        <f>IF(OR('2.) Enrollment'!C57=$B$109,ISBLANK('2.) Enrollment'!C57)),"-",'2.) Enrollment'!C57)</f>
        <v>-</v>
      </c>
      <c r="C87" s="233">
        <f>IF(ISNA(MATCH(School,$M$15:$M$27,0)),1,0)*IFERROR(VLOOKUP($B87,'Funding by District'!$D$6:$F$683,3,FALSE),0)</f>
        <v>0</v>
      </c>
      <c r="D87"/>
      <c r="E87">
        <f t="shared" si="2"/>
        <v>0</v>
      </c>
      <c r="F87" s="321">
        <f>$C87*'2.) Enrollment'!G57*'4.) Yearly Budget'!$J$17</f>
        <v>0</v>
      </c>
      <c r="G87" s="321">
        <f>$C87*'2.) Enrollment'!I57*'4.) Yearly Budget'!$M$17</f>
        <v>0</v>
      </c>
      <c r="H87" s="321">
        <f>$C87*'2.) Enrollment'!K57*'4.) Yearly Budget'!$P$17</f>
        <v>0</v>
      </c>
      <c r="I87" s="321">
        <f>$C87*'2.) Enrollment'!M57*'4.) Yearly Budget'!$S$17</f>
        <v>0</v>
      </c>
      <c r="J87" s="827">
        <f t="shared" si="3"/>
        <v>0</v>
      </c>
      <c r="K87"/>
      <c r="L87" s="321">
        <f>$C87*'2.) Enrollment'!H57*'4.) Yearly Budget'!$K$17</f>
        <v>0</v>
      </c>
      <c r="M87" s="321">
        <f>$C87*'2.) Enrollment'!J57*'4.) Yearly Budget'!$N$17</f>
        <v>0</v>
      </c>
      <c r="N87" s="321">
        <f>$C87*'2.) Enrollment'!L57*'4.) Yearly Budget'!$Q$17</f>
        <v>0</v>
      </c>
      <c r="O87" s="321">
        <f>$C87*'2.) Enrollment'!N57*'4.) Yearly Budget'!$T$17</f>
        <v>0</v>
      </c>
      <c r="P87" s="827">
        <f t="shared" si="4"/>
        <v>0</v>
      </c>
      <c r="Q87"/>
      <c r="R87">
        <f t="shared" si="5"/>
        <v>0</v>
      </c>
      <c r="T87">
        <f>IF(ISBLANK('2.) Enrollment'!H57)=TRUE,'2.) Enrollment'!G57,'2.) Enrollment'!H57)</f>
        <v>0</v>
      </c>
      <c r="U87">
        <f>IF(ISBLANK('2.) Enrollment'!J57)=TRUE,'2.) Enrollment'!I57,'2.) Enrollment'!J57)</f>
        <v>0</v>
      </c>
      <c r="V87">
        <f>IF(ISBLANK('2.) Enrollment'!L57)=TRUE,'2.) Enrollment'!K57,'2.) Enrollment'!L57)</f>
        <v>0</v>
      </c>
      <c r="W87">
        <f>IF(ISBLANK('2.) Enrollment'!N57)=TRUE,'2.) Enrollment'!M57,'2.) Enrollment'!N57)</f>
        <v>0</v>
      </c>
    </row>
    <row r="88" spans="1:23">
      <c r="A88" s="4">
        <v>37</v>
      </c>
      <c r="B88" s="477" t="str">
        <f>IF(OR('2.) Enrollment'!C58=$B$109,ISBLANK('2.) Enrollment'!C58)),"-",'2.) Enrollment'!C58)</f>
        <v>-</v>
      </c>
      <c r="C88" s="233">
        <f>IF(ISNA(MATCH(School,$M$15:$M$27,0)),1,0)*IFERROR(VLOOKUP($B88,'Funding by District'!$D$6:$F$683,3,FALSE),0)</f>
        <v>0</v>
      </c>
      <c r="D88"/>
      <c r="E88">
        <f t="shared" si="2"/>
        <v>0</v>
      </c>
      <c r="F88" s="321">
        <f>$C88*'2.) Enrollment'!G58*'4.) Yearly Budget'!$J$17</f>
        <v>0</v>
      </c>
      <c r="G88" s="321">
        <f>$C88*'2.) Enrollment'!I58*'4.) Yearly Budget'!$M$17</f>
        <v>0</v>
      </c>
      <c r="H88" s="321">
        <f>$C88*'2.) Enrollment'!K58*'4.) Yearly Budget'!$P$17</f>
        <v>0</v>
      </c>
      <c r="I88" s="321">
        <f>$C88*'2.) Enrollment'!M58*'4.) Yearly Budget'!$S$17</f>
        <v>0</v>
      </c>
      <c r="J88" s="827">
        <f t="shared" si="3"/>
        <v>0</v>
      </c>
      <c r="K88"/>
      <c r="L88" s="321">
        <f>$C88*'2.) Enrollment'!H58*'4.) Yearly Budget'!$K$17</f>
        <v>0</v>
      </c>
      <c r="M88" s="321">
        <f>$C88*'2.) Enrollment'!J58*'4.) Yearly Budget'!$N$17</f>
        <v>0</v>
      </c>
      <c r="N88" s="321">
        <f>$C88*'2.) Enrollment'!L58*'4.) Yearly Budget'!$Q$17</f>
        <v>0</v>
      </c>
      <c r="O88" s="321">
        <f>$C88*'2.) Enrollment'!N58*'4.) Yearly Budget'!$T$17</f>
        <v>0</v>
      </c>
      <c r="P88" s="827">
        <f t="shared" si="4"/>
        <v>0</v>
      </c>
      <c r="Q88"/>
      <c r="R88">
        <f t="shared" si="5"/>
        <v>0</v>
      </c>
      <c r="T88">
        <f>IF(ISBLANK('2.) Enrollment'!H58)=TRUE,'2.) Enrollment'!G58,'2.) Enrollment'!H58)</f>
        <v>0</v>
      </c>
      <c r="U88">
        <f>IF(ISBLANK('2.) Enrollment'!J58)=TRUE,'2.) Enrollment'!I58,'2.) Enrollment'!J58)</f>
        <v>0</v>
      </c>
      <c r="V88">
        <f>IF(ISBLANK('2.) Enrollment'!L58)=TRUE,'2.) Enrollment'!K58,'2.) Enrollment'!L58)</f>
        <v>0</v>
      </c>
      <c r="W88">
        <f>IF(ISBLANK('2.) Enrollment'!N58)=TRUE,'2.) Enrollment'!M58,'2.) Enrollment'!N58)</f>
        <v>0</v>
      </c>
    </row>
    <row r="89" spans="1:23">
      <c r="A89" s="4">
        <v>38</v>
      </c>
      <c r="B89" s="477" t="str">
        <f>IF(OR('2.) Enrollment'!C59=$B$109,ISBLANK('2.) Enrollment'!C59)),"-",'2.) Enrollment'!C59)</f>
        <v>-</v>
      </c>
      <c r="C89" s="233">
        <f>IF(ISNA(MATCH(School,$M$15:$M$27,0)),1,0)*IFERROR(VLOOKUP($B89,'Funding by District'!$D$6:$F$683,3,FALSE),0)</f>
        <v>0</v>
      </c>
      <c r="D89"/>
      <c r="E89">
        <f t="shared" si="2"/>
        <v>0</v>
      </c>
      <c r="F89" s="321">
        <f>$C89*'2.) Enrollment'!G59*'4.) Yearly Budget'!$J$17</f>
        <v>0</v>
      </c>
      <c r="G89" s="321">
        <f>$C89*'2.) Enrollment'!I59*'4.) Yearly Budget'!$M$17</f>
        <v>0</v>
      </c>
      <c r="H89" s="321">
        <f>$C89*'2.) Enrollment'!K59*'4.) Yearly Budget'!$P$17</f>
        <v>0</v>
      </c>
      <c r="I89" s="321">
        <f>$C89*'2.) Enrollment'!M59*'4.) Yearly Budget'!$S$17</f>
        <v>0</v>
      </c>
      <c r="J89" s="827">
        <f t="shared" si="3"/>
        <v>0</v>
      </c>
      <c r="K89"/>
      <c r="L89" s="321">
        <f>$C89*'2.) Enrollment'!H59*'4.) Yearly Budget'!$K$17</f>
        <v>0</v>
      </c>
      <c r="M89" s="321">
        <f>$C89*'2.) Enrollment'!J59*'4.) Yearly Budget'!$N$17</f>
        <v>0</v>
      </c>
      <c r="N89" s="321">
        <f>$C89*'2.) Enrollment'!L59*'4.) Yearly Budget'!$Q$17</f>
        <v>0</v>
      </c>
      <c r="O89" s="321">
        <f>$C89*'2.) Enrollment'!N59*'4.) Yearly Budget'!$T$17</f>
        <v>0</v>
      </c>
      <c r="P89" s="827">
        <f t="shared" si="4"/>
        <v>0</v>
      </c>
      <c r="Q89"/>
      <c r="R89">
        <f t="shared" si="5"/>
        <v>0</v>
      </c>
      <c r="T89">
        <f>IF(ISBLANK('2.) Enrollment'!H59)=TRUE,'2.) Enrollment'!G59,'2.) Enrollment'!H59)</f>
        <v>0</v>
      </c>
      <c r="U89">
        <f>IF(ISBLANK('2.) Enrollment'!J59)=TRUE,'2.) Enrollment'!I59,'2.) Enrollment'!J59)</f>
        <v>0</v>
      </c>
      <c r="V89">
        <f>IF(ISBLANK('2.) Enrollment'!L59)=TRUE,'2.) Enrollment'!K59,'2.) Enrollment'!L59)</f>
        <v>0</v>
      </c>
      <c r="W89">
        <f>IF(ISBLANK('2.) Enrollment'!N59)=TRUE,'2.) Enrollment'!M59,'2.) Enrollment'!N59)</f>
        <v>0</v>
      </c>
    </row>
    <row r="90" spans="1:23">
      <c r="A90" s="4">
        <v>39</v>
      </c>
      <c r="B90" s="477" t="str">
        <f>IF(OR('2.) Enrollment'!C60=$B$109,ISBLANK('2.) Enrollment'!C60)),"-",'2.) Enrollment'!C60)</f>
        <v>-</v>
      </c>
      <c r="C90" s="233">
        <f>IF(ISNA(MATCH(School,$M$15:$M$27,0)),1,0)*IFERROR(VLOOKUP($B90,'Funding by District'!$D$6:$F$683,3,FALSE),0)</f>
        <v>0</v>
      </c>
      <c r="D90"/>
      <c r="E90">
        <f t="shared" si="2"/>
        <v>0</v>
      </c>
      <c r="F90" s="321">
        <f>$C90*'2.) Enrollment'!G60*'4.) Yearly Budget'!$J$17</f>
        <v>0</v>
      </c>
      <c r="G90" s="321">
        <f>$C90*'2.) Enrollment'!I60*'4.) Yearly Budget'!$M$17</f>
        <v>0</v>
      </c>
      <c r="H90" s="321">
        <f>$C90*'2.) Enrollment'!K60*'4.) Yearly Budget'!$P$17</f>
        <v>0</v>
      </c>
      <c r="I90" s="321">
        <f>$C90*'2.) Enrollment'!M60*'4.) Yearly Budget'!$S$17</f>
        <v>0</v>
      </c>
      <c r="J90" s="827">
        <f t="shared" si="3"/>
        <v>0</v>
      </c>
      <c r="K90"/>
      <c r="L90" s="321">
        <f>$C90*'2.) Enrollment'!H60*'4.) Yearly Budget'!$K$17</f>
        <v>0</v>
      </c>
      <c r="M90" s="321">
        <f>$C90*'2.) Enrollment'!J60*'4.) Yearly Budget'!$N$17</f>
        <v>0</v>
      </c>
      <c r="N90" s="321">
        <f>$C90*'2.) Enrollment'!L60*'4.) Yearly Budget'!$Q$17</f>
        <v>0</v>
      </c>
      <c r="O90" s="321">
        <f>$C90*'2.) Enrollment'!N60*'4.) Yearly Budget'!$T$17</f>
        <v>0</v>
      </c>
      <c r="P90" s="827">
        <f t="shared" si="4"/>
        <v>0</v>
      </c>
      <c r="Q90"/>
      <c r="R90">
        <f t="shared" si="5"/>
        <v>0</v>
      </c>
      <c r="T90">
        <f>IF(ISBLANK('2.) Enrollment'!H60)=TRUE,'2.) Enrollment'!G60,'2.) Enrollment'!H60)</f>
        <v>0</v>
      </c>
      <c r="U90">
        <f>IF(ISBLANK('2.) Enrollment'!J60)=TRUE,'2.) Enrollment'!I60,'2.) Enrollment'!J60)</f>
        <v>0</v>
      </c>
      <c r="V90">
        <f>IF(ISBLANK('2.) Enrollment'!L60)=TRUE,'2.) Enrollment'!K60,'2.) Enrollment'!L60)</f>
        <v>0</v>
      </c>
      <c r="W90">
        <f>IF(ISBLANK('2.) Enrollment'!N60)=TRUE,'2.) Enrollment'!M60,'2.) Enrollment'!N60)</f>
        <v>0</v>
      </c>
    </row>
    <row r="91" spans="1:23">
      <c r="A91" s="4">
        <v>40</v>
      </c>
      <c r="B91" s="477" t="str">
        <f>IF(OR('2.) Enrollment'!C61=$B$109,ISBLANK('2.) Enrollment'!C61)),"-",'2.) Enrollment'!C61)</f>
        <v>-</v>
      </c>
      <c r="C91" s="233">
        <f>IF(ISNA(MATCH(School,$M$15:$M$27,0)),1,0)*IFERROR(VLOOKUP($B91,'Funding by District'!$D$6:$F$683,3,FALSE),0)</f>
        <v>0</v>
      </c>
      <c r="D91"/>
      <c r="E91">
        <f t="shared" si="2"/>
        <v>0</v>
      </c>
      <c r="F91" s="321">
        <f>$C91*'2.) Enrollment'!G61*'4.) Yearly Budget'!$J$17</f>
        <v>0</v>
      </c>
      <c r="G91" s="321">
        <f>$C91*'2.) Enrollment'!I61*'4.) Yearly Budget'!$M$17</f>
        <v>0</v>
      </c>
      <c r="H91" s="321">
        <f>$C91*'2.) Enrollment'!K61*'4.) Yearly Budget'!$P$17</f>
        <v>0</v>
      </c>
      <c r="I91" s="321">
        <f>$C91*'2.) Enrollment'!M61*'4.) Yearly Budget'!$S$17</f>
        <v>0</v>
      </c>
      <c r="J91" s="827">
        <f t="shared" si="3"/>
        <v>0</v>
      </c>
      <c r="K91"/>
      <c r="L91" s="321">
        <f>$C91*'2.) Enrollment'!H61*'4.) Yearly Budget'!$K$17</f>
        <v>0</v>
      </c>
      <c r="M91" s="321">
        <f>$C91*'2.) Enrollment'!J61*'4.) Yearly Budget'!$N$17</f>
        <v>0</v>
      </c>
      <c r="N91" s="321">
        <f>$C91*'2.) Enrollment'!L61*'4.) Yearly Budget'!$Q$17</f>
        <v>0</v>
      </c>
      <c r="O91" s="321">
        <f>$C91*'2.) Enrollment'!N61*'4.) Yearly Budget'!$T$17</f>
        <v>0</v>
      </c>
      <c r="P91" s="827">
        <f t="shared" si="4"/>
        <v>0</v>
      </c>
      <c r="Q91"/>
      <c r="R91">
        <f t="shared" si="5"/>
        <v>0</v>
      </c>
      <c r="T91">
        <f>IF(ISBLANK('2.) Enrollment'!H61)=TRUE,'2.) Enrollment'!G61,'2.) Enrollment'!H61)</f>
        <v>0</v>
      </c>
      <c r="U91">
        <f>IF(ISBLANK('2.) Enrollment'!J61)=TRUE,'2.) Enrollment'!I61,'2.) Enrollment'!J61)</f>
        <v>0</v>
      </c>
      <c r="V91">
        <f>IF(ISBLANK('2.) Enrollment'!L61)=TRUE,'2.) Enrollment'!K61,'2.) Enrollment'!L61)</f>
        <v>0</v>
      </c>
      <c r="W91">
        <f>IF(ISBLANK('2.) Enrollment'!N61)=TRUE,'2.) Enrollment'!M61,'2.) Enrollment'!N61)</f>
        <v>0</v>
      </c>
    </row>
    <row r="92" spans="1:23">
      <c r="A92" s="4">
        <v>41</v>
      </c>
      <c r="B92" s="477" t="str">
        <f>IF(OR('2.) Enrollment'!C62=$B$109,ISBLANK('2.) Enrollment'!C62)),"-",'2.) Enrollment'!C62)</f>
        <v>-</v>
      </c>
      <c r="C92" s="233">
        <f>IF(ISNA(MATCH(School,$M$15:$M$27,0)),1,0)*IFERROR(VLOOKUP($B92,'Funding by District'!$D$6:$F$683,3,FALSE),0)</f>
        <v>0</v>
      </c>
      <c r="D92"/>
      <c r="E92">
        <f t="shared" si="2"/>
        <v>0</v>
      </c>
      <c r="F92" s="321">
        <f>$C92*'2.) Enrollment'!G62*'4.) Yearly Budget'!$J$17</f>
        <v>0</v>
      </c>
      <c r="G92" s="321">
        <f>$C92*'2.) Enrollment'!I62*'4.) Yearly Budget'!$M$17</f>
        <v>0</v>
      </c>
      <c r="H92" s="321">
        <f>$C92*'2.) Enrollment'!K62*'4.) Yearly Budget'!$P$17</f>
        <v>0</v>
      </c>
      <c r="I92" s="321">
        <f>$C92*'2.) Enrollment'!M62*'4.) Yearly Budget'!$S$17</f>
        <v>0</v>
      </c>
      <c r="J92" s="827">
        <f t="shared" si="3"/>
        <v>0</v>
      </c>
      <c r="K92"/>
      <c r="L92" s="321">
        <f>$C92*'2.) Enrollment'!H62*'4.) Yearly Budget'!$K$17</f>
        <v>0</v>
      </c>
      <c r="M92" s="321">
        <f>$C92*'2.) Enrollment'!J62*'4.) Yearly Budget'!$N$17</f>
        <v>0</v>
      </c>
      <c r="N92" s="321">
        <f>$C92*'2.) Enrollment'!L62*'4.) Yearly Budget'!$Q$17</f>
        <v>0</v>
      </c>
      <c r="O92" s="321">
        <f>$C92*'2.) Enrollment'!N62*'4.) Yearly Budget'!$T$17</f>
        <v>0</v>
      </c>
      <c r="P92" s="827">
        <f t="shared" si="4"/>
        <v>0</v>
      </c>
      <c r="Q92"/>
      <c r="R92">
        <f t="shared" si="5"/>
        <v>0</v>
      </c>
      <c r="T92">
        <f>IF(ISBLANK('2.) Enrollment'!H62)=TRUE,'2.) Enrollment'!G62,'2.) Enrollment'!H62)</f>
        <v>0</v>
      </c>
      <c r="U92">
        <f>IF(ISBLANK('2.) Enrollment'!J62)=TRUE,'2.) Enrollment'!I62,'2.) Enrollment'!J62)</f>
        <v>0</v>
      </c>
      <c r="V92">
        <f>IF(ISBLANK('2.) Enrollment'!L62)=TRUE,'2.) Enrollment'!K62,'2.) Enrollment'!L62)</f>
        <v>0</v>
      </c>
      <c r="W92">
        <f>IF(ISBLANK('2.) Enrollment'!N62)=TRUE,'2.) Enrollment'!M62,'2.) Enrollment'!N62)</f>
        <v>0</v>
      </c>
    </row>
    <row r="93" spans="1:23">
      <c r="A93" s="4">
        <v>42</v>
      </c>
      <c r="B93" s="477" t="str">
        <f>IF(OR('2.) Enrollment'!C63=$B$109,ISBLANK('2.) Enrollment'!C63)),"-",'2.) Enrollment'!C63)</f>
        <v>-</v>
      </c>
      <c r="C93" s="233">
        <f>IF(ISNA(MATCH(School,$M$15:$M$27,0)),1,0)*IFERROR(VLOOKUP($B93,'Funding by District'!$D$6:$F$683,3,FALSE),0)</f>
        <v>0</v>
      </c>
      <c r="D93"/>
      <c r="E93">
        <f t="shared" si="2"/>
        <v>0</v>
      </c>
      <c r="F93" s="321">
        <f>$C93*'2.) Enrollment'!G63*'4.) Yearly Budget'!$J$17</f>
        <v>0</v>
      </c>
      <c r="G93" s="321">
        <f>$C93*'2.) Enrollment'!I63*'4.) Yearly Budget'!$M$17</f>
        <v>0</v>
      </c>
      <c r="H93" s="321">
        <f>$C93*'2.) Enrollment'!K63*'4.) Yearly Budget'!$P$17</f>
        <v>0</v>
      </c>
      <c r="I93" s="321">
        <f>$C93*'2.) Enrollment'!M63*'4.) Yearly Budget'!$S$17</f>
        <v>0</v>
      </c>
      <c r="J93" s="827">
        <f t="shared" si="3"/>
        <v>0</v>
      </c>
      <c r="K93"/>
      <c r="L93" s="321">
        <f>$C93*'2.) Enrollment'!H63*'4.) Yearly Budget'!$K$17</f>
        <v>0</v>
      </c>
      <c r="M93" s="321">
        <f>$C93*'2.) Enrollment'!J63*'4.) Yearly Budget'!$N$17</f>
        <v>0</v>
      </c>
      <c r="N93" s="321">
        <f>$C93*'2.) Enrollment'!L63*'4.) Yearly Budget'!$Q$17</f>
        <v>0</v>
      </c>
      <c r="O93" s="321">
        <f>$C93*'2.) Enrollment'!N63*'4.) Yearly Budget'!$T$17</f>
        <v>0</v>
      </c>
      <c r="P93" s="827">
        <f t="shared" si="4"/>
        <v>0</v>
      </c>
      <c r="Q93"/>
      <c r="R93">
        <f t="shared" si="5"/>
        <v>0</v>
      </c>
      <c r="T93">
        <f>IF(ISBLANK('2.) Enrollment'!H63)=TRUE,'2.) Enrollment'!G63,'2.) Enrollment'!H63)</f>
        <v>0</v>
      </c>
      <c r="U93">
        <f>IF(ISBLANK('2.) Enrollment'!J63)=TRUE,'2.) Enrollment'!I63,'2.) Enrollment'!J63)</f>
        <v>0</v>
      </c>
      <c r="V93">
        <f>IF(ISBLANK('2.) Enrollment'!L63)=TRUE,'2.) Enrollment'!K63,'2.) Enrollment'!L63)</f>
        <v>0</v>
      </c>
      <c r="W93">
        <f>IF(ISBLANK('2.) Enrollment'!N63)=TRUE,'2.) Enrollment'!M63,'2.) Enrollment'!N63)</f>
        <v>0</v>
      </c>
    </row>
    <row r="94" spans="1:23">
      <c r="A94" s="4">
        <v>43</v>
      </c>
      <c r="B94" s="477" t="str">
        <f>IF(OR('2.) Enrollment'!C64=$B$109,ISBLANK('2.) Enrollment'!C64)),"-",'2.) Enrollment'!C64)</f>
        <v>-</v>
      </c>
      <c r="C94" s="233">
        <f>IF(ISNA(MATCH(School,$M$15:$M$27,0)),1,0)*IFERROR(VLOOKUP($B94,'Funding by District'!$D$6:$F$683,3,FALSE),0)</f>
        <v>0</v>
      </c>
      <c r="D94"/>
      <c r="E94">
        <f t="shared" si="2"/>
        <v>0</v>
      </c>
      <c r="F94" s="321">
        <f>$C94*'2.) Enrollment'!G64*'4.) Yearly Budget'!$J$17</f>
        <v>0</v>
      </c>
      <c r="G94" s="321">
        <f>$C94*'2.) Enrollment'!I64*'4.) Yearly Budget'!$M$17</f>
        <v>0</v>
      </c>
      <c r="H94" s="321">
        <f>$C94*'2.) Enrollment'!K64*'4.) Yearly Budget'!$P$17</f>
        <v>0</v>
      </c>
      <c r="I94" s="321">
        <f>$C94*'2.) Enrollment'!M64*'4.) Yearly Budget'!$S$17</f>
        <v>0</v>
      </c>
      <c r="J94" s="827">
        <f t="shared" si="3"/>
        <v>0</v>
      </c>
      <c r="K94"/>
      <c r="L94" s="321">
        <f>$C94*'2.) Enrollment'!H64*'4.) Yearly Budget'!$K$17</f>
        <v>0</v>
      </c>
      <c r="M94" s="321">
        <f>$C94*'2.) Enrollment'!J64*'4.) Yearly Budget'!$N$17</f>
        <v>0</v>
      </c>
      <c r="N94" s="321">
        <f>$C94*'2.) Enrollment'!L64*'4.) Yearly Budget'!$Q$17</f>
        <v>0</v>
      </c>
      <c r="O94" s="321">
        <f>$C94*'2.) Enrollment'!N64*'4.) Yearly Budget'!$T$17</f>
        <v>0</v>
      </c>
      <c r="P94" s="827">
        <f t="shared" si="4"/>
        <v>0</v>
      </c>
      <c r="Q94"/>
      <c r="R94">
        <f t="shared" si="5"/>
        <v>0</v>
      </c>
      <c r="T94">
        <f>IF(ISBLANK('2.) Enrollment'!H64)=TRUE,'2.) Enrollment'!G64,'2.) Enrollment'!H64)</f>
        <v>0</v>
      </c>
      <c r="U94">
        <f>IF(ISBLANK('2.) Enrollment'!J64)=TRUE,'2.) Enrollment'!I64,'2.) Enrollment'!J64)</f>
        <v>0</v>
      </c>
      <c r="V94">
        <f>IF(ISBLANK('2.) Enrollment'!L64)=TRUE,'2.) Enrollment'!K64,'2.) Enrollment'!L64)</f>
        <v>0</v>
      </c>
      <c r="W94">
        <f>IF(ISBLANK('2.) Enrollment'!N64)=TRUE,'2.) Enrollment'!M64,'2.) Enrollment'!N64)</f>
        <v>0</v>
      </c>
    </row>
    <row r="95" spans="1:23">
      <c r="A95" s="4">
        <v>44</v>
      </c>
      <c r="B95" s="477" t="str">
        <f>IF(OR('2.) Enrollment'!C65=$B$109,ISBLANK('2.) Enrollment'!C65)),"-",'2.) Enrollment'!C65)</f>
        <v>-</v>
      </c>
      <c r="C95" s="233">
        <f>IF(ISNA(MATCH(School,$M$15:$M$27,0)),1,0)*IFERROR(VLOOKUP($B95,'Funding by District'!$D$6:$F$683,3,FALSE),0)</f>
        <v>0</v>
      </c>
      <c r="D95"/>
      <c r="E95">
        <f t="shared" si="2"/>
        <v>0</v>
      </c>
      <c r="F95" s="321">
        <f>$C95*'2.) Enrollment'!G65*'4.) Yearly Budget'!$J$17</f>
        <v>0</v>
      </c>
      <c r="G95" s="321">
        <f>$C95*'2.) Enrollment'!I65*'4.) Yearly Budget'!$M$17</f>
        <v>0</v>
      </c>
      <c r="H95" s="321">
        <f>$C95*'2.) Enrollment'!K65*'4.) Yearly Budget'!$P$17</f>
        <v>0</v>
      </c>
      <c r="I95" s="321">
        <f>$C95*'2.) Enrollment'!M65*'4.) Yearly Budget'!$S$17</f>
        <v>0</v>
      </c>
      <c r="J95" s="827">
        <f t="shared" si="3"/>
        <v>0</v>
      </c>
      <c r="K95"/>
      <c r="L95" s="321">
        <f>$C95*'2.) Enrollment'!H65*'4.) Yearly Budget'!$K$17</f>
        <v>0</v>
      </c>
      <c r="M95" s="321">
        <f>$C95*'2.) Enrollment'!J65*'4.) Yearly Budget'!$N$17</f>
        <v>0</v>
      </c>
      <c r="N95" s="321">
        <f>$C95*'2.) Enrollment'!L65*'4.) Yearly Budget'!$Q$17</f>
        <v>0</v>
      </c>
      <c r="O95" s="321">
        <f>$C95*'2.) Enrollment'!N65*'4.) Yearly Budget'!$T$17</f>
        <v>0</v>
      </c>
      <c r="P95" s="827">
        <f t="shared" si="4"/>
        <v>0</v>
      </c>
      <c r="Q95"/>
      <c r="R95">
        <f t="shared" si="5"/>
        <v>0</v>
      </c>
      <c r="T95">
        <f>IF(ISBLANK('2.) Enrollment'!H65)=TRUE,'2.) Enrollment'!G65,'2.) Enrollment'!H65)</f>
        <v>0</v>
      </c>
      <c r="U95">
        <f>IF(ISBLANK('2.) Enrollment'!J65)=TRUE,'2.) Enrollment'!I65,'2.) Enrollment'!J65)</f>
        <v>0</v>
      </c>
      <c r="V95">
        <f>IF(ISBLANK('2.) Enrollment'!L65)=TRUE,'2.) Enrollment'!K65,'2.) Enrollment'!L65)</f>
        <v>0</v>
      </c>
      <c r="W95">
        <f>IF(ISBLANK('2.) Enrollment'!N65)=TRUE,'2.) Enrollment'!M65,'2.) Enrollment'!N65)</f>
        <v>0</v>
      </c>
    </row>
    <row r="96" spans="1:23">
      <c r="A96" s="4">
        <v>45</v>
      </c>
      <c r="B96" s="477" t="str">
        <f>IF(OR('2.) Enrollment'!C66=$B$109,ISBLANK('2.) Enrollment'!C66)),"-",'2.) Enrollment'!C66)</f>
        <v>-</v>
      </c>
      <c r="C96" s="233">
        <f>IF(ISNA(MATCH(School,$M$15:$M$27,0)),1,0)*IFERROR(VLOOKUP($B96,'Funding by District'!$D$6:$F$683,3,FALSE),0)</f>
        <v>0</v>
      </c>
      <c r="D96"/>
      <c r="E96">
        <f t="shared" si="2"/>
        <v>0</v>
      </c>
      <c r="F96" s="321">
        <f>$C96*'2.) Enrollment'!G66*'4.) Yearly Budget'!$J$17</f>
        <v>0</v>
      </c>
      <c r="G96" s="321">
        <f>$C96*'2.) Enrollment'!I66*'4.) Yearly Budget'!$M$17</f>
        <v>0</v>
      </c>
      <c r="H96" s="321">
        <f>$C96*'2.) Enrollment'!K66*'4.) Yearly Budget'!$P$17</f>
        <v>0</v>
      </c>
      <c r="I96" s="321">
        <f>$C96*'2.) Enrollment'!M66*'4.) Yearly Budget'!$S$17</f>
        <v>0</v>
      </c>
      <c r="J96" s="827">
        <f t="shared" si="3"/>
        <v>0</v>
      </c>
      <c r="K96"/>
      <c r="L96" s="321">
        <f>$C96*'2.) Enrollment'!H66*'4.) Yearly Budget'!$K$17</f>
        <v>0</v>
      </c>
      <c r="M96" s="321">
        <f>$C96*'2.) Enrollment'!J66*'4.) Yearly Budget'!$N$17</f>
        <v>0</v>
      </c>
      <c r="N96" s="321">
        <f>$C96*'2.) Enrollment'!L66*'4.) Yearly Budget'!$Q$17</f>
        <v>0</v>
      </c>
      <c r="O96" s="321">
        <f>$C96*'2.) Enrollment'!N66*'4.) Yearly Budget'!$T$17</f>
        <v>0</v>
      </c>
      <c r="P96" s="827">
        <f t="shared" si="4"/>
        <v>0</v>
      </c>
      <c r="Q96"/>
      <c r="R96">
        <f t="shared" si="5"/>
        <v>0</v>
      </c>
      <c r="T96">
        <f>IF(ISBLANK('2.) Enrollment'!H66)=TRUE,'2.) Enrollment'!G66,'2.) Enrollment'!H66)</f>
        <v>0</v>
      </c>
      <c r="U96">
        <f>IF(ISBLANK('2.) Enrollment'!J66)=TRUE,'2.) Enrollment'!I66,'2.) Enrollment'!J66)</f>
        <v>0</v>
      </c>
      <c r="V96">
        <f>IF(ISBLANK('2.) Enrollment'!L66)=TRUE,'2.) Enrollment'!K66,'2.) Enrollment'!L66)</f>
        <v>0</v>
      </c>
      <c r="W96">
        <f>IF(ISBLANK('2.) Enrollment'!N66)=TRUE,'2.) Enrollment'!M66,'2.) Enrollment'!N66)</f>
        <v>0</v>
      </c>
    </row>
    <row r="97" spans="1:34">
      <c r="A97" s="4">
        <v>46</v>
      </c>
      <c r="B97" s="477" t="str">
        <f>IF(OR('2.) Enrollment'!C67=$B$109,ISBLANK('2.) Enrollment'!C67)),"-",'2.) Enrollment'!C67)</f>
        <v>-</v>
      </c>
      <c r="C97" s="233">
        <f>IF(ISNA(MATCH(School,$M$15:$M$27,0)),1,0)*IFERROR(VLOOKUP($B97,'Funding by District'!$D$6:$F$683,3,FALSE),0)</f>
        <v>0</v>
      </c>
      <c r="D97"/>
      <c r="E97">
        <f t="shared" si="2"/>
        <v>0</v>
      </c>
      <c r="F97" s="321">
        <f>$C97*'2.) Enrollment'!G67*'4.) Yearly Budget'!$J$17</f>
        <v>0</v>
      </c>
      <c r="G97" s="321">
        <f>$C97*'2.) Enrollment'!I67*'4.) Yearly Budget'!$M$17</f>
        <v>0</v>
      </c>
      <c r="H97" s="321">
        <f>$C97*'2.) Enrollment'!K67*'4.) Yearly Budget'!$P$17</f>
        <v>0</v>
      </c>
      <c r="I97" s="321">
        <f>$C97*'2.) Enrollment'!M67*'4.) Yearly Budget'!$S$17</f>
        <v>0</v>
      </c>
      <c r="J97" s="827">
        <f t="shared" si="3"/>
        <v>0</v>
      </c>
      <c r="K97"/>
      <c r="L97" s="321">
        <f>$C97*'2.) Enrollment'!H67*'4.) Yearly Budget'!$K$17</f>
        <v>0</v>
      </c>
      <c r="M97" s="321">
        <f>$C97*'2.) Enrollment'!J67*'4.) Yearly Budget'!$N$17</f>
        <v>0</v>
      </c>
      <c r="N97" s="321">
        <f>$C97*'2.) Enrollment'!L67*'4.) Yearly Budget'!$Q$17</f>
        <v>0</v>
      </c>
      <c r="O97" s="321">
        <f>$C97*'2.) Enrollment'!N67*'4.) Yearly Budget'!$T$17</f>
        <v>0</v>
      </c>
      <c r="P97" s="827">
        <f t="shared" si="4"/>
        <v>0</v>
      </c>
      <c r="Q97"/>
      <c r="R97">
        <f t="shared" si="5"/>
        <v>0</v>
      </c>
      <c r="T97">
        <f>IF(ISBLANK('2.) Enrollment'!H67)=TRUE,'2.) Enrollment'!G67,'2.) Enrollment'!H67)</f>
        <v>0</v>
      </c>
      <c r="U97">
        <f>IF(ISBLANK('2.) Enrollment'!J67)=TRUE,'2.) Enrollment'!I67,'2.) Enrollment'!J67)</f>
        <v>0</v>
      </c>
      <c r="V97">
        <f>IF(ISBLANK('2.) Enrollment'!L67)=TRUE,'2.) Enrollment'!K67,'2.) Enrollment'!L67)</f>
        <v>0</v>
      </c>
      <c r="W97">
        <f>IF(ISBLANK('2.) Enrollment'!N67)=TRUE,'2.) Enrollment'!M67,'2.) Enrollment'!N67)</f>
        <v>0</v>
      </c>
    </row>
    <row r="98" spans="1:34">
      <c r="A98" s="4">
        <v>47</v>
      </c>
      <c r="B98" s="477" t="str">
        <f>IF(OR('2.) Enrollment'!C68=$B$109,ISBLANK('2.) Enrollment'!C68)),"-",'2.) Enrollment'!C68)</f>
        <v>-</v>
      </c>
      <c r="C98" s="233">
        <f>IF(ISNA(MATCH(School,$M$15:$M$27,0)),1,0)*IFERROR(VLOOKUP($B98,'Funding by District'!$D$6:$F$683,3,FALSE),0)</f>
        <v>0</v>
      </c>
      <c r="D98"/>
      <c r="E98">
        <f t="shared" si="2"/>
        <v>0</v>
      </c>
      <c r="F98" s="321">
        <f>$C98*'2.) Enrollment'!G68*'4.) Yearly Budget'!$J$17</f>
        <v>0</v>
      </c>
      <c r="G98" s="321">
        <f>$C98*'2.) Enrollment'!I68*'4.) Yearly Budget'!$M$17</f>
        <v>0</v>
      </c>
      <c r="H98" s="321">
        <f>$C98*'2.) Enrollment'!K68*'4.) Yearly Budget'!$P$17</f>
        <v>0</v>
      </c>
      <c r="I98" s="321">
        <f>$C98*'2.) Enrollment'!M68*'4.) Yearly Budget'!$S$17</f>
        <v>0</v>
      </c>
      <c r="J98" s="827">
        <f t="shared" si="3"/>
        <v>0</v>
      </c>
      <c r="K98"/>
      <c r="L98" s="321">
        <f>$C98*'2.) Enrollment'!H68*'4.) Yearly Budget'!$K$17</f>
        <v>0</v>
      </c>
      <c r="M98" s="321">
        <f>$C98*'2.) Enrollment'!J68*'4.) Yearly Budget'!$N$17</f>
        <v>0</v>
      </c>
      <c r="N98" s="321">
        <f>$C98*'2.) Enrollment'!L68*'4.) Yearly Budget'!$Q$17</f>
        <v>0</v>
      </c>
      <c r="O98" s="321">
        <f>$C98*'2.) Enrollment'!N68*'4.) Yearly Budget'!$T$17</f>
        <v>0</v>
      </c>
      <c r="P98" s="827">
        <f t="shared" si="4"/>
        <v>0</v>
      </c>
      <c r="Q98"/>
      <c r="R98">
        <f t="shared" si="5"/>
        <v>0</v>
      </c>
      <c r="T98">
        <f>IF(ISBLANK('2.) Enrollment'!H68)=TRUE,'2.) Enrollment'!G68,'2.) Enrollment'!H68)</f>
        <v>0</v>
      </c>
      <c r="U98">
        <f>IF(ISBLANK('2.) Enrollment'!J68)=TRUE,'2.) Enrollment'!I68,'2.) Enrollment'!J68)</f>
        <v>0</v>
      </c>
      <c r="V98">
        <f>IF(ISBLANK('2.) Enrollment'!L68)=TRUE,'2.) Enrollment'!K68,'2.) Enrollment'!L68)</f>
        <v>0</v>
      </c>
      <c r="W98">
        <f>IF(ISBLANK('2.) Enrollment'!N68)=TRUE,'2.) Enrollment'!M68,'2.) Enrollment'!N68)</f>
        <v>0</v>
      </c>
    </row>
    <row r="99" spans="1:34">
      <c r="A99" s="4">
        <v>48</v>
      </c>
      <c r="B99" s="477" t="str">
        <f>IF(OR('2.) Enrollment'!C69=$B$109,ISBLANK('2.) Enrollment'!C69)),"-",'2.) Enrollment'!C69)</f>
        <v>-</v>
      </c>
      <c r="C99" s="233">
        <f>IF(ISNA(MATCH(School,$M$15:$M$27,0)),1,0)*IFERROR(VLOOKUP($B99,'Funding by District'!$D$6:$F$683,3,FALSE),0)</f>
        <v>0</v>
      </c>
      <c r="D99"/>
      <c r="E99">
        <f t="shared" si="2"/>
        <v>0</v>
      </c>
      <c r="F99" s="321">
        <f>$C99*'2.) Enrollment'!G69*'4.) Yearly Budget'!$J$17</f>
        <v>0</v>
      </c>
      <c r="G99" s="321">
        <f>$C99*'2.) Enrollment'!I69*'4.) Yearly Budget'!$M$17</f>
        <v>0</v>
      </c>
      <c r="H99" s="321">
        <f>$C99*'2.) Enrollment'!K69*'4.) Yearly Budget'!$P$17</f>
        <v>0</v>
      </c>
      <c r="I99" s="321">
        <f>$C99*'2.) Enrollment'!M69*'4.) Yearly Budget'!$S$17</f>
        <v>0</v>
      </c>
      <c r="J99" s="827">
        <f t="shared" si="3"/>
        <v>0</v>
      </c>
      <c r="K99"/>
      <c r="L99" s="321">
        <f>$C99*'2.) Enrollment'!H69*'4.) Yearly Budget'!$K$17</f>
        <v>0</v>
      </c>
      <c r="M99" s="321">
        <f>$C99*'2.) Enrollment'!J69*'4.) Yearly Budget'!$N$17</f>
        <v>0</v>
      </c>
      <c r="N99" s="321">
        <f>$C99*'2.) Enrollment'!L69*'4.) Yearly Budget'!$Q$17</f>
        <v>0</v>
      </c>
      <c r="O99" s="321">
        <f>$C99*'2.) Enrollment'!N69*'4.) Yearly Budget'!$T$17</f>
        <v>0</v>
      </c>
      <c r="P99" s="827">
        <f t="shared" si="4"/>
        <v>0</v>
      </c>
      <c r="Q99"/>
      <c r="R99">
        <f t="shared" si="5"/>
        <v>0</v>
      </c>
      <c r="T99">
        <f>IF(ISBLANK('2.) Enrollment'!H69)=TRUE,'2.) Enrollment'!G69,'2.) Enrollment'!H69)</f>
        <v>0</v>
      </c>
      <c r="U99">
        <f>IF(ISBLANK('2.) Enrollment'!J69)=TRUE,'2.) Enrollment'!I69,'2.) Enrollment'!J69)</f>
        <v>0</v>
      </c>
      <c r="V99">
        <f>IF(ISBLANK('2.) Enrollment'!L69)=TRUE,'2.) Enrollment'!K69,'2.) Enrollment'!L69)</f>
        <v>0</v>
      </c>
      <c r="W99">
        <f>IF(ISBLANK('2.) Enrollment'!N69)=TRUE,'2.) Enrollment'!M69,'2.) Enrollment'!N69)</f>
        <v>0</v>
      </c>
    </row>
    <row r="100" spans="1:34">
      <c r="A100" s="4">
        <v>49</v>
      </c>
      <c r="B100" s="477" t="str">
        <f>IF(OR('2.) Enrollment'!C70=$B$109,ISBLANK('2.) Enrollment'!C70)),"-",'2.) Enrollment'!C70)</f>
        <v>-</v>
      </c>
      <c r="C100" s="233">
        <f>IF(ISNA(MATCH(School,$M$15:$M$27,0)),1,0)*IFERROR(VLOOKUP($B100,'Funding by District'!$D$6:$F$683,3,FALSE),0)</f>
        <v>0</v>
      </c>
      <c r="D100"/>
      <c r="E100">
        <f t="shared" si="2"/>
        <v>0</v>
      </c>
      <c r="F100" s="321">
        <f>$C100*'2.) Enrollment'!G70*'4.) Yearly Budget'!$J$17</f>
        <v>0</v>
      </c>
      <c r="G100" s="321">
        <f>$C100*'2.) Enrollment'!I70*'4.) Yearly Budget'!$M$17</f>
        <v>0</v>
      </c>
      <c r="H100" s="321">
        <f>$C100*'2.) Enrollment'!K70*'4.) Yearly Budget'!$P$17</f>
        <v>0</v>
      </c>
      <c r="I100" s="321">
        <f>$C100*'2.) Enrollment'!M70*'4.) Yearly Budget'!$S$17</f>
        <v>0</v>
      </c>
      <c r="J100" s="827">
        <f t="shared" si="3"/>
        <v>0</v>
      </c>
      <c r="K100"/>
      <c r="L100" s="321">
        <f>$C100*'2.) Enrollment'!H70*'4.) Yearly Budget'!$K$17</f>
        <v>0</v>
      </c>
      <c r="M100" s="321">
        <f>$C100*'2.) Enrollment'!J70*'4.) Yearly Budget'!$N$17</f>
        <v>0</v>
      </c>
      <c r="N100" s="321">
        <f>$C100*'2.) Enrollment'!L70*'4.) Yearly Budget'!$Q$17</f>
        <v>0</v>
      </c>
      <c r="O100" s="321">
        <f>$C100*'2.) Enrollment'!N70*'4.) Yearly Budget'!$T$17</f>
        <v>0</v>
      </c>
      <c r="P100" s="827">
        <f t="shared" si="4"/>
        <v>0</v>
      </c>
      <c r="Q100"/>
      <c r="R100">
        <f t="shared" si="5"/>
        <v>0</v>
      </c>
      <c r="T100">
        <f>IF(ISBLANK('2.) Enrollment'!H70)=TRUE,'2.) Enrollment'!G70,'2.) Enrollment'!H70)</f>
        <v>0</v>
      </c>
      <c r="U100">
        <f>IF(ISBLANK('2.) Enrollment'!J70)=TRUE,'2.) Enrollment'!I70,'2.) Enrollment'!J70)</f>
        <v>0</v>
      </c>
      <c r="V100">
        <f>IF(ISBLANK('2.) Enrollment'!L70)=TRUE,'2.) Enrollment'!K70,'2.) Enrollment'!L70)</f>
        <v>0</v>
      </c>
      <c r="W100">
        <f>IF(ISBLANK('2.) Enrollment'!N70)=TRUE,'2.) Enrollment'!M70,'2.) Enrollment'!N70)</f>
        <v>0</v>
      </c>
    </row>
    <row r="101" spans="1:34" ht="15.75" thickBot="1">
      <c r="A101" s="4">
        <v>50</v>
      </c>
      <c r="B101" s="477" t="str">
        <f>IF(OR('2.) Enrollment'!C71=$B$109,ISBLANK('2.) Enrollment'!C71)),"-",'2.) Enrollment'!C71)</f>
        <v>-</v>
      </c>
      <c r="C101" s="233">
        <f>IF(ISNA(MATCH(School,$M$15:$M$27,0)),1,0)*IFERROR(VLOOKUP($B101,'Funding by District'!$D$6:$F$683,3,FALSE),0)</f>
        <v>0</v>
      </c>
      <c r="D101"/>
      <c r="E101">
        <f t="shared" si="2"/>
        <v>0</v>
      </c>
      <c r="F101" s="321">
        <f>$C101*'2.) Enrollment'!G71*'4.) Yearly Budget'!$J$17</f>
        <v>0</v>
      </c>
      <c r="G101" s="321">
        <f>$C101*'2.) Enrollment'!I71*'4.) Yearly Budget'!$M$17</f>
        <v>0</v>
      </c>
      <c r="H101" s="321">
        <f>$C101*'2.) Enrollment'!K71*'4.) Yearly Budget'!$P$17</f>
        <v>0</v>
      </c>
      <c r="I101" s="321">
        <f>$C101*'2.) Enrollment'!M71*'4.) Yearly Budget'!$S$17</f>
        <v>0</v>
      </c>
      <c r="J101" s="827">
        <f t="shared" si="3"/>
        <v>0</v>
      </c>
      <c r="L101" s="321">
        <f>$C101*'2.) Enrollment'!H71*'4.) Yearly Budget'!$K$17</f>
        <v>0</v>
      </c>
      <c r="M101" s="321">
        <f>$C101*'2.) Enrollment'!J71*'4.) Yearly Budget'!$N$17</f>
        <v>0</v>
      </c>
      <c r="N101" s="321">
        <f>$C101*'2.) Enrollment'!L71*'4.) Yearly Budget'!$Q$17</f>
        <v>0</v>
      </c>
      <c r="O101" s="321">
        <f>$C101*'2.) Enrollment'!N71*'4.) Yearly Budget'!$T$17</f>
        <v>0</v>
      </c>
      <c r="P101" s="827">
        <f t="shared" si="4"/>
        <v>0</v>
      </c>
      <c r="Q101"/>
      <c r="R101">
        <f t="shared" si="5"/>
        <v>0</v>
      </c>
      <c r="T101">
        <f>IF(ISBLANK('2.) Enrollment'!H71)=TRUE,'2.) Enrollment'!G71,'2.) Enrollment'!H71)</f>
        <v>0</v>
      </c>
      <c r="U101">
        <f>IF(ISBLANK('2.) Enrollment'!J71)=TRUE,'2.) Enrollment'!I71,'2.) Enrollment'!J71)</f>
        <v>0</v>
      </c>
      <c r="V101">
        <f>IF(ISBLANK('2.) Enrollment'!L71)=TRUE,'2.) Enrollment'!K71,'2.) Enrollment'!L71)</f>
        <v>0</v>
      </c>
      <c r="W101">
        <f>IF(ISBLANK('2.) Enrollment'!N71)=TRUE,'2.) Enrollment'!M71,'2.) Enrollment'!N71)</f>
        <v>0</v>
      </c>
    </row>
    <row r="102" spans="1:34" s="42" customFormat="1">
      <c r="A102" s="41"/>
      <c r="B102" s="44" t="s">
        <v>292</v>
      </c>
      <c r="C102" s="43">
        <f>SUM(C67:C101)</f>
        <v>0</v>
      </c>
      <c r="D102"/>
      <c r="E102"/>
      <c r="F102"/>
      <c r="G102"/>
      <c r="H102" s="328" t="s">
        <v>297</v>
      </c>
      <c r="I102" s="329" t="s">
        <v>142</v>
      </c>
      <c r="J102" s="330" t="s">
        <v>300</v>
      </c>
      <c r="K102" s="1126" t="s">
        <v>298</v>
      </c>
      <c r="L102"/>
      <c r="M102"/>
      <c r="N102" s="321"/>
      <c r="O102" s="321"/>
      <c r="P102"/>
      <c r="Q102"/>
      <c r="R102"/>
      <c r="S102"/>
      <c r="T102"/>
      <c r="U102"/>
      <c r="V102"/>
      <c r="W102"/>
      <c r="X102"/>
      <c r="Y102"/>
      <c r="Z102"/>
      <c r="AA102"/>
      <c r="AB102"/>
      <c r="AC102"/>
      <c r="AD102"/>
      <c r="AE102"/>
      <c r="AF102"/>
      <c r="AG102"/>
      <c r="AH102"/>
    </row>
    <row r="103" spans="1:34" s="42" customFormat="1">
      <c r="A103" s="41"/>
      <c r="B103" s="44" t="s">
        <v>148</v>
      </c>
      <c r="C103" s="323">
        <f>IFERROR(SUMPRODUCT(C52:C101,L52:L101)/SUM(L52:L101),0)</f>
        <v>0</v>
      </c>
      <c r="D103"/>
      <c r="E103" s="338"/>
      <c r="F103"/>
      <c r="G103" s="322" t="s">
        <v>194</v>
      </c>
      <c r="H103" s="331">
        <f>IF('4.) Yearly Budget'!K18&lt;&gt;0,'4.) Yearly Budget'!K33,'4.) Yearly Budget'!J33)</f>
        <v>0</v>
      </c>
      <c r="I103" s="332">
        <f>IF('4.) Yearly Budget'!K163&lt;&gt;0,'4.) Yearly Budget'!K178,'4.) Yearly Budget'!J178)</f>
        <v>0</v>
      </c>
      <c r="J103" s="339" t="b">
        <f>OR(AND(H103&lt;&gt;0,I103&lt;&gt;0),AND(H103=0,I103=0))</f>
        <v>1</v>
      </c>
      <c r="K103" s="1127"/>
      <c r="L103"/>
      <c r="M103"/>
      <c r="N103" s="321"/>
      <c r="O103" s="321"/>
      <c r="P103"/>
      <c r="Q103"/>
      <c r="R103">
        <f>SUM(R52:R102)</f>
        <v>0</v>
      </c>
      <c r="S103"/>
      <c r="T103"/>
      <c r="U103"/>
      <c r="V103"/>
      <c r="W103"/>
      <c r="X103"/>
      <c r="Y103"/>
      <c r="Z103"/>
      <c r="AA103"/>
      <c r="AB103"/>
      <c r="AC103"/>
      <c r="AD103"/>
      <c r="AE103"/>
      <c r="AF103"/>
      <c r="AG103"/>
      <c r="AH103"/>
    </row>
    <row r="104" spans="1:34">
      <c r="B104" s="17" t="s">
        <v>293</v>
      </c>
      <c r="C104" s="324">
        <f>COUNTIF(E67:E101,"&lt;&gt;0")</f>
        <v>0</v>
      </c>
      <c r="D104"/>
      <c r="E104" s="17" t="s">
        <v>295</v>
      </c>
      <c r="F104" s="325"/>
      <c r="G104" s="322" t="s">
        <v>195</v>
      </c>
      <c r="H104" s="331">
        <f>IF('4.) Yearly Budget'!N18&lt;&gt;0,'4.) Yearly Budget'!N33,'4.) Yearly Budget'!M33)</f>
        <v>0</v>
      </c>
      <c r="I104" s="332">
        <f>IF('4.) Yearly Budget'!N163&lt;&gt;0,'4.) Yearly Budget'!N178,'4.) Yearly Budget'!M178)</f>
        <v>0</v>
      </c>
      <c r="J104" s="339" t="b">
        <f>OR(AND(H104&lt;&gt;0,I104&lt;&gt;0),AND(H104=0,I104=0))</f>
        <v>1</v>
      </c>
      <c r="K104" s="1127"/>
      <c r="L104"/>
      <c r="M104"/>
      <c r="N104" s="321"/>
      <c r="O104" s="321"/>
      <c r="P104"/>
      <c r="Q104"/>
    </row>
    <row r="105" spans="1:34">
      <c r="B105" s="17" t="s">
        <v>294</v>
      </c>
      <c r="C105" s="324">
        <f>SUM(IF('4.) Yearly Budget'!K$179&lt;&gt;0,'4.) Yearly Budget'!K178,'4.) Yearly Budget'!J178)+IF('4.) Yearly Budget'!N$179&lt;&gt;0,'4.) Yearly Budget'!N178,'4.) Yearly Budget'!M178)+IF('4.) Yearly Budget'!Q$179&lt;&gt;0,'4.) Yearly Budget'!Q178,'4.) Yearly Budget'!P178)+IF('4.) Yearly Budget'!T$179&lt;&gt;0,'4.) Yearly Budget'!T178,'4.) Yearly Budget'!S178))/4</f>
        <v>0</v>
      </c>
      <c r="E105" s="21" t="s">
        <v>296</v>
      </c>
      <c r="F105" s="326">
        <f>IFERROR(SUMPRODUCT(C67:C101,E67:E101)/SUM(E67:E101),0)</f>
        <v>0</v>
      </c>
      <c r="G105" s="322" t="s">
        <v>196</v>
      </c>
      <c r="H105" s="331">
        <f>IF('4.) Yearly Budget'!Q18&lt;&gt;0,'4.) Yearly Budget'!Q33,'4.) Yearly Budget'!P33)</f>
        <v>0</v>
      </c>
      <c r="I105" s="332">
        <f>IF('4.) Yearly Budget'!Q163&lt;&gt;0,'4.) Yearly Budget'!Q178,'4.) Yearly Budget'!P178)</f>
        <v>0</v>
      </c>
      <c r="J105" s="339" t="b">
        <f>OR(AND(H105&lt;&gt;0,I105&lt;&gt;0),AND(H105=0,I105=0))</f>
        <v>1</v>
      </c>
      <c r="K105" s="1127"/>
      <c r="L105"/>
      <c r="M105"/>
      <c r="N105" s="321"/>
      <c r="O105" s="321"/>
      <c r="P105"/>
      <c r="Q105"/>
    </row>
    <row r="106" spans="1:34">
      <c r="E106" s="628"/>
      <c r="F106" s="326">
        <f>IFERROR(SUMPRODUCT(C52:C101,E52:E101)/SUM(E52:E101),0)</f>
        <v>0</v>
      </c>
      <c r="G106" s="322" t="s">
        <v>197</v>
      </c>
      <c r="H106" s="333">
        <f>IF('4.) Yearly Budget'!T18&lt;&gt;0,'4.) Yearly Budget'!T33,'4.) Yearly Budget'!S33)</f>
        <v>0</v>
      </c>
      <c r="I106" s="334">
        <f>IF('4.) Yearly Budget'!T163&lt;&gt;0,'4.) Yearly Budget'!T178,'4.) Yearly Budget'!S178)</f>
        <v>0</v>
      </c>
      <c r="J106" s="339" t="b">
        <f>OR(AND(H106&lt;&gt;0,I106&lt;&gt;0),AND(H106=0,I106=0))</f>
        <v>1</v>
      </c>
      <c r="K106" s="1127"/>
      <c r="L106"/>
      <c r="M106"/>
      <c r="N106" s="321"/>
      <c r="O106" s="321"/>
      <c r="P106"/>
      <c r="Q106"/>
    </row>
    <row r="107" spans="1:34" ht="15.75" thickBot="1">
      <c r="A107" s="35" t="s">
        <v>170</v>
      </c>
      <c r="G107" s="327" t="s">
        <v>299</v>
      </c>
      <c r="H107" s="335">
        <f>SUM(H103:H106)</f>
        <v>0</v>
      </c>
      <c r="I107" s="336">
        <f>SUM(I103:I106)/4</f>
        <v>0</v>
      </c>
      <c r="J107" s="337">
        <f>COUNTIF(J103:J106,"TRUE")</f>
        <v>4</v>
      </c>
      <c r="K107" s="1128"/>
      <c r="L107"/>
      <c r="N107" s="321"/>
      <c r="O107" s="321"/>
      <c r="P107"/>
      <c r="Q107"/>
    </row>
    <row r="108" spans="1:34" ht="15.75" thickBot="1">
      <c r="A108" s="35"/>
      <c r="B108" s="203" t="s">
        <v>168</v>
      </c>
      <c r="C108" s="205" t="s">
        <v>169</v>
      </c>
      <c r="F108" s="226" t="s">
        <v>173</v>
      </c>
      <c r="G108" s="227"/>
      <c r="H108" s="227"/>
      <c r="I108" s="227"/>
      <c r="J108" s="228"/>
      <c r="N108" s="321"/>
      <c r="O108" s="321"/>
    </row>
    <row r="109" spans="1:34">
      <c r="B109" s="215" t="s">
        <v>494</v>
      </c>
      <c r="C109" s="216"/>
      <c r="D109" s="4" t="s">
        <v>174</v>
      </c>
      <c r="F109" s="208" t="s">
        <v>171</v>
      </c>
      <c r="G109" s="209"/>
      <c r="H109" s="209"/>
      <c r="I109" s="22"/>
      <c r="J109" s="210"/>
      <c r="N109" s="321"/>
      <c r="O109" s="321"/>
    </row>
    <row r="110" spans="1:34" ht="15.75" thickBot="1">
      <c r="B110" s="204" t="str">
        <f t="array" ref="B110:B789" ca="1">IF(ROW('Funding by District'!$D$6:$D$683)-ROW($D$6)+1&gt;COUNT(C110:C789),"",
    INDEX('Funding by District'!$D:$D,SMALL(C110:C789,ROW(INDIRECT("1:"&amp;ROWS('Funding by District'!$D$6:$D$683))))))</f>
        <v>Abraham Wing School</v>
      </c>
      <c r="C110" s="206">
        <f>IF(COUNTIF(CONTROL!$B$52:$B$101,'Funding by District'!D6)&gt;=1,"",ROW()-104)</f>
        <v>6</v>
      </c>
      <c r="D110" s="4" t="s">
        <v>176</v>
      </c>
      <c r="F110" s="211" t="s">
        <v>172</v>
      </c>
      <c r="G110" s="212"/>
      <c r="H110" s="212"/>
      <c r="I110" s="213"/>
      <c r="J110" s="214"/>
      <c r="N110" s="321"/>
      <c r="O110" s="321"/>
    </row>
    <row r="111" spans="1:34">
      <c r="B111" s="204" t="str">
        <f ca="1"/>
        <v>Addison Central School District</v>
      </c>
      <c r="C111" s="206">
        <f>IF(COUNTIF(CONTROL!$B$52:$B$101,'Funding by District'!D7)&gt;=1,"",ROW()-104)</f>
        <v>7</v>
      </c>
      <c r="D111" s="4" t="s">
        <v>175</v>
      </c>
      <c r="F111" s="217" t="s">
        <v>177</v>
      </c>
      <c r="G111" s="218"/>
      <c r="H111" s="207"/>
      <c r="I111" s="207"/>
      <c r="J111" s="219"/>
      <c r="N111" s="321"/>
      <c r="O111" s="321"/>
    </row>
    <row r="112" spans="1:34">
      <c r="B112" s="204" t="str">
        <f ca="1"/>
        <v>Adirondack Central School District</v>
      </c>
      <c r="C112" s="206">
        <f>IF(COUNTIF(CONTROL!$B$52:$B$101,'Funding by District'!D8)&gt;=1,"",ROW()-104)</f>
        <v>8</v>
      </c>
      <c r="D112" s="4" t="s">
        <v>178</v>
      </c>
      <c r="F112" s="220" t="s">
        <v>179</v>
      </c>
      <c r="G112" s="209"/>
      <c r="H112" s="22"/>
      <c r="I112" s="22"/>
      <c r="J112" s="221"/>
      <c r="N112" s="321"/>
      <c r="O112" s="321"/>
    </row>
    <row r="113" spans="2:15">
      <c r="B113" s="204" t="str">
        <f ca="1"/>
        <v>Afton Central School District</v>
      </c>
      <c r="C113" s="206">
        <f>IF(COUNTIF(CONTROL!$B$52:$B$101,'Funding by District'!D9)&gt;=1,"",ROW()-104)</f>
        <v>9</v>
      </c>
      <c r="F113" s="220" t="s">
        <v>181</v>
      </c>
      <c r="G113" s="209"/>
      <c r="H113" s="22"/>
      <c r="I113" s="22"/>
      <c r="J113" s="221"/>
      <c r="N113" s="321"/>
      <c r="O113" s="321"/>
    </row>
    <row r="114" spans="2:15" ht="17.25">
      <c r="B114" s="204" t="str">
        <f ca="1"/>
        <v>Akron Central School District</v>
      </c>
      <c r="C114" s="206">
        <f>IF(COUNTIF(CONTROL!$B$52:$B$101,'Funding by District'!D10)&gt;=1,"",ROW()-104)</f>
        <v>10</v>
      </c>
      <c r="F114" s="220" t="s">
        <v>182</v>
      </c>
      <c r="G114" s="209"/>
      <c r="H114" s="22"/>
      <c r="I114" s="22"/>
      <c r="J114" s="221"/>
      <c r="K114" s="224"/>
      <c r="N114" s="321"/>
      <c r="O114" s="321"/>
    </row>
    <row r="115" spans="2:15">
      <c r="B115" s="204" t="str">
        <f ca="1"/>
        <v>Albany City School District</v>
      </c>
      <c r="C115" s="206">
        <f>IF(COUNTIF(CONTROL!$B$52:$B$101,'Funding by District'!D11)&gt;=1,"",ROW()-104)</f>
        <v>11</v>
      </c>
      <c r="F115" s="220" t="s">
        <v>180</v>
      </c>
      <c r="G115" s="209"/>
      <c r="H115" s="22"/>
      <c r="I115" s="22"/>
      <c r="J115" s="221"/>
      <c r="K115" s="225"/>
      <c r="N115" s="321"/>
      <c r="O115" s="321"/>
    </row>
    <row r="116" spans="2:15" ht="15.75" thickBot="1">
      <c r="B116" s="204" t="str">
        <f ca="1"/>
        <v>Albion Central School District</v>
      </c>
      <c r="C116" s="206">
        <f>IF(COUNTIF(CONTROL!$B$52:$B$101,'Funding by District'!D12)&gt;=1,"",ROW()-104)</f>
        <v>12</v>
      </c>
      <c r="D116" s="4" t="s">
        <v>178</v>
      </c>
      <c r="F116" s="222" t="s">
        <v>185</v>
      </c>
      <c r="G116" s="232" t="s">
        <v>184</v>
      </c>
      <c r="H116" s="213"/>
      <c r="I116" s="213"/>
      <c r="J116" s="223"/>
      <c r="K116" s="225"/>
      <c r="N116" s="321"/>
      <c r="O116" s="321"/>
    </row>
    <row r="117" spans="2:15">
      <c r="B117" s="204" t="str">
        <f ca="1"/>
        <v>Alden Central School District</v>
      </c>
      <c r="C117" s="206">
        <f>IF(COUNTIF(CONTROL!$B$52:$B$101,'Funding by District'!D13)&gt;=1,"",ROW()-104)</f>
        <v>13</v>
      </c>
      <c r="F117" s="48"/>
      <c r="G117" s="48"/>
      <c r="N117" s="321"/>
      <c r="O117" s="321"/>
    </row>
    <row r="118" spans="2:15">
      <c r="B118" s="204" t="str">
        <f ca="1"/>
        <v>Alexander Central School District</v>
      </c>
      <c r="C118" s="206">
        <f>IF(COUNTIF(CONTROL!$B$52:$B$101,'Funding by District'!D14)&gt;=1,"",ROW()-104)</f>
        <v>14</v>
      </c>
      <c r="F118" s="48"/>
      <c r="G118" s="48"/>
      <c r="N118" s="321"/>
      <c r="O118" s="321"/>
    </row>
    <row r="119" spans="2:15">
      <c r="B119" s="204" t="str">
        <f ca="1"/>
        <v>Alexandria Central School District</v>
      </c>
      <c r="C119" s="206">
        <f>IF(COUNTIF(CONTROL!$B$52:$B$101,'Funding by District'!D15)&gt;=1,"",ROW()-104)</f>
        <v>15</v>
      </c>
      <c r="F119" s="48"/>
      <c r="G119" s="48"/>
      <c r="N119" s="321"/>
      <c r="O119" s="321"/>
    </row>
    <row r="120" spans="2:15">
      <c r="B120" s="204" t="str">
        <f ca="1"/>
        <v>Alfred-Almond Central School District</v>
      </c>
      <c r="C120" s="206">
        <f>IF(COUNTIF(CONTROL!$B$52:$B$101,'Funding by District'!D16)&gt;=1,"",ROW()-104)</f>
        <v>16</v>
      </c>
      <c r="F120" s="48"/>
      <c r="G120" s="48"/>
      <c r="N120" s="321"/>
      <c r="O120" s="321"/>
    </row>
    <row r="121" spans="2:15">
      <c r="B121" s="204" t="str">
        <f ca="1"/>
        <v>Allegany-Limestone Central School District</v>
      </c>
      <c r="C121" s="206">
        <f>IF(COUNTIF(CONTROL!$B$52:$B$101,'Funding by District'!D17)&gt;=1,"",ROW()-104)</f>
        <v>17</v>
      </c>
      <c r="F121" s="48"/>
      <c r="G121" s="48"/>
      <c r="N121" s="321"/>
      <c r="O121" s="321"/>
    </row>
    <row r="122" spans="2:15">
      <c r="B122" s="204" t="str">
        <f ca="1"/>
        <v>Altmar-Parish-Williamstown Central School District</v>
      </c>
      <c r="C122" s="206">
        <f>IF(COUNTIF(CONTROL!$B$52:$B$101,'Funding by District'!D18)&gt;=1,"",ROW()-104)</f>
        <v>18</v>
      </c>
      <c r="F122" s="48"/>
      <c r="G122" s="48"/>
      <c r="N122" s="321"/>
      <c r="O122" s="321"/>
    </row>
    <row r="123" spans="2:15">
      <c r="B123" s="204" t="str">
        <f ca="1"/>
        <v>Amagansett Union Free School District</v>
      </c>
      <c r="C123" s="206">
        <f>IF(COUNTIF(CONTROL!$B$52:$B$101,'Funding by District'!D19)&gt;=1,"",ROW()-104)</f>
        <v>19</v>
      </c>
      <c r="F123" s="48"/>
      <c r="G123" s="48"/>
      <c r="N123" s="321"/>
      <c r="O123" s="321"/>
    </row>
    <row r="124" spans="2:15">
      <c r="B124" s="204" t="str">
        <f ca="1"/>
        <v>Amherst Central School District</v>
      </c>
      <c r="C124" s="206">
        <f>IF(COUNTIF(CONTROL!$B$52:$B$101,'Funding by District'!D20)&gt;=1,"",ROW()-104)</f>
        <v>20</v>
      </c>
      <c r="F124" s="48"/>
      <c r="G124" s="48"/>
      <c r="N124" s="321"/>
      <c r="O124" s="321"/>
    </row>
    <row r="125" spans="2:15">
      <c r="B125" s="204" t="str">
        <f ca="1"/>
        <v>Amityville Union Free School District</v>
      </c>
      <c r="C125" s="206">
        <f>IF(COUNTIF(CONTROL!$B$52:$B$101,'Funding by District'!D21)&gt;=1,"",ROW()-104)</f>
        <v>21</v>
      </c>
      <c r="F125" s="48"/>
      <c r="G125" s="48"/>
      <c r="N125" s="321"/>
      <c r="O125" s="321"/>
    </row>
    <row r="126" spans="2:15">
      <c r="B126" s="204" t="str">
        <f ca="1"/>
        <v>Amsterdam City School District</v>
      </c>
      <c r="C126" s="206">
        <f>IF(COUNTIF(CONTROL!$B$52:$B$101,'Funding by District'!D22)&gt;=1,"",ROW()-104)</f>
        <v>22</v>
      </c>
      <c r="F126" s="48"/>
      <c r="G126" s="48"/>
      <c r="N126" s="321"/>
      <c r="O126" s="321"/>
    </row>
    <row r="127" spans="2:15">
      <c r="B127" s="204" t="str">
        <f ca="1"/>
        <v>Andes Central School District</v>
      </c>
      <c r="C127" s="206">
        <f>IF(COUNTIF(CONTROL!$B$52:$B$101,'Funding by District'!D23)&gt;=1,"",ROW()-104)</f>
        <v>23</v>
      </c>
      <c r="F127" s="48"/>
      <c r="G127" s="48"/>
      <c r="N127" s="321"/>
      <c r="O127" s="321"/>
    </row>
    <row r="128" spans="2:15">
      <c r="B128" s="204" t="str">
        <f ca="1"/>
        <v>Andover Central School District</v>
      </c>
      <c r="C128" s="206">
        <f>IF(COUNTIF(CONTROL!$B$52:$B$101,'Funding by District'!D24)&gt;=1,"",ROW()-104)</f>
        <v>24</v>
      </c>
      <c r="F128" s="48"/>
      <c r="G128" s="48"/>
      <c r="N128" s="321"/>
      <c r="O128" s="321"/>
    </row>
    <row r="129" spans="2:15">
      <c r="B129" s="204" t="str">
        <f ca="1"/>
        <v>Ardsley Union Free School District</v>
      </c>
      <c r="C129" s="206">
        <f>IF(COUNTIF(CONTROL!$B$52:$B$101,'Funding by District'!D25)&gt;=1,"",ROW()-104)</f>
        <v>25</v>
      </c>
      <c r="F129" s="48"/>
      <c r="G129" s="48"/>
      <c r="N129" s="321"/>
      <c r="O129" s="321"/>
    </row>
    <row r="130" spans="2:15">
      <c r="B130" s="204" t="str">
        <f ca="1"/>
        <v>Argyle Central School District</v>
      </c>
      <c r="C130" s="206">
        <f>IF(COUNTIF(CONTROL!$B$52:$B$101,'Funding by District'!D26)&gt;=1,"",ROW()-104)</f>
        <v>26</v>
      </c>
      <c r="F130" s="48"/>
      <c r="G130" s="48"/>
      <c r="N130" s="321"/>
      <c r="O130" s="321"/>
    </row>
    <row r="131" spans="2:15">
      <c r="B131" s="204" t="str">
        <f ca="1"/>
        <v>Arkport Central School District</v>
      </c>
      <c r="C131" s="206">
        <f>IF(COUNTIF(CONTROL!$B$52:$B$101,'Funding by District'!D27)&gt;=1,"",ROW()-104)</f>
        <v>27</v>
      </c>
      <c r="F131" s="48"/>
      <c r="G131" s="48"/>
      <c r="N131" s="321"/>
      <c r="O131" s="321"/>
    </row>
    <row r="132" spans="2:15">
      <c r="B132" s="204" t="str">
        <f ca="1"/>
        <v>Arlington Central School District</v>
      </c>
      <c r="C132" s="206">
        <f>IF(COUNTIF(CONTROL!$B$52:$B$101,'Funding by District'!D28)&gt;=1,"",ROW()-104)</f>
        <v>28</v>
      </c>
      <c r="F132" s="48"/>
      <c r="G132" s="48"/>
      <c r="N132" s="321"/>
      <c r="O132" s="321"/>
    </row>
    <row r="133" spans="2:15">
      <c r="B133" s="204" t="str">
        <f ca="1"/>
        <v>Attica Central School District</v>
      </c>
      <c r="C133" s="206">
        <f>IF(COUNTIF(CONTROL!$B$52:$B$101,'Funding by District'!D29)&gt;=1,"",ROW()-104)</f>
        <v>29</v>
      </c>
      <c r="F133" s="48"/>
      <c r="G133" s="48"/>
      <c r="N133" s="321"/>
      <c r="O133" s="321"/>
    </row>
    <row r="134" spans="2:15">
      <c r="B134" s="204" t="str">
        <f ca="1"/>
        <v>Auburn Enlarged City School District</v>
      </c>
      <c r="C134" s="206">
        <f>IF(COUNTIF(CONTROL!$B$52:$B$101,'Funding by District'!D30)&gt;=1,"",ROW()-104)</f>
        <v>30</v>
      </c>
      <c r="F134" s="48"/>
      <c r="G134" s="48"/>
      <c r="N134" s="321"/>
      <c r="O134" s="321"/>
    </row>
    <row r="135" spans="2:15">
      <c r="B135" s="204" t="str">
        <f ca="1"/>
        <v>AuSable Valley Central School District</v>
      </c>
      <c r="C135" s="206">
        <f>IF(COUNTIF(CONTROL!$B$52:$B$101,'Funding by District'!D31)&gt;=1,"",ROW()-104)</f>
        <v>31</v>
      </c>
      <c r="F135" s="48"/>
      <c r="G135" s="48"/>
      <c r="N135" s="321"/>
      <c r="O135" s="321"/>
    </row>
    <row r="136" spans="2:15">
      <c r="B136" s="204" t="str">
        <f ca="1"/>
        <v>Averill Park Central School District</v>
      </c>
      <c r="C136" s="206">
        <f>IF(COUNTIF(CONTROL!$B$52:$B$101,'Funding by District'!D32)&gt;=1,"",ROW()-104)</f>
        <v>32</v>
      </c>
      <c r="F136" s="48"/>
      <c r="G136" s="48"/>
      <c r="N136" s="321"/>
      <c r="O136" s="321"/>
    </row>
    <row r="137" spans="2:15">
      <c r="B137" s="204" t="str">
        <f ca="1"/>
        <v>Avoca Central School District</v>
      </c>
      <c r="C137" s="206">
        <f>IF(COUNTIF(CONTROL!$B$52:$B$101,'Funding by District'!D33)&gt;=1,"",ROW()-104)</f>
        <v>33</v>
      </c>
      <c r="F137" s="48"/>
      <c r="G137" s="48"/>
      <c r="N137" s="321"/>
      <c r="O137" s="321"/>
    </row>
    <row r="138" spans="2:15">
      <c r="B138" s="204" t="str">
        <f ca="1"/>
        <v>Avon Central School District</v>
      </c>
      <c r="C138" s="206">
        <f>IF(COUNTIF(CONTROL!$B$52:$B$101,'Funding by District'!D34)&gt;=1,"",ROW()-104)</f>
        <v>34</v>
      </c>
      <c r="F138" s="48"/>
      <c r="G138" s="48"/>
      <c r="N138" s="321"/>
      <c r="O138" s="321"/>
    </row>
    <row r="139" spans="2:15">
      <c r="B139" s="204" t="str">
        <f ca="1"/>
        <v>Babylon Union Free School District</v>
      </c>
      <c r="C139" s="206">
        <f>IF(COUNTIF(CONTROL!$B$52:$B$101,'Funding by District'!D35)&gt;=1,"",ROW()-104)</f>
        <v>35</v>
      </c>
      <c r="F139" s="48"/>
      <c r="G139" s="48"/>
      <c r="N139" s="321"/>
      <c r="O139" s="321"/>
    </row>
    <row r="140" spans="2:15">
      <c r="B140" s="204" t="str">
        <f ca="1"/>
        <v>Bainbridge-Guilford Central School District</v>
      </c>
      <c r="C140" s="206">
        <f>IF(COUNTIF(CONTROL!$B$52:$B$101,'Funding by District'!D36)&gt;=1,"",ROW()-104)</f>
        <v>36</v>
      </c>
      <c r="F140" s="48"/>
      <c r="G140" s="48"/>
      <c r="N140" s="321"/>
      <c r="O140" s="321"/>
    </row>
    <row r="141" spans="2:15">
      <c r="B141" s="204" t="str">
        <f ca="1"/>
        <v>Baldwin Union Free School District</v>
      </c>
      <c r="C141" s="206">
        <f>IF(COUNTIF(CONTROL!$B$52:$B$101,'Funding by District'!D37)&gt;=1,"",ROW()-104)</f>
        <v>37</v>
      </c>
      <c r="F141" s="48"/>
      <c r="G141" s="48"/>
      <c r="N141" s="321"/>
      <c r="O141" s="321"/>
    </row>
    <row r="142" spans="2:15">
      <c r="B142" s="204" t="str">
        <f ca="1"/>
        <v>Baldwinsville Central School District</v>
      </c>
      <c r="C142" s="206">
        <f>IF(COUNTIF(CONTROL!$B$52:$B$101,'Funding by District'!D38)&gt;=1,"",ROW()-104)</f>
        <v>38</v>
      </c>
      <c r="F142" s="48"/>
      <c r="G142" s="48"/>
      <c r="N142" s="321"/>
      <c r="O142" s="321"/>
    </row>
    <row r="143" spans="2:15">
      <c r="B143" s="204" t="str">
        <f ca="1"/>
        <v>Ballston Spa Central School District</v>
      </c>
      <c r="C143" s="206">
        <f>IF(COUNTIF(CONTROL!$B$52:$B$101,'Funding by District'!D39)&gt;=1,"",ROW()-104)</f>
        <v>39</v>
      </c>
      <c r="F143" s="48"/>
      <c r="G143" s="48"/>
      <c r="N143" s="321"/>
      <c r="O143" s="321"/>
    </row>
    <row r="144" spans="2:15">
      <c r="B144" s="204" t="str">
        <f ca="1"/>
        <v>Barker Central School District</v>
      </c>
      <c r="C144" s="206">
        <f>IF(COUNTIF(CONTROL!$B$52:$B$101,'Funding by District'!D40)&gt;=1,"",ROW()-104)</f>
        <v>40</v>
      </c>
      <c r="F144" s="48"/>
      <c r="G144" s="48"/>
      <c r="N144" s="321"/>
      <c r="O144" s="321"/>
    </row>
    <row r="145" spans="2:15">
      <c r="B145" s="204" t="str">
        <f ca="1"/>
        <v>Batavia City School District</v>
      </c>
      <c r="C145" s="206">
        <f>IF(COUNTIF(CONTROL!$B$52:$B$101,'Funding by District'!D41)&gt;=1,"",ROW()-104)</f>
        <v>41</v>
      </c>
      <c r="F145" s="48"/>
      <c r="G145" s="48"/>
      <c r="N145" s="321"/>
      <c r="O145" s="321"/>
    </row>
    <row r="146" spans="2:15">
      <c r="B146" s="204" t="str">
        <f ca="1"/>
        <v>Bath Central School District</v>
      </c>
      <c r="C146" s="206">
        <f>IF(COUNTIF(CONTROL!$B$52:$B$101,'Funding by District'!D42)&gt;=1,"",ROW()-104)</f>
        <v>42</v>
      </c>
      <c r="F146" s="48"/>
      <c r="G146" s="48"/>
      <c r="N146" s="321"/>
      <c r="O146" s="321"/>
    </row>
    <row r="147" spans="2:15">
      <c r="B147" s="204" t="str">
        <f ca="1"/>
        <v>Bay Shore Union Free School District</v>
      </c>
      <c r="C147" s="206">
        <f>IF(COUNTIF(CONTROL!$B$52:$B$101,'Funding by District'!D43)&gt;=1,"",ROW()-104)</f>
        <v>43</v>
      </c>
      <c r="F147" s="48"/>
      <c r="G147" s="48"/>
      <c r="N147" s="321"/>
      <c r="O147" s="321"/>
    </row>
    <row r="148" spans="2:15">
      <c r="B148" s="204" t="str">
        <f ca="1"/>
        <v>Bayport-Blue Point Union Free School District</v>
      </c>
      <c r="C148" s="206">
        <f>IF(COUNTIF(CONTROL!$B$52:$B$101,'Funding by District'!D44)&gt;=1,"",ROW()-104)</f>
        <v>44</v>
      </c>
      <c r="F148" s="48"/>
      <c r="G148" s="48"/>
      <c r="N148" s="321"/>
      <c r="O148" s="321"/>
    </row>
    <row r="149" spans="2:15">
      <c r="B149" s="204" t="str">
        <f ca="1"/>
        <v>Beacon City School District</v>
      </c>
      <c r="C149" s="206">
        <f>IF(COUNTIF(CONTROL!$B$52:$B$101,'Funding by District'!D45)&gt;=1,"",ROW()-104)</f>
        <v>45</v>
      </c>
      <c r="F149" s="48"/>
      <c r="G149" s="48"/>
      <c r="N149" s="321"/>
      <c r="O149" s="321"/>
    </row>
    <row r="150" spans="2:15">
      <c r="B150" s="204" t="str">
        <f ca="1"/>
        <v>Beaver River Central School District</v>
      </c>
      <c r="C150" s="206">
        <f>IF(COUNTIF(CONTROL!$B$52:$B$101,'Funding by District'!D46)&gt;=1,"",ROW()-104)</f>
        <v>46</v>
      </c>
      <c r="F150" s="48"/>
      <c r="G150" s="48"/>
      <c r="N150" s="321"/>
      <c r="O150" s="321"/>
    </row>
    <row r="151" spans="2:15">
      <c r="B151" s="204" t="str">
        <f ca="1"/>
        <v>Bedford Central School District</v>
      </c>
      <c r="C151" s="206">
        <f>IF(COUNTIF(CONTROL!$B$52:$B$101,'Funding by District'!D47)&gt;=1,"",ROW()-104)</f>
        <v>47</v>
      </c>
      <c r="F151" s="48"/>
      <c r="G151" s="48"/>
      <c r="N151" s="321"/>
      <c r="O151" s="321"/>
    </row>
    <row r="152" spans="2:15">
      <c r="B152" s="204" t="str">
        <f ca="1"/>
        <v>Beekmantown Central School District</v>
      </c>
      <c r="C152" s="206">
        <f>IF(COUNTIF(CONTROL!$B$52:$B$101,'Funding by District'!D48)&gt;=1,"",ROW()-104)</f>
        <v>48</v>
      </c>
      <c r="F152" s="48"/>
      <c r="G152" s="48"/>
      <c r="N152" s="321"/>
      <c r="O152" s="321"/>
    </row>
    <row r="153" spans="2:15">
      <c r="B153" s="204" t="str">
        <f ca="1"/>
        <v>Belfast Central School District</v>
      </c>
      <c r="C153" s="206">
        <f>IF(COUNTIF(CONTROL!$B$52:$B$101,'Funding by District'!D49)&gt;=1,"",ROW()-104)</f>
        <v>49</v>
      </c>
      <c r="F153" s="48"/>
      <c r="G153" s="48"/>
      <c r="N153" s="321"/>
      <c r="O153" s="321"/>
    </row>
    <row r="154" spans="2:15">
      <c r="B154" s="204" t="str">
        <f ca="1"/>
        <v>Belleville Henderson Central School District</v>
      </c>
      <c r="C154" s="206">
        <f>IF(COUNTIF(CONTROL!$B$52:$B$101,'Funding by District'!D50)&gt;=1,"",ROW()-104)</f>
        <v>50</v>
      </c>
      <c r="F154" s="48"/>
      <c r="G154" s="48"/>
      <c r="N154" s="321"/>
      <c r="O154" s="321"/>
    </row>
    <row r="155" spans="2:15">
      <c r="B155" s="204" t="str">
        <f ca="1"/>
        <v>Bellmore Union Free School District</v>
      </c>
      <c r="C155" s="206">
        <f>IF(COUNTIF(CONTROL!$B$52:$B$101,'Funding by District'!D51)&gt;=1,"",ROW()-104)</f>
        <v>51</v>
      </c>
      <c r="F155" s="48"/>
      <c r="G155" s="48"/>
      <c r="N155" s="321"/>
      <c r="O155" s="321"/>
    </row>
    <row r="156" spans="2:15">
      <c r="B156" s="204" t="str">
        <f ca="1"/>
        <v>Bellmore-Merrick Central High School District</v>
      </c>
      <c r="C156" s="206">
        <f>IF(COUNTIF(CONTROL!$B$52:$B$101,'Funding by District'!D52)&gt;=1,"",ROW()-104)</f>
        <v>52</v>
      </c>
      <c r="F156" s="48"/>
      <c r="G156" s="48"/>
      <c r="N156" s="321"/>
      <c r="O156" s="321"/>
    </row>
    <row r="157" spans="2:15">
      <c r="B157" s="204" t="str">
        <f ca="1"/>
        <v>Bemus Point Central School District</v>
      </c>
      <c r="C157" s="206">
        <f>IF(COUNTIF(CONTROL!$B$52:$B$101,'Funding by District'!D53)&gt;=1,"",ROW()-104)</f>
        <v>53</v>
      </c>
      <c r="F157" s="48"/>
      <c r="G157" s="48"/>
      <c r="N157" s="321"/>
      <c r="O157" s="321"/>
    </row>
    <row r="158" spans="2:15">
      <c r="B158" s="204" t="str">
        <f ca="1"/>
        <v>Berlin Central School District</v>
      </c>
      <c r="C158" s="206">
        <f>IF(COUNTIF(CONTROL!$B$52:$B$101,'Funding by District'!D54)&gt;=1,"",ROW()-104)</f>
        <v>54</v>
      </c>
      <c r="F158" s="48"/>
      <c r="G158" s="48"/>
      <c r="N158" s="321"/>
      <c r="O158" s="321"/>
    </row>
    <row r="159" spans="2:15">
      <c r="B159" s="204" t="str">
        <f ca="1"/>
        <v>Berne-Knox-Westerlo Central School District</v>
      </c>
      <c r="C159" s="206">
        <f>IF(COUNTIF(CONTROL!$B$52:$B$101,'Funding by District'!D55)&gt;=1,"",ROW()-104)</f>
        <v>55</v>
      </c>
      <c r="F159" s="48"/>
      <c r="G159" s="48"/>
      <c r="N159" s="321"/>
      <c r="O159" s="321"/>
    </row>
    <row r="160" spans="2:15">
      <c r="B160" s="204" t="str">
        <f ca="1"/>
        <v>Bethlehem Central School District</v>
      </c>
      <c r="C160" s="206">
        <f>IF(COUNTIF(CONTROL!$B$52:$B$101,'Funding by District'!D56)&gt;=1,"",ROW()-104)</f>
        <v>56</v>
      </c>
      <c r="F160" s="48"/>
      <c r="G160" s="48"/>
      <c r="N160" s="321"/>
      <c r="O160" s="321"/>
    </row>
    <row r="161" spans="2:15">
      <c r="B161" s="204" t="str">
        <f ca="1"/>
        <v>Bethpage Union Free School District</v>
      </c>
      <c r="C161" s="206">
        <f>IF(COUNTIF(CONTROL!$B$52:$B$101,'Funding by District'!D57)&gt;=1,"",ROW()-104)</f>
        <v>57</v>
      </c>
      <c r="F161" s="48"/>
      <c r="G161" s="48"/>
      <c r="N161" s="321"/>
      <c r="O161" s="321"/>
    </row>
    <row r="162" spans="2:15">
      <c r="B162" s="204" t="str">
        <f ca="1"/>
        <v>Binghamton City School District</v>
      </c>
      <c r="C162" s="206">
        <f>IF(COUNTIF(CONTROL!$B$52:$B$101,'Funding by District'!D58)&gt;=1,"",ROW()-104)</f>
        <v>58</v>
      </c>
      <c r="F162" s="48"/>
      <c r="G162" s="48"/>
      <c r="N162" s="321"/>
      <c r="O162" s="321"/>
    </row>
    <row r="163" spans="2:15">
      <c r="B163" s="204" t="str">
        <f ca="1"/>
        <v>Blind Brook-Rye Union Free School District</v>
      </c>
      <c r="C163" s="206">
        <f>IF(COUNTIF(CONTROL!$B$52:$B$101,'Funding by District'!D59)&gt;=1,"",ROW()-104)</f>
        <v>59</v>
      </c>
      <c r="F163" s="48"/>
      <c r="G163" s="48"/>
      <c r="N163" s="321"/>
      <c r="O163" s="321"/>
    </row>
    <row r="164" spans="2:15">
      <c r="B164" s="204" t="str">
        <f ca="1"/>
        <v>Bloomfield Central School District</v>
      </c>
      <c r="C164" s="206">
        <f>IF(COUNTIF(CONTROL!$B$52:$B$101,'Funding by District'!D60)&gt;=1,"",ROW()-104)</f>
        <v>60</v>
      </c>
      <c r="F164" s="48"/>
      <c r="G164" s="48"/>
      <c r="N164" s="321"/>
      <c r="O164" s="321"/>
    </row>
    <row r="165" spans="2:15">
      <c r="B165" s="204" t="str">
        <f ca="1"/>
        <v>Bolivar-Richburg Central School District</v>
      </c>
      <c r="C165" s="206">
        <f>IF(COUNTIF(CONTROL!$B$52:$B$101,'Funding by District'!D61)&gt;=1,"",ROW()-104)</f>
        <v>61</v>
      </c>
      <c r="F165" s="48"/>
      <c r="G165" s="48"/>
      <c r="N165" s="321"/>
      <c r="O165" s="321"/>
    </row>
    <row r="166" spans="2:15">
      <c r="B166" s="204" t="str">
        <f ca="1"/>
        <v>Bolton Central School District</v>
      </c>
      <c r="C166" s="206">
        <f>IF(COUNTIF(CONTROL!$B$52:$B$101,'Funding by District'!D62)&gt;=1,"",ROW()-104)</f>
        <v>62</v>
      </c>
      <c r="F166" s="48"/>
      <c r="G166" s="48"/>
      <c r="N166" s="321"/>
      <c r="O166" s="321"/>
    </row>
    <row r="167" spans="2:15">
      <c r="B167" s="204" t="str">
        <f ca="1"/>
        <v>Boquet Valley Central School District</v>
      </c>
      <c r="C167" s="206">
        <f>IF(COUNTIF(CONTROL!$B$52:$B$101,'Funding by District'!D63)&gt;=1,"",ROW()-104)</f>
        <v>63</v>
      </c>
      <c r="F167" s="48"/>
      <c r="G167" s="48"/>
      <c r="N167" s="321"/>
      <c r="O167" s="321"/>
    </row>
    <row r="168" spans="2:15">
      <c r="B168" s="204" t="str">
        <f ca="1"/>
        <v>Bradford Central School District</v>
      </c>
      <c r="C168" s="206">
        <f>IF(COUNTIF(CONTROL!$B$52:$B$101,'Funding by District'!D64)&gt;=1,"",ROW()-104)</f>
        <v>64</v>
      </c>
      <c r="F168" s="48"/>
      <c r="G168" s="48"/>
      <c r="N168" s="321"/>
      <c r="O168" s="321"/>
    </row>
    <row r="169" spans="2:15">
      <c r="B169" s="204" t="str">
        <f ca="1"/>
        <v>Brasher Falls Central School District</v>
      </c>
      <c r="C169" s="206">
        <f>IF(COUNTIF(CONTROL!$B$52:$B$101,'Funding by District'!D65)&gt;=1,"",ROW()-104)</f>
        <v>65</v>
      </c>
      <c r="F169" s="48"/>
      <c r="G169" s="48"/>
      <c r="N169" s="321"/>
      <c r="O169" s="321"/>
    </row>
    <row r="170" spans="2:15">
      <c r="B170" s="204" t="str">
        <f ca="1"/>
        <v>Brentwood Union Free School District</v>
      </c>
      <c r="C170" s="206">
        <f>IF(COUNTIF(CONTROL!$B$52:$B$101,'Funding by District'!D66)&gt;=1,"",ROW()-104)</f>
        <v>66</v>
      </c>
      <c r="F170" s="48"/>
      <c r="G170" s="48"/>
      <c r="N170" s="321"/>
      <c r="O170" s="321"/>
    </row>
    <row r="171" spans="2:15">
      <c r="B171" s="204" t="str">
        <f ca="1"/>
        <v>Brewster Central School District</v>
      </c>
      <c r="C171" s="206">
        <f>IF(COUNTIF(CONTROL!$B$52:$B$101,'Funding by District'!D67)&gt;=1,"",ROW()-104)</f>
        <v>67</v>
      </c>
      <c r="F171" s="48"/>
      <c r="G171" s="48"/>
      <c r="N171" s="321"/>
      <c r="O171" s="321"/>
    </row>
    <row r="172" spans="2:15">
      <c r="B172" s="204" t="str">
        <f ca="1"/>
        <v>Briarcliff Manor Union Free School District</v>
      </c>
      <c r="C172" s="206">
        <f>IF(COUNTIF(CONTROL!$B$52:$B$101,'Funding by District'!D68)&gt;=1,"",ROW()-104)</f>
        <v>68</v>
      </c>
      <c r="F172" s="48"/>
      <c r="G172" s="48"/>
      <c r="N172" s="321"/>
      <c r="O172" s="321"/>
    </row>
    <row r="173" spans="2:15">
      <c r="B173" s="204" t="str">
        <f ca="1"/>
        <v>Bridgehampton Union Free School District</v>
      </c>
      <c r="C173" s="206">
        <f>IF(COUNTIF(CONTROL!$B$52:$B$101,'Funding by District'!D69)&gt;=1,"",ROW()-104)</f>
        <v>69</v>
      </c>
      <c r="F173" s="48"/>
      <c r="G173" s="48"/>
      <c r="N173" s="321"/>
      <c r="O173" s="321"/>
    </row>
    <row r="174" spans="2:15">
      <c r="B174" s="204" t="str">
        <f ca="1"/>
        <v>Brighton Central School District</v>
      </c>
      <c r="C174" s="206">
        <f>IF(COUNTIF(CONTROL!$B$52:$B$101,'Funding by District'!D70)&gt;=1,"",ROW()-104)</f>
        <v>70</v>
      </c>
      <c r="F174" s="48"/>
      <c r="G174" s="48"/>
      <c r="N174" s="321"/>
      <c r="O174" s="321"/>
    </row>
    <row r="175" spans="2:15">
      <c r="B175" s="204" t="str">
        <f ca="1"/>
        <v>Broadalbin-Perth Central School District</v>
      </c>
      <c r="C175" s="206">
        <f>IF(COUNTIF(CONTROL!$B$52:$B$101,'Funding by District'!D71)&gt;=1,"",ROW()-104)</f>
        <v>71</v>
      </c>
      <c r="F175" s="48"/>
      <c r="G175" s="48"/>
      <c r="N175" s="321"/>
      <c r="O175" s="321"/>
    </row>
    <row r="176" spans="2:15">
      <c r="B176" s="204" t="str">
        <f ca="1"/>
        <v>Brockport Central School District</v>
      </c>
      <c r="C176" s="206">
        <f>IF(COUNTIF(CONTROL!$B$52:$B$101,'Funding by District'!D72)&gt;=1,"",ROW()-104)</f>
        <v>72</v>
      </c>
      <c r="F176" s="48"/>
      <c r="G176" s="48"/>
      <c r="N176" s="321"/>
      <c r="O176" s="321"/>
    </row>
    <row r="177" spans="2:15">
      <c r="B177" s="204" t="str">
        <f ca="1"/>
        <v>Brocton Central School District</v>
      </c>
      <c r="C177" s="206">
        <f>IF(COUNTIF(CONTROL!$B$52:$B$101,'Funding by District'!D73)&gt;=1,"",ROW()-104)</f>
        <v>73</v>
      </c>
      <c r="F177" s="48"/>
      <c r="G177" s="48"/>
      <c r="N177" s="321"/>
      <c r="O177" s="321"/>
    </row>
    <row r="178" spans="2:15">
      <c r="B178" s="204" t="str">
        <f ca="1"/>
        <v>Bronxville Union Free School District</v>
      </c>
      <c r="C178" s="206">
        <f>IF(COUNTIF(CONTROL!$B$52:$B$101,'Funding by District'!D74)&gt;=1,"",ROW()-104)</f>
        <v>74</v>
      </c>
      <c r="F178" s="48"/>
      <c r="G178" s="48"/>
      <c r="N178" s="321"/>
      <c r="O178" s="321"/>
    </row>
    <row r="179" spans="2:15">
      <c r="B179" s="204" t="str">
        <f ca="1"/>
        <v>Brookfield Central School District</v>
      </c>
      <c r="C179" s="206">
        <f>IF(COUNTIF(CONTROL!$B$52:$B$101,'Funding by District'!D75)&gt;=1,"",ROW()-104)</f>
        <v>75</v>
      </c>
      <c r="F179" s="48"/>
      <c r="G179" s="48"/>
      <c r="N179" s="321"/>
      <c r="O179" s="321"/>
    </row>
    <row r="180" spans="2:15">
      <c r="B180" s="204" t="str">
        <f ca="1"/>
        <v>Brunswick Central School District</v>
      </c>
      <c r="C180" s="206">
        <f>IF(COUNTIF(CONTROL!$B$52:$B$101,'Funding by District'!D76)&gt;=1,"",ROW()-104)</f>
        <v>76</v>
      </c>
      <c r="F180" s="48"/>
      <c r="G180" s="48"/>
      <c r="N180" s="321"/>
      <c r="O180" s="321"/>
    </row>
    <row r="181" spans="2:15">
      <c r="B181" s="204" t="str">
        <f ca="1"/>
        <v>Brushton-Moira Central School District</v>
      </c>
      <c r="C181" s="206">
        <f>IF(COUNTIF(CONTROL!$B$52:$B$101,'Funding by District'!D77)&gt;=1,"",ROW()-104)</f>
        <v>77</v>
      </c>
      <c r="F181" s="48"/>
      <c r="G181" s="48"/>
      <c r="N181" s="321"/>
      <c r="O181" s="321"/>
    </row>
    <row r="182" spans="2:15">
      <c r="B182" s="204" t="str">
        <f ca="1"/>
        <v>Buffalo City School District</v>
      </c>
      <c r="C182" s="206">
        <f>IF(COUNTIF(CONTROL!$B$52:$B$101,'Funding by District'!D78)&gt;=1,"",ROW()-104)</f>
        <v>78</v>
      </c>
      <c r="F182" s="48"/>
      <c r="G182" s="48"/>
      <c r="N182" s="321"/>
      <c r="O182" s="321"/>
    </row>
    <row r="183" spans="2:15">
      <c r="B183" s="204" t="str">
        <f ca="1"/>
        <v>Burnt Hills-Ballston Lake Central School District</v>
      </c>
      <c r="C183" s="206">
        <f>IF(COUNTIF(CONTROL!$B$52:$B$101,'Funding by District'!D79)&gt;=1,"",ROW()-104)</f>
        <v>79</v>
      </c>
      <c r="F183" s="48"/>
      <c r="G183" s="48"/>
      <c r="N183" s="321"/>
      <c r="O183" s="321"/>
    </row>
    <row r="184" spans="2:15">
      <c r="B184" s="204" t="str">
        <f ca="1"/>
        <v>Byram Hills Central School District</v>
      </c>
      <c r="C184" s="206">
        <f>IF(COUNTIF(CONTROL!$B$52:$B$101,'Funding by District'!D80)&gt;=1,"",ROW()-104)</f>
        <v>80</v>
      </c>
      <c r="F184" s="48"/>
      <c r="G184" s="48"/>
      <c r="N184" s="321"/>
      <c r="O184" s="321"/>
    </row>
    <row r="185" spans="2:15">
      <c r="B185" s="204" t="str">
        <f ca="1"/>
        <v>Byron-Bergen Central School District</v>
      </c>
      <c r="C185" s="206">
        <f>IF(COUNTIF(CONTROL!$B$52:$B$101,'Funding by District'!D81)&gt;=1,"",ROW()-104)</f>
        <v>81</v>
      </c>
      <c r="F185" s="48"/>
      <c r="G185" s="48"/>
      <c r="N185" s="321"/>
      <c r="O185" s="321"/>
    </row>
    <row r="186" spans="2:15">
      <c r="B186" s="204" t="str">
        <f ca="1"/>
        <v>Cairo-Durham Central School District</v>
      </c>
      <c r="C186" s="206">
        <f>IF(COUNTIF(CONTROL!$B$52:$B$101,'Funding by District'!D82)&gt;=1,"",ROW()-104)</f>
        <v>82</v>
      </c>
      <c r="F186" s="48"/>
      <c r="G186" s="48"/>
      <c r="N186" s="321"/>
      <c r="O186" s="321"/>
    </row>
    <row r="187" spans="2:15">
      <c r="B187" s="204" t="str">
        <f ca="1"/>
        <v>Caledonia-Mumford Central School District</v>
      </c>
      <c r="C187" s="206">
        <f>IF(COUNTIF(CONTROL!$B$52:$B$101,'Funding by District'!D83)&gt;=1,"",ROW()-104)</f>
        <v>83</v>
      </c>
      <c r="F187" s="48"/>
      <c r="G187" s="48"/>
      <c r="N187" s="321"/>
      <c r="O187" s="321"/>
    </row>
    <row r="188" spans="2:15">
      <c r="B188" s="204" t="str">
        <f ca="1"/>
        <v>Cambridge Central School District</v>
      </c>
      <c r="C188" s="206">
        <f>IF(COUNTIF(CONTROL!$B$52:$B$101,'Funding by District'!D84)&gt;=1,"",ROW()-104)</f>
        <v>84</v>
      </c>
      <c r="F188" s="48"/>
      <c r="G188" s="48"/>
      <c r="N188" s="321"/>
      <c r="O188" s="321"/>
    </row>
    <row r="189" spans="2:15">
      <c r="B189" s="204" t="str">
        <f ca="1"/>
        <v>Camden Central School District</v>
      </c>
      <c r="C189" s="206">
        <f>IF(COUNTIF(CONTROL!$B$52:$B$101,'Funding by District'!D85)&gt;=1,"",ROW()-104)</f>
        <v>85</v>
      </c>
      <c r="F189" s="48"/>
      <c r="G189" s="48"/>
      <c r="N189" s="321"/>
      <c r="O189" s="321"/>
    </row>
    <row r="190" spans="2:15">
      <c r="B190" s="204" t="str">
        <f ca="1"/>
        <v>Campbell-Savona Central School District</v>
      </c>
      <c r="C190" s="206">
        <f>IF(COUNTIF(CONTROL!$B$52:$B$101,'Funding by District'!D86)&gt;=1,"",ROW()-104)</f>
        <v>86</v>
      </c>
      <c r="F190" s="48"/>
      <c r="G190" s="48"/>
      <c r="N190" s="321"/>
      <c r="O190" s="321"/>
    </row>
    <row r="191" spans="2:15">
      <c r="B191" s="204" t="str">
        <f ca="1"/>
        <v>Canajoharie Central School District</v>
      </c>
      <c r="C191" s="206">
        <f>IF(COUNTIF(CONTROL!$B$52:$B$101,'Funding by District'!D87)&gt;=1,"",ROW()-104)</f>
        <v>87</v>
      </c>
      <c r="F191" s="48"/>
      <c r="G191" s="48"/>
      <c r="N191" s="321"/>
      <c r="O191" s="321"/>
    </row>
    <row r="192" spans="2:15">
      <c r="B192" s="204" t="str">
        <f ca="1"/>
        <v>Canandaigua City School District</v>
      </c>
      <c r="C192" s="206">
        <f>IF(COUNTIF(CONTROL!$B$52:$B$101,'Funding by District'!D88)&gt;=1,"",ROW()-104)</f>
        <v>88</v>
      </c>
      <c r="F192" s="48"/>
      <c r="G192" s="48"/>
      <c r="N192" s="321"/>
      <c r="O192" s="321"/>
    </row>
    <row r="193" spans="2:15">
      <c r="B193" s="204" t="str">
        <f ca="1"/>
        <v>Canaseraga Central School District</v>
      </c>
      <c r="C193" s="206">
        <f>IF(COUNTIF(CONTROL!$B$52:$B$101,'Funding by District'!D89)&gt;=1,"",ROW()-104)</f>
        <v>89</v>
      </c>
      <c r="F193" s="48"/>
      <c r="G193" s="48"/>
      <c r="N193" s="321"/>
      <c r="O193" s="321"/>
    </row>
    <row r="194" spans="2:15">
      <c r="B194" s="204" t="str">
        <f ca="1"/>
        <v>Canastota Central School District</v>
      </c>
      <c r="C194" s="206">
        <f>IF(COUNTIF(CONTROL!$B$52:$B$101,'Funding by District'!D90)&gt;=1,"",ROW()-104)</f>
        <v>90</v>
      </c>
      <c r="F194" s="48"/>
      <c r="G194" s="48"/>
      <c r="N194" s="321"/>
      <c r="O194" s="321"/>
    </row>
    <row r="195" spans="2:15">
      <c r="B195" s="204" t="str">
        <f ca="1"/>
        <v>Candor Central School District</v>
      </c>
      <c r="C195" s="206">
        <f>IF(COUNTIF(CONTROL!$B$52:$B$101,'Funding by District'!D91)&gt;=1,"",ROW()-104)</f>
        <v>91</v>
      </c>
      <c r="F195" s="48"/>
      <c r="G195" s="48"/>
      <c r="N195" s="321"/>
      <c r="O195" s="321"/>
    </row>
    <row r="196" spans="2:15">
      <c r="B196" s="204" t="str">
        <f ca="1"/>
        <v>Canisteo-Greenwood Central School District</v>
      </c>
      <c r="C196" s="206">
        <f>IF(COUNTIF(CONTROL!$B$52:$B$101,'Funding by District'!D92)&gt;=1,"",ROW()-104)</f>
        <v>92</v>
      </c>
      <c r="F196" s="48"/>
      <c r="G196" s="48"/>
      <c r="N196" s="321"/>
      <c r="O196" s="321"/>
    </row>
    <row r="197" spans="2:15">
      <c r="B197" s="204" t="str">
        <f ca="1"/>
        <v>Canton Central School District</v>
      </c>
      <c r="C197" s="206">
        <f>IF(COUNTIF(CONTROL!$B$52:$B$101,'Funding by District'!D93)&gt;=1,"",ROW()-104)</f>
        <v>93</v>
      </c>
      <c r="F197" s="48"/>
      <c r="G197" s="48"/>
      <c r="N197" s="321"/>
      <c r="O197" s="321"/>
    </row>
    <row r="198" spans="2:15">
      <c r="B198" s="204" t="str">
        <f ca="1"/>
        <v>Carle Place Union Free School District</v>
      </c>
      <c r="C198" s="206">
        <f>IF(COUNTIF(CONTROL!$B$52:$B$101,'Funding by District'!D94)&gt;=1,"",ROW()-104)</f>
        <v>94</v>
      </c>
      <c r="F198" s="48"/>
      <c r="G198" s="48"/>
      <c r="N198" s="321"/>
      <c r="O198" s="321"/>
    </row>
    <row r="199" spans="2:15">
      <c r="B199" s="204" t="str">
        <f ca="1"/>
        <v>Carmel Central School District</v>
      </c>
      <c r="C199" s="206">
        <f>IF(COUNTIF(CONTROL!$B$52:$B$101,'Funding by District'!D95)&gt;=1,"",ROW()-104)</f>
        <v>95</v>
      </c>
      <c r="F199" s="48"/>
      <c r="G199" s="48"/>
      <c r="N199" s="321"/>
      <c r="O199" s="321"/>
    </row>
    <row r="200" spans="2:15">
      <c r="B200" s="204" t="str">
        <f ca="1"/>
        <v>Carthage Central School District</v>
      </c>
      <c r="C200" s="206">
        <f>IF(COUNTIF(CONTROL!$B$52:$B$101,'Funding by District'!D96)&gt;=1,"",ROW()-104)</f>
        <v>96</v>
      </c>
      <c r="F200" s="48"/>
      <c r="G200" s="48"/>
      <c r="N200" s="321"/>
      <c r="O200" s="321"/>
    </row>
    <row r="201" spans="2:15">
      <c r="B201" s="204" t="str">
        <f ca="1"/>
        <v>Cassadaga Valley Central School District</v>
      </c>
      <c r="C201" s="206">
        <f>IF(COUNTIF(CONTROL!$B$52:$B$101,'Funding by District'!D97)&gt;=1,"",ROW()-104)</f>
        <v>97</v>
      </c>
      <c r="F201" s="48"/>
      <c r="G201" s="48"/>
      <c r="N201" s="321"/>
      <c r="O201" s="321"/>
    </row>
    <row r="202" spans="2:15">
      <c r="B202" s="204" t="str">
        <f ca="1"/>
        <v>Cato-Meridian Central School District</v>
      </c>
      <c r="C202" s="206">
        <f>IF(COUNTIF(CONTROL!$B$52:$B$101,'Funding by District'!D98)&gt;=1,"",ROW()-104)</f>
        <v>98</v>
      </c>
      <c r="F202" s="48"/>
      <c r="G202" s="48"/>
      <c r="N202" s="321"/>
      <c r="O202" s="321"/>
    </row>
    <row r="203" spans="2:15">
      <c r="B203" s="204" t="str">
        <f ca="1"/>
        <v>Catskill Central School District</v>
      </c>
      <c r="C203" s="206">
        <f>IF(COUNTIF(CONTROL!$B$52:$B$101,'Funding by District'!D99)&gt;=1,"",ROW()-104)</f>
        <v>99</v>
      </c>
      <c r="F203" s="48"/>
      <c r="G203" s="48"/>
      <c r="N203" s="321"/>
      <c r="O203" s="321"/>
    </row>
    <row r="204" spans="2:15">
      <c r="B204" s="204" t="str">
        <f ca="1"/>
        <v>Cattaraugus-Little Valley Central School District</v>
      </c>
      <c r="C204" s="206">
        <f>IF(COUNTIF(CONTROL!$B$52:$B$101,'Funding by District'!D100)&gt;=1,"",ROW()-104)</f>
        <v>100</v>
      </c>
      <c r="F204" s="48"/>
      <c r="G204" s="48"/>
      <c r="N204" s="321"/>
      <c r="O204" s="321"/>
    </row>
    <row r="205" spans="2:15">
      <c r="B205" s="204" t="str">
        <f ca="1"/>
        <v>Cazenovia Central School District</v>
      </c>
      <c r="C205" s="206">
        <f>IF(COUNTIF(CONTROL!$B$52:$B$101,'Funding by District'!D101)&gt;=1,"",ROW()-104)</f>
        <v>101</v>
      </c>
      <c r="F205" s="48"/>
      <c r="G205" s="48"/>
      <c r="N205" s="321"/>
      <c r="O205" s="321"/>
    </row>
    <row r="206" spans="2:15">
      <c r="B206" s="204" t="str">
        <f ca="1"/>
        <v>Center Moriches Union Free School District</v>
      </c>
      <c r="C206" s="206">
        <f>IF(COUNTIF(CONTROL!$B$52:$B$101,'Funding by District'!D102)&gt;=1,"",ROW()-104)</f>
        <v>102</v>
      </c>
      <c r="F206" s="48"/>
      <c r="G206" s="48"/>
      <c r="N206" s="321"/>
      <c r="O206" s="321"/>
    </row>
    <row r="207" spans="2:15">
      <c r="B207" s="204" t="str">
        <f ca="1"/>
        <v>Central Islip Union Free School District</v>
      </c>
      <c r="C207" s="206">
        <f>IF(COUNTIF(CONTROL!$B$52:$B$101,'Funding by District'!D103)&gt;=1,"",ROW()-104)</f>
        <v>103</v>
      </c>
      <c r="F207" s="48"/>
      <c r="G207" s="48"/>
      <c r="N207" s="321"/>
      <c r="O207" s="321"/>
    </row>
    <row r="208" spans="2:15">
      <c r="B208" s="204" t="str">
        <f ca="1"/>
        <v>Central Square Central School District</v>
      </c>
      <c r="C208" s="206">
        <f>IF(COUNTIF(CONTROL!$B$52:$B$101,'Funding by District'!D104)&gt;=1,"",ROW()-104)</f>
        <v>104</v>
      </c>
      <c r="F208" s="48"/>
      <c r="G208" s="48"/>
      <c r="N208" s="321"/>
      <c r="O208" s="321"/>
    </row>
    <row r="209" spans="2:15">
      <c r="B209" s="204" t="str">
        <f ca="1"/>
        <v>Central Valley Central School District at Ilion-Mohawk</v>
      </c>
      <c r="C209" s="206">
        <f>IF(COUNTIF(CONTROL!$B$52:$B$101,'Funding by District'!D105)&gt;=1,"",ROW()-104)</f>
        <v>105</v>
      </c>
      <c r="F209" s="48"/>
      <c r="G209" s="48"/>
      <c r="N209" s="321"/>
      <c r="O209" s="321"/>
    </row>
    <row r="210" spans="2:15">
      <c r="B210" s="204" t="str">
        <f ca="1"/>
        <v>Chappaqua Central School District</v>
      </c>
      <c r="C210" s="206">
        <f>IF(COUNTIF(CONTROL!$B$52:$B$101,'Funding by District'!D106)&gt;=1,"",ROW()-104)</f>
        <v>106</v>
      </c>
      <c r="F210" s="48"/>
      <c r="G210" s="48"/>
      <c r="N210" s="321"/>
      <c r="O210" s="321"/>
    </row>
    <row r="211" spans="2:15">
      <c r="B211" s="204" t="str">
        <f ca="1"/>
        <v>Charlotte Valley Central School District</v>
      </c>
      <c r="C211" s="206">
        <f>IF(COUNTIF(CONTROL!$B$52:$B$101,'Funding by District'!D107)&gt;=1,"",ROW()-104)</f>
        <v>107</v>
      </c>
      <c r="F211" s="48"/>
      <c r="G211" s="48"/>
      <c r="N211" s="321"/>
      <c r="O211" s="321"/>
    </row>
    <row r="212" spans="2:15">
      <c r="B212" s="204" t="str">
        <f ca="1"/>
        <v>Chateaugay Central School District</v>
      </c>
      <c r="C212" s="206">
        <f>IF(COUNTIF(CONTROL!$B$52:$B$101,'Funding by District'!D108)&gt;=1,"",ROW()-104)</f>
        <v>108</v>
      </c>
      <c r="F212" s="48"/>
      <c r="G212" s="48"/>
      <c r="N212" s="321"/>
      <c r="O212" s="321"/>
    </row>
    <row r="213" spans="2:15">
      <c r="B213" s="204" t="str">
        <f ca="1"/>
        <v>Chatham Central School District</v>
      </c>
      <c r="C213" s="206">
        <f>IF(COUNTIF(CONTROL!$B$52:$B$101,'Funding by District'!D109)&gt;=1,"",ROW()-104)</f>
        <v>109</v>
      </c>
      <c r="F213" s="48"/>
      <c r="G213" s="48"/>
      <c r="N213" s="321"/>
      <c r="O213" s="321"/>
    </row>
    <row r="214" spans="2:15">
      <c r="B214" s="204" t="str">
        <f ca="1"/>
        <v>Chautauqua Lake Central School District</v>
      </c>
      <c r="C214" s="206">
        <f>IF(COUNTIF(CONTROL!$B$52:$B$101,'Funding by District'!D110)&gt;=1,"",ROW()-104)</f>
        <v>110</v>
      </c>
      <c r="F214" s="48"/>
      <c r="G214" s="48"/>
      <c r="N214" s="321"/>
      <c r="O214" s="321"/>
    </row>
    <row r="215" spans="2:15">
      <c r="B215" s="204" t="str">
        <f ca="1"/>
        <v>Chazy Union Free School District</v>
      </c>
      <c r="C215" s="206">
        <f>IF(COUNTIF(CONTROL!$B$52:$B$101,'Funding by District'!D111)&gt;=1,"",ROW()-104)</f>
        <v>111</v>
      </c>
      <c r="F215" s="48"/>
      <c r="G215" s="48"/>
      <c r="N215" s="321"/>
      <c r="O215" s="321"/>
    </row>
    <row r="216" spans="2:15">
      <c r="B216" s="204" t="str">
        <f ca="1"/>
        <v>Cheektowaga Central School District</v>
      </c>
      <c r="C216" s="206">
        <f>IF(COUNTIF(CONTROL!$B$52:$B$101,'Funding by District'!D112)&gt;=1,"",ROW()-104)</f>
        <v>112</v>
      </c>
      <c r="F216" s="48"/>
      <c r="G216" s="48"/>
      <c r="N216" s="321"/>
      <c r="O216" s="321"/>
    </row>
    <row r="217" spans="2:15">
      <c r="B217" s="204" t="str">
        <f ca="1"/>
        <v>Cheektowaga-Sloan Union Free School District</v>
      </c>
      <c r="C217" s="206">
        <f>IF(COUNTIF(CONTROL!$B$52:$B$101,'Funding by District'!D113)&gt;=1,"",ROW()-104)</f>
        <v>113</v>
      </c>
      <c r="F217" s="48"/>
      <c r="G217" s="48"/>
      <c r="N217" s="321"/>
      <c r="O217" s="321"/>
    </row>
    <row r="218" spans="2:15">
      <c r="B218" s="204" t="str">
        <f ca="1"/>
        <v>Chenango Forks Central School District</v>
      </c>
      <c r="C218" s="206">
        <f>IF(COUNTIF(CONTROL!$B$52:$B$101,'Funding by District'!D114)&gt;=1,"",ROW()-104)</f>
        <v>114</v>
      </c>
      <c r="F218" s="48"/>
      <c r="G218" s="48"/>
      <c r="N218" s="321"/>
      <c r="O218" s="321"/>
    </row>
    <row r="219" spans="2:15">
      <c r="B219" s="204" t="str">
        <f ca="1"/>
        <v>Chenango Valley Central School District</v>
      </c>
      <c r="C219" s="206">
        <f>IF(COUNTIF(CONTROL!$B$52:$B$101,'Funding by District'!D115)&gt;=1,"",ROW()-104)</f>
        <v>115</v>
      </c>
      <c r="F219" s="48"/>
      <c r="G219" s="48"/>
      <c r="N219" s="321"/>
      <c r="O219" s="321"/>
    </row>
    <row r="220" spans="2:15">
      <c r="B220" s="204" t="str">
        <f ca="1"/>
        <v>Cherry Valley-Springfield Central School District</v>
      </c>
      <c r="C220" s="206">
        <f>IF(COUNTIF(CONTROL!$B$52:$B$101,'Funding by District'!D116)&gt;=1,"",ROW()-104)</f>
        <v>116</v>
      </c>
      <c r="F220" s="48"/>
      <c r="G220" s="48"/>
      <c r="N220" s="321"/>
      <c r="O220" s="321"/>
    </row>
    <row r="221" spans="2:15">
      <c r="B221" s="204" t="str">
        <f ca="1"/>
        <v>Chester Union Free School District</v>
      </c>
      <c r="C221" s="206">
        <f>IF(COUNTIF(CONTROL!$B$52:$B$101,'Funding by District'!D117)&gt;=1,"",ROW()-104)</f>
        <v>117</v>
      </c>
      <c r="F221" s="48"/>
      <c r="G221" s="48"/>
      <c r="N221" s="321"/>
      <c r="O221" s="321"/>
    </row>
    <row r="222" spans="2:15">
      <c r="B222" s="204" t="str">
        <f ca="1"/>
        <v>Chittenango Central School District</v>
      </c>
      <c r="C222" s="206">
        <f>IF(COUNTIF(CONTROL!$B$52:$B$101,'Funding by District'!D118)&gt;=1,"",ROW()-104)</f>
        <v>118</v>
      </c>
      <c r="F222" s="48"/>
      <c r="G222" s="48"/>
      <c r="N222" s="321"/>
      <c r="O222" s="321"/>
    </row>
    <row r="223" spans="2:15">
      <c r="B223" s="204" t="str">
        <f ca="1"/>
        <v>Churchville-Chili Central School District</v>
      </c>
      <c r="C223" s="206">
        <f>IF(COUNTIF(CONTROL!$B$52:$B$101,'Funding by District'!D119)&gt;=1,"",ROW()-104)</f>
        <v>119</v>
      </c>
      <c r="F223" s="48"/>
      <c r="G223" s="48"/>
      <c r="N223" s="321"/>
      <c r="O223" s="321"/>
    </row>
    <row r="224" spans="2:15">
      <c r="B224" s="204" t="str">
        <f ca="1"/>
        <v>Cincinnatus Central School District</v>
      </c>
      <c r="C224" s="206">
        <f>IF(COUNTIF(CONTROL!$B$52:$B$101,'Funding by District'!D120)&gt;=1,"",ROW()-104)</f>
        <v>120</v>
      </c>
      <c r="F224" s="48"/>
      <c r="G224" s="48"/>
      <c r="N224" s="321"/>
      <c r="O224" s="321"/>
    </row>
    <row r="225" spans="2:15">
      <c r="B225" s="204" t="str">
        <f ca="1"/>
        <v>Clarence Central School District</v>
      </c>
      <c r="C225" s="206">
        <f>IF(COUNTIF(CONTROL!$B$52:$B$101,'Funding by District'!D121)&gt;=1,"",ROW()-104)</f>
        <v>121</v>
      </c>
      <c r="F225" s="48"/>
      <c r="G225" s="48"/>
      <c r="N225" s="321"/>
      <c r="O225" s="321"/>
    </row>
    <row r="226" spans="2:15">
      <c r="B226" s="204" t="str">
        <f ca="1"/>
        <v>Clarkstown Central School District</v>
      </c>
      <c r="C226" s="206">
        <f>IF(COUNTIF(CONTROL!$B$52:$B$101,'Funding by District'!D122)&gt;=1,"",ROW()-104)</f>
        <v>122</v>
      </c>
      <c r="F226" s="48"/>
      <c r="G226" s="48"/>
      <c r="N226" s="321"/>
      <c r="O226" s="321"/>
    </row>
    <row r="227" spans="2:15">
      <c r="B227" s="204" t="str">
        <f ca="1"/>
        <v>Cleveland Hill Union Free School District</v>
      </c>
      <c r="C227" s="206">
        <f>IF(COUNTIF(CONTROL!$B$52:$B$101,'Funding by District'!D123)&gt;=1,"",ROW()-104)</f>
        <v>123</v>
      </c>
      <c r="F227" s="48"/>
      <c r="G227" s="48"/>
      <c r="N227" s="321"/>
      <c r="O227" s="321"/>
    </row>
    <row r="228" spans="2:15">
      <c r="B228" s="204" t="str">
        <f ca="1"/>
        <v>Clifton-Fine Central School District</v>
      </c>
      <c r="C228" s="206">
        <f>IF(COUNTIF(CONTROL!$B$52:$B$101,'Funding by District'!D124)&gt;=1,"",ROW()-104)</f>
        <v>124</v>
      </c>
      <c r="F228" s="48"/>
      <c r="G228" s="48"/>
      <c r="N228" s="321"/>
      <c r="O228" s="321"/>
    </row>
    <row r="229" spans="2:15">
      <c r="B229" s="204" t="str">
        <f ca="1"/>
        <v>Clinton Central School District</v>
      </c>
      <c r="C229" s="206">
        <f>IF(COUNTIF(CONTROL!$B$52:$B$101,'Funding by District'!D125)&gt;=1,"",ROW()-104)</f>
        <v>125</v>
      </c>
      <c r="F229" s="48"/>
      <c r="G229" s="48"/>
      <c r="N229" s="321"/>
      <c r="O229" s="321"/>
    </row>
    <row r="230" spans="2:15">
      <c r="B230" s="204" t="str">
        <f ca="1"/>
        <v>Clyde-Savannah Central School District</v>
      </c>
      <c r="C230" s="206">
        <f>IF(COUNTIF(CONTROL!$B$52:$B$101,'Funding by District'!D126)&gt;=1,"",ROW()-104)</f>
        <v>126</v>
      </c>
      <c r="F230" s="48"/>
      <c r="G230" s="48"/>
      <c r="N230" s="321"/>
      <c r="O230" s="321"/>
    </row>
    <row r="231" spans="2:15">
      <c r="B231" s="204" t="str">
        <f ca="1"/>
        <v>Clymer Central School District</v>
      </c>
      <c r="C231" s="206">
        <f>IF(COUNTIF(CONTROL!$B$52:$B$101,'Funding by District'!D127)&gt;=1,"",ROW()-104)</f>
        <v>127</v>
      </c>
      <c r="F231" s="48"/>
      <c r="G231" s="48"/>
      <c r="N231" s="321"/>
      <c r="O231" s="321"/>
    </row>
    <row r="232" spans="2:15">
      <c r="B232" s="204" t="str">
        <f ca="1"/>
        <v>Cobleskill-Richmondville Central School District</v>
      </c>
      <c r="C232" s="206">
        <f>IF(COUNTIF(CONTROL!$B$52:$B$101,'Funding by District'!D128)&gt;=1,"",ROW()-104)</f>
        <v>128</v>
      </c>
      <c r="F232" s="48"/>
      <c r="G232" s="48"/>
      <c r="N232" s="321"/>
      <c r="O232" s="321"/>
    </row>
    <row r="233" spans="2:15">
      <c r="B233" s="204" t="str">
        <f ca="1"/>
        <v>Cohoes City School District</v>
      </c>
      <c r="C233" s="206">
        <f>IF(COUNTIF(CONTROL!$B$52:$B$101,'Funding by District'!D129)&gt;=1,"",ROW()-104)</f>
        <v>129</v>
      </c>
      <c r="F233" s="48"/>
      <c r="G233" s="48"/>
      <c r="N233" s="321"/>
      <c r="O233" s="321"/>
    </row>
    <row r="234" spans="2:15">
      <c r="B234" s="204" t="str">
        <f ca="1"/>
        <v>Cold Spring Harbor Central School District</v>
      </c>
      <c r="C234" s="206">
        <f>IF(COUNTIF(CONTROL!$B$52:$B$101,'Funding by District'!D130)&gt;=1,"",ROW()-104)</f>
        <v>130</v>
      </c>
      <c r="F234" s="48"/>
      <c r="G234" s="48"/>
      <c r="N234" s="321"/>
      <c r="O234" s="321"/>
    </row>
    <row r="235" spans="2:15">
      <c r="B235" s="204" t="str">
        <f ca="1"/>
        <v>Colton-Pierrepont Central School District</v>
      </c>
      <c r="C235" s="206">
        <f>IF(COUNTIF(CONTROL!$B$52:$B$101,'Funding by District'!D131)&gt;=1,"",ROW()-104)</f>
        <v>131</v>
      </c>
      <c r="F235" s="48"/>
      <c r="G235" s="48"/>
      <c r="N235" s="321"/>
      <c r="O235" s="321"/>
    </row>
    <row r="236" spans="2:15">
      <c r="B236" s="204" t="str">
        <f ca="1"/>
        <v>Commack Union Free School District</v>
      </c>
      <c r="C236" s="206">
        <f>IF(COUNTIF(CONTROL!$B$52:$B$101,'Funding by District'!D132)&gt;=1,"",ROW()-104)</f>
        <v>132</v>
      </c>
      <c r="F236" s="48"/>
      <c r="G236" s="48"/>
      <c r="N236" s="321"/>
      <c r="O236" s="321"/>
    </row>
    <row r="237" spans="2:15">
      <c r="B237" s="204" t="str">
        <f ca="1"/>
        <v>Comsewogue Union Free School District</v>
      </c>
      <c r="C237" s="206">
        <f>IF(COUNTIF(CONTROL!$B$52:$B$101,'Funding by District'!D133)&gt;=1,"",ROW()-104)</f>
        <v>133</v>
      </c>
      <c r="F237" s="48"/>
      <c r="G237" s="48"/>
      <c r="N237" s="321"/>
      <c r="O237" s="321"/>
    </row>
    <row r="238" spans="2:15">
      <c r="B238" s="204" t="str">
        <f ca="1"/>
        <v>Connetquot Central School District</v>
      </c>
      <c r="C238" s="206">
        <f>IF(COUNTIF(CONTROL!$B$52:$B$101,'Funding by District'!D134)&gt;=1,"",ROW()-104)</f>
        <v>134</v>
      </c>
      <c r="F238" s="48"/>
      <c r="G238" s="48"/>
      <c r="N238" s="321"/>
      <c r="O238" s="321"/>
    </row>
    <row r="239" spans="2:15">
      <c r="B239" s="204" t="str">
        <f ca="1"/>
        <v>Cooperstown Central School District</v>
      </c>
      <c r="C239" s="206">
        <f>IF(COUNTIF(CONTROL!$B$52:$B$101,'Funding by District'!D135)&gt;=1,"",ROW()-104)</f>
        <v>135</v>
      </c>
      <c r="F239" s="48"/>
      <c r="G239" s="48"/>
      <c r="N239" s="321"/>
      <c r="O239" s="321"/>
    </row>
    <row r="240" spans="2:15">
      <c r="B240" s="204" t="str">
        <f ca="1"/>
        <v>Copenhagen Central School District</v>
      </c>
      <c r="C240" s="206">
        <f>IF(COUNTIF(CONTROL!$B$52:$B$101,'Funding by District'!D136)&gt;=1,"",ROW()-104)</f>
        <v>136</v>
      </c>
      <c r="F240" s="48"/>
      <c r="G240" s="48"/>
      <c r="N240" s="321"/>
      <c r="O240" s="321"/>
    </row>
    <row r="241" spans="2:15">
      <c r="B241" s="204" t="str">
        <f ca="1"/>
        <v>Copiague Union Free School District</v>
      </c>
      <c r="C241" s="206">
        <f>IF(COUNTIF(CONTROL!$B$52:$B$101,'Funding by District'!D137)&gt;=1,"",ROW()-104)</f>
        <v>137</v>
      </c>
      <c r="F241" s="48"/>
      <c r="G241" s="48"/>
      <c r="N241" s="321"/>
      <c r="O241" s="321"/>
    </row>
    <row r="242" spans="2:15">
      <c r="B242" s="204" t="str">
        <f ca="1"/>
        <v>Corinth Central School District</v>
      </c>
      <c r="C242" s="206">
        <f>IF(COUNTIF(CONTROL!$B$52:$B$101,'Funding by District'!D138)&gt;=1,"",ROW()-104)</f>
        <v>138</v>
      </c>
      <c r="F242" s="48"/>
      <c r="G242" s="48"/>
      <c r="N242" s="321"/>
      <c r="O242" s="321"/>
    </row>
    <row r="243" spans="2:15">
      <c r="B243" s="204" t="str">
        <f ca="1"/>
        <v>Corning City School District</v>
      </c>
      <c r="C243" s="206">
        <f>IF(COUNTIF(CONTROL!$B$52:$B$101,'Funding by District'!D139)&gt;=1,"",ROW()-104)</f>
        <v>139</v>
      </c>
      <c r="F243" s="48"/>
      <c r="G243" s="48"/>
      <c r="N243" s="321"/>
      <c r="O243" s="321"/>
    </row>
    <row r="244" spans="2:15">
      <c r="B244" s="204" t="str">
        <f ca="1"/>
        <v>Cornwall Central School District</v>
      </c>
      <c r="C244" s="206">
        <f>IF(COUNTIF(CONTROL!$B$52:$B$101,'Funding by District'!D140)&gt;=1,"",ROW()-104)</f>
        <v>140</v>
      </c>
      <c r="F244" s="48"/>
      <c r="G244" s="48"/>
      <c r="N244" s="321"/>
      <c r="O244" s="321"/>
    </row>
    <row r="245" spans="2:15">
      <c r="B245" s="204" t="str">
        <f ca="1"/>
        <v>Cortland City School District</v>
      </c>
      <c r="C245" s="206">
        <f>IF(COUNTIF(CONTROL!$B$52:$B$101,'Funding by District'!D141)&gt;=1,"",ROW()-104)</f>
        <v>141</v>
      </c>
      <c r="F245" s="48"/>
      <c r="G245" s="48"/>
      <c r="N245" s="321"/>
      <c r="O245" s="321"/>
    </row>
    <row r="246" spans="2:15">
      <c r="B246" s="204" t="str">
        <f ca="1"/>
        <v>Coxsackie-Athens Central School District</v>
      </c>
      <c r="C246" s="206">
        <f>IF(COUNTIF(CONTROL!$B$52:$B$101,'Funding by District'!D142)&gt;=1,"",ROW()-104)</f>
        <v>142</v>
      </c>
      <c r="F246" s="48"/>
      <c r="G246" s="48"/>
      <c r="N246" s="321"/>
      <c r="O246" s="321"/>
    </row>
    <row r="247" spans="2:15">
      <c r="B247" s="204" t="str">
        <f ca="1"/>
        <v>Croton-Harmon Union Free School District</v>
      </c>
      <c r="C247" s="206">
        <f>IF(COUNTIF(CONTROL!$B$52:$B$101,'Funding by District'!D143)&gt;=1,"",ROW()-104)</f>
        <v>143</v>
      </c>
      <c r="F247" s="48"/>
      <c r="G247" s="48"/>
      <c r="N247" s="321"/>
      <c r="O247" s="321"/>
    </row>
    <row r="248" spans="2:15">
      <c r="B248" s="204" t="str">
        <f ca="1"/>
        <v>Crown Point Central School District</v>
      </c>
      <c r="C248" s="206">
        <f>IF(COUNTIF(CONTROL!$B$52:$B$101,'Funding by District'!D144)&gt;=1,"",ROW()-104)</f>
        <v>144</v>
      </c>
      <c r="F248" s="48"/>
      <c r="G248" s="48"/>
      <c r="N248" s="321"/>
      <c r="O248" s="321"/>
    </row>
    <row r="249" spans="2:15">
      <c r="B249" s="204" t="str">
        <f ca="1"/>
        <v>Cuba-Rushford Central School District</v>
      </c>
      <c r="C249" s="206">
        <f>IF(COUNTIF(CONTROL!$B$52:$B$101,'Funding by District'!D145)&gt;=1,"",ROW()-104)</f>
        <v>145</v>
      </c>
      <c r="F249" s="48"/>
      <c r="G249" s="48"/>
      <c r="N249" s="321"/>
      <c r="O249" s="321"/>
    </row>
    <row r="250" spans="2:15">
      <c r="B250" s="204" t="str">
        <f ca="1"/>
        <v>Dansville Central School District</v>
      </c>
      <c r="C250" s="206">
        <f>IF(COUNTIF(CONTROL!$B$52:$B$101,'Funding by District'!D146)&gt;=1,"",ROW()-104)</f>
        <v>146</v>
      </c>
      <c r="F250" s="48"/>
      <c r="G250" s="48"/>
      <c r="N250" s="321"/>
      <c r="O250" s="321"/>
    </row>
    <row r="251" spans="2:15">
      <c r="B251" s="204" t="str">
        <f ca="1"/>
        <v>Deer Park Union Free School District</v>
      </c>
      <c r="C251" s="206">
        <f>IF(COUNTIF(CONTROL!$B$52:$B$101,'Funding by District'!D147)&gt;=1,"",ROW()-104)</f>
        <v>147</v>
      </c>
      <c r="F251" s="48"/>
      <c r="G251" s="48"/>
      <c r="N251" s="321"/>
      <c r="O251" s="321"/>
    </row>
    <row r="252" spans="2:15">
      <c r="B252" s="204" t="str">
        <f ca="1"/>
        <v>Delhi Central School District</v>
      </c>
      <c r="C252" s="206">
        <f>IF(COUNTIF(CONTROL!$B$52:$B$101,'Funding by District'!D148)&gt;=1,"",ROW()-104)</f>
        <v>148</v>
      </c>
      <c r="F252" s="48"/>
      <c r="G252" s="48"/>
      <c r="N252" s="321"/>
      <c r="O252" s="321"/>
    </row>
    <row r="253" spans="2:15">
      <c r="B253" s="204" t="str">
        <f ca="1"/>
        <v>Depew Union Free School District</v>
      </c>
      <c r="C253" s="206">
        <f>IF(COUNTIF(CONTROL!$B$52:$B$101,'Funding by District'!D149)&gt;=1,"",ROW()-104)</f>
        <v>149</v>
      </c>
      <c r="F253" s="48"/>
      <c r="G253" s="48"/>
      <c r="N253" s="321"/>
      <c r="O253" s="321"/>
    </row>
    <row r="254" spans="2:15">
      <c r="B254" s="204" t="str">
        <f ca="1"/>
        <v>Deposit Central School District</v>
      </c>
      <c r="C254" s="206">
        <f>IF(COUNTIF(CONTROL!$B$52:$B$101,'Funding by District'!D150)&gt;=1,"",ROW()-104)</f>
        <v>150</v>
      </c>
      <c r="F254" s="48"/>
      <c r="G254" s="48"/>
      <c r="N254" s="321"/>
      <c r="O254" s="321"/>
    </row>
    <row r="255" spans="2:15">
      <c r="B255" s="204" t="str">
        <f ca="1"/>
        <v>DeRuyter Central School District</v>
      </c>
      <c r="C255" s="206">
        <f>IF(COUNTIF(CONTROL!$B$52:$B$101,'Funding by District'!D151)&gt;=1,"",ROW()-104)</f>
        <v>151</v>
      </c>
      <c r="F255" s="48"/>
      <c r="G255" s="48"/>
      <c r="N255" s="321"/>
      <c r="O255" s="321"/>
    </row>
    <row r="256" spans="2:15">
      <c r="B256" s="204" t="str">
        <f ca="1"/>
        <v>Dobbs Ferry Union Free School District</v>
      </c>
      <c r="C256" s="206">
        <f>IF(COUNTIF(CONTROL!$B$52:$B$101,'Funding by District'!D152)&gt;=1,"",ROW()-104)</f>
        <v>152</v>
      </c>
      <c r="F256" s="48"/>
      <c r="G256" s="48"/>
      <c r="N256" s="321"/>
      <c r="O256" s="321"/>
    </row>
    <row r="257" spans="2:15">
      <c r="B257" s="204" t="str">
        <f ca="1"/>
        <v>Dolgeville Central School District</v>
      </c>
      <c r="C257" s="206">
        <f>IF(COUNTIF(CONTROL!$B$52:$B$101,'Funding by District'!D153)&gt;=1,"",ROW()-104)</f>
        <v>153</v>
      </c>
      <c r="F257" s="48"/>
      <c r="G257" s="48"/>
      <c r="N257" s="321"/>
      <c r="O257" s="321"/>
    </row>
    <row r="258" spans="2:15">
      <c r="B258" s="204" t="str">
        <f ca="1"/>
        <v>Dover Union Free School District</v>
      </c>
      <c r="C258" s="206">
        <f>IF(COUNTIF(CONTROL!$B$52:$B$101,'Funding by District'!D154)&gt;=1,"",ROW()-104)</f>
        <v>154</v>
      </c>
      <c r="F258" s="48"/>
      <c r="G258" s="48"/>
      <c r="N258" s="321"/>
      <c r="O258" s="321"/>
    </row>
    <row r="259" spans="2:15">
      <c r="B259" s="204" t="str">
        <f ca="1"/>
        <v>Downsville Central School District</v>
      </c>
      <c r="C259" s="206">
        <f>IF(COUNTIF(CONTROL!$B$52:$B$101,'Funding by District'!D155)&gt;=1,"",ROW()-104)</f>
        <v>155</v>
      </c>
      <c r="F259" s="48"/>
      <c r="G259" s="48"/>
      <c r="N259" s="321"/>
      <c r="O259" s="321"/>
    </row>
    <row r="260" spans="2:15">
      <c r="B260" s="204" t="str">
        <f ca="1"/>
        <v>Dryden Central School District</v>
      </c>
      <c r="C260" s="206">
        <f>IF(COUNTIF(CONTROL!$B$52:$B$101,'Funding by District'!D156)&gt;=1,"",ROW()-104)</f>
        <v>156</v>
      </c>
      <c r="F260" s="48"/>
      <c r="G260" s="48"/>
      <c r="N260" s="321"/>
      <c r="O260" s="321"/>
    </row>
    <row r="261" spans="2:15">
      <c r="B261" s="204" t="str">
        <f ca="1"/>
        <v>Duanesburg Central School District</v>
      </c>
      <c r="C261" s="206">
        <f>IF(COUNTIF(CONTROL!$B$52:$B$101,'Funding by District'!D157)&gt;=1,"",ROW()-104)</f>
        <v>157</v>
      </c>
      <c r="F261" s="48"/>
      <c r="G261" s="48"/>
      <c r="N261" s="321"/>
      <c r="O261" s="321"/>
    </row>
    <row r="262" spans="2:15">
      <c r="B262" s="204" t="str">
        <f ca="1"/>
        <v>Dundee Central School District</v>
      </c>
      <c r="C262" s="206">
        <f>IF(COUNTIF(CONTROL!$B$52:$B$101,'Funding by District'!D158)&gt;=1,"",ROW()-104)</f>
        <v>158</v>
      </c>
      <c r="F262" s="48"/>
      <c r="G262" s="48"/>
      <c r="N262" s="321"/>
      <c r="O262" s="321"/>
    </row>
    <row r="263" spans="2:15">
      <c r="B263" s="204" t="str">
        <f ca="1"/>
        <v>Dunkirk City School District</v>
      </c>
      <c r="C263" s="206">
        <f>IF(COUNTIF(CONTROL!$B$52:$B$101,'Funding by District'!D159)&gt;=1,"",ROW()-104)</f>
        <v>159</v>
      </c>
      <c r="F263" s="48"/>
      <c r="G263" s="48"/>
      <c r="N263" s="321"/>
      <c r="O263" s="321"/>
    </row>
    <row r="264" spans="2:15">
      <c r="B264" s="204" t="str">
        <f ca="1"/>
        <v>East Aurora Union Free School District</v>
      </c>
      <c r="C264" s="206">
        <f>IF(COUNTIF(CONTROL!$B$52:$B$101,'Funding by District'!D160)&gt;=1,"",ROW()-104)</f>
        <v>160</v>
      </c>
      <c r="F264" s="48"/>
      <c r="G264" s="48"/>
      <c r="N264" s="321"/>
      <c r="O264" s="321"/>
    </row>
    <row r="265" spans="2:15">
      <c r="B265" s="204" t="str">
        <f ca="1"/>
        <v>East Greenbush Central School District</v>
      </c>
      <c r="C265" s="206">
        <f>IF(COUNTIF(CONTROL!$B$52:$B$101,'Funding by District'!D161)&gt;=1,"",ROW()-104)</f>
        <v>161</v>
      </c>
      <c r="F265" s="48"/>
      <c r="G265" s="48"/>
      <c r="N265" s="321"/>
      <c r="O265" s="321"/>
    </row>
    <row r="266" spans="2:15">
      <c r="B266" s="204" t="str">
        <f ca="1"/>
        <v>East Hampton Union Free School District</v>
      </c>
      <c r="C266" s="206">
        <f>IF(COUNTIF(CONTROL!$B$52:$B$101,'Funding by District'!D162)&gt;=1,"",ROW()-104)</f>
        <v>162</v>
      </c>
      <c r="F266" s="48"/>
      <c r="G266" s="48"/>
      <c r="N266" s="321"/>
      <c r="O266" s="321"/>
    </row>
    <row r="267" spans="2:15">
      <c r="B267" s="204" t="str">
        <f ca="1"/>
        <v>East Irondequoit Central School District</v>
      </c>
      <c r="C267" s="206">
        <f>IF(COUNTIF(CONTROL!$B$52:$B$101,'Funding by District'!D163)&gt;=1,"",ROW()-104)</f>
        <v>163</v>
      </c>
      <c r="F267" s="48"/>
      <c r="G267" s="48"/>
      <c r="N267" s="321"/>
      <c r="O267" s="321"/>
    </row>
    <row r="268" spans="2:15">
      <c r="B268" s="204" t="str">
        <f ca="1"/>
        <v>East Islip Union Free School District</v>
      </c>
      <c r="C268" s="206">
        <f>IF(COUNTIF(CONTROL!$B$52:$B$101,'Funding by District'!D164)&gt;=1,"",ROW()-104)</f>
        <v>164</v>
      </c>
      <c r="F268" s="48"/>
      <c r="G268" s="48"/>
      <c r="N268" s="321"/>
      <c r="O268" s="321"/>
    </row>
    <row r="269" spans="2:15">
      <c r="B269" s="204" t="str">
        <f ca="1"/>
        <v>East Meadow Union Free School District</v>
      </c>
      <c r="C269" s="206">
        <f>IF(COUNTIF(CONTROL!$B$52:$B$101,'Funding by District'!D165)&gt;=1,"",ROW()-104)</f>
        <v>165</v>
      </c>
      <c r="F269" s="48"/>
      <c r="G269" s="48"/>
      <c r="N269" s="321"/>
      <c r="O269" s="321"/>
    </row>
    <row r="270" spans="2:15">
      <c r="B270" s="204" t="str">
        <f ca="1"/>
        <v>East Moriches Union Free School District</v>
      </c>
      <c r="C270" s="206">
        <f>IF(COUNTIF(CONTROL!$B$52:$B$101,'Funding by District'!D166)&gt;=1,"",ROW()-104)</f>
        <v>166</v>
      </c>
      <c r="F270" s="48"/>
      <c r="G270" s="48"/>
      <c r="N270" s="321"/>
      <c r="O270" s="321"/>
    </row>
    <row r="271" spans="2:15">
      <c r="B271" s="204" t="str">
        <f ca="1"/>
        <v>East Quogue Union Free School District</v>
      </c>
      <c r="C271" s="206">
        <f>IF(COUNTIF(CONTROL!$B$52:$B$101,'Funding by District'!D167)&gt;=1,"",ROW()-104)</f>
        <v>167</v>
      </c>
      <c r="F271" s="48"/>
      <c r="G271" s="48"/>
      <c r="N271" s="321"/>
      <c r="O271" s="321"/>
    </row>
    <row r="272" spans="2:15">
      <c r="B272" s="204" t="str">
        <f ca="1"/>
        <v>East Ramapo Central School District</v>
      </c>
      <c r="C272" s="206">
        <f>IF(COUNTIF(CONTROL!$B$52:$B$101,'Funding by District'!D168)&gt;=1,"",ROW()-104)</f>
        <v>168</v>
      </c>
      <c r="F272" s="48"/>
      <c r="G272" s="48"/>
      <c r="N272" s="321"/>
      <c r="O272" s="321"/>
    </row>
    <row r="273" spans="2:15">
      <c r="B273" s="204" t="str">
        <f ca="1"/>
        <v>East Rochester Union Free School District</v>
      </c>
      <c r="C273" s="206">
        <f>IF(COUNTIF(CONTROL!$B$52:$B$101,'Funding by District'!D169)&gt;=1,"",ROW()-104)</f>
        <v>169</v>
      </c>
      <c r="F273" s="48"/>
      <c r="G273" s="48"/>
      <c r="N273" s="321"/>
      <c r="O273" s="321"/>
    </row>
    <row r="274" spans="2:15">
      <c r="B274" s="204" t="str">
        <f ca="1"/>
        <v>East Rockaway Union Free School District</v>
      </c>
      <c r="C274" s="206">
        <f>IF(COUNTIF(CONTROL!$B$52:$B$101,'Funding by District'!D170)&gt;=1,"",ROW()-104)</f>
        <v>170</v>
      </c>
      <c r="F274" s="48"/>
      <c r="G274" s="48"/>
      <c r="N274" s="321"/>
      <c r="O274" s="321"/>
    </row>
    <row r="275" spans="2:15">
      <c r="B275" s="204" t="str">
        <f ca="1"/>
        <v>East Syracuse-Minoa Central School District</v>
      </c>
      <c r="C275" s="206">
        <f>IF(COUNTIF(CONTROL!$B$52:$B$101,'Funding by District'!D171)&gt;=1,"",ROW()-104)</f>
        <v>171</v>
      </c>
      <c r="F275" s="48"/>
      <c r="G275" s="48"/>
      <c r="N275" s="321"/>
      <c r="O275" s="321"/>
    </row>
    <row r="276" spans="2:15">
      <c r="B276" s="204" t="str">
        <f ca="1"/>
        <v>East Williston Union Free School District</v>
      </c>
      <c r="C276" s="206">
        <f>IF(COUNTIF(CONTROL!$B$52:$B$101,'Funding by District'!D172)&gt;=1,"",ROW()-104)</f>
        <v>172</v>
      </c>
      <c r="F276" s="48"/>
      <c r="G276" s="48"/>
      <c r="N276" s="321"/>
      <c r="O276" s="321"/>
    </row>
    <row r="277" spans="2:15">
      <c r="B277" s="204" t="str">
        <f ca="1"/>
        <v>Eastchester Union Free School District</v>
      </c>
      <c r="C277" s="206">
        <f>IF(COUNTIF(CONTROL!$B$52:$B$101,'Funding by District'!D173)&gt;=1,"",ROW()-104)</f>
        <v>173</v>
      </c>
      <c r="F277" s="48"/>
      <c r="G277" s="48"/>
      <c r="N277" s="321"/>
      <c r="O277" s="321"/>
    </row>
    <row r="278" spans="2:15">
      <c r="B278" s="204" t="str">
        <f ca="1"/>
        <v>Eastport-South Manor Central School District</v>
      </c>
      <c r="C278" s="206">
        <f>IF(COUNTIF(CONTROL!$B$52:$B$101,'Funding by District'!D174)&gt;=1,"",ROW()-104)</f>
        <v>174</v>
      </c>
      <c r="F278" s="48"/>
      <c r="G278" s="48"/>
      <c r="N278" s="321"/>
      <c r="O278" s="321"/>
    </row>
    <row r="279" spans="2:15">
      <c r="B279" s="204" t="str">
        <f ca="1"/>
        <v>Eden Central School District</v>
      </c>
      <c r="C279" s="206">
        <f>IF(COUNTIF(CONTROL!$B$52:$B$101,'Funding by District'!D175)&gt;=1,"",ROW()-104)</f>
        <v>175</v>
      </c>
      <c r="F279" s="48"/>
      <c r="G279" s="48"/>
      <c r="N279" s="321"/>
      <c r="O279" s="321"/>
    </row>
    <row r="280" spans="2:15">
      <c r="B280" s="204" t="str">
        <f ca="1"/>
        <v>Edgemont Union Free School District</v>
      </c>
      <c r="C280" s="206">
        <f>IF(COUNTIF(CONTROL!$B$52:$B$101,'Funding by District'!D176)&gt;=1,"",ROW()-104)</f>
        <v>176</v>
      </c>
      <c r="F280" s="48"/>
      <c r="G280" s="48"/>
      <c r="N280" s="321"/>
      <c r="O280" s="321"/>
    </row>
    <row r="281" spans="2:15">
      <c r="B281" s="204" t="str">
        <f ca="1"/>
        <v>Edinburg Common School District</v>
      </c>
      <c r="C281" s="206">
        <f>IF(COUNTIF(CONTROL!$B$52:$B$101,'Funding by District'!D177)&gt;=1,"",ROW()-104)</f>
        <v>177</v>
      </c>
      <c r="F281" s="48"/>
      <c r="G281" s="48"/>
      <c r="N281" s="321"/>
      <c r="O281" s="321"/>
    </row>
    <row r="282" spans="2:15">
      <c r="B282" s="204" t="str">
        <f ca="1"/>
        <v>Edmeston Central School District</v>
      </c>
      <c r="C282" s="206">
        <f>IF(COUNTIF(CONTROL!$B$52:$B$101,'Funding by District'!D178)&gt;=1,"",ROW()-104)</f>
        <v>178</v>
      </c>
      <c r="F282" s="48"/>
      <c r="G282" s="48"/>
      <c r="N282" s="321"/>
      <c r="O282" s="321"/>
    </row>
    <row r="283" spans="2:15">
      <c r="B283" s="204" t="str">
        <f ca="1"/>
        <v>Edwards-Knox Central School District</v>
      </c>
      <c r="C283" s="206">
        <f>IF(COUNTIF(CONTROL!$B$52:$B$101,'Funding by District'!D179)&gt;=1,"",ROW()-104)</f>
        <v>179</v>
      </c>
      <c r="F283" s="48"/>
      <c r="G283" s="48"/>
      <c r="N283" s="321"/>
      <c r="O283" s="321"/>
    </row>
    <row r="284" spans="2:15">
      <c r="B284" s="204" t="str">
        <f ca="1"/>
        <v>Elba Central School District</v>
      </c>
      <c r="C284" s="206">
        <f>IF(COUNTIF(CONTROL!$B$52:$B$101,'Funding by District'!D180)&gt;=1,"",ROW()-104)</f>
        <v>180</v>
      </c>
      <c r="F284" s="48"/>
      <c r="G284" s="48"/>
      <c r="N284" s="321"/>
      <c r="O284" s="321"/>
    </row>
    <row r="285" spans="2:15">
      <c r="B285" s="204" t="str">
        <f ca="1"/>
        <v>Eldred Central School District</v>
      </c>
      <c r="C285" s="206">
        <f>IF(COUNTIF(CONTROL!$B$52:$B$101,'Funding by District'!D181)&gt;=1,"",ROW()-104)</f>
        <v>181</v>
      </c>
      <c r="F285" s="48"/>
      <c r="G285" s="48"/>
      <c r="N285" s="321"/>
      <c r="O285" s="321"/>
    </row>
    <row r="286" spans="2:15">
      <c r="B286" s="204" t="str">
        <f ca="1"/>
        <v>Ellenville Central School District</v>
      </c>
      <c r="C286" s="206">
        <f>IF(COUNTIF(CONTROL!$B$52:$B$101,'Funding by District'!D182)&gt;=1,"",ROW()-104)</f>
        <v>182</v>
      </c>
      <c r="F286" s="48"/>
      <c r="G286" s="48"/>
      <c r="N286" s="321"/>
      <c r="O286" s="321"/>
    </row>
    <row r="287" spans="2:15">
      <c r="B287" s="204" t="str">
        <f ca="1"/>
        <v>Ellicottville Central School District</v>
      </c>
      <c r="C287" s="206">
        <f>IF(COUNTIF(CONTROL!$B$52:$B$101,'Funding by District'!D183)&gt;=1,"",ROW()-104)</f>
        <v>183</v>
      </c>
      <c r="F287" s="48"/>
      <c r="G287" s="48"/>
      <c r="N287" s="321"/>
      <c r="O287" s="321"/>
    </row>
    <row r="288" spans="2:15">
      <c r="B288" s="204" t="str">
        <f ca="1"/>
        <v>Elmira City School District</v>
      </c>
      <c r="C288" s="206">
        <f>IF(COUNTIF(CONTROL!$B$52:$B$101,'Funding by District'!D184)&gt;=1,"",ROW()-104)</f>
        <v>184</v>
      </c>
      <c r="F288" s="48"/>
      <c r="G288" s="48"/>
      <c r="N288" s="321"/>
      <c r="O288" s="321"/>
    </row>
    <row r="289" spans="2:15">
      <c r="B289" s="204" t="str">
        <f ca="1"/>
        <v>Elmira Heights Central School District</v>
      </c>
      <c r="C289" s="206">
        <f>IF(COUNTIF(CONTROL!$B$52:$B$101,'Funding by District'!D185)&gt;=1,"",ROW()-104)</f>
        <v>185</v>
      </c>
      <c r="F289" s="48"/>
      <c r="G289" s="48"/>
      <c r="N289" s="321"/>
      <c r="O289" s="321"/>
    </row>
    <row r="290" spans="2:15">
      <c r="B290" s="204" t="str">
        <f ca="1"/>
        <v>Elmont Union Free School District</v>
      </c>
      <c r="C290" s="206">
        <f>IF(COUNTIF(CONTROL!$B$52:$B$101,'Funding by District'!D186)&gt;=1,"",ROW()-104)</f>
        <v>186</v>
      </c>
      <c r="F290" s="48"/>
      <c r="G290" s="48"/>
      <c r="N290" s="321"/>
      <c r="O290" s="321"/>
    </row>
    <row r="291" spans="2:15">
      <c r="B291" s="204" t="str">
        <f ca="1"/>
        <v>Elmsford Union Free School District</v>
      </c>
      <c r="C291" s="206">
        <f>IF(COUNTIF(CONTROL!$B$52:$B$101,'Funding by District'!D187)&gt;=1,"",ROW()-104)</f>
        <v>187</v>
      </c>
      <c r="F291" s="48"/>
      <c r="G291" s="48"/>
      <c r="N291" s="321"/>
      <c r="O291" s="321"/>
    </row>
    <row r="292" spans="2:15">
      <c r="B292" s="204" t="str">
        <f ca="1"/>
        <v>Elwood Union Free School District</v>
      </c>
      <c r="C292" s="206">
        <f>IF(COUNTIF(CONTROL!$B$52:$B$101,'Funding by District'!D188)&gt;=1,"",ROW()-104)</f>
        <v>188</v>
      </c>
      <c r="F292" s="48"/>
      <c r="G292" s="48"/>
      <c r="N292" s="321"/>
      <c r="O292" s="321"/>
    </row>
    <row r="293" spans="2:15">
      <c r="B293" s="204" t="str">
        <f ca="1"/>
        <v>Fabius-Pompey Central School District</v>
      </c>
      <c r="C293" s="206">
        <f>IF(COUNTIF(CONTROL!$B$52:$B$101,'Funding by District'!D189)&gt;=1,"",ROW()-104)</f>
        <v>189</v>
      </c>
      <c r="F293" s="48"/>
      <c r="G293" s="48"/>
      <c r="N293" s="321"/>
      <c r="O293" s="321"/>
    </row>
    <row r="294" spans="2:15">
      <c r="B294" s="204" t="str">
        <f ca="1"/>
        <v>Fairport Central School District</v>
      </c>
      <c r="C294" s="206">
        <f>IF(COUNTIF(CONTROL!$B$52:$B$101,'Funding by District'!D190)&gt;=1,"",ROW()-104)</f>
        <v>190</v>
      </c>
      <c r="F294" s="48"/>
      <c r="G294" s="48"/>
      <c r="N294" s="321"/>
      <c r="O294" s="321"/>
    </row>
    <row r="295" spans="2:15">
      <c r="B295" s="204" t="str">
        <f ca="1"/>
        <v>Falconer Central School District</v>
      </c>
      <c r="C295" s="206">
        <f>IF(COUNTIF(CONTROL!$B$52:$B$101,'Funding by District'!D191)&gt;=1,"",ROW()-104)</f>
        <v>191</v>
      </c>
      <c r="F295" s="48"/>
      <c r="G295" s="48"/>
      <c r="N295" s="321"/>
      <c r="O295" s="321"/>
    </row>
    <row r="296" spans="2:15">
      <c r="B296" s="204" t="str">
        <f ca="1"/>
        <v>Fallsburg Central School District</v>
      </c>
      <c r="C296" s="206">
        <f>IF(COUNTIF(CONTROL!$B$52:$B$101,'Funding by District'!D192)&gt;=1,"",ROW()-104)</f>
        <v>192</v>
      </c>
      <c r="F296" s="48"/>
      <c r="G296" s="48"/>
      <c r="N296" s="321"/>
      <c r="O296" s="321"/>
    </row>
    <row r="297" spans="2:15">
      <c r="B297" s="204" t="str">
        <f ca="1"/>
        <v>Farmingdale Union Free School District</v>
      </c>
      <c r="C297" s="206">
        <f>IF(COUNTIF(CONTROL!$B$52:$B$101,'Funding by District'!D193)&gt;=1,"",ROW()-104)</f>
        <v>193</v>
      </c>
      <c r="F297" s="48"/>
      <c r="G297" s="48"/>
      <c r="N297" s="321"/>
      <c r="O297" s="321"/>
    </row>
    <row r="298" spans="2:15">
      <c r="B298" s="204" t="str">
        <f ca="1"/>
        <v>Fayetteville-Manlius Central School District</v>
      </c>
      <c r="C298" s="206">
        <f>IF(COUNTIF(CONTROL!$B$52:$B$101,'Funding by District'!D194)&gt;=1,"",ROW()-104)</f>
        <v>194</v>
      </c>
      <c r="F298" s="48"/>
      <c r="G298" s="48"/>
      <c r="N298" s="321"/>
      <c r="O298" s="321"/>
    </row>
    <row r="299" spans="2:15">
      <c r="B299" s="204" t="str">
        <f ca="1"/>
        <v>Fillmore Central School District</v>
      </c>
      <c r="C299" s="206">
        <f>IF(COUNTIF(CONTROL!$B$52:$B$101,'Funding by District'!D195)&gt;=1,"",ROW()-104)</f>
        <v>195</v>
      </c>
      <c r="F299" s="48"/>
      <c r="G299" s="48"/>
      <c r="N299" s="321"/>
      <c r="O299" s="321"/>
    </row>
    <row r="300" spans="2:15">
      <c r="B300" s="204" t="str">
        <f ca="1"/>
        <v>Fire Island Union Free School District</v>
      </c>
      <c r="C300" s="206">
        <f>IF(COUNTIF(CONTROL!$B$52:$B$101,'Funding by District'!D196)&gt;=1,"",ROW()-104)</f>
        <v>196</v>
      </c>
      <c r="F300" s="48"/>
      <c r="G300" s="48"/>
      <c r="N300" s="321"/>
      <c r="O300" s="321"/>
    </row>
    <row r="301" spans="2:15">
      <c r="B301" s="204" t="str">
        <f ca="1"/>
        <v>Fishers Island Union Free School District</v>
      </c>
      <c r="C301" s="206">
        <f>IF(COUNTIF(CONTROL!$B$52:$B$101,'Funding by District'!D197)&gt;=1,"",ROW()-104)</f>
        <v>197</v>
      </c>
      <c r="F301" s="48"/>
      <c r="G301" s="48"/>
      <c r="N301" s="321"/>
      <c r="O301" s="321"/>
    </row>
    <row r="302" spans="2:15">
      <c r="B302" s="204" t="str">
        <f ca="1"/>
        <v>Floral Park-Bellerose Union Free School District</v>
      </c>
      <c r="C302" s="206">
        <f>IF(COUNTIF(CONTROL!$B$52:$B$101,'Funding by District'!D198)&gt;=1,"",ROW()-104)</f>
        <v>198</v>
      </c>
      <c r="F302" s="48"/>
      <c r="G302" s="48"/>
      <c r="N302" s="321"/>
      <c r="O302" s="321"/>
    </row>
    <row r="303" spans="2:15">
      <c r="B303" s="204" t="str">
        <f ca="1"/>
        <v>Florida Union Free School District</v>
      </c>
      <c r="C303" s="206">
        <f>IF(COUNTIF(CONTROL!$B$52:$B$101,'Funding by District'!D199)&gt;=1,"",ROW()-104)</f>
        <v>199</v>
      </c>
      <c r="G303" s="48"/>
      <c r="N303" s="321"/>
      <c r="O303" s="321"/>
    </row>
    <row r="304" spans="2:15">
      <c r="B304" s="204" t="str">
        <f ca="1"/>
        <v>Fonda-Fultonville Central School District</v>
      </c>
      <c r="C304" s="206">
        <f>IF(COUNTIF(CONTROL!$B$52:$B$101,'Funding by District'!D200)&gt;=1,"",ROW()-104)</f>
        <v>200</v>
      </c>
      <c r="G304" s="48"/>
      <c r="N304" s="321"/>
      <c r="O304" s="321"/>
    </row>
    <row r="305" spans="2:15">
      <c r="B305" s="204" t="str">
        <f ca="1"/>
        <v>Forestville Central School District</v>
      </c>
      <c r="C305" s="206">
        <f>IF(COUNTIF(CONTROL!$B$52:$B$101,'Funding by District'!D201)&gt;=1,"",ROW()-104)</f>
        <v>201</v>
      </c>
      <c r="G305" s="48"/>
      <c r="N305" s="321"/>
      <c r="O305" s="321"/>
    </row>
    <row r="306" spans="2:15">
      <c r="B306" s="204" t="str">
        <f ca="1"/>
        <v>Fort Ann Central School District</v>
      </c>
      <c r="C306" s="206">
        <f>IF(COUNTIF(CONTROL!$B$52:$B$101,'Funding by District'!D202)&gt;=1,"",ROW()-104)</f>
        <v>202</v>
      </c>
      <c r="G306" s="48"/>
      <c r="N306" s="321"/>
      <c r="O306" s="321"/>
    </row>
    <row r="307" spans="2:15">
      <c r="B307" s="204" t="str">
        <f ca="1"/>
        <v>Fort Edward Union Free School District</v>
      </c>
      <c r="C307" s="206">
        <f>IF(COUNTIF(CONTROL!$B$52:$B$101,'Funding by District'!D203)&gt;=1,"",ROW()-104)</f>
        <v>203</v>
      </c>
      <c r="G307" s="48"/>
      <c r="N307" s="321"/>
      <c r="O307" s="321"/>
    </row>
    <row r="308" spans="2:15">
      <c r="B308" s="204" t="str">
        <f ca="1"/>
        <v>Fort Plain Central School District</v>
      </c>
      <c r="C308" s="206">
        <f>IF(COUNTIF(CONTROL!$B$52:$B$101,'Funding by District'!D204)&gt;=1,"",ROW()-104)</f>
        <v>204</v>
      </c>
      <c r="G308" s="48"/>
      <c r="N308" s="321"/>
      <c r="O308" s="321"/>
    </row>
    <row r="309" spans="2:15">
      <c r="B309" s="204" t="str">
        <f ca="1"/>
        <v>Frankfort-Schuyler Central School District</v>
      </c>
      <c r="C309" s="206">
        <f>IF(COUNTIF(CONTROL!$B$52:$B$101,'Funding by District'!D205)&gt;=1,"",ROW()-104)</f>
        <v>205</v>
      </c>
      <c r="G309" s="48"/>
      <c r="N309" s="321"/>
      <c r="O309" s="321"/>
    </row>
    <row r="310" spans="2:15">
      <c r="B310" s="204" t="str">
        <f ca="1"/>
        <v>Franklin Central School District</v>
      </c>
      <c r="C310" s="206">
        <f>IF(COUNTIF(CONTROL!$B$52:$B$101,'Funding by District'!D206)&gt;=1,"",ROW()-104)</f>
        <v>206</v>
      </c>
      <c r="G310" s="48"/>
      <c r="N310" s="321"/>
      <c r="O310" s="321"/>
    </row>
    <row r="311" spans="2:15">
      <c r="B311" s="204" t="str">
        <f ca="1"/>
        <v>Franklin Square Union Free School District</v>
      </c>
      <c r="C311" s="206">
        <f>IF(COUNTIF(CONTROL!$B$52:$B$101,'Funding by District'!D207)&gt;=1,"",ROW()-104)</f>
        <v>207</v>
      </c>
      <c r="G311" s="48"/>
      <c r="N311" s="321"/>
      <c r="O311" s="321"/>
    </row>
    <row r="312" spans="2:15">
      <c r="B312" s="204" t="str">
        <f ca="1"/>
        <v>Franklinville Central School District</v>
      </c>
      <c r="C312" s="206">
        <f>IF(COUNTIF(CONTROL!$B$52:$B$101,'Funding by District'!D208)&gt;=1,"",ROW()-104)</f>
        <v>208</v>
      </c>
      <c r="G312" s="48"/>
      <c r="N312" s="321"/>
      <c r="O312" s="321"/>
    </row>
    <row r="313" spans="2:15">
      <c r="B313" s="204" t="str">
        <f ca="1"/>
        <v>Fredonia Central School District</v>
      </c>
      <c r="C313" s="206">
        <f>IF(COUNTIF(CONTROL!$B$52:$B$101,'Funding by District'!D209)&gt;=1,"",ROW()-104)</f>
        <v>209</v>
      </c>
      <c r="G313" s="48"/>
      <c r="N313" s="321"/>
      <c r="O313" s="321"/>
    </row>
    <row r="314" spans="2:15">
      <c r="B314" s="204" t="str">
        <f ca="1"/>
        <v>Freeport Union Free School District</v>
      </c>
      <c r="C314" s="206">
        <f>IF(COUNTIF(CONTROL!$B$52:$B$101,'Funding by District'!D210)&gt;=1,"",ROW()-104)</f>
        <v>210</v>
      </c>
      <c r="G314" s="48"/>
      <c r="N314" s="321"/>
      <c r="O314" s="321"/>
    </row>
    <row r="315" spans="2:15">
      <c r="B315" s="204" t="str">
        <f ca="1"/>
        <v>Frewsburg Central School District</v>
      </c>
      <c r="C315" s="206">
        <f>IF(COUNTIF(CONTROL!$B$52:$B$101,'Funding by District'!D211)&gt;=1,"",ROW()-104)</f>
        <v>211</v>
      </c>
      <c r="G315" s="48"/>
      <c r="N315" s="321"/>
      <c r="O315" s="321"/>
    </row>
    <row r="316" spans="2:15">
      <c r="B316" s="204" t="str">
        <f ca="1"/>
        <v>Friendship Central School District</v>
      </c>
      <c r="C316" s="206">
        <f>IF(COUNTIF(CONTROL!$B$52:$B$101,'Funding by District'!D212)&gt;=1,"",ROW()-104)</f>
        <v>212</v>
      </c>
      <c r="G316" s="48"/>
      <c r="N316" s="321"/>
      <c r="O316" s="321"/>
    </row>
    <row r="317" spans="2:15">
      <c r="B317" s="204" t="str">
        <f ca="1"/>
        <v>Frontier Central School District</v>
      </c>
      <c r="C317" s="206">
        <f>IF(COUNTIF(CONTROL!$B$52:$B$101,'Funding by District'!D213)&gt;=1,"",ROW()-104)</f>
        <v>213</v>
      </c>
      <c r="G317" s="48"/>
      <c r="N317" s="321"/>
      <c r="O317" s="321"/>
    </row>
    <row r="318" spans="2:15">
      <c r="B318" s="204" t="str">
        <f ca="1"/>
        <v>Fulton City School District</v>
      </c>
      <c r="C318" s="206">
        <f>IF(COUNTIF(CONTROL!$B$52:$B$101,'Funding by District'!D214)&gt;=1,"",ROW()-104)</f>
        <v>214</v>
      </c>
      <c r="G318" s="48"/>
      <c r="N318" s="321"/>
      <c r="O318" s="321"/>
    </row>
    <row r="319" spans="2:15">
      <c r="B319" s="204" t="str">
        <f ca="1"/>
        <v>Galway Central School District</v>
      </c>
      <c r="C319" s="206">
        <f>IF(COUNTIF(CONTROL!$B$52:$B$101,'Funding by District'!D215)&gt;=1,"",ROW()-104)</f>
        <v>215</v>
      </c>
      <c r="G319" s="48"/>
      <c r="N319" s="321"/>
      <c r="O319" s="321"/>
    </row>
    <row r="320" spans="2:15">
      <c r="B320" s="204" t="str">
        <f ca="1"/>
        <v>Gananda Central School District</v>
      </c>
      <c r="C320" s="206">
        <f>IF(COUNTIF(CONTROL!$B$52:$B$101,'Funding by District'!D216)&gt;=1,"",ROW()-104)</f>
        <v>216</v>
      </c>
      <c r="G320" s="48"/>
      <c r="N320" s="321"/>
      <c r="O320" s="321"/>
    </row>
    <row r="321" spans="2:15">
      <c r="B321" s="204" t="str">
        <f ca="1"/>
        <v>Garden City Union Free School District</v>
      </c>
      <c r="C321" s="206">
        <f>IF(COUNTIF(CONTROL!$B$52:$B$101,'Funding by District'!D217)&gt;=1,"",ROW()-104)</f>
        <v>217</v>
      </c>
      <c r="G321" s="48"/>
      <c r="N321" s="321"/>
      <c r="O321" s="321"/>
    </row>
    <row r="322" spans="2:15">
      <c r="B322" s="204" t="str">
        <f ca="1"/>
        <v>Garrison Union Free School District</v>
      </c>
      <c r="C322" s="206">
        <f>IF(COUNTIF(CONTROL!$B$52:$B$101,'Funding by District'!D218)&gt;=1,"",ROW()-104)</f>
        <v>218</v>
      </c>
      <c r="G322" s="48"/>
      <c r="N322" s="321"/>
      <c r="O322" s="321"/>
    </row>
    <row r="323" spans="2:15">
      <c r="B323" s="204" t="str">
        <f ca="1"/>
        <v>Gates-Chili Central School District</v>
      </c>
      <c r="C323" s="206">
        <f>IF(COUNTIF(CONTROL!$B$52:$B$101,'Funding by District'!D219)&gt;=1,"",ROW()-104)</f>
        <v>219</v>
      </c>
      <c r="G323" s="48"/>
      <c r="N323" s="321"/>
      <c r="O323" s="321"/>
    </row>
    <row r="324" spans="2:15">
      <c r="B324" s="204" t="str">
        <f ca="1"/>
        <v>General Brown Central School District</v>
      </c>
      <c r="C324" s="206">
        <f>IF(COUNTIF(CONTROL!$B$52:$B$101,'Funding by District'!D220)&gt;=1,"",ROW()-104)</f>
        <v>220</v>
      </c>
      <c r="G324" s="48"/>
      <c r="N324" s="321"/>
      <c r="O324" s="321"/>
    </row>
    <row r="325" spans="2:15">
      <c r="B325" s="204" t="str">
        <f ca="1"/>
        <v>Genesee Valley Central School District</v>
      </c>
      <c r="C325" s="206">
        <f>IF(COUNTIF(CONTROL!$B$52:$B$101,'Funding by District'!D221)&gt;=1,"",ROW()-104)</f>
        <v>221</v>
      </c>
      <c r="G325" s="48"/>
      <c r="N325" s="321"/>
      <c r="O325" s="321"/>
    </row>
    <row r="326" spans="2:15">
      <c r="B326" s="204" t="str">
        <f ca="1"/>
        <v>Geneseo Central School District</v>
      </c>
      <c r="C326" s="206">
        <f>IF(COUNTIF(CONTROL!$B$52:$B$101,'Funding by District'!D222)&gt;=1,"",ROW()-104)</f>
        <v>222</v>
      </c>
      <c r="G326" s="48"/>
      <c r="N326" s="321"/>
      <c r="O326" s="321"/>
    </row>
    <row r="327" spans="2:15">
      <c r="B327" s="204" t="str">
        <f ca="1"/>
        <v>Geneva City School District</v>
      </c>
      <c r="C327" s="206">
        <f>IF(COUNTIF(CONTROL!$B$52:$B$101,'Funding by District'!D223)&gt;=1,"",ROW()-104)</f>
        <v>223</v>
      </c>
      <c r="G327" s="48"/>
      <c r="N327" s="321"/>
      <c r="O327" s="321"/>
    </row>
    <row r="328" spans="2:15">
      <c r="B328" s="204" t="str">
        <f ca="1"/>
        <v>Germantown Central School District</v>
      </c>
      <c r="C328" s="206">
        <f>IF(COUNTIF(CONTROL!$B$52:$B$101,'Funding by District'!D224)&gt;=1,"",ROW()-104)</f>
        <v>224</v>
      </c>
      <c r="G328" s="48"/>
      <c r="N328" s="321"/>
      <c r="O328" s="321"/>
    </row>
    <row r="329" spans="2:15">
      <c r="B329" s="204" t="str">
        <f ca="1"/>
        <v>Gilbertsville-Mount Upton Central School District</v>
      </c>
      <c r="C329" s="206">
        <f>IF(COUNTIF(CONTROL!$B$52:$B$101,'Funding by District'!D225)&gt;=1,"",ROW()-104)</f>
        <v>225</v>
      </c>
      <c r="G329" s="48"/>
      <c r="N329" s="321"/>
      <c r="O329" s="321"/>
    </row>
    <row r="330" spans="2:15">
      <c r="B330" s="204" t="str">
        <f ca="1"/>
        <v>Gilboa-Conesville Central School District</v>
      </c>
      <c r="C330" s="206">
        <f>IF(COUNTIF(CONTROL!$B$52:$B$101,'Funding by District'!D226)&gt;=1,"",ROW()-104)</f>
        <v>226</v>
      </c>
      <c r="G330" s="48"/>
      <c r="N330" s="321"/>
      <c r="O330" s="321"/>
    </row>
    <row r="331" spans="2:15">
      <c r="B331" s="204" t="str">
        <f ca="1"/>
        <v>Glen Cove City School District</v>
      </c>
      <c r="C331" s="206">
        <f>IF(COUNTIF(CONTROL!$B$52:$B$101,'Funding by District'!D227)&gt;=1,"",ROW()-104)</f>
        <v>227</v>
      </c>
      <c r="G331" s="48"/>
      <c r="N331" s="321"/>
      <c r="O331" s="321"/>
    </row>
    <row r="332" spans="2:15">
      <c r="B332" s="204" t="str">
        <f ca="1"/>
        <v>Glens Falls City School District</v>
      </c>
      <c r="C332" s="206">
        <f>IF(COUNTIF(CONTROL!$B$52:$B$101,'Funding by District'!D228)&gt;=1,"",ROW()-104)</f>
        <v>228</v>
      </c>
      <c r="G332" s="48"/>
      <c r="N332" s="321"/>
      <c r="O332" s="321"/>
    </row>
    <row r="333" spans="2:15">
      <c r="B333" s="204" t="str">
        <f ca="1"/>
        <v>Gloversville Enlarged City School District</v>
      </c>
      <c r="C333" s="206">
        <f>IF(COUNTIF(CONTROL!$B$52:$B$101,'Funding by District'!D229)&gt;=1,"",ROW()-104)</f>
        <v>229</v>
      </c>
      <c r="G333" s="48"/>
      <c r="N333" s="321"/>
      <c r="O333" s="321"/>
    </row>
    <row r="334" spans="2:15">
      <c r="B334" s="204" t="str">
        <f ca="1"/>
        <v>Goshen Central School District</v>
      </c>
      <c r="C334" s="206">
        <f>IF(COUNTIF(CONTROL!$B$52:$B$101,'Funding by District'!D230)&gt;=1,"",ROW()-104)</f>
        <v>230</v>
      </c>
      <c r="G334" s="48"/>
      <c r="N334" s="321"/>
      <c r="O334" s="321"/>
    </row>
    <row r="335" spans="2:15">
      <c r="B335" s="204" t="str">
        <f ca="1"/>
        <v>Gouverneur Central School District</v>
      </c>
      <c r="C335" s="206">
        <f>IF(COUNTIF(CONTROL!$B$52:$B$101,'Funding by District'!D231)&gt;=1,"",ROW()-104)</f>
        <v>231</v>
      </c>
      <c r="G335" s="48"/>
      <c r="N335" s="321"/>
      <c r="O335" s="321"/>
    </row>
    <row r="336" spans="2:15">
      <c r="B336" s="204" t="str">
        <f ca="1"/>
        <v>Gowanda Central School District</v>
      </c>
      <c r="C336" s="206">
        <f>IF(COUNTIF(CONTROL!$B$52:$B$101,'Funding by District'!D232)&gt;=1,"",ROW()-104)</f>
        <v>232</v>
      </c>
      <c r="G336" s="48"/>
      <c r="N336" s="321"/>
      <c r="O336" s="321"/>
    </row>
    <row r="337" spans="2:15">
      <c r="B337" s="204" t="str">
        <f ca="1"/>
        <v>Grand Island Central School District</v>
      </c>
      <c r="C337" s="206">
        <f>IF(COUNTIF(CONTROL!$B$52:$B$101,'Funding by District'!D233)&gt;=1,"",ROW()-104)</f>
        <v>233</v>
      </c>
      <c r="G337" s="48"/>
      <c r="N337" s="321"/>
      <c r="O337" s="321"/>
    </row>
    <row r="338" spans="2:15">
      <c r="B338" s="204" t="str">
        <f ca="1"/>
        <v>Granville Central School District</v>
      </c>
      <c r="C338" s="206">
        <f>IF(COUNTIF(CONTROL!$B$52:$B$101,'Funding by District'!D234)&gt;=1,"",ROW()-104)</f>
        <v>234</v>
      </c>
      <c r="G338" s="48"/>
      <c r="N338" s="321"/>
      <c r="O338" s="321"/>
    </row>
    <row r="339" spans="2:15">
      <c r="B339" s="204" t="str">
        <f ca="1"/>
        <v>Great Neck Union Free School District</v>
      </c>
      <c r="C339" s="206">
        <f>IF(COUNTIF(CONTROL!$B$52:$B$101,'Funding by District'!D235)&gt;=1,"",ROW()-104)</f>
        <v>235</v>
      </c>
      <c r="G339" s="48"/>
      <c r="N339" s="321"/>
      <c r="O339" s="321"/>
    </row>
    <row r="340" spans="2:15">
      <c r="B340" s="204" t="str">
        <f ca="1"/>
        <v>Greece Central School District</v>
      </c>
      <c r="C340" s="206">
        <f>IF(COUNTIF(CONTROL!$B$52:$B$101,'Funding by District'!D236)&gt;=1,"",ROW()-104)</f>
        <v>236</v>
      </c>
      <c r="G340" s="48"/>
      <c r="N340" s="321"/>
      <c r="O340" s="321"/>
    </row>
    <row r="341" spans="2:15">
      <c r="B341" s="204" t="str">
        <f ca="1"/>
        <v>Green Island Union Free School District</v>
      </c>
      <c r="C341" s="206">
        <f>IF(COUNTIF(CONTROL!$B$52:$B$101,'Funding by District'!D237)&gt;=1,"",ROW()-104)</f>
        <v>237</v>
      </c>
      <c r="G341" s="48"/>
      <c r="N341" s="321"/>
      <c r="O341" s="321"/>
    </row>
    <row r="342" spans="2:15">
      <c r="B342" s="204" t="str">
        <f ca="1"/>
        <v>Greenburgh Central 7 School District</v>
      </c>
      <c r="C342" s="206">
        <f>IF(COUNTIF(CONTROL!$B$52:$B$101,'Funding by District'!D238)&gt;=1,"",ROW()-104)</f>
        <v>238</v>
      </c>
      <c r="G342" s="48"/>
      <c r="N342" s="321"/>
      <c r="O342" s="321"/>
    </row>
    <row r="343" spans="2:15">
      <c r="B343" s="204" t="str">
        <f ca="1"/>
        <v>Greene Central School District</v>
      </c>
      <c r="C343" s="206">
        <f>IF(COUNTIF(CONTROL!$B$52:$B$101,'Funding by District'!D239)&gt;=1,"",ROW()-104)</f>
        <v>239</v>
      </c>
      <c r="G343" s="48"/>
      <c r="N343" s="321"/>
      <c r="O343" s="321"/>
    </row>
    <row r="344" spans="2:15">
      <c r="B344" s="204" t="str">
        <f ca="1"/>
        <v>Greenport Union Free School District</v>
      </c>
      <c r="C344" s="206">
        <f>IF(COUNTIF(CONTROL!$B$52:$B$101,'Funding by District'!D240)&gt;=1,"",ROW()-104)</f>
        <v>240</v>
      </c>
      <c r="G344" s="48"/>
      <c r="N344" s="321"/>
      <c r="O344" s="321"/>
    </row>
    <row r="345" spans="2:15">
      <c r="B345" s="204" t="str">
        <f ca="1"/>
        <v>Greenville Central School District</v>
      </c>
      <c r="C345" s="206">
        <f>IF(COUNTIF(CONTROL!$B$52:$B$101,'Funding by District'!D241)&gt;=1,"",ROW()-104)</f>
        <v>241</v>
      </c>
      <c r="G345" s="48"/>
      <c r="N345" s="321"/>
      <c r="O345" s="321"/>
    </row>
    <row r="346" spans="2:15">
      <c r="B346" s="204" t="str">
        <f ca="1"/>
        <v>Greenwich Central School District</v>
      </c>
      <c r="C346" s="206">
        <f>IF(COUNTIF(CONTROL!$B$52:$B$101,'Funding by District'!D242)&gt;=1,"",ROW()-104)</f>
        <v>242</v>
      </c>
      <c r="G346" s="48"/>
      <c r="N346" s="321"/>
      <c r="O346" s="321"/>
    </row>
    <row r="347" spans="2:15">
      <c r="B347" s="204" t="str">
        <f ca="1"/>
        <v>Greenwood Lake Union Free School District</v>
      </c>
      <c r="C347" s="206">
        <f>IF(COUNTIF(CONTROL!$B$52:$B$101,'Funding by District'!D243)&gt;=1,"",ROW()-104)</f>
        <v>243</v>
      </c>
      <c r="G347" s="48"/>
      <c r="N347" s="321"/>
      <c r="O347" s="321"/>
    </row>
    <row r="348" spans="2:15">
      <c r="B348" s="204" t="str">
        <f ca="1"/>
        <v>Groton Central School District</v>
      </c>
      <c r="C348" s="206">
        <f>IF(COUNTIF(CONTROL!$B$52:$B$101,'Funding by District'!D244)&gt;=1,"",ROW()-104)</f>
        <v>244</v>
      </c>
      <c r="G348" s="48"/>
      <c r="N348" s="321"/>
      <c r="O348" s="321"/>
    </row>
    <row r="349" spans="2:15">
      <c r="B349" s="204" t="str">
        <f ca="1"/>
        <v>Guilderland Central School District</v>
      </c>
      <c r="C349" s="206">
        <f>IF(COUNTIF(CONTROL!$B$52:$B$101,'Funding by District'!D245)&gt;=1,"",ROW()-104)</f>
        <v>245</v>
      </c>
      <c r="G349" s="48"/>
      <c r="N349" s="321"/>
      <c r="O349" s="321"/>
    </row>
    <row r="350" spans="2:15">
      <c r="B350" s="204" t="str">
        <f ca="1"/>
        <v>Hadley-Luzerne Central School District</v>
      </c>
      <c r="C350" s="206">
        <f>IF(COUNTIF(CONTROL!$B$52:$B$101,'Funding by District'!D246)&gt;=1,"",ROW()-104)</f>
        <v>246</v>
      </c>
      <c r="G350" s="48"/>
      <c r="N350" s="321"/>
      <c r="O350" s="321"/>
    </row>
    <row r="351" spans="2:15">
      <c r="B351" s="204" t="str">
        <f ca="1"/>
        <v>Haldane Central School District</v>
      </c>
      <c r="C351" s="206">
        <f>IF(COUNTIF(CONTROL!$B$52:$B$101,'Funding by District'!D247)&gt;=1,"",ROW()-104)</f>
        <v>247</v>
      </c>
      <c r="G351" s="48"/>
      <c r="N351" s="321"/>
      <c r="O351" s="321"/>
    </row>
    <row r="352" spans="2:15">
      <c r="B352" s="204" t="str">
        <f ca="1"/>
        <v>Half Hollow Hills Central School District</v>
      </c>
      <c r="C352" s="206">
        <f>IF(COUNTIF(CONTROL!$B$52:$B$101,'Funding by District'!D248)&gt;=1,"",ROW()-104)</f>
        <v>248</v>
      </c>
      <c r="G352" s="48"/>
      <c r="N352" s="321"/>
      <c r="O352" s="321"/>
    </row>
    <row r="353" spans="2:15">
      <c r="B353" s="204" t="str">
        <f ca="1"/>
        <v>Hamburg Central School District</v>
      </c>
      <c r="C353" s="206">
        <f>IF(COUNTIF(CONTROL!$B$52:$B$101,'Funding by District'!D249)&gt;=1,"",ROW()-104)</f>
        <v>249</v>
      </c>
      <c r="G353" s="48"/>
      <c r="N353" s="321"/>
      <c r="O353" s="321"/>
    </row>
    <row r="354" spans="2:15">
      <c r="B354" s="204" t="str">
        <f ca="1"/>
        <v>Hamilton Central School District</v>
      </c>
      <c r="C354" s="206">
        <f>IF(COUNTIF(CONTROL!$B$52:$B$101,'Funding by District'!D250)&gt;=1,"",ROW()-104)</f>
        <v>250</v>
      </c>
      <c r="G354" s="48"/>
      <c r="N354" s="321"/>
      <c r="O354" s="321"/>
    </row>
    <row r="355" spans="2:15">
      <c r="B355" s="204" t="str">
        <f ca="1"/>
        <v>Hammond Central School District</v>
      </c>
      <c r="C355" s="206">
        <f>IF(COUNTIF(CONTROL!$B$52:$B$101,'Funding by District'!D251)&gt;=1,"",ROW()-104)</f>
        <v>251</v>
      </c>
      <c r="G355" s="48"/>
      <c r="N355" s="321"/>
      <c r="O355" s="321"/>
    </row>
    <row r="356" spans="2:15">
      <c r="B356" s="204" t="str">
        <f ca="1"/>
        <v>Hammondsport Central School District</v>
      </c>
      <c r="C356" s="206">
        <f>IF(COUNTIF(CONTROL!$B$52:$B$101,'Funding by District'!D252)&gt;=1,"",ROW()-104)</f>
        <v>252</v>
      </c>
      <c r="G356" s="48"/>
      <c r="N356" s="321"/>
      <c r="O356" s="321"/>
    </row>
    <row r="357" spans="2:15">
      <c r="B357" s="204" t="str">
        <f ca="1"/>
        <v>Hampton Bays Union Free School District</v>
      </c>
      <c r="C357" s="206">
        <f>IF(COUNTIF(CONTROL!$B$52:$B$101,'Funding by District'!D253)&gt;=1,"",ROW()-104)</f>
        <v>253</v>
      </c>
      <c r="G357" s="48"/>
      <c r="N357" s="321"/>
      <c r="O357" s="321"/>
    </row>
    <row r="358" spans="2:15">
      <c r="B358" s="204" t="str">
        <f ca="1"/>
        <v>Hancock Central School District</v>
      </c>
      <c r="C358" s="206">
        <f>IF(COUNTIF(CONTROL!$B$52:$B$101,'Funding by District'!D254)&gt;=1,"",ROW()-104)</f>
        <v>254</v>
      </c>
      <c r="G358" s="48"/>
      <c r="N358" s="321"/>
      <c r="O358" s="321"/>
    </row>
    <row r="359" spans="2:15">
      <c r="B359" s="204" t="str">
        <f ca="1"/>
        <v>Hannibal Central School District</v>
      </c>
      <c r="C359" s="206">
        <f>IF(COUNTIF(CONTROL!$B$52:$B$101,'Funding by District'!D255)&gt;=1,"",ROW()-104)</f>
        <v>255</v>
      </c>
      <c r="G359" s="48"/>
      <c r="N359" s="321"/>
      <c r="O359" s="321"/>
    </row>
    <row r="360" spans="2:15">
      <c r="B360" s="204" t="str">
        <f ca="1"/>
        <v>Harborfields Central School District</v>
      </c>
      <c r="C360" s="206">
        <f>IF(COUNTIF(CONTROL!$B$52:$B$101,'Funding by District'!D256)&gt;=1,"",ROW()-104)</f>
        <v>256</v>
      </c>
      <c r="G360" s="48"/>
      <c r="N360" s="321"/>
      <c r="O360" s="321"/>
    </row>
    <row r="361" spans="2:15">
      <c r="B361" s="204" t="str">
        <f ca="1"/>
        <v>Harpursville Central School District</v>
      </c>
      <c r="C361" s="206">
        <f>IF(COUNTIF(CONTROL!$B$52:$B$101,'Funding by District'!D257)&gt;=1,"",ROW()-104)</f>
        <v>257</v>
      </c>
      <c r="G361" s="48"/>
      <c r="N361" s="321"/>
      <c r="O361" s="321"/>
    </row>
    <row r="362" spans="2:15">
      <c r="B362" s="204" t="str">
        <f ca="1"/>
        <v>Harrison Central School District</v>
      </c>
      <c r="C362" s="206">
        <f>IF(COUNTIF(CONTROL!$B$52:$B$101,'Funding by District'!D258)&gt;=1,"",ROW()-104)</f>
        <v>258</v>
      </c>
      <c r="G362" s="48"/>
      <c r="N362" s="321"/>
      <c r="O362" s="321"/>
    </row>
    <row r="363" spans="2:15">
      <c r="B363" s="204" t="str">
        <f ca="1"/>
        <v>Harrisville Central School District</v>
      </c>
      <c r="C363" s="206">
        <f>IF(COUNTIF(CONTROL!$B$52:$B$101,'Funding by District'!D259)&gt;=1,"",ROW()-104)</f>
        <v>259</v>
      </c>
      <c r="G363" s="48"/>
      <c r="N363" s="321"/>
      <c r="O363" s="321"/>
    </row>
    <row r="364" spans="2:15">
      <c r="B364" s="204" t="str">
        <f ca="1"/>
        <v>Hartford Central School District</v>
      </c>
      <c r="C364" s="206">
        <f>IF(COUNTIF(CONTROL!$B$52:$B$101,'Funding by District'!D260)&gt;=1,"",ROW()-104)</f>
        <v>260</v>
      </c>
      <c r="G364" s="48"/>
      <c r="N364" s="321"/>
      <c r="O364" s="321"/>
    </row>
    <row r="365" spans="2:15">
      <c r="B365" s="204" t="str">
        <f ca="1"/>
        <v>Hastings-On-Hudson Union Free School District</v>
      </c>
      <c r="C365" s="206">
        <f>IF(COUNTIF(CONTROL!$B$52:$B$101,'Funding by District'!D261)&gt;=1,"",ROW()-104)</f>
        <v>261</v>
      </c>
      <c r="G365" s="48"/>
      <c r="N365" s="321"/>
      <c r="O365" s="321"/>
    </row>
    <row r="366" spans="2:15">
      <c r="B366" s="204" t="str">
        <f ca="1"/>
        <v>Hauppauge Union Free School District</v>
      </c>
      <c r="C366" s="206">
        <f>IF(COUNTIF(CONTROL!$B$52:$B$101,'Funding by District'!D262)&gt;=1,"",ROW()-104)</f>
        <v>262</v>
      </c>
      <c r="G366" s="48"/>
      <c r="N366" s="321"/>
      <c r="O366" s="321"/>
    </row>
    <row r="367" spans="2:15">
      <c r="B367" s="204" t="str">
        <f ca="1"/>
        <v>Hempstead Union Free School District</v>
      </c>
      <c r="C367" s="206">
        <f>IF(COUNTIF(CONTROL!$B$52:$B$101,'Funding by District'!D263)&gt;=1,"",ROW()-104)</f>
        <v>263</v>
      </c>
      <c r="G367" s="48"/>
      <c r="N367" s="321"/>
      <c r="O367" s="321"/>
    </row>
    <row r="368" spans="2:15">
      <c r="B368" s="204" t="str">
        <f ca="1"/>
        <v>Hendrick Hudson Central School District</v>
      </c>
      <c r="C368" s="206">
        <f>IF(COUNTIF(CONTROL!$B$52:$B$101,'Funding by District'!D264)&gt;=1,"",ROW()-104)</f>
        <v>264</v>
      </c>
      <c r="G368" s="48"/>
      <c r="N368" s="321"/>
      <c r="O368" s="321"/>
    </row>
    <row r="369" spans="2:15">
      <c r="B369" s="204" t="str">
        <f ca="1"/>
        <v>Herkimer Central School District</v>
      </c>
      <c r="C369" s="206">
        <f>IF(COUNTIF(CONTROL!$B$52:$B$101,'Funding by District'!D265)&gt;=1,"",ROW()-104)</f>
        <v>265</v>
      </c>
      <c r="G369" s="48"/>
      <c r="N369" s="321"/>
      <c r="O369" s="321"/>
    </row>
    <row r="370" spans="2:15">
      <c r="B370" s="204" t="str">
        <f ca="1"/>
        <v>Hermon Dekalb Central School District</v>
      </c>
      <c r="C370" s="206">
        <f>IF(COUNTIF(CONTROL!$B$52:$B$101,'Funding by District'!D266)&gt;=1,"",ROW()-104)</f>
        <v>266</v>
      </c>
      <c r="G370" s="48"/>
      <c r="N370" s="321"/>
      <c r="O370" s="321"/>
    </row>
    <row r="371" spans="2:15">
      <c r="B371" s="204" t="str">
        <f ca="1"/>
        <v>Herricks Union Free School District</v>
      </c>
      <c r="C371" s="206">
        <f>IF(COUNTIF(CONTROL!$B$52:$B$101,'Funding by District'!D267)&gt;=1,"",ROW()-104)</f>
        <v>267</v>
      </c>
      <c r="G371" s="48"/>
      <c r="N371" s="321"/>
      <c r="O371" s="321"/>
    </row>
    <row r="372" spans="2:15">
      <c r="B372" s="204" t="str">
        <f ca="1"/>
        <v>Heuvelton Central School District</v>
      </c>
      <c r="C372" s="206">
        <f>IF(COUNTIF(CONTROL!$B$52:$B$101,'Funding by District'!D268)&gt;=1,"",ROW()-104)</f>
        <v>268</v>
      </c>
      <c r="G372" s="48"/>
      <c r="N372" s="321"/>
      <c r="O372" s="321"/>
    </row>
    <row r="373" spans="2:15">
      <c r="B373" s="204" t="str">
        <f ca="1"/>
        <v>Hewlett-Woodmere Union Free School District</v>
      </c>
      <c r="C373" s="206">
        <f>IF(COUNTIF(CONTROL!$B$52:$B$101,'Funding by District'!D269)&gt;=1,"",ROW()-104)</f>
        <v>269</v>
      </c>
      <c r="G373" s="48"/>
      <c r="N373" s="321"/>
      <c r="O373" s="321"/>
    </row>
    <row r="374" spans="2:15">
      <c r="B374" s="204" t="str">
        <f ca="1"/>
        <v>Hicksville Union Free School District</v>
      </c>
      <c r="C374" s="206">
        <f>IF(COUNTIF(CONTROL!$B$52:$B$101,'Funding by District'!D270)&gt;=1,"",ROW()-104)</f>
        <v>270</v>
      </c>
      <c r="G374" s="48"/>
      <c r="N374" s="321"/>
      <c r="O374" s="321"/>
    </row>
    <row r="375" spans="2:15">
      <c r="B375" s="204" t="str">
        <f ca="1"/>
        <v>Highland Central School District</v>
      </c>
      <c r="C375" s="206">
        <f>IF(COUNTIF(CONTROL!$B$52:$B$101,'Funding by District'!D271)&gt;=1,"",ROW()-104)</f>
        <v>271</v>
      </c>
      <c r="G375" s="48"/>
      <c r="N375" s="321"/>
      <c r="O375" s="321"/>
    </row>
    <row r="376" spans="2:15">
      <c r="B376" s="204" t="str">
        <f ca="1"/>
        <v>Highland Falls-Fort Montgomery Central School District</v>
      </c>
      <c r="C376" s="206">
        <f>IF(COUNTIF(CONTROL!$B$52:$B$101,'Funding by District'!D272)&gt;=1,"",ROW()-104)</f>
        <v>272</v>
      </c>
      <c r="G376" s="48"/>
      <c r="N376" s="321"/>
      <c r="O376" s="321"/>
    </row>
    <row r="377" spans="2:15">
      <c r="B377" s="204" t="str">
        <f ca="1"/>
        <v>Hilton Central School District</v>
      </c>
      <c r="C377" s="206">
        <f>IF(COUNTIF(CONTROL!$B$52:$B$101,'Funding by District'!D273)&gt;=1,"",ROW()-104)</f>
        <v>273</v>
      </c>
      <c r="G377" s="48"/>
      <c r="N377" s="321"/>
      <c r="O377" s="321"/>
    </row>
    <row r="378" spans="2:15">
      <c r="B378" s="204" t="str">
        <f ca="1"/>
        <v>Hinsdale Central School District</v>
      </c>
      <c r="C378" s="206">
        <f>IF(COUNTIF(CONTROL!$B$52:$B$101,'Funding by District'!D274)&gt;=1,"",ROW()-104)</f>
        <v>274</v>
      </c>
      <c r="G378" s="48"/>
      <c r="N378" s="321"/>
      <c r="O378" s="321"/>
    </row>
    <row r="379" spans="2:15">
      <c r="B379" s="204" t="str">
        <f ca="1"/>
        <v>Holland Central School District</v>
      </c>
      <c r="C379" s="206">
        <f>IF(COUNTIF(CONTROL!$B$52:$B$101,'Funding by District'!D275)&gt;=1,"",ROW()-104)</f>
        <v>275</v>
      </c>
      <c r="G379" s="48"/>
      <c r="N379" s="321"/>
      <c r="O379" s="321"/>
    </row>
    <row r="380" spans="2:15">
      <c r="B380" s="204" t="str">
        <f ca="1"/>
        <v>Holland Patent Central School District</v>
      </c>
      <c r="C380" s="206">
        <f>IF(COUNTIF(CONTROL!$B$52:$B$101,'Funding by District'!D276)&gt;=1,"",ROW()-104)</f>
        <v>276</v>
      </c>
      <c r="N380" s="321"/>
      <c r="O380" s="321"/>
    </row>
    <row r="381" spans="2:15">
      <c r="B381" s="204" t="str">
        <f ca="1"/>
        <v>Holley Central School District</v>
      </c>
      <c r="C381" s="206">
        <f>IF(COUNTIF(CONTROL!$B$52:$B$101,'Funding by District'!D277)&gt;=1,"",ROW()-104)</f>
        <v>277</v>
      </c>
      <c r="N381" s="321"/>
      <c r="O381" s="321"/>
    </row>
    <row r="382" spans="2:15">
      <c r="B382" s="204" t="str">
        <f ca="1"/>
        <v>Homer Central School District</v>
      </c>
      <c r="C382" s="206">
        <f>IF(COUNTIF(CONTROL!$B$52:$B$101,'Funding by District'!D278)&gt;=1,"",ROW()-104)</f>
        <v>278</v>
      </c>
      <c r="N382" s="321"/>
      <c r="O382" s="321"/>
    </row>
    <row r="383" spans="2:15">
      <c r="B383" s="204" t="str">
        <f ca="1"/>
        <v>Honeoye Central School District</v>
      </c>
      <c r="C383" s="206">
        <f>IF(COUNTIF(CONTROL!$B$52:$B$101,'Funding by District'!D279)&gt;=1,"",ROW()-104)</f>
        <v>279</v>
      </c>
      <c r="N383" s="321"/>
      <c r="O383" s="321"/>
    </row>
    <row r="384" spans="2:15">
      <c r="B384" s="204" t="str">
        <f ca="1"/>
        <v>Honeoye Falls-Lima Central School District</v>
      </c>
      <c r="C384" s="206">
        <f>IF(COUNTIF(CONTROL!$B$52:$B$101,'Funding by District'!D280)&gt;=1,"",ROW()-104)</f>
        <v>280</v>
      </c>
      <c r="N384" s="321"/>
      <c r="O384" s="321"/>
    </row>
    <row r="385" spans="2:15">
      <c r="B385" s="204" t="str">
        <f ca="1"/>
        <v>Hoosic Valley Central School District</v>
      </c>
      <c r="C385" s="206">
        <f>IF(COUNTIF(CONTROL!$B$52:$B$101,'Funding by District'!D281)&gt;=1,"",ROW()-104)</f>
        <v>281</v>
      </c>
      <c r="N385" s="321"/>
      <c r="O385" s="321"/>
    </row>
    <row r="386" spans="2:15">
      <c r="B386" s="204" t="str">
        <f ca="1"/>
        <v>Hoosick Falls Central School District</v>
      </c>
      <c r="C386" s="206">
        <f>IF(COUNTIF(CONTROL!$B$52:$B$101,'Funding by District'!D282)&gt;=1,"",ROW()-104)</f>
        <v>282</v>
      </c>
      <c r="N386" s="321"/>
      <c r="O386" s="321"/>
    </row>
    <row r="387" spans="2:15">
      <c r="B387" s="204" t="str">
        <f ca="1"/>
        <v>Hornell City School District</v>
      </c>
      <c r="C387" s="206">
        <f>IF(COUNTIF(CONTROL!$B$52:$B$101,'Funding by District'!D283)&gt;=1,"",ROW()-104)</f>
        <v>283</v>
      </c>
      <c r="N387" s="321"/>
      <c r="O387" s="321"/>
    </row>
    <row r="388" spans="2:15">
      <c r="B388" s="204" t="str">
        <f ca="1"/>
        <v>Horseheads Central School District</v>
      </c>
      <c r="C388" s="206">
        <f>IF(COUNTIF(CONTROL!$B$52:$B$101,'Funding by District'!D284)&gt;=1,"",ROW()-104)</f>
        <v>284</v>
      </c>
      <c r="N388" s="321"/>
      <c r="O388" s="321"/>
    </row>
    <row r="389" spans="2:15">
      <c r="B389" s="204" t="str">
        <f ca="1"/>
        <v>Hudson City School District</v>
      </c>
      <c r="C389" s="206">
        <f>IF(COUNTIF(CONTROL!$B$52:$B$101,'Funding by District'!D285)&gt;=1,"",ROW()-104)</f>
        <v>285</v>
      </c>
      <c r="N389" s="321"/>
      <c r="O389" s="321"/>
    </row>
    <row r="390" spans="2:15">
      <c r="B390" s="204" t="str">
        <f ca="1"/>
        <v>Hudson Falls Central School District</v>
      </c>
      <c r="C390" s="206">
        <f>IF(COUNTIF(CONTROL!$B$52:$B$101,'Funding by District'!D286)&gt;=1,"",ROW()-104)</f>
        <v>286</v>
      </c>
      <c r="N390" s="321"/>
      <c r="O390" s="321"/>
    </row>
    <row r="391" spans="2:15">
      <c r="B391" s="204" t="str">
        <f ca="1"/>
        <v>Hunter-Tannersville Central School District</v>
      </c>
      <c r="C391" s="206">
        <f>IF(COUNTIF(CONTROL!$B$52:$B$101,'Funding by District'!D287)&gt;=1,"",ROW()-104)</f>
        <v>287</v>
      </c>
      <c r="N391" s="321"/>
      <c r="O391" s="321"/>
    </row>
    <row r="392" spans="2:15">
      <c r="B392" s="204" t="str">
        <f ca="1"/>
        <v>Huntington Union Free School District</v>
      </c>
      <c r="C392" s="206">
        <f>IF(COUNTIF(CONTROL!$B$52:$B$101,'Funding by District'!D288)&gt;=1,"",ROW()-104)</f>
        <v>288</v>
      </c>
      <c r="N392" s="321"/>
      <c r="O392" s="321"/>
    </row>
    <row r="393" spans="2:15">
      <c r="B393" s="204" t="str">
        <f ca="1"/>
        <v>Hyde Park Central School District</v>
      </c>
      <c r="C393" s="206">
        <f>IF(COUNTIF(CONTROL!$B$52:$B$101,'Funding by District'!D289)&gt;=1,"",ROW()-104)</f>
        <v>289</v>
      </c>
      <c r="N393" s="321"/>
      <c r="O393" s="321"/>
    </row>
    <row r="394" spans="2:15">
      <c r="B394" s="204" t="str">
        <f ca="1"/>
        <v>Ichabod Crane Central School District</v>
      </c>
      <c r="C394" s="206">
        <f>IF(COUNTIF(CONTROL!$B$52:$B$101,'Funding by District'!D290)&gt;=1,"",ROW()-104)</f>
        <v>290</v>
      </c>
      <c r="N394" s="321"/>
      <c r="O394" s="321"/>
    </row>
    <row r="395" spans="2:15">
      <c r="B395" s="204" t="str">
        <f ca="1"/>
        <v>Indian Lake Central School District</v>
      </c>
      <c r="C395" s="206">
        <f>IF(COUNTIF(CONTROL!$B$52:$B$101,'Funding by District'!D291)&gt;=1,"",ROW()-104)</f>
        <v>291</v>
      </c>
      <c r="N395" s="321"/>
      <c r="O395" s="321"/>
    </row>
    <row r="396" spans="2:15">
      <c r="B396" s="204" t="str">
        <f ca="1"/>
        <v>Indian River Central School District</v>
      </c>
      <c r="C396" s="206">
        <f>IF(COUNTIF(CONTROL!$B$52:$B$101,'Funding by District'!D292)&gt;=1,"",ROW()-104)</f>
        <v>292</v>
      </c>
      <c r="N396" s="321"/>
      <c r="O396" s="321"/>
    </row>
    <row r="397" spans="2:15">
      <c r="B397" s="204" t="str">
        <f ca="1"/>
        <v>Inlet Common School District</v>
      </c>
      <c r="C397" s="206">
        <f>IF(COUNTIF(CONTROL!$B$52:$B$101,'Funding by District'!D293)&gt;=1,"",ROW()-104)</f>
        <v>293</v>
      </c>
      <c r="N397" s="321"/>
      <c r="O397" s="321"/>
    </row>
    <row r="398" spans="2:15">
      <c r="B398" s="204" t="str">
        <f ca="1"/>
        <v>Iroquois Central School District</v>
      </c>
      <c r="C398" s="206">
        <f>IF(COUNTIF(CONTROL!$B$52:$B$101,'Funding by District'!D294)&gt;=1,"",ROW()-104)</f>
        <v>294</v>
      </c>
      <c r="N398" s="321"/>
      <c r="O398" s="321"/>
    </row>
    <row r="399" spans="2:15">
      <c r="B399" s="204" t="str">
        <f ca="1"/>
        <v>Irvington Union Free School District</v>
      </c>
      <c r="C399" s="206">
        <f>IF(COUNTIF(CONTROL!$B$52:$B$101,'Funding by District'!D295)&gt;=1,"",ROW()-104)</f>
        <v>295</v>
      </c>
      <c r="N399" s="321"/>
      <c r="O399" s="321"/>
    </row>
    <row r="400" spans="2:15">
      <c r="B400" s="204" t="str">
        <f ca="1"/>
        <v>Island Park Union Free School District</v>
      </c>
      <c r="C400" s="206">
        <f>IF(COUNTIF(CONTROL!$B$52:$B$101,'Funding by District'!D296)&gt;=1,"",ROW()-104)</f>
        <v>296</v>
      </c>
      <c r="N400" s="321"/>
      <c r="O400" s="321"/>
    </row>
    <row r="401" spans="2:15">
      <c r="B401" s="204" t="str">
        <f ca="1"/>
        <v>Island Trees Union Free School District</v>
      </c>
      <c r="C401" s="206">
        <f>IF(COUNTIF(CONTROL!$B$52:$B$101,'Funding by District'!D297)&gt;=1,"",ROW()-104)</f>
        <v>297</v>
      </c>
      <c r="N401" s="321"/>
      <c r="O401" s="321"/>
    </row>
    <row r="402" spans="2:15">
      <c r="B402" s="204" t="str">
        <f ca="1"/>
        <v>Islip Union Free School District</v>
      </c>
      <c r="C402" s="206">
        <f>IF(COUNTIF(CONTROL!$B$52:$B$101,'Funding by District'!D298)&gt;=1,"",ROW()-104)</f>
        <v>298</v>
      </c>
      <c r="N402" s="321"/>
      <c r="O402" s="321"/>
    </row>
    <row r="403" spans="2:15">
      <c r="B403" s="204" t="str">
        <f ca="1"/>
        <v>Ithaca City School District</v>
      </c>
      <c r="C403" s="206">
        <f>IF(COUNTIF(CONTROL!$B$52:$B$101,'Funding by District'!D299)&gt;=1,"",ROW()-104)</f>
        <v>299</v>
      </c>
      <c r="N403" s="321"/>
      <c r="O403" s="321"/>
    </row>
    <row r="404" spans="2:15">
      <c r="B404" s="204" t="str">
        <f ca="1"/>
        <v>Jamestown City School District</v>
      </c>
      <c r="C404" s="206">
        <f>IF(COUNTIF(CONTROL!$B$52:$B$101,'Funding by District'!D300)&gt;=1,"",ROW()-104)</f>
        <v>300</v>
      </c>
      <c r="N404" s="321"/>
      <c r="O404" s="321"/>
    </row>
    <row r="405" spans="2:15">
      <c r="B405" s="204" t="str">
        <f ca="1"/>
        <v>Jamesville-Dewitt Central School District</v>
      </c>
      <c r="C405" s="206">
        <f>IF(COUNTIF(CONTROL!$B$52:$B$101,'Funding by District'!D301)&gt;=1,"",ROW()-104)</f>
        <v>301</v>
      </c>
      <c r="N405" s="321"/>
      <c r="O405" s="321"/>
    </row>
    <row r="406" spans="2:15">
      <c r="B406" s="204" t="str">
        <f ca="1"/>
        <v>Jasper-Troupsburg Central School District</v>
      </c>
      <c r="C406" s="206">
        <f>IF(COUNTIF(CONTROL!$B$52:$B$101,'Funding by District'!D302)&gt;=1,"",ROW()-104)</f>
        <v>302</v>
      </c>
      <c r="N406" s="321"/>
      <c r="O406" s="321"/>
    </row>
    <row r="407" spans="2:15">
      <c r="B407" s="204" t="str">
        <f ca="1"/>
        <v>Jefferson Central School District</v>
      </c>
      <c r="C407" s="206">
        <f>IF(COUNTIF(CONTROL!$B$52:$B$101,'Funding by District'!D303)&gt;=1,"",ROW()-104)</f>
        <v>303</v>
      </c>
      <c r="N407" s="321"/>
      <c r="O407" s="321"/>
    </row>
    <row r="408" spans="2:15">
      <c r="B408" s="204" t="str">
        <f ca="1"/>
        <v>Jericho Union Free School District</v>
      </c>
      <c r="C408" s="206">
        <f>IF(COUNTIF(CONTROL!$B$52:$B$101,'Funding by District'!D304)&gt;=1,"",ROW()-104)</f>
        <v>304</v>
      </c>
      <c r="N408" s="321"/>
      <c r="O408" s="321"/>
    </row>
    <row r="409" spans="2:15">
      <c r="B409" s="204" t="str">
        <f ca="1"/>
        <v>Johnsburg Central School District</v>
      </c>
      <c r="C409" s="206">
        <f>IF(COUNTIF(CONTROL!$B$52:$B$101,'Funding by District'!D305)&gt;=1,"",ROW()-104)</f>
        <v>305</v>
      </c>
      <c r="N409" s="321"/>
      <c r="O409" s="321"/>
    </row>
    <row r="410" spans="2:15">
      <c r="B410" s="204" t="str">
        <f ca="1"/>
        <v>Johnson City Central School District</v>
      </c>
      <c r="C410" s="206">
        <f>IF(COUNTIF(CONTROL!$B$52:$B$101,'Funding by District'!D306)&gt;=1,"",ROW()-104)</f>
        <v>306</v>
      </c>
      <c r="N410" s="321"/>
      <c r="O410" s="321"/>
    </row>
    <row r="411" spans="2:15">
      <c r="B411" s="204" t="str">
        <f ca="1"/>
        <v>Johnstown City School District</v>
      </c>
      <c r="C411" s="206">
        <f>IF(COUNTIF(CONTROL!$B$52:$B$101,'Funding by District'!D307)&gt;=1,"",ROW()-104)</f>
        <v>307</v>
      </c>
      <c r="N411" s="321"/>
      <c r="O411" s="321"/>
    </row>
    <row r="412" spans="2:15">
      <c r="B412" s="204" t="str">
        <f ca="1"/>
        <v>Jordan-Elbridge Central School District</v>
      </c>
      <c r="C412" s="206">
        <f>IF(COUNTIF(CONTROL!$B$52:$B$101,'Funding by District'!D308)&gt;=1,"",ROW()-104)</f>
        <v>308</v>
      </c>
      <c r="N412" s="321"/>
      <c r="O412" s="321"/>
    </row>
    <row r="413" spans="2:15">
      <c r="B413" s="204" t="str">
        <f ca="1"/>
        <v>Katonah-Lewisboro Union Free School District</v>
      </c>
      <c r="C413" s="206">
        <f>IF(COUNTIF(CONTROL!$B$52:$B$101,'Funding by District'!D309)&gt;=1,"",ROW()-104)</f>
        <v>309</v>
      </c>
      <c r="N413" s="321"/>
      <c r="O413" s="321"/>
    </row>
    <row r="414" spans="2:15">
      <c r="B414" s="204" t="str">
        <f ca="1"/>
        <v>Keene Central School District</v>
      </c>
      <c r="C414" s="206">
        <f>IF(COUNTIF(CONTROL!$B$52:$B$101,'Funding by District'!D310)&gt;=1,"",ROW()-104)</f>
        <v>310</v>
      </c>
      <c r="N414" s="321"/>
      <c r="O414" s="321"/>
    </row>
    <row r="415" spans="2:15">
      <c r="B415" s="204" t="str">
        <f ca="1"/>
        <v>Kendall Central School District</v>
      </c>
      <c r="C415" s="206">
        <f>IF(COUNTIF(CONTROL!$B$52:$B$101,'Funding by District'!D311)&gt;=1,"",ROW()-104)</f>
        <v>311</v>
      </c>
      <c r="N415" s="321"/>
      <c r="O415" s="321"/>
    </row>
    <row r="416" spans="2:15">
      <c r="B416" s="204" t="str">
        <f ca="1"/>
        <v>Kenmore-Town of Tonawanda Union Free School District</v>
      </c>
      <c r="C416" s="206">
        <f>IF(COUNTIF(CONTROL!$B$52:$B$101,'Funding by District'!D312)&gt;=1,"",ROW()-104)</f>
        <v>312</v>
      </c>
      <c r="N416" s="321"/>
      <c r="O416" s="321"/>
    </row>
    <row r="417" spans="2:15">
      <c r="B417" s="204" t="str">
        <f ca="1"/>
        <v>Keshequa Central School District</v>
      </c>
      <c r="C417" s="206">
        <f>IF(COUNTIF(CONTROL!$B$52:$B$101,'Funding by District'!D313)&gt;=1,"",ROW()-104)</f>
        <v>313</v>
      </c>
      <c r="N417" s="321"/>
      <c r="O417" s="321"/>
    </row>
    <row r="418" spans="2:15">
      <c r="B418" s="204" t="str">
        <f ca="1"/>
        <v>Kings Park Central School District</v>
      </c>
      <c r="C418" s="206">
        <f>IF(COUNTIF(CONTROL!$B$52:$B$101,'Funding by District'!D314)&gt;=1,"",ROW()-104)</f>
        <v>314</v>
      </c>
      <c r="N418" s="321"/>
      <c r="O418" s="321"/>
    </row>
    <row r="419" spans="2:15">
      <c r="B419" s="204" t="str">
        <f ca="1"/>
        <v>Kingston City School District</v>
      </c>
      <c r="C419" s="206">
        <f>IF(COUNTIF(CONTROL!$B$52:$B$101,'Funding by District'!D315)&gt;=1,"",ROW()-104)</f>
        <v>315</v>
      </c>
      <c r="N419" s="321"/>
      <c r="O419" s="321"/>
    </row>
    <row r="420" spans="2:15">
      <c r="B420" s="204" t="str">
        <f ca="1"/>
        <v>Kiryas Joel Village Union Free School District</v>
      </c>
      <c r="C420" s="206">
        <f>IF(COUNTIF(CONTROL!$B$52:$B$101,'Funding by District'!D316)&gt;=1,"",ROW()-104)</f>
        <v>316</v>
      </c>
      <c r="N420" s="321"/>
      <c r="O420" s="321"/>
    </row>
    <row r="421" spans="2:15">
      <c r="B421" s="204" t="str">
        <f ca="1"/>
        <v>Lackawanna City School District</v>
      </c>
      <c r="C421" s="206">
        <f>IF(COUNTIF(CONTROL!$B$52:$B$101,'Funding by District'!D317)&gt;=1,"",ROW()-104)</f>
        <v>317</v>
      </c>
      <c r="N421" s="321"/>
      <c r="O421" s="321"/>
    </row>
    <row r="422" spans="2:15">
      <c r="B422" s="204" t="str">
        <f ca="1"/>
        <v>Lafargeville Central School District</v>
      </c>
      <c r="C422" s="206">
        <f>IF(COUNTIF(CONTROL!$B$52:$B$101,'Funding by District'!D318)&gt;=1,"",ROW()-104)</f>
        <v>318</v>
      </c>
      <c r="N422" s="321"/>
      <c r="O422" s="321"/>
    </row>
    <row r="423" spans="2:15">
      <c r="B423" s="204" t="str">
        <f ca="1"/>
        <v>Lafayette Central School District</v>
      </c>
      <c r="C423" s="206">
        <f>IF(COUNTIF(CONTROL!$B$52:$B$101,'Funding by District'!D319)&gt;=1,"",ROW()-104)</f>
        <v>319</v>
      </c>
      <c r="N423" s="321"/>
      <c r="O423" s="321"/>
    </row>
    <row r="424" spans="2:15">
      <c r="B424" s="204" t="str">
        <f ca="1"/>
        <v>Lake George Central School District</v>
      </c>
      <c r="C424" s="206">
        <f>IF(COUNTIF(CONTROL!$B$52:$B$101,'Funding by District'!D320)&gt;=1,"",ROW()-104)</f>
        <v>320</v>
      </c>
      <c r="N424" s="321"/>
      <c r="O424" s="321"/>
    </row>
    <row r="425" spans="2:15">
      <c r="B425" s="204" t="str">
        <f ca="1"/>
        <v>Lake Placid Central School District</v>
      </c>
      <c r="C425" s="206">
        <f>IF(COUNTIF(CONTROL!$B$52:$B$101,'Funding by District'!D321)&gt;=1,"",ROW()-104)</f>
        <v>321</v>
      </c>
      <c r="N425" s="321"/>
      <c r="O425" s="321"/>
    </row>
    <row r="426" spans="2:15">
      <c r="B426" s="204" t="str">
        <f ca="1"/>
        <v>Lake Pleasant Central School District</v>
      </c>
      <c r="C426" s="206">
        <f>IF(COUNTIF(CONTROL!$B$52:$B$101,'Funding by District'!D322)&gt;=1,"",ROW()-104)</f>
        <v>322</v>
      </c>
      <c r="N426" s="321"/>
      <c r="O426" s="321"/>
    </row>
    <row r="427" spans="2:15">
      <c r="B427" s="204" t="str">
        <f ca="1"/>
        <v>Lake Shore Central School District</v>
      </c>
      <c r="C427" s="206">
        <f>IF(COUNTIF(CONTROL!$B$52:$B$101,'Funding by District'!D323)&gt;=1,"",ROW()-104)</f>
        <v>323</v>
      </c>
      <c r="N427" s="321"/>
      <c r="O427" s="321"/>
    </row>
    <row r="428" spans="2:15">
      <c r="B428" s="204" t="str">
        <f ca="1"/>
        <v>Lakeland Central School District</v>
      </c>
      <c r="C428" s="206">
        <f>IF(COUNTIF(CONTROL!$B$52:$B$101,'Funding by District'!D324)&gt;=1,"",ROW()-104)</f>
        <v>324</v>
      </c>
      <c r="N428" s="321"/>
      <c r="O428" s="321"/>
    </row>
    <row r="429" spans="2:15">
      <c r="B429" s="204" t="str">
        <f ca="1"/>
        <v>Lancaster Central School District</v>
      </c>
      <c r="C429" s="206">
        <f>IF(COUNTIF(CONTROL!$B$52:$B$101,'Funding by District'!D325)&gt;=1,"",ROW()-104)</f>
        <v>325</v>
      </c>
      <c r="N429" s="321"/>
      <c r="O429" s="321"/>
    </row>
    <row r="430" spans="2:15">
      <c r="B430" s="204" t="str">
        <f ca="1"/>
        <v>Lansing Central School District</v>
      </c>
      <c r="C430" s="206">
        <f>IF(COUNTIF(CONTROL!$B$52:$B$101,'Funding by District'!D326)&gt;=1,"",ROW()-104)</f>
        <v>326</v>
      </c>
      <c r="N430" s="321"/>
      <c r="O430" s="321"/>
    </row>
    <row r="431" spans="2:15">
      <c r="B431" s="204" t="str">
        <f ca="1"/>
        <v>Lansingburgh Central School District</v>
      </c>
      <c r="C431" s="206">
        <f>IF(COUNTIF(CONTROL!$B$52:$B$101,'Funding by District'!D327)&gt;=1,"",ROW()-104)</f>
        <v>327</v>
      </c>
      <c r="N431" s="321"/>
      <c r="O431" s="321"/>
    </row>
    <row r="432" spans="2:15">
      <c r="B432" s="204" t="str">
        <f ca="1"/>
        <v>Laurens Central School District</v>
      </c>
      <c r="C432" s="206">
        <f>IF(COUNTIF(CONTROL!$B$52:$B$101,'Funding by District'!D328)&gt;=1,"",ROW()-104)</f>
        <v>328</v>
      </c>
      <c r="N432" s="321"/>
      <c r="O432" s="321"/>
    </row>
    <row r="433" spans="2:15">
      <c r="B433" s="204" t="str">
        <f ca="1"/>
        <v>Lawrence Union Free School District</v>
      </c>
      <c r="C433" s="206">
        <f>IF(COUNTIF(CONTROL!$B$52:$B$101,'Funding by District'!D329)&gt;=1,"",ROW()-104)</f>
        <v>329</v>
      </c>
      <c r="N433" s="321"/>
      <c r="O433" s="321"/>
    </row>
    <row r="434" spans="2:15">
      <c r="B434" s="204" t="str">
        <f ca="1"/>
        <v>Le Roy Central School District</v>
      </c>
      <c r="C434" s="206">
        <f>IF(COUNTIF(CONTROL!$B$52:$B$101,'Funding by District'!D330)&gt;=1,"",ROW()-104)</f>
        <v>330</v>
      </c>
      <c r="N434" s="321"/>
      <c r="O434" s="321"/>
    </row>
    <row r="435" spans="2:15">
      <c r="B435" s="204" t="str">
        <f ca="1"/>
        <v>Letchworth Central School District</v>
      </c>
      <c r="C435" s="206">
        <f>IF(COUNTIF(CONTROL!$B$52:$B$101,'Funding by District'!D331)&gt;=1,"",ROW()-104)</f>
        <v>331</v>
      </c>
      <c r="N435" s="321"/>
      <c r="O435" s="321"/>
    </row>
    <row r="436" spans="2:15">
      <c r="B436" s="204" t="str">
        <f ca="1"/>
        <v>Levittown Union Free School District</v>
      </c>
      <c r="C436" s="206">
        <f>IF(COUNTIF(CONTROL!$B$52:$B$101,'Funding by District'!D332)&gt;=1,"",ROW()-104)</f>
        <v>332</v>
      </c>
      <c r="N436" s="321"/>
      <c r="O436" s="321"/>
    </row>
    <row r="437" spans="2:15">
      <c r="B437" s="204" t="str">
        <f ca="1"/>
        <v>Lewiston-Porter Central School District</v>
      </c>
      <c r="C437" s="206">
        <f>IF(COUNTIF(CONTROL!$B$52:$B$101,'Funding by District'!D333)&gt;=1,"",ROW()-104)</f>
        <v>333</v>
      </c>
      <c r="N437" s="321"/>
      <c r="O437" s="321"/>
    </row>
    <row r="438" spans="2:15">
      <c r="B438" s="204" t="str">
        <f ca="1"/>
        <v>Liberty Central School District</v>
      </c>
      <c r="C438" s="206">
        <f>IF(COUNTIF(CONTROL!$B$52:$B$101,'Funding by District'!D334)&gt;=1,"",ROW()-104)</f>
        <v>334</v>
      </c>
      <c r="N438" s="321"/>
      <c r="O438" s="321"/>
    </row>
    <row r="439" spans="2:15">
      <c r="B439" s="204" t="str">
        <f ca="1"/>
        <v>Lindenhurst Union Free School District</v>
      </c>
      <c r="C439" s="206">
        <f>IF(COUNTIF(CONTROL!$B$52:$B$101,'Funding by District'!D335)&gt;=1,"",ROW()-104)</f>
        <v>335</v>
      </c>
      <c r="N439" s="321"/>
      <c r="O439" s="321"/>
    </row>
    <row r="440" spans="2:15">
      <c r="B440" s="204" t="str">
        <f ca="1"/>
        <v>Lisbon Central School District</v>
      </c>
      <c r="C440" s="206">
        <f>IF(COUNTIF(CONTROL!$B$52:$B$101,'Funding by District'!D336)&gt;=1,"",ROW()-104)</f>
        <v>336</v>
      </c>
      <c r="N440" s="321"/>
      <c r="O440" s="321"/>
    </row>
    <row r="441" spans="2:15">
      <c r="B441" s="204" t="str">
        <f ca="1"/>
        <v>Little Falls City School District</v>
      </c>
      <c r="C441" s="206">
        <f>IF(COUNTIF(CONTROL!$B$52:$B$101,'Funding by District'!D337)&gt;=1,"",ROW()-104)</f>
        <v>337</v>
      </c>
      <c r="N441" s="321"/>
      <c r="O441" s="321"/>
    </row>
    <row r="442" spans="2:15">
      <c r="B442" s="204" t="str">
        <f ca="1"/>
        <v>Liverpool Central School District</v>
      </c>
      <c r="C442" s="206">
        <f>IF(COUNTIF(CONTROL!$B$52:$B$101,'Funding by District'!D338)&gt;=1,"",ROW()-104)</f>
        <v>338</v>
      </c>
      <c r="N442" s="321"/>
      <c r="O442" s="321"/>
    </row>
    <row r="443" spans="2:15">
      <c r="B443" s="204" t="str">
        <f ca="1"/>
        <v>Livingston Manor Central School District</v>
      </c>
      <c r="C443" s="206">
        <f>IF(COUNTIF(CONTROL!$B$52:$B$101,'Funding by District'!D339)&gt;=1,"",ROW()-104)</f>
        <v>339</v>
      </c>
      <c r="N443" s="321"/>
      <c r="O443" s="321"/>
    </row>
    <row r="444" spans="2:15">
      <c r="B444" s="204" t="str">
        <f ca="1"/>
        <v>Livonia Central School District</v>
      </c>
      <c r="C444" s="206">
        <f>IF(COUNTIF(CONTROL!$B$52:$B$101,'Funding by District'!D340)&gt;=1,"",ROW()-104)</f>
        <v>340</v>
      </c>
      <c r="N444" s="321"/>
      <c r="O444" s="321"/>
    </row>
    <row r="445" spans="2:15">
      <c r="B445" s="204" t="str">
        <f ca="1"/>
        <v>Lockport City School District</v>
      </c>
      <c r="C445" s="206">
        <f>IF(COUNTIF(CONTROL!$B$52:$B$101,'Funding by District'!D341)&gt;=1,"",ROW()-104)</f>
        <v>341</v>
      </c>
      <c r="N445" s="321"/>
      <c r="O445" s="321"/>
    </row>
    <row r="446" spans="2:15">
      <c r="B446" s="204" t="str">
        <f ca="1"/>
        <v>Locust Valley Central School District</v>
      </c>
      <c r="C446" s="206">
        <f>IF(COUNTIF(CONTROL!$B$52:$B$101,'Funding by District'!D342)&gt;=1,"",ROW()-104)</f>
        <v>342</v>
      </c>
      <c r="N446" s="321"/>
      <c r="O446" s="321"/>
    </row>
    <row r="447" spans="2:15">
      <c r="B447" s="204" t="str">
        <f ca="1"/>
        <v>Long Beach City School District</v>
      </c>
      <c r="C447" s="206">
        <f>IF(COUNTIF(CONTROL!$B$52:$B$101,'Funding by District'!D343)&gt;=1,"",ROW()-104)</f>
        <v>343</v>
      </c>
      <c r="N447" s="321"/>
      <c r="O447" s="321"/>
    </row>
    <row r="448" spans="2:15">
      <c r="B448" s="204" t="str">
        <f ca="1"/>
        <v>Long Lake Central School District</v>
      </c>
      <c r="C448" s="206">
        <f>IF(COUNTIF(CONTROL!$B$52:$B$101,'Funding by District'!D344)&gt;=1,"",ROW()-104)</f>
        <v>344</v>
      </c>
      <c r="N448" s="321"/>
      <c r="O448" s="321"/>
    </row>
    <row r="449" spans="2:15">
      <c r="B449" s="204" t="str">
        <f ca="1"/>
        <v>Longwood Central School District</v>
      </c>
      <c r="C449" s="206">
        <f>IF(COUNTIF(CONTROL!$B$52:$B$101,'Funding by District'!D345)&gt;=1,"",ROW()-104)</f>
        <v>345</v>
      </c>
      <c r="N449" s="321"/>
      <c r="O449" s="321"/>
    </row>
    <row r="450" spans="2:15">
      <c r="B450" s="204" t="str">
        <f ca="1"/>
        <v>Lowville Academy and Central School District</v>
      </c>
      <c r="C450" s="206">
        <f>IF(COUNTIF(CONTROL!$B$52:$B$101,'Funding by District'!D346)&gt;=1,"",ROW()-104)</f>
        <v>346</v>
      </c>
      <c r="N450" s="321"/>
      <c r="O450" s="321"/>
    </row>
    <row r="451" spans="2:15">
      <c r="B451" s="204" t="str">
        <f ca="1"/>
        <v>Lyme Central School District</v>
      </c>
      <c r="C451" s="206">
        <f>IF(COUNTIF(CONTROL!$B$52:$B$101,'Funding by District'!D347)&gt;=1,"",ROW()-104)</f>
        <v>347</v>
      </c>
      <c r="N451" s="321"/>
      <c r="O451" s="321"/>
    </row>
    <row r="452" spans="2:15">
      <c r="B452" s="204" t="str">
        <f ca="1"/>
        <v>Lynbrook Union Free School District</v>
      </c>
      <c r="C452" s="206">
        <f>IF(COUNTIF(CONTROL!$B$52:$B$101,'Funding by District'!D348)&gt;=1,"",ROW()-104)</f>
        <v>348</v>
      </c>
      <c r="N452" s="321"/>
      <c r="O452" s="321"/>
    </row>
    <row r="453" spans="2:15">
      <c r="B453" s="204" t="str">
        <f ca="1"/>
        <v>Lyncourt Union Free School District</v>
      </c>
      <c r="C453" s="206">
        <f>IF(COUNTIF(CONTROL!$B$52:$B$101,'Funding by District'!D349)&gt;=1,"",ROW()-104)</f>
        <v>349</v>
      </c>
      <c r="N453" s="321"/>
      <c r="O453" s="321"/>
    </row>
    <row r="454" spans="2:15">
      <c r="B454" s="204" t="str">
        <f ca="1"/>
        <v>Lyndonville Central School District</v>
      </c>
      <c r="C454" s="206">
        <f>IF(COUNTIF(CONTROL!$B$52:$B$101,'Funding by District'!D350)&gt;=1,"",ROW()-104)</f>
        <v>350</v>
      </c>
      <c r="N454" s="321"/>
      <c r="O454" s="321"/>
    </row>
    <row r="455" spans="2:15">
      <c r="B455" s="204" t="str">
        <f ca="1"/>
        <v>Lyons Central School District</v>
      </c>
      <c r="C455" s="206">
        <f>IF(COUNTIF(CONTROL!$B$52:$B$101,'Funding by District'!D351)&gt;=1,"",ROW()-104)</f>
        <v>351</v>
      </c>
      <c r="N455" s="321"/>
      <c r="O455" s="321"/>
    </row>
    <row r="456" spans="2:15">
      <c r="B456" s="204" t="str">
        <f ca="1"/>
        <v>Madison Central School District</v>
      </c>
      <c r="C456" s="206">
        <f>IF(COUNTIF(CONTROL!$B$52:$B$101,'Funding by District'!D352)&gt;=1,"",ROW()-104)</f>
        <v>352</v>
      </c>
      <c r="N456" s="321"/>
      <c r="O456" s="321"/>
    </row>
    <row r="457" spans="2:15">
      <c r="B457" s="204" t="str">
        <f ca="1"/>
        <v>Madrid-Waddington Central School District</v>
      </c>
      <c r="C457" s="206">
        <f>IF(COUNTIF(CONTROL!$B$52:$B$101,'Funding by District'!D353)&gt;=1,"",ROW()-104)</f>
        <v>353</v>
      </c>
      <c r="N457" s="321"/>
      <c r="O457" s="321"/>
    </row>
    <row r="458" spans="2:15">
      <c r="B458" s="204" t="str">
        <f ca="1"/>
        <v>Mahopac Central School District</v>
      </c>
      <c r="C458" s="206">
        <f>IF(COUNTIF(CONTROL!$B$52:$B$101,'Funding by District'!D354)&gt;=1,"",ROW()-104)</f>
        <v>354</v>
      </c>
      <c r="N458" s="321"/>
      <c r="O458" s="321"/>
    </row>
    <row r="459" spans="2:15">
      <c r="B459" s="204" t="str">
        <f ca="1"/>
        <v>Maine-Endwell Central School District</v>
      </c>
      <c r="C459" s="206">
        <f>IF(COUNTIF(CONTROL!$B$52:$B$101,'Funding by District'!D355)&gt;=1,"",ROW()-104)</f>
        <v>355</v>
      </c>
      <c r="N459" s="321"/>
      <c r="O459" s="321"/>
    </row>
    <row r="460" spans="2:15">
      <c r="B460" s="204" t="str">
        <f ca="1"/>
        <v>Malone Central School District</v>
      </c>
      <c r="C460" s="206">
        <f>IF(COUNTIF(CONTROL!$B$52:$B$101,'Funding by District'!D356)&gt;=1,"",ROW()-104)</f>
        <v>356</v>
      </c>
      <c r="N460" s="321"/>
      <c r="O460" s="321"/>
    </row>
    <row r="461" spans="2:15">
      <c r="B461" s="204" t="str">
        <f ca="1"/>
        <v>Malverne Union Free School District</v>
      </c>
      <c r="C461" s="206">
        <f>IF(COUNTIF(CONTROL!$B$52:$B$101,'Funding by District'!D357)&gt;=1,"",ROW()-104)</f>
        <v>357</v>
      </c>
      <c r="N461" s="321"/>
      <c r="O461" s="321"/>
    </row>
    <row r="462" spans="2:15">
      <c r="B462" s="204" t="str">
        <f ca="1"/>
        <v>Mamaroneck Union Free School District</v>
      </c>
      <c r="C462" s="206">
        <f>IF(COUNTIF(CONTROL!$B$52:$B$101,'Funding by District'!D358)&gt;=1,"",ROW()-104)</f>
        <v>358</v>
      </c>
      <c r="N462" s="321"/>
      <c r="O462" s="321"/>
    </row>
    <row r="463" spans="2:15">
      <c r="B463" s="204" t="str">
        <f ca="1"/>
        <v>Manchester-Shortsville Central School District</v>
      </c>
      <c r="C463" s="206">
        <f>IF(COUNTIF(CONTROL!$B$52:$B$101,'Funding by District'!D359)&gt;=1,"",ROW()-104)</f>
        <v>359</v>
      </c>
      <c r="N463" s="321"/>
      <c r="O463" s="321"/>
    </row>
    <row r="464" spans="2:15">
      <c r="B464" s="204" t="str">
        <f ca="1"/>
        <v>Manhasset Union Free School District</v>
      </c>
      <c r="C464" s="206">
        <f>IF(COUNTIF(CONTROL!$B$52:$B$101,'Funding by District'!D360)&gt;=1,"",ROW()-104)</f>
        <v>360</v>
      </c>
      <c r="N464" s="321"/>
      <c r="O464" s="321"/>
    </row>
    <row r="465" spans="2:15">
      <c r="B465" s="204" t="str">
        <f ca="1"/>
        <v>Marathon Central School District</v>
      </c>
      <c r="C465" s="206">
        <f>IF(COUNTIF(CONTROL!$B$52:$B$101,'Funding by District'!D361)&gt;=1,"",ROW()-104)</f>
        <v>361</v>
      </c>
      <c r="N465" s="321"/>
      <c r="O465" s="321"/>
    </row>
    <row r="466" spans="2:15">
      <c r="B466" s="204" t="str">
        <f ca="1"/>
        <v>Marcellus Central School District</v>
      </c>
      <c r="C466" s="206">
        <f>IF(COUNTIF(CONTROL!$B$52:$B$101,'Funding by District'!D362)&gt;=1,"",ROW()-104)</f>
        <v>362</v>
      </c>
      <c r="N466" s="321"/>
      <c r="O466" s="321"/>
    </row>
    <row r="467" spans="2:15">
      <c r="B467" s="204" t="str">
        <f ca="1"/>
        <v>Marcus Whitman Central School District</v>
      </c>
      <c r="C467" s="206">
        <f>IF(COUNTIF(CONTROL!$B$52:$B$101,'Funding by District'!D363)&gt;=1,"",ROW()-104)</f>
        <v>363</v>
      </c>
      <c r="N467" s="321"/>
      <c r="O467" s="321"/>
    </row>
    <row r="468" spans="2:15">
      <c r="B468" s="204" t="str">
        <f ca="1"/>
        <v>Margaretville Central School District</v>
      </c>
      <c r="C468" s="206">
        <f>IF(COUNTIF(CONTROL!$B$52:$B$101,'Funding by District'!D364)&gt;=1,"",ROW()-104)</f>
        <v>364</v>
      </c>
      <c r="N468" s="321"/>
      <c r="O468" s="321"/>
    </row>
    <row r="469" spans="2:15">
      <c r="B469" s="204" t="str">
        <f ca="1"/>
        <v>Marion Central School District</v>
      </c>
      <c r="C469" s="206">
        <f>IF(COUNTIF(CONTROL!$B$52:$B$101,'Funding by District'!D365)&gt;=1,"",ROW()-104)</f>
        <v>365</v>
      </c>
      <c r="N469" s="321"/>
      <c r="O469" s="321"/>
    </row>
    <row r="470" spans="2:15">
      <c r="B470" s="204" t="str">
        <f ca="1"/>
        <v>Marlboro Central School District</v>
      </c>
      <c r="C470" s="206">
        <f>IF(COUNTIF(CONTROL!$B$52:$B$101,'Funding by District'!D366)&gt;=1,"",ROW()-104)</f>
        <v>366</v>
      </c>
      <c r="N470" s="321"/>
      <c r="O470" s="321"/>
    </row>
    <row r="471" spans="2:15">
      <c r="B471" s="204" t="str">
        <f ca="1"/>
        <v>Maryvale Union Free School District</v>
      </c>
      <c r="C471" s="206">
        <f>IF(COUNTIF(CONTROL!$B$52:$B$101,'Funding by District'!D367)&gt;=1,"",ROW()-104)</f>
        <v>367</v>
      </c>
      <c r="N471" s="321"/>
      <c r="O471" s="321"/>
    </row>
    <row r="472" spans="2:15">
      <c r="B472" s="204" t="str">
        <f ca="1"/>
        <v>Massapequa Union Free School District</v>
      </c>
      <c r="C472" s="206">
        <f>IF(COUNTIF(CONTROL!$B$52:$B$101,'Funding by District'!D368)&gt;=1,"",ROW()-104)</f>
        <v>368</v>
      </c>
      <c r="N472" s="321"/>
      <c r="O472" s="321"/>
    </row>
    <row r="473" spans="2:15">
      <c r="B473" s="204" t="str">
        <f ca="1"/>
        <v>Massena Central School District</v>
      </c>
      <c r="C473" s="206">
        <f>IF(COUNTIF(CONTROL!$B$52:$B$101,'Funding by District'!D369)&gt;=1,"",ROW()-104)</f>
        <v>369</v>
      </c>
      <c r="N473" s="321"/>
      <c r="O473" s="321"/>
    </row>
    <row r="474" spans="2:15">
      <c r="B474" s="204" t="str">
        <f ca="1"/>
        <v>Mattituck-Cutchogue Union Free School District</v>
      </c>
      <c r="C474" s="206">
        <f>IF(COUNTIF(CONTROL!$B$52:$B$101,'Funding by District'!D370)&gt;=1,"",ROW()-104)</f>
        <v>370</v>
      </c>
      <c r="N474" s="321"/>
      <c r="O474" s="321"/>
    </row>
    <row r="475" spans="2:15">
      <c r="B475" s="204" t="str">
        <f ca="1"/>
        <v>Mayfield Central School District</v>
      </c>
      <c r="C475" s="206">
        <f>IF(COUNTIF(CONTROL!$B$52:$B$101,'Funding by District'!D371)&gt;=1,"",ROW()-104)</f>
        <v>371</v>
      </c>
      <c r="N475" s="321"/>
      <c r="O475" s="321"/>
    </row>
    <row r="476" spans="2:15">
      <c r="B476" s="204" t="str">
        <f ca="1"/>
        <v>McGraw Central School District</v>
      </c>
      <c r="C476" s="206">
        <f>IF(COUNTIF(CONTROL!$B$52:$B$101,'Funding by District'!D372)&gt;=1,"",ROW()-104)</f>
        <v>372</v>
      </c>
      <c r="N476" s="321"/>
      <c r="O476" s="321"/>
    </row>
    <row r="477" spans="2:15">
      <c r="B477" s="204" t="str">
        <f ca="1"/>
        <v>Mechanicville City School District</v>
      </c>
      <c r="C477" s="206">
        <f>IF(COUNTIF(CONTROL!$B$52:$B$101,'Funding by District'!D373)&gt;=1,"",ROW()-104)</f>
        <v>373</v>
      </c>
      <c r="N477" s="321"/>
      <c r="O477" s="321"/>
    </row>
    <row r="478" spans="2:15">
      <c r="B478" s="204" t="str">
        <f ca="1"/>
        <v>Medina Central School District</v>
      </c>
      <c r="C478" s="206">
        <f>IF(COUNTIF(CONTROL!$B$52:$B$101,'Funding by District'!D374)&gt;=1,"",ROW()-104)</f>
        <v>374</v>
      </c>
      <c r="N478" s="321"/>
      <c r="O478" s="321"/>
    </row>
    <row r="479" spans="2:15">
      <c r="B479" s="204" t="str">
        <f ca="1"/>
        <v>Menands Union Free School District</v>
      </c>
      <c r="C479" s="206">
        <f>IF(COUNTIF(CONTROL!$B$52:$B$101,'Funding by District'!D375)&gt;=1,"",ROW()-104)</f>
        <v>375</v>
      </c>
      <c r="N479" s="321"/>
      <c r="O479" s="321"/>
    </row>
    <row r="480" spans="2:15">
      <c r="B480" s="204" t="str">
        <f ca="1"/>
        <v>Merrick Union Free School District</v>
      </c>
      <c r="C480" s="206">
        <f>IF(COUNTIF(CONTROL!$B$52:$B$101,'Funding by District'!D376)&gt;=1,"",ROW()-104)</f>
        <v>376</v>
      </c>
      <c r="N480" s="321"/>
      <c r="O480" s="321"/>
    </row>
    <row r="481" spans="2:15">
      <c r="B481" s="204" t="str">
        <f ca="1"/>
        <v>Mexico Academy and Central School District</v>
      </c>
      <c r="C481" s="206">
        <f>IF(COUNTIF(CONTROL!$B$52:$B$101,'Funding by District'!D377)&gt;=1,"",ROW()-104)</f>
        <v>377</v>
      </c>
      <c r="N481" s="321"/>
      <c r="O481" s="321"/>
    </row>
    <row r="482" spans="2:15">
      <c r="B482" s="204" t="str">
        <f ca="1"/>
        <v>Middle Country Central School District</v>
      </c>
      <c r="C482" s="206">
        <f>IF(COUNTIF(CONTROL!$B$52:$B$101,'Funding by District'!D378)&gt;=1,"",ROW()-104)</f>
        <v>378</v>
      </c>
      <c r="N482" s="321"/>
      <c r="O482" s="321"/>
    </row>
    <row r="483" spans="2:15">
      <c r="B483" s="204" t="str">
        <f ca="1"/>
        <v>Middleburgh Central School District</v>
      </c>
      <c r="C483" s="206">
        <f>IF(COUNTIF(CONTROL!$B$52:$B$101,'Funding by District'!D379)&gt;=1,"",ROW()-104)</f>
        <v>379</v>
      </c>
      <c r="N483" s="321"/>
      <c r="O483" s="321"/>
    </row>
    <row r="484" spans="2:15">
      <c r="B484" s="204" t="str">
        <f ca="1"/>
        <v>Middletown Enlarged City School District</v>
      </c>
      <c r="C484" s="206">
        <f>IF(COUNTIF(CONTROL!$B$52:$B$101,'Funding by District'!D380)&gt;=1,"",ROW()-104)</f>
        <v>380</v>
      </c>
      <c r="N484" s="321"/>
      <c r="O484" s="321"/>
    </row>
    <row r="485" spans="2:15">
      <c r="B485" s="204" t="str">
        <f ca="1"/>
        <v>Milford Central School District</v>
      </c>
      <c r="C485" s="206">
        <f>IF(COUNTIF(CONTROL!$B$52:$B$101,'Funding by District'!D381)&gt;=1,"",ROW()-104)</f>
        <v>381</v>
      </c>
      <c r="N485" s="321"/>
      <c r="O485" s="321"/>
    </row>
    <row r="486" spans="2:15">
      <c r="B486" s="204" t="str">
        <f ca="1"/>
        <v>Millbrook Central School District</v>
      </c>
      <c r="C486" s="206">
        <f>IF(COUNTIF(CONTROL!$B$52:$B$101,'Funding by District'!D382)&gt;=1,"",ROW()-104)</f>
        <v>382</v>
      </c>
      <c r="N486" s="321"/>
      <c r="O486" s="321"/>
    </row>
    <row r="487" spans="2:15">
      <c r="B487" s="204" t="str">
        <f ca="1"/>
        <v>Miller Place Union Free School District</v>
      </c>
      <c r="C487" s="206">
        <f>IF(COUNTIF(CONTROL!$B$52:$B$101,'Funding by District'!D383)&gt;=1,"",ROW()-104)</f>
        <v>383</v>
      </c>
      <c r="N487" s="321"/>
      <c r="O487" s="321"/>
    </row>
    <row r="488" spans="2:15">
      <c r="B488" s="204" t="str">
        <f ca="1"/>
        <v>Mineola Union Free School District</v>
      </c>
      <c r="C488" s="206">
        <f>IF(COUNTIF(CONTROL!$B$52:$B$101,'Funding by District'!D384)&gt;=1,"",ROW()-104)</f>
        <v>384</v>
      </c>
      <c r="N488" s="321"/>
      <c r="O488" s="321"/>
    </row>
    <row r="489" spans="2:15">
      <c r="B489" s="204" t="str">
        <f ca="1"/>
        <v>Minerva Central School District</v>
      </c>
      <c r="C489" s="206">
        <f>IF(COUNTIF(CONTROL!$B$52:$B$101,'Funding by District'!D385)&gt;=1,"",ROW()-104)</f>
        <v>385</v>
      </c>
      <c r="N489" s="321"/>
      <c r="O489" s="321"/>
    </row>
    <row r="490" spans="2:15">
      <c r="B490" s="204" t="str">
        <f ca="1"/>
        <v>Minisink Valley Central School District</v>
      </c>
      <c r="C490" s="206">
        <f>IF(COUNTIF(CONTROL!$B$52:$B$101,'Funding by District'!D386)&gt;=1,"",ROW()-104)</f>
        <v>386</v>
      </c>
      <c r="N490" s="321"/>
      <c r="O490" s="321"/>
    </row>
    <row r="491" spans="2:15">
      <c r="B491" s="204" t="str">
        <f ca="1"/>
        <v>Mohonasen Central School District</v>
      </c>
      <c r="C491" s="206">
        <f>IF(COUNTIF(CONTROL!$B$52:$B$101,'Funding by District'!D387)&gt;=1,"",ROW()-104)</f>
        <v>387</v>
      </c>
      <c r="N491" s="321"/>
      <c r="O491" s="321"/>
    </row>
    <row r="492" spans="2:15">
      <c r="B492" s="204" t="str">
        <f ca="1"/>
        <v>Monroe-Woodbury Central School District</v>
      </c>
      <c r="C492" s="206">
        <f>IF(COUNTIF(CONTROL!$B$52:$B$101,'Funding by District'!D388)&gt;=1,"",ROW()-104)</f>
        <v>388</v>
      </c>
      <c r="N492" s="321"/>
      <c r="O492" s="321"/>
    </row>
    <row r="493" spans="2:15">
      <c r="B493" s="204" t="str">
        <f ca="1"/>
        <v>Montauk Union Free School District</v>
      </c>
      <c r="C493" s="206">
        <f>IF(COUNTIF(CONTROL!$B$52:$B$101,'Funding by District'!D389)&gt;=1,"",ROW()-104)</f>
        <v>389</v>
      </c>
      <c r="N493" s="321"/>
      <c r="O493" s="321"/>
    </row>
    <row r="494" spans="2:15">
      <c r="B494" s="204" t="str">
        <f ca="1"/>
        <v>Monticello Central School District</v>
      </c>
      <c r="C494" s="206">
        <f>IF(COUNTIF(CONTROL!$B$52:$B$101,'Funding by District'!D390)&gt;=1,"",ROW()-104)</f>
        <v>390</v>
      </c>
      <c r="N494" s="321"/>
      <c r="O494" s="321"/>
    </row>
    <row r="495" spans="2:15">
      <c r="B495" s="204" t="str">
        <f ca="1"/>
        <v>Moravia Central School District</v>
      </c>
      <c r="C495" s="206">
        <f>IF(COUNTIF(CONTROL!$B$52:$B$101,'Funding by District'!D391)&gt;=1,"",ROW()-104)</f>
        <v>391</v>
      </c>
      <c r="N495" s="321"/>
      <c r="O495" s="321"/>
    </row>
    <row r="496" spans="2:15">
      <c r="B496" s="204" t="str">
        <f ca="1"/>
        <v>Moriah Central School District</v>
      </c>
      <c r="C496" s="206">
        <f>IF(COUNTIF(CONTROL!$B$52:$B$101,'Funding by District'!D392)&gt;=1,"",ROW()-104)</f>
        <v>392</v>
      </c>
      <c r="N496" s="321"/>
      <c r="O496" s="321"/>
    </row>
    <row r="497" spans="2:15">
      <c r="B497" s="204" t="str">
        <f ca="1"/>
        <v>Morris Central School District</v>
      </c>
      <c r="C497" s="206">
        <f>IF(COUNTIF(CONTROL!$B$52:$B$101,'Funding by District'!D393)&gt;=1,"",ROW()-104)</f>
        <v>393</v>
      </c>
      <c r="N497" s="321"/>
      <c r="O497" s="321"/>
    </row>
    <row r="498" spans="2:15">
      <c r="B498" s="204" t="str">
        <f ca="1"/>
        <v>Morristown Central School District</v>
      </c>
      <c r="C498" s="206">
        <f>IF(COUNTIF(CONTROL!$B$52:$B$101,'Funding by District'!D394)&gt;=1,"",ROW()-104)</f>
        <v>394</v>
      </c>
      <c r="N498" s="321"/>
      <c r="O498" s="321"/>
    </row>
    <row r="499" spans="2:15">
      <c r="B499" s="204" t="str">
        <f ca="1"/>
        <v>Morrisville-Eaton Central School District</v>
      </c>
      <c r="C499" s="206">
        <f>IF(COUNTIF(CONTROL!$B$52:$B$101,'Funding by District'!D395)&gt;=1,"",ROW()-104)</f>
        <v>395</v>
      </c>
      <c r="N499" s="321"/>
      <c r="O499" s="321"/>
    </row>
    <row r="500" spans="2:15">
      <c r="B500" s="204" t="str">
        <f ca="1"/>
        <v>Mount Markham Central School District</v>
      </c>
      <c r="C500" s="206">
        <f>IF(COUNTIF(CONTROL!$B$52:$B$101,'Funding by District'!D396)&gt;=1,"",ROW()-104)</f>
        <v>396</v>
      </c>
      <c r="N500" s="321"/>
      <c r="O500" s="321"/>
    </row>
    <row r="501" spans="2:15">
      <c r="B501" s="204" t="str">
        <f ca="1"/>
        <v>Mount Morris Central School District</v>
      </c>
      <c r="C501" s="206">
        <f>IF(COUNTIF(CONTROL!$B$52:$B$101,'Funding by District'!D397)&gt;=1,"",ROW()-104)</f>
        <v>397</v>
      </c>
      <c r="N501" s="321"/>
      <c r="O501" s="321"/>
    </row>
    <row r="502" spans="2:15">
      <c r="B502" s="204" t="str">
        <f ca="1"/>
        <v>Mount Pleasant Central School District</v>
      </c>
      <c r="C502" s="206">
        <f>IF(COUNTIF(CONTROL!$B$52:$B$101,'Funding by District'!D398)&gt;=1,"",ROW()-104)</f>
        <v>398</v>
      </c>
      <c r="N502" s="321"/>
      <c r="O502" s="321"/>
    </row>
    <row r="503" spans="2:15">
      <c r="B503" s="204" t="str">
        <f ca="1"/>
        <v>Mount Sinai Union Free School District</v>
      </c>
      <c r="C503" s="206">
        <f>IF(COUNTIF(CONTROL!$B$52:$B$101,'Funding by District'!D399)&gt;=1,"",ROW()-104)</f>
        <v>399</v>
      </c>
      <c r="N503" s="321"/>
      <c r="O503" s="321"/>
    </row>
    <row r="504" spans="2:15">
      <c r="B504" s="204" t="str">
        <f ca="1"/>
        <v>Mount Vernon City School District</v>
      </c>
      <c r="C504" s="206">
        <f>IF(COUNTIF(CONTROL!$B$52:$B$101,'Funding by District'!D400)&gt;=1,"",ROW()-104)</f>
        <v>400</v>
      </c>
      <c r="N504" s="321"/>
      <c r="O504" s="321"/>
    </row>
    <row r="505" spans="2:15">
      <c r="B505" s="204" t="str">
        <f ca="1"/>
        <v>Nanuet Union Free School District</v>
      </c>
      <c r="C505" s="206">
        <f>IF(COUNTIF(CONTROL!$B$52:$B$101,'Funding by District'!D401)&gt;=1,"",ROW()-104)</f>
        <v>401</v>
      </c>
      <c r="N505" s="321"/>
      <c r="O505" s="321"/>
    </row>
    <row r="506" spans="2:15">
      <c r="B506" s="204" t="str">
        <f ca="1"/>
        <v>Naples Central School District</v>
      </c>
      <c r="C506" s="206">
        <f>IF(COUNTIF(CONTROL!$B$52:$B$101,'Funding by District'!D402)&gt;=1,"",ROW()-104)</f>
        <v>402</v>
      </c>
      <c r="N506" s="321"/>
      <c r="O506" s="321"/>
    </row>
    <row r="507" spans="2:15">
      <c r="B507" s="204" t="str">
        <f ca="1"/>
        <v>New Hartford Central School District</v>
      </c>
      <c r="C507" s="206">
        <f>IF(COUNTIF(CONTROL!$B$52:$B$101,'Funding by District'!D403)&gt;=1,"",ROW()-104)</f>
        <v>403</v>
      </c>
      <c r="N507" s="321"/>
      <c r="O507" s="321"/>
    </row>
    <row r="508" spans="2:15">
      <c r="B508" s="204" t="str">
        <f ca="1"/>
        <v>New Hyde Park-Garden City Park Union Free School District</v>
      </c>
      <c r="C508" s="206">
        <f>IF(COUNTIF(CONTROL!$B$52:$B$101,'Funding by District'!D404)&gt;=1,"",ROW()-104)</f>
        <v>404</v>
      </c>
      <c r="N508" s="321"/>
      <c r="O508" s="321"/>
    </row>
    <row r="509" spans="2:15">
      <c r="B509" s="204" t="str">
        <f ca="1"/>
        <v>New Lebanon Central School District</v>
      </c>
      <c r="C509" s="206">
        <f>IF(COUNTIF(CONTROL!$B$52:$B$101,'Funding by District'!D405)&gt;=1,"",ROW()-104)</f>
        <v>405</v>
      </c>
      <c r="N509" s="321"/>
      <c r="O509" s="321"/>
    </row>
    <row r="510" spans="2:15">
      <c r="B510" s="204" t="str">
        <f ca="1"/>
        <v>New Paltz Central School District</v>
      </c>
      <c r="C510" s="206">
        <f>IF(COUNTIF(CONTROL!$B$52:$B$101,'Funding by District'!D406)&gt;=1,"",ROW()-104)</f>
        <v>406</v>
      </c>
      <c r="N510" s="321"/>
      <c r="O510" s="321"/>
    </row>
    <row r="511" spans="2:15">
      <c r="B511" s="204" t="str">
        <f ca="1"/>
        <v>New Rochelle City School District</v>
      </c>
      <c r="C511" s="206">
        <f>IF(COUNTIF(CONTROL!$B$52:$B$101,'Funding by District'!D407)&gt;=1,"",ROW()-104)</f>
        <v>407</v>
      </c>
      <c r="N511" s="321"/>
      <c r="O511" s="321"/>
    </row>
    <row r="512" spans="2:15">
      <c r="B512" s="204" t="str">
        <f ca="1"/>
        <v>New Suffolk Common School District</v>
      </c>
      <c r="C512" s="206">
        <f>IF(COUNTIF(CONTROL!$B$52:$B$101,'Funding by District'!D408)&gt;=1,"",ROW()-104)</f>
        <v>408</v>
      </c>
      <c r="N512" s="321"/>
      <c r="O512" s="321"/>
    </row>
    <row r="513" spans="2:15">
      <c r="B513" s="204" t="str">
        <f ca="1"/>
        <v>New York City Department of Education</v>
      </c>
      <c r="C513" s="206">
        <f>IF(COUNTIF(CONTROL!$B$52:$B$101,'Funding by District'!D409)&gt;=1,"",ROW()-104)</f>
        <v>409</v>
      </c>
      <c r="N513" s="321"/>
      <c r="O513" s="321"/>
    </row>
    <row r="514" spans="2:15">
      <c r="B514" s="204" t="str">
        <f ca="1"/>
        <v>New York Mills Union Free School District</v>
      </c>
      <c r="C514" s="206">
        <f>IF(COUNTIF(CONTROL!$B$52:$B$101,'Funding by District'!D410)&gt;=1,"",ROW()-104)</f>
        <v>410</v>
      </c>
      <c r="N514" s="321"/>
      <c r="O514" s="321"/>
    </row>
    <row r="515" spans="2:15">
      <c r="B515" s="204" t="str">
        <f ca="1"/>
        <v>Newark Central School District</v>
      </c>
      <c r="C515" s="206">
        <f>IF(COUNTIF(CONTROL!$B$52:$B$101,'Funding by District'!D411)&gt;=1,"",ROW()-104)</f>
        <v>411</v>
      </c>
      <c r="N515" s="321"/>
      <c r="O515" s="321"/>
    </row>
    <row r="516" spans="2:15">
      <c r="B516" s="204" t="str">
        <f ca="1"/>
        <v>Newark Valley Central School District</v>
      </c>
      <c r="C516" s="206">
        <f>IF(COUNTIF(CONTROL!$B$52:$B$101,'Funding by District'!D412)&gt;=1,"",ROW()-104)</f>
        <v>412</v>
      </c>
      <c r="N516" s="321"/>
      <c r="O516" s="321"/>
    </row>
    <row r="517" spans="2:15">
      <c r="B517" s="204" t="str">
        <f ca="1"/>
        <v>Newburgh Enlarged City School District</v>
      </c>
      <c r="C517" s="206">
        <f>IF(COUNTIF(CONTROL!$B$52:$B$101,'Funding by District'!D413)&gt;=1,"",ROW()-104)</f>
        <v>413</v>
      </c>
      <c r="N517" s="321"/>
      <c r="O517" s="321"/>
    </row>
    <row r="518" spans="2:15">
      <c r="B518" s="204" t="str">
        <f ca="1"/>
        <v>Newcomb Central School District</v>
      </c>
      <c r="C518" s="206">
        <f>IF(COUNTIF(CONTROL!$B$52:$B$101,'Funding by District'!D414)&gt;=1,"",ROW()-104)</f>
        <v>414</v>
      </c>
      <c r="N518" s="321"/>
      <c r="O518" s="321"/>
    </row>
    <row r="519" spans="2:15">
      <c r="B519" s="204" t="str">
        <f ca="1"/>
        <v>Newfane Central School District</v>
      </c>
      <c r="C519" s="206">
        <f>IF(COUNTIF(CONTROL!$B$52:$B$101,'Funding by District'!D415)&gt;=1,"",ROW()-104)</f>
        <v>415</v>
      </c>
      <c r="N519" s="321"/>
      <c r="O519" s="321"/>
    </row>
    <row r="520" spans="2:15">
      <c r="B520" s="204" t="str">
        <f ca="1"/>
        <v>Newfield Central School District</v>
      </c>
      <c r="C520" s="206">
        <f>IF(COUNTIF(CONTROL!$B$52:$B$101,'Funding by District'!D416)&gt;=1,"",ROW()-104)</f>
        <v>416</v>
      </c>
      <c r="N520" s="321"/>
      <c r="O520" s="321"/>
    </row>
    <row r="521" spans="2:15">
      <c r="B521" s="204" t="str">
        <f ca="1"/>
        <v>Niagara Falls City School District</v>
      </c>
      <c r="C521" s="206">
        <f>IF(COUNTIF(CONTROL!$B$52:$B$101,'Funding by District'!D417)&gt;=1,"",ROW()-104)</f>
        <v>417</v>
      </c>
      <c r="N521" s="321"/>
      <c r="O521" s="321"/>
    </row>
    <row r="522" spans="2:15">
      <c r="B522" s="204" t="str">
        <f ca="1"/>
        <v>Niagara-Wheatfield Central School District</v>
      </c>
      <c r="C522" s="206">
        <f>IF(COUNTIF(CONTROL!$B$52:$B$101,'Funding by District'!D418)&gt;=1,"",ROW()-104)</f>
        <v>418</v>
      </c>
      <c r="N522" s="321"/>
      <c r="O522" s="321"/>
    </row>
    <row r="523" spans="2:15">
      <c r="B523" s="204" t="str">
        <f ca="1"/>
        <v>Niskayuna Central School District</v>
      </c>
      <c r="C523" s="206">
        <f>IF(COUNTIF(CONTROL!$B$52:$B$101,'Funding by District'!D419)&gt;=1,"",ROW()-104)</f>
        <v>419</v>
      </c>
      <c r="N523" s="321"/>
      <c r="O523" s="321"/>
    </row>
    <row r="524" spans="2:15">
      <c r="B524" s="204" t="str">
        <f ca="1"/>
        <v>North Babylon Union Free School District</v>
      </c>
      <c r="C524" s="206">
        <f>IF(COUNTIF(CONTROL!$B$52:$B$101,'Funding by District'!D420)&gt;=1,"",ROW()-104)</f>
        <v>420</v>
      </c>
      <c r="N524" s="321"/>
      <c r="O524" s="321"/>
    </row>
    <row r="525" spans="2:15">
      <c r="B525" s="204" t="str">
        <f ca="1"/>
        <v>North Bellmore Union Free School District</v>
      </c>
      <c r="C525" s="206">
        <f>IF(COUNTIF(CONTROL!$B$52:$B$101,'Funding by District'!D421)&gt;=1,"",ROW()-104)</f>
        <v>421</v>
      </c>
      <c r="N525" s="321"/>
      <c r="O525" s="321"/>
    </row>
    <row r="526" spans="2:15">
      <c r="B526" s="204" t="str">
        <f ca="1"/>
        <v>North Collins Central School District</v>
      </c>
      <c r="C526" s="206">
        <f>IF(COUNTIF(CONTROL!$B$52:$B$101,'Funding by District'!D422)&gt;=1,"",ROW()-104)</f>
        <v>422</v>
      </c>
      <c r="N526" s="321"/>
      <c r="O526" s="321"/>
    </row>
    <row r="527" spans="2:15">
      <c r="B527" s="204" t="str">
        <f ca="1"/>
        <v>North Colonie Central School District</v>
      </c>
      <c r="C527" s="206">
        <f>IF(COUNTIF(CONTROL!$B$52:$B$101,'Funding by District'!D423)&gt;=1,"",ROW()-104)</f>
        <v>423</v>
      </c>
      <c r="N527" s="321"/>
      <c r="O527" s="321"/>
    </row>
    <row r="528" spans="2:15">
      <c r="B528" s="204" t="str">
        <f ca="1"/>
        <v>North Greenbush Common School District</v>
      </c>
      <c r="C528" s="206">
        <f>IF(COUNTIF(CONTROL!$B$52:$B$101,'Funding by District'!D424)&gt;=1,"",ROW()-104)</f>
        <v>424</v>
      </c>
      <c r="N528" s="321"/>
      <c r="O528" s="321"/>
    </row>
    <row r="529" spans="2:15">
      <c r="B529" s="204" t="str">
        <f ca="1"/>
        <v>North Merrick Union Free School District</v>
      </c>
      <c r="C529" s="206">
        <f>IF(COUNTIF(CONTROL!$B$52:$B$101,'Funding by District'!D425)&gt;=1,"",ROW()-104)</f>
        <v>425</v>
      </c>
      <c r="N529" s="321"/>
      <c r="O529" s="321"/>
    </row>
    <row r="530" spans="2:15">
      <c r="B530" s="204" t="str">
        <f ca="1"/>
        <v>North Rockland Central School District</v>
      </c>
      <c r="C530" s="206">
        <f>IF(COUNTIF(CONTROL!$B$52:$B$101,'Funding by District'!D426)&gt;=1,"",ROW()-104)</f>
        <v>426</v>
      </c>
      <c r="N530" s="321"/>
      <c r="O530" s="321"/>
    </row>
    <row r="531" spans="2:15">
      <c r="B531" s="204" t="str">
        <f ca="1"/>
        <v>North Rose-Wolcott Central School District</v>
      </c>
      <c r="C531" s="206">
        <f>IF(COUNTIF(CONTROL!$B$52:$B$101,'Funding by District'!D427)&gt;=1,"",ROW()-104)</f>
        <v>427</v>
      </c>
      <c r="N531" s="321"/>
      <c r="O531" s="321"/>
    </row>
    <row r="532" spans="2:15">
      <c r="B532" s="204" t="str">
        <f ca="1"/>
        <v>North Salem Central School District</v>
      </c>
      <c r="C532" s="206">
        <f>IF(COUNTIF(CONTROL!$B$52:$B$101,'Funding by District'!D428)&gt;=1,"",ROW()-104)</f>
        <v>428</v>
      </c>
      <c r="N532" s="321"/>
      <c r="O532" s="321"/>
    </row>
    <row r="533" spans="2:15">
      <c r="B533" s="204" t="str">
        <f ca="1"/>
        <v>North Shore Central School District</v>
      </c>
      <c r="C533" s="206">
        <f>IF(COUNTIF(CONTROL!$B$52:$B$101,'Funding by District'!D429)&gt;=1,"",ROW()-104)</f>
        <v>429</v>
      </c>
      <c r="N533" s="321"/>
      <c r="O533" s="321"/>
    </row>
    <row r="534" spans="2:15">
      <c r="B534" s="204" t="str">
        <f ca="1"/>
        <v>North Syracuse Central School District</v>
      </c>
      <c r="C534" s="206">
        <f>IF(COUNTIF(CONTROL!$B$52:$B$101,'Funding by District'!D430)&gt;=1,"",ROW()-104)</f>
        <v>430</v>
      </c>
      <c r="N534" s="321"/>
      <c r="O534" s="321"/>
    </row>
    <row r="535" spans="2:15">
      <c r="B535" s="204" t="str">
        <f ca="1"/>
        <v>North Tonawanda City School District</v>
      </c>
      <c r="C535" s="206">
        <f>IF(COUNTIF(CONTROL!$B$52:$B$101,'Funding by District'!D431)&gt;=1,"",ROW()-104)</f>
        <v>431</v>
      </c>
      <c r="N535" s="321"/>
      <c r="O535" s="321"/>
    </row>
    <row r="536" spans="2:15">
      <c r="B536" s="204" t="str">
        <f ca="1"/>
        <v>North Warren Central School District</v>
      </c>
      <c r="C536" s="206">
        <f>IF(COUNTIF(CONTROL!$B$52:$B$101,'Funding by District'!D432)&gt;=1,"",ROW()-104)</f>
        <v>432</v>
      </c>
      <c r="N536" s="321"/>
      <c r="O536" s="321"/>
    </row>
    <row r="537" spans="2:15">
      <c r="B537" s="204" t="str">
        <f ca="1"/>
        <v>Northeastern Clinton Central School District</v>
      </c>
      <c r="C537" s="206">
        <f>IF(COUNTIF(CONTROL!$B$52:$B$101,'Funding by District'!D433)&gt;=1,"",ROW()-104)</f>
        <v>433</v>
      </c>
      <c r="N537" s="321"/>
      <c r="O537" s="321"/>
    </row>
    <row r="538" spans="2:15">
      <c r="B538" s="204" t="str">
        <f ca="1"/>
        <v>Northern Adirondack Central School District</v>
      </c>
      <c r="C538" s="206">
        <f>IF(COUNTIF(CONTROL!$B$52:$B$101,'Funding by District'!D434)&gt;=1,"",ROW()-104)</f>
        <v>434</v>
      </c>
      <c r="N538" s="321"/>
      <c r="O538" s="321"/>
    </row>
    <row r="539" spans="2:15">
      <c r="B539" s="204" t="str">
        <f ca="1"/>
        <v>Northport-East Northport Union Free School District</v>
      </c>
      <c r="C539" s="206">
        <f>IF(COUNTIF(CONTROL!$B$52:$B$101,'Funding by District'!D435)&gt;=1,"",ROW()-104)</f>
        <v>435</v>
      </c>
      <c r="N539" s="321"/>
      <c r="O539" s="321"/>
    </row>
    <row r="540" spans="2:15">
      <c r="B540" s="204" t="str">
        <f ca="1"/>
        <v>Northville Central School District</v>
      </c>
      <c r="C540" s="206">
        <f>IF(COUNTIF(CONTROL!$B$52:$B$101,'Funding by District'!D436)&gt;=1,"",ROW()-104)</f>
        <v>436</v>
      </c>
      <c r="N540" s="321"/>
      <c r="O540" s="321"/>
    </row>
    <row r="541" spans="2:15">
      <c r="B541" s="204" t="str">
        <f ca="1"/>
        <v>Norwich City School District</v>
      </c>
      <c r="C541" s="206">
        <f>IF(COUNTIF(CONTROL!$B$52:$B$101,'Funding by District'!D437)&gt;=1,"",ROW()-104)</f>
        <v>437</v>
      </c>
      <c r="N541" s="321"/>
      <c r="O541" s="321"/>
    </row>
    <row r="542" spans="2:15">
      <c r="B542" s="204" t="str">
        <f ca="1"/>
        <v>Norwood-Norfolk Central School District</v>
      </c>
      <c r="C542" s="206">
        <f>IF(COUNTIF(CONTROL!$B$52:$B$101,'Funding by District'!D438)&gt;=1,"",ROW()-104)</f>
        <v>438</v>
      </c>
      <c r="N542" s="321"/>
      <c r="O542" s="321"/>
    </row>
    <row r="543" spans="2:15">
      <c r="B543" s="204" t="str">
        <f ca="1"/>
        <v>Nyack Union Free School District</v>
      </c>
      <c r="C543" s="206">
        <f>IF(COUNTIF(CONTROL!$B$52:$B$101,'Funding by District'!D439)&gt;=1,"",ROW()-104)</f>
        <v>439</v>
      </c>
      <c r="N543" s="321"/>
      <c r="O543" s="321"/>
    </row>
    <row r="544" spans="2:15">
      <c r="B544" s="204" t="str">
        <f ca="1"/>
        <v>Oakfield-Alabama Central School District</v>
      </c>
      <c r="C544" s="206">
        <f>IF(COUNTIF(CONTROL!$B$52:$B$101,'Funding by District'!D440)&gt;=1,"",ROW()-104)</f>
        <v>440</v>
      </c>
      <c r="N544" s="321"/>
      <c r="O544" s="321"/>
    </row>
    <row r="545" spans="2:15">
      <c r="B545" s="204" t="str">
        <f ca="1"/>
        <v>Oceanside Union Free School District</v>
      </c>
      <c r="C545" s="206">
        <f>IF(COUNTIF(CONTROL!$B$52:$B$101,'Funding by District'!D441)&gt;=1,"",ROW()-104)</f>
        <v>441</v>
      </c>
      <c r="N545" s="321"/>
      <c r="O545" s="321"/>
    </row>
    <row r="546" spans="2:15">
      <c r="B546" s="204" t="str">
        <f ca="1"/>
        <v>Odessa-Montour Central School District</v>
      </c>
      <c r="C546" s="206">
        <f>IF(COUNTIF(CONTROL!$B$52:$B$101,'Funding by District'!D442)&gt;=1,"",ROW()-104)</f>
        <v>442</v>
      </c>
      <c r="N546" s="321"/>
      <c r="O546" s="321"/>
    </row>
    <row r="547" spans="2:15">
      <c r="B547" s="204" t="str">
        <f ca="1"/>
        <v>Ogdensburg City School District</v>
      </c>
      <c r="C547" s="206">
        <f>IF(COUNTIF(CONTROL!$B$52:$B$101,'Funding by District'!D443)&gt;=1,"",ROW()-104)</f>
        <v>443</v>
      </c>
      <c r="N547" s="321"/>
      <c r="O547" s="321"/>
    </row>
    <row r="548" spans="2:15">
      <c r="B548" s="204" t="str">
        <f ca="1"/>
        <v>Olean City School District</v>
      </c>
      <c r="C548" s="206">
        <f>IF(COUNTIF(CONTROL!$B$52:$B$101,'Funding by District'!D444)&gt;=1,"",ROW()-104)</f>
        <v>444</v>
      </c>
      <c r="N548" s="321"/>
      <c r="O548" s="321"/>
    </row>
    <row r="549" spans="2:15">
      <c r="B549" s="204" t="str">
        <f ca="1"/>
        <v>Oneida City School District</v>
      </c>
      <c r="C549" s="206">
        <f>IF(COUNTIF(CONTROL!$B$52:$B$101,'Funding by District'!D445)&gt;=1,"",ROW()-104)</f>
        <v>445</v>
      </c>
      <c r="N549" s="321"/>
      <c r="O549" s="321"/>
    </row>
    <row r="550" spans="2:15">
      <c r="B550" s="204" t="str">
        <f ca="1"/>
        <v>Oneonta City School District</v>
      </c>
      <c r="C550" s="206">
        <f>IF(COUNTIF(CONTROL!$B$52:$B$101,'Funding by District'!D446)&gt;=1,"",ROW()-104)</f>
        <v>446</v>
      </c>
      <c r="N550" s="321"/>
      <c r="O550" s="321"/>
    </row>
    <row r="551" spans="2:15">
      <c r="B551" s="204" t="str">
        <f ca="1"/>
        <v>Onondaga Central School District</v>
      </c>
      <c r="C551" s="206">
        <f>IF(COUNTIF(CONTROL!$B$52:$B$101,'Funding by District'!D447)&gt;=1,"",ROW()-104)</f>
        <v>447</v>
      </c>
      <c r="N551" s="321"/>
      <c r="O551" s="321"/>
    </row>
    <row r="552" spans="2:15">
      <c r="B552" s="204" t="str">
        <f ca="1"/>
        <v>Onteora Central School District</v>
      </c>
      <c r="C552" s="206">
        <f>IF(COUNTIF(CONTROL!$B$52:$B$101,'Funding by District'!D448)&gt;=1,"",ROW()-104)</f>
        <v>448</v>
      </c>
      <c r="N552" s="321"/>
      <c r="O552" s="321"/>
    </row>
    <row r="553" spans="2:15">
      <c r="B553" s="204" t="str">
        <f ca="1"/>
        <v>Oppenheim-Ephratah-St. Johnsville Central School District</v>
      </c>
      <c r="C553" s="206">
        <f>IF(COUNTIF(CONTROL!$B$52:$B$101,'Funding by District'!D449)&gt;=1,"",ROW()-104)</f>
        <v>449</v>
      </c>
      <c r="N553" s="321"/>
      <c r="O553" s="321"/>
    </row>
    <row r="554" spans="2:15">
      <c r="B554" s="204" t="str">
        <f ca="1"/>
        <v>Orchard Park Central School District</v>
      </c>
      <c r="C554" s="206">
        <f>IF(COUNTIF(CONTROL!$B$52:$B$101,'Funding by District'!D450)&gt;=1,"",ROW()-104)</f>
        <v>450</v>
      </c>
      <c r="N554" s="321"/>
      <c r="O554" s="321"/>
    </row>
    <row r="555" spans="2:15">
      <c r="B555" s="204" t="str">
        <f ca="1"/>
        <v>Oriskany Central School District</v>
      </c>
      <c r="C555" s="206">
        <f>IF(COUNTIF(CONTROL!$B$52:$B$101,'Funding by District'!D451)&gt;=1,"",ROW()-104)</f>
        <v>451</v>
      </c>
      <c r="N555" s="321"/>
      <c r="O555" s="321"/>
    </row>
    <row r="556" spans="2:15">
      <c r="B556" s="204" t="str">
        <f ca="1"/>
        <v>Ossining Union Free School District</v>
      </c>
      <c r="C556" s="206">
        <f>IF(COUNTIF(CONTROL!$B$52:$B$101,'Funding by District'!D452)&gt;=1,"",ROW()-104)</f>
        <v>452</v>
      </c>
      <c r="N556" s="321"/>
      <c r="O556" s="321"/>
    </row>
    <row r="557" spans="2:15">
      <c r="B557" s="204" t="str">
        <f ca="1"/>
        <v>Oswego City School District</v>
      </c>
      <c r="C557" s="206">
        <f>IF(COUNTIF(CONTROL!$B$52:$B$101,'Funding by District'!D453)&gt;=1,"",ROW()-104)</f>
        <v>453</v>
      </c>
      <c r="N557" s="321"/>
      <c r="O557" s="321"/>
    </row>
    <row r="558" spans="2:15">
      <c r="B558" s="204" t="str">
        <f ca="1"/>
        <v>Otselic Valley Central School District at Georgetown-South Otselic</v>
      </c>
      <c r="C558" s="206">
        <f>IF(COUNTIF(CONTROL!$B$52:$B$101,'Funding by District'!D454)&gt;=1,"",ROW()-104)</f>
        <v>454</v>
      </c>
      <c r="N558" s="321"/>
      <c r="O558" s="321"/>
    </row>
    <row r="559" spans="2:15">
      <c r="B559" s="204" t="str">
        <f ca="1"/>
        <v>Owego-Apalachin Central School District</v>
      </c>
      <c r="C559" s="206">
        <f>IF(COUNTIF(CONTROL!$B$52:$B$101,'Funding by District'!D455)&gt;=1,"",ROW()-104)</f>
        <v>455</v>
      </c>
      <c r="N559" s="321"/>
      <c r="O559" s="321"/>
    </row>
    <row r="560" spans="2:15">
      <c r="B560" s="204" t="str">
        <f ca="1"/>
        <v>Owen D. Young Central School District</v>
      </c>
      <c r="C560" s="206">
        <f>IF(COUNTIF(CONTROL!$B$52:$B$101,'Funding by District'!D456)&gt;=1,"",ROW()-104)</f>
        <v>456</v>
      </c>
      <c r="N560" s="321"/>
      <c r="O560" s="321"/>
    </row>
    <row r="561" spans="2:15">
      <c r="B561" s="204" t="str">
        <f ca="1"/>
        <v>Oxford Academy and Central School District</v>
      </c>
      <c r="C561" s="206">
        <f>IF(COUNTIF(CONTROL!$B$52:$B$101,'Funding by District'!D457)&gt;=1,"",ROW()-104)</f>
        <v>457</v>
      </c>
      <c r="N561" s="321"/>
      <c r="O561" s="321"/>
    </row>
    <row r="562" spans="2:15">
      <c r="B562" s="204" t="str">
        <f ca="1"/>
        <v>Oyster Bay-East Norwich Central School District</v>
      </c>
      <c r="C562" s="206">
        <f>IF(COUNTIF(CONTROL!$B$52:$B$101,'Funding by District'!D458)&gt;=1,"",ROW()-104)</f>
        <v>458</v>
      </c>
      <c r="N562" s="321"/>
      <c r="O562" s="321"/>
    </row>
    <row r="563" spans="2:15">
      <c r="B563" s="204" t="str">
        <f ca="1"/>
        <v>Oysterponds Union Free School District</v>
      </c>
      <c r="C563" s="206">
        <f>IF(COUNTIF(CONTROL!$B$52:$B$101,'Funding by District'!D459)&gt;=1,"",ROW()-104)</f>
        <v>459</v>
      </c>
      <c r="N563" s="321"/>
      <c r="O563" s="321"/>
    </row>
    <row r="564" spans="2:15">
      <c r="B564" s="204" t="str">
        <f ca="1"/>
        <v>Palmyra-Macedon Central School District</v>
      </c>
      <c r="C564" s="206">
        <f>IF(COUNTIF(CONTROL!$B$52:$B$101,'Funding by District'!D460)&gt;=1,"",ROW()-104)</f>
        <v>460</v>
      </c>
      <c r="N564" s="321"/>
      <c r="O564" s="321"/>
    </row>
    <row r="565" spans="2:15">
      <c r="B565" s="204" t="str">
        <f ca="1"/>
        <v>Panama Central School District</v>
      </c>
      <c r="C565" s="206">
        <f>IF(COUNTIF(CONTROL!$B$52:$B$101,'Funding by District'!D461)&gt;=1,"",ROW()-104)</f>
        <v>461</v>
      </c>
      <c r="N565" s="321"/>
      <c r="O565" s="321"/>
    </row>
    <row r="566" spans="2:15">
      <c r="B566" s="204" t="str">
        <f ca="1"/>
        <v>Parishville-Hopkinton Central School District</v>
      </c>
      <c r="C566" s="206">
        <f>IF(COUNTIF(CONTROL!$B$52:$B$101,'Funding by District'!D462)&gt;=1,"",ROW()-104)</f>
        <v>462</v>
      </c>
      <c r="N566" s="321"/>
      <c r="O566" s="321"/>
    </row>
    <row r="567" spans="2:15">
      <c r="B567" s="204" t="str">
        <f ca="1"/>
        <v>Patchogue-Medford Union Free School District</v>
      </c>
      <c r="C567" s="206">
        <f>IF(COUNTIF(CONTROL!$B$52:$B$101,'Funding by District'!D463)&gt;=1,"",ROW()-104)</f>
        <v>463</v>
      </c>
      <c r="N567" s="321"/>
      <c r="O567" s="321"/>
    </row>
    <row r="568" spans="2:15">
      <c r="B568" s="204" t="str">
        <f ca="1"/>
        <v>Pavilion Central School District</v>
      </c>
      <c r="C568" s="206">
        <f>IF(COUNTIF(CONTROL!$B$52:$B$101,'Funding by District'!D464)&gt;=1,"",ROW()-104)</f>
        <v>464</v>
      </c>
      <c r="N568" s="321"/>
      <c r="O568" s="321"/>
    </row>
    <row r="569" spans="2:15">
      <c r="B569" s="204" t="str">
        <f ca="1"/>
        <v>Pawling Central School District</v>
      </c>
      <c r="C569" s="206">
        <f>IF(COUNTIF(CONTROL!$B$52:$B$101,'Funding by District'!D465)&gt;=1,"",ROW()-104)</f>
        <v>465</v>
      </c>
      <c r="N569" s="321"/>
      <c r="O569" s="321"/>
    </row>
    <row r="570" spans="2:15">
      <c r="B570" s="204" t="str">
        <f ca="1"/>
        <v>Pearl River Union Free School District</v>
      </c>
      <c r="C570" s="206">
        <f>IF(COUNTIF(CONTROL!$B$52:$B$101,'Funding by District'!D466)&gt;=1,"",ROW()-104)</f>
        <v>466</v>
      </c>
      <c r="N570" s="321"/>
      <c r="O570" s="321"/>
    </row>
    <row r="571" spans="2:15">
      <c r="B571" s="204" t="str">
        <f ca="1"/>
        <v>Peekskill City School District</v>
      </c>
      <c r="C571" s="206">
        <f>IF(COUNTIF(CONTROL!$B$52:$B$101,'Funding by District'!D467)&gt;=1,"",ROW()-104)</f>
        <v>467</v>
      </c>
      <c r="N571" s="321"/>
      <c r="O571" s="321"/>
    </row>
    <row r="572" spans="2:15">
      <c r="B572" s="204" t="str">
        <f ca="1"/>
        <v>Pelham Union Free School District</v>
      </c>
      <c r="C572" s="206">
        <f>IF(COUNTIF(CONTROL!$B$52:$B$101,'Funding by District'!D468)&gt;=1,"",ROW()-104)</f>
        <v>468</v>
      </c>
      <c r="N572" s="321"/>
      <c r="O572" s="321"/>
    </row>
    <row r="573" spans="2:15">
      <c r="B573" s="204" t="str">
        <f ca="1"/>
        <v>Pembroke Central School District</v>
      </c>
      <c r="C573" s="206">
        <f>IF(COUNTIF(CONTROL!$B$52:$B$101,'Funding by District'!D469)&gt;=1,"",ROW()-104)</f>
        <v>469</v>
      </c>
      <c r="N573" s="321"/>
      <c r="O573" s="321"/>
    </row>
    <row r="574" spans="2:15">
      <c r="B574" s="204" t="str">
        <f ca="1"/>
        <v>Penfield Central School District</v>
      </c>
      <c r="C574" s="206">
        <f>IF(COUNTIF(CONTROL!$B$52:$B$101,'Funding by District'!D470)&gt;=1,"",ROW()-104)</f>
        <v>470</v>
      </c>
      <c r="N574" s="321"/>
      <c r="O574" s="321"/>
    </row>
    <row r="575" spans="2:15">
      <c r="B575" s="204" t="str">
        <f ca="1"/>
        <v>Penn Yan Central School District</v>
      </c>
      <c r="C575" s="206">
        <f>IF(COUNTIF(CONTROL!$B$52:$B$101,'Funding by District'!D471)&gt;=1,"",ROW()-104)</f>
        <v>471</v>
      </c>
      <c r="N575" s="321"/>
      <c r="O575" s="321"/>
    </row>
    <row r="576" spans="2:15">
      <c r="B576" s="204" t="str">
        <f ca="1"/>
        <v>Perry Central School District</v>
      </c>
      <c r="C576" s="206">
        <f>IF(COUNTIF(CONTROL!$B$52:$B$101,'Funding by District'!D472)&gt;=1,"",ROW()-104)</f>
        <v>472</v>
      </c>
      <c r="N576" s="321"/>
      <c r="O576" s="321"/>
    </row>
    <row r="577" spans="2:15">
      <c r="B577" s="204" t="str">
        <f ca="1"/>
        <v>Peru Central School District</v>
      </c>
      <c r="C577" s="206">
        <f>IF(COUNTIF(CONTROL!$B$52:$B$101,'Funding by District'!D473)&gt;=1,"",ROW()-104)</f>
        <v>473</v>
      </c>
      <c r="N577" s="321"/>
      <c r="O577" s="321"/>
    </row>
    <row r="578" spans="2:15">
      <c r="B578" s="204" t="str">
        <f ca="1"/>
        <v>Phelps-Clifton Springs Central School District</v>
      </c>
      <c r="C578" s="206">
        <f>IF(COUNTIF(CONTROL!$B$52:$B$101,'Funding by District'!D474)&gt;=1,"",ROW()-104)</f>
        <v>474</v>
      </c>
      <c r="N578" s="321"/>
      <c r="O578" s="321"/>
    </row>
    <row r="579" spans="2:15">
      <c r="B579" s="204" t="str">
        <f ca="1"/>
        <v>Phoenix Central School District</v>
      </c>
      <c r="C579" s="206">
        <f>IF(COUNTIF(CONTROL!$B$52:$B$101,'Funding by District'!D475)&gt;=1,"",ROW()-104)</f>
        <v>475</v>
      </c>
      <c r="N579" s="321"/>
      <c r="O579" s="321"/>
    </row>
    <row r="580" spans="2:15">
      <c r="B580" s="204" t="str">
        <f ca="1"/>
        <v>Pine Bush Central School District</v>
      </c>
      <c r="C580" s="206">
        <f>IF(COUNTIF(CONTROL!$B$52:$B$101,'Funding by District'!D476)&gt;=1,"",ROW()-104)</f>
        <v>476</v>
      </c>
      <c r="N580" s="321"/>
      <c r="O580" s="321"/>
    </row>
    <row r="581" spans="2:15">
      <c r="B581" s="204" t="str">
        <f ca="1"/>
        <v>Pine Plains Central School District</v>
      </c>
      <c r="C581" s="206">
        <f>IF(COUNTIF(CONTROL!$B$52:$B$101,'Funding by District'!D477)&gt;=1,"",ROW()-104)</f>
        <v>477</v>
      </c>
      <c r="N581" s="321"/>
      <c r="O581" s="321"/>
    </row>
    <row r="582" spans="2:15">
      <c r="B582" s="204" t="str">
        <f ca="1"/>
        <v>Pine Valley Central School District</v>
      </c>
      <c r="C582" s="206">
        <f>IF(COUNTIF(CONTROL!$B$52:$B$101,'Funding by District'!D478)&gt;=1,"",ROW()-104)</f>
        <v>478</v>
      </c>
      <c r="N582" s="321"/>
      <c r="O582" s="321"/>
    </row>
    <row r="583" spans="2:15">
      <c r="B583" s="204" t="str">
        <f ca="1"/>
        <v>Pioneer Central School District</v>
      </c>
      <c r="C583" s="206">
        <f>IF(COUNTIF(CONTROL!$B$52:$B$101,'Funding by District'!D479)&gt;=1,"",ROW()-104)</f>
        <v>479</v>
      </c>
      <c r="N583" s="321"/>
      <c r="O583" s="321"/>
    </row>
    <row r="584" spans="2:15">
      <c r="B584" s="204" t="str">
        <f ca="1"/>
        <v>Pittsford Central School District</v>
      </c>
      <c r="C584" s="206">
        <f>IF(COUNTIF(CONTROL!$B$52:$B$101,'Funding by District'!D480)&gt;=1,"",ROW()-104)</f>
        <v>480</v>
      </c>
      <c r="N584" s="321"/>
      <c r="O584" s="321"/>
    </row>
    <row r="585" spans="2:15">
      <c r="B585" s="204" t="str">
        <f ca="1"/>
        <v>Plainedge Union Free School District</v>
      </c>
      <c r="C585" s="206">
        <f>IF(COUNTIF(CONTROL!$B$52:$B$101,'Funding by District'!D481)&gt;=1,"",ROW()-104)</f>
        <v>481</v>
      </c>
      <c r="N585" s="321"/>
      <c r="O585" s="321"/>
    </row>
    <row r="586" spans="2:15">
      <c r="B586" s="204" t="str">
        <f ca="1"/>
        <v>Plainview-Old Bethpage Central School District</v>
      </c>
      <c r="C586" s="206">
        <f>IF(COUNTIF(CONTROL!$B$52:$B$101,'Funding by District'!D482)&gt;=1,"",ROW()-104)</f>
        <v>482</v>
      </c>
      <c r="N586" s="321"/>
      <c r="O586" s="321"/>
    </row>
    <row r="587" spans="2:15">
      <c r="B587" s="204" t="str">
        <f ca="1"/>
        <v>Plattsburgh City School District</v>
      </c>
      <c r="C587" s="206">
        <f>IF(COUNTIF(CONTROL!$B$52:$B$101,'Funding by District'!D483)&gt;=1,"",ROW()-104)</f>
        <v>483</v>
      </c>
      <c r="N587" s="321"/>
      <c r="O587" s="321"/>
    </row>
    <row r="588" spans="2:15">
      <c r="B588" s="204" t="str">
        <f ca="1"/>
        <v>Pleasantville Union Free School District</v>
      </c>
      <c r="C588" s="206">
        <f>IF(COUNTIF(CONTROL!$B$52:$B$101,'Funding by District'!D484)&gt;=1,"",ROW()-104)</f>
        <v>484</v>
      </c>
      <c r="N588" s="321"/>
      <c r="O588" s="321"/>
    </row>
    <row r="589" spans="2:15">
      <c r="B589" s="204" t="str">
        <f ca="1"/>
        <v>Pocantico Hills Central School District</v>
      </c>
      <c r="C589" s="206">
        <f>IF(COUNTIF(CONTROL!$B$52:$B$101,'Funding by District'!D485)&gt;=1,"",ROW()-104)</f>
        <v>485</v>
      </c>
      <c r="N589" s="321"/>
      <c r="O589" s="321"/>
    </row>
    <row r="590" spans="2:15">
      <c r="B590" s="204" t="str">
        <f ca="1"/>
        <v>Poland Central School District</v>
      </c>
      <c r="C590" s="206">
        <f>IF(COUNTIF(CONTROL!$B$52:$B$101,'Funding by District'!D486)&gt;=1,"",ROW()-104)</f>
        <v>486</v>
      </c>
      <c r="N590" s="321"/>
      <c r="O590" s="321"/>
    </row>
    <row r="591" spans="2:15">
      <c r="B591" s="204" t="str">
        <f ca="1"/>
        <v>Port Byron Central School District</v>
      </c>
      <c r="C591" s="206">
        <f>IF(COUNTIF(CONTROL!$B$52:$B$101,'Funding by District'!D487)&gt;=1,"",ROW()-104)</f>
        <v>487</v>
      </c>
      <c r="N591" s="321"/>
      <c r="O591" s="321"/>
    </row>
    <row r="592" spans="2:15">
      <c r="B592" s="204" t="str">
        <f ca="1"/>
        <v>Port Chester-Rye Union Free School District</v>
      </c>
      <c r="C592" s="206">
        <f>IF(COUNTIF(CONTROL!$B$52:$B$101,'Funding by District'!D488)&gt;=1,"",ROW()-104)</f>
        <v>488</v>
      </c>
      <c r="N592" s="321"/>
      <c r="O592" s="321"/>
    </row>
    <row r="593" spans="2:15">
      <c r="B593" s="204" t="str">
        <f ca="1"/>
        <v>Port Jefferson Union Free School District</v>
      </c>
      <c r="C593" s="206">
        <f>IF(COUNTIF(CONTROL!$B$52:$B$101,'Funding by District'!D489)&gt;=1,"",ROW()-104)</f>
        <v>489</v>
      </c>
      <c r="N593" s="321"/>
      <c r="O593" s="321"/>
    </row>
    <row r="594" spans="2:15">
      <c r="B594" s="204" t="str">
        <f ca="1"/>
        <v>Port Jervis City School District</v>
      </c>
      <c r="C594" s="206">
        <f>IF(COUNTIF(CONTROL!$B$52:$B$101,'Funding by District'!D490)&gt;=1,"",ROW()-104)</f>
        <v>490</v>
      </c>
      <c r="N594" s="321"/>
      <c r="O594" s="321"/>
    </row>
    <row r="595" spans="2:15">
      <c r="B595" s="204" t="str">
        <f ca="1"/>
        <v>Port Washington Union Free School District</v>
      </c>
      <c r="C595" s="206">
        <f>IF(COUNTIF(CONTROL!$B$52:$B$101,'Funding by District'!D491)&gt;=1,"",ROW()-104)</f>
        <v>491</v>
      </c>
      <c r="N595" s="321"/>
      <c r="O595" s="321"/>
    </row>
    <row r="596" spans="2:15">
      <c r="B596" s="204" t="str">
        <f ca="1"/>
        <v>Portville Central School District</v>
      </c>
      <c r="C596" s="206">
        <f>IF(COUNTIF(CONTROL!$B$52:$B$101,'Funding by District'!D492)&gt;=1,"",ROW()-104)</f>
        <v>492</v>
      </c>
      <c r="N596" s="321"/>
      <c r="O596" s="321"/>
    </row>
    <row r="597" spans="2:15">
      <c r="B597" s="204" t="str">
        <f ca="1"/>
        <v>Potsdam Central School District</v>
      </c>
      <c r="C597" s="206">
        <f>IF(COUNTIF(CONTROL!$B$52:$B$101,'Funding by District'!D493)&gt;=1,"",ROW()-104)</f>
        <v>493</v>
      </c>
      <c r="N597" s="321"/>
      <c r="O597" s="321"/>
    </row>
    <row r="598" spans="2:15">
      <c r="B598" s="204" t="str">
        <f ca="1"/>
        <v>Poughkeepsie City School District</v>
      </c>
      <c r="C598" s="206">
        <f>IF(COUNTIF(CONTROL!$B$52:$B$101,'Funding by District'!D494)&gt;=1,"",ROW()-104)</f>
        <v>494</v>
      </c>
      <c r="N598" s="321"/>
      <c r="O598" s="321"/>
    </row>
    <row r="599" spans="2:15">
      <c r="B599" s="204" t="str">
        <f ca="1"/>
        <v>Prattsburgh Central School District</v>
      </c>
      <c r="C599" s="206">
        <f>IF(COUNTIF(CONTROL!$B$52:$B$101,'Funding by District'!D495)&gt;=1,"",ROW()-104)</f>
        <v>495</v>
      </c>
      <c r="N599" s="321"/>
      <c r="O599" s="321"/>
    </row>
    <row r="600" spans="2:15">
      <c r="B600" s="204" t="str">
        <f ca="1"/>
        <v>Pulaski (Academy) Central School District</v>
      </c>
      <c r="C600" s="206">
        <f>IF(COUNTIF(CONTROL!$B$52:$B$101,'Funding by District'!D496)&gt;=1,"",ROW()-104)</f>
        <v>496</v>
      </c>
      <c r="N600" s="321"/>
      <c r="O600" s="321"/>
    </row>
    <row r="601" spans="2:15">
      <c r="B601" s="204" t="str">
        <f ca="1"/>
        <v>Putnam Central School District</v>
      </c>
      <c r="C601" s="206">
        <f>IF(COUNTIF(CONTROL!$B$52:$B$101,'Funding by District'!D497)&gt;=1,"",ROW()-104)</f>
        <v>497</v>
      </c>
      <c r="N601" s="321"/>
      <c r="O601" s="321"/>
    </row>
    <row r="602" spans="2:15">
      <c r="B602" s="204" t="str">
        <f ca="1"/>
        <v>Putnam Valley Central School District</v>
      </c>
      <c r="C602" s="206">
        <f>IF(COUNTIF(CONTROL!$B$52:$B$101,'Funding by District'!D498)&gt;=1,"",ROW()-104)</f>
        <v>498</v>
      </c>
      <c r="N602" s="321"/>
      <c r="O602" s="321"/>
    </row>
    <row r="603" spans="2:15">
      <c r="B603" s="204" t="str">
        <f ca="1"/>
        <v>Queensbury Union Free School District</v>
      </c>
      <c r="C603" s="206">
        <f>IF(COUNTIF(CONTROL!$B$52:$B$101,'Funding by District'!D499)&gt;=1,"",ROW()-104)</f>
        <v>499</v>
      </c>
      <c r="N603" s="321"/>
      <c r="O603" s="321"/>
    </row>
    <row r="604" spans="2:15">
      <c r="B604" s="204" t="str">
        <f ca="1"/>
        <v>Quogue Union Free School District</v>
      </c>
      <c r="C604" s="206">
        <f>IF(COUNTIF(CONTROL!$B$52:$B$101,'Funding by District'!D500)&gt;=1,"",ROW()-104)</f>
        <v>500</v>
      </c>
      <c r="N604" s="321"/>
      <c r="O604" s="321"/>
    </row>
    <row r="605" spans="2:15">
      <c r="B605" s="204" t="str">
        <f ca="1"/>
        <v>Randolph Central School District</v>
      </c>
      <c r="C605" s="206">
        <f>IF(COUNTIF(CONTROL!$B$52:$B$101,'Funding by District'!D501)&gt;=1,"",ROW()-104)</f>
        <v>501</v>
      </c>
      <c r="N605" s="321"/>
      <c r="O605" s="321"/>
    </row>
    <row r="606" spans="2:15">
      <c r="B606" s="204" t="str">
        <f ca="1"/>
        <v>Ravena-Coeymans-Selkirk Central School District</v>
      </c>
      <c r="C606" s="206">
        <f>IF(COUNTIF(CONTROL!$B$52:$B$101,'Funding by District'!D502)&gt;=1,"",ROW()-104)</f>
        <v>502</v>
      </c>
      <c r="N606" s="321"/>
      <c r="O606" s="321"/>
    </row>
    <row r="607" spans="2:15">
      <c r="B607" s="204" t="str">
        <f ca="1"/>
        <v>Red Creek Central School District</v>
      </c>
      <c r="C607" s="206">
        <f>IF(COUNTIF(CONTROL!$B$52:$B$101,'Funding by District'!D503)&gt;=1,"",ROW()-104)</f>
        <v>503</v>
      </c>
      <c r="N607" s="321"/>
      <c r="O607" s="321"/>
    </row>
    <row r="608" spans="2:15">
      <c r="B608" s="204" t="str">
        <f ca="1"/>
        <v>Red Hook Central School District</v>
      </c>
      <c r="C608" s="206">
        <f>IF(COUNTIF(CONTROL!$B$52:$B$101,'Funding by District'!D504)&gt;=1,"",ROW()-104)</f>
        <v>504</v>
      </c>
      <c r="N608" s="321"/>
      <c r="O608" s="321"/>
    </row>
    <row r="609" spans="2:15">
      <c r="B609" s="204" t="str">
        <f ca="1"/>
        <v>Remsen Central School District</v>
      </c>
      <c r="C609" s="206">
        <f>IF(COUNTIF(CONTROL!$B$52:$B$101,'Funding by District'!D505)&gt;=1,"",ROW()-104)</f>
        <v>505</v>
      </c>
      <c r="N609" s="321"/>
      <c r="O609" s="321"/>
    </row>
    <row r="610" spans="2:15">
      <c r="B610" s="204" t="str">
        <f ca="1"/>
        <v>Remsenburg-Speonk Union Free School District</v>
      </c>
      <c r="C610" s="206">
        <f>IF(COUNTIF(CONTROL!$B$52:$B$101,'Funding by District'!D506)&gt;=1,"",ROW()-104)</f>
        <v>506</v>
      </c>
      <c r="N610" s="321"/>
      <c r="O610" s="321"/>
    </row>
    <row r="611" spans="2:15">
      <c r="B611" s="204" t="str">
        <f ca="1"/>
        <v>Rensselaer City School District</v>
      </c>
      <c r="C611" s="206">
        <f>IF(COUNTIF(CONTROL!$B$52:$B$101,'Funding by District'!D507)&gt;=1,"",ROW()-104)</f>
        <v>507</v>
      </c>
      <c r="N611" s="321"/>
      <c r="O611" s="321"/>
    </row>
    <row r="612" spans="2:15">
      <c r="B612" s="204" t="str">
        <f ca="1"/>
        <v>Rhinebeck Central School District</v>
      </c>
      <c r="C612" s="206">
        <f>IF(COUNTIF(CONTROL!$B$52:$B$101,'Funding by District'!D508)&gt;=1,"",ROW()-104)</f>
        <v>508</v>
      </c>
      <c r="N612" s="321"/>
      <c r="O612" s="321"/>
    </row>
    <row r="613" spans="2:15">
      <c r="B613" s="204" t="str">
        <f ca="1"/>
        <v>Richfield Springs Central School District</v>
      </c>
      <c r="C613" s="206">
        <f>IF(COUNTIF(CONTROL!$B$52:$B$101,'Funding by District'!D509)&gt;=1,"",ROW()-104)</f>
        <v>509</v>
      </c>
      <c r="N613" s="321"/>
      <c r="O613" s="321"/>
    </row>
    <row r="614" spans="2:15">
      <c r="B614" s="204" t="str">
        <f ca="1"/>
        <v>Ripley Central School District</v>
      </c>
      <c r="C614" s="206">
        <f>IF(COUNTIF(CONTROL!$B$52:$B$101,'Funding by District'!D510)&gt;=1,"",ROW()-104)</f>
        <v>510</v>
      </c>
      <c r="N614" s="321"/>
      <c r="O614" s="321"/>
    </row>
    <row r="615" spans="2:15">
      <c r="B615" s="204" t="str">
        <f ca="1"/>
        <v>Riverhead Central School District</v>
      </c>
      <c r="C615" s="206">
        <f>IF(COUNTIF(CONTROL!$B$52:$B$101,'Funding by District'!D511)&gt;=1,"",ROW()-104)</f>
        <v>511</v>
      </c>
      <c r="N615" s="321"/>
      <c r="O615" s="321"/>
    </row>
    <row r="616" spans="2:15">
      <c r="B616" s="204" t="str">
        <f ca="1"/>
        <v>Rochester City School District</v>
      </c>
      <c r="C616" s="206">
        <f>IF(COUNTIF(CONTROL!$B$52:$B$101,'Funding by District'!D512)&gt;=1,"",ROW()-104)</f>
        <v>512</v>
      </c>
      <c r="N616" s="321"/>
      <c r="O616" s="321"/>
    </row>
    <row r="617" spans="2:15">
      <c r="B617" s="204" t="str">
        <f ca="1"/>
        <v>Rockville Centre Union Free School District</v>
      </c>
      <c r="C617" s="206">
        <f>IF(COUNTIF(CONTROL!$B$52:$B$101,'Funding by District'!D513)&gt;=1,"",ROW()-104)</f>
        <v>513</v>
      </c>
      <c r="N617" s="321"/>
      <c r="O617" s="321"/>
    </row>
    <row r="618" spans="2:15">
      <c r="B618" s="204" t="str">
        <f ca="1"/>
        <v>Rocky Point Union Free School District</v>
      </c>
      <c r="C618" s="206">
        <f>IF(COUNTIF(CONTROL!$B$52:$B$101,'Funding by District'!D514)&gt;=1,"",ROW()-104)</f>
        <v>514</v>
      </c>
      <c r="N618" s="321"/>
      <c r="O618" s="321"/>
    </row>
    <row r="619" spans="2:15">
      <c r="B619" s="204" t="str">
        <f ca="1"/>
        <v>Rome City School District</v>
      </c>
      <c r="C619" s="206">
        <f>IF(COUNTIF(CONTROL!$B$52:$B$101,'Funding by District'!D515)&gt;=1,"",ROW()-104)</f>
        <v>515</v>
      </c>
      <c r="N619" s="321"/>
      <c r="O619" s="321"/>
    </row>
    <row r="620" spans="2:15">
      <c r="B620" s="204" t="str">
        <f ca="1"/>
        <v>Romulus Central School District</v>
      </c>
      <c r="C620" s="206">
        <f>IF(COUNTIF(CONTROL!$B$52:$B$101,'Funding by District'!D516)&gt;=1,"",ROW()-104)</f>
        <v>516</v>
      </c>
      <c r="N620" s="321"/>
      <c r="O620" s="321"/>
    </row>
    <row r="621" spans="2:15">
      <c r="B621" s="204" t="str">
        <f ca="1"/>
        <v>Rondout Valley Central School District</v>
      </c>
      <c r="C621" s="206">
        <f>IF(COUNTIF(CONTROL!$B$52:$B$101,'Funding by District'!D517)&gt;=1,"",ROW()-104)</f>
        <v>517</v>
      </c>
      <c r="N621" s="321"/>
      <c r="O621" s="321"/>
    </row>
    <row r="622" spans="2:15">
      <c r="B622" s="204" t="str">
        <f ca="1"/>
        <v>Roosevelt Union Free School District</v>
      </c>
      <c r="C622" s="206">
        <f>IF(COUNTIF(CONTROL!$B$52:$B$101,'Funding by District'!D518)&gt;=1,"",ROW()-104)</f>
        <v>518</v>
      </c>
      <c r="N622" s="321"/>
      <c r="O622" s="321"/>
    </row>
    <row r="623" spans="2:15">
      <c r="B623" s="204" t="str">
        <f ca="1"/>
        <v>Roscoe Central School District</v>
      </c>
      <c r="C623" s="206">
        <f>IF(COUNTIF(CONTROL!$B$52:$B$101,'Funding by District'!D519)&gt;=1,"",ROW()-104)</f>
        <v>519</v>
      </c>
      <c r="N623" s="321"/>
      <c r="O623" s="321"/>
    </row>
    <row r="624" spans="2:15">
      <c r="B624" s="204" t="str">
        <f ca="1"/>
        <v>Roslyn Union Free School District</v>
      </c>
      <c r="C624" s="206">
        <f>IF(COUNTIF(CONTROL!$B$52:$B$101,'Funding by District'!D520)&gt;=1,"",ROW()-104)</f>
        <v>520</v>
      </c>
      <c r="N624" s="321"/>
      <c r="O624" s="321"/>
    </row>
    <row r="625" spans="2:15">
      <c r="B625" s="204" t="str">
        <f ca="1"/>
        <v>Roxbury Central School District</v>
      </c>
      <c r="C625" s="206">
        <f>IF(COUNTIF(CONTROL!$B$52:$B$101,'Funding by District'!D521)&gt;=1,"",ROW()-104)</f>
        <v>521</v>
      </c>
      <c r="N625" s="321"/>
      <c r="O625" s="321"/>
    </row>
    <row r="626" spans="2:15">
      <c r="B626" s="204" t="str">
        <f ca="1"/>
        <v>Royalton-Hartland Central School District</v>
      </c>
      <c r="C626" s="206">
        <f>IF(COUNTIF(CONTROL!$B$52:$B$101,'Funding by District'!D522)&gt;=1,"",ROW()-104)</f>
        <v>522</v>
      </c>
      <c r="N626" s="321"/>
      <c r="O626" s="321"/>
    </row>
    <row r="627" spans="2:15">
      <c r="B627" s="204" t="str">
        <f ca="1"/>
        <v>Rush-Henrietta Central School District</v>
      </c>
      <c r="C627" s="206">
        <f>IF(COUNTIF(CONTROL!$B$52:$B$101,'Funding by District'!D523)&gt;=1,"",ROW()-104)</f>
        <v>523</v>
      </c>
      <c r="N627" s="321"/>
      <c r="O627" s="321"/>
    </row>
    <row r="628" spans="2:15">
      <c r="B628" s="204" t="str">
        <f ca="1"/>
        <v>Rye City School District</v>
      </c>
      <c r="C628" s="206">
        <f>IF(COUNTIF(CONTROL!$B$52:$B$101,'Funding by District'!D524)&gt;=1,"",ROW()-104)</f>
        <v>524</v>
      </c>
      <c r="N628" s="321"/>
      <c r="O628" s="321"/>
    </row>
    <row r="629" spans="2:15">
      <c r="B629" s="204" t="str">
        <f ca="1"/>
        <v>Rye Neck Union Free School District</v>
      </c>
      <c r="C629" s="206">
        <f>IF(COUNTIF(CONTROL!$B$52:$B$101,'Funding by District'!D525)&gt;=1,"",ROW()-104)</f>
        <v>525</v>
      </c>
      <c r="N629" s="321"/>
      <c r="O629" s="321"/>
    </row>
    <row r="630" spans="2:15">
      <c r="B630" s="204" t="str">
        <f ca="1"/>
        <v>Sachem Central School District</v>
      </c>
      <c r="C630" s="206">
        <f>IF(COUNTIF(CONTROL!$B$52:$B$101,'Funding by District'!D526)&gt;=1,"",ROW()-104)</f>
        <v>526</v>
      </c>
      <c r="N630" s="321"/>
      <c r="O630" s="321"/>
    </row>
    <row r="631" spans="2:15">
      <c r="B631" s="204" t="str">
        <f ca="1"/>
        <v>Sackets Harbor Central School District</v>
      </c>
      <c r="C631" s="206">
        <f>IF(COUNTIF(CONTROL!$B$52:$B$101,'Funding by District'!D527)&gt;=1,"",ROW()-104)</f>
        <v>527</v>
      </c>
      <c r="N631" s="321"/>
      <c r="O631" s="321"/>
    </row>
    <row r="632" spans="2:15">
      <c r="B632" s="204" t="str">
        <f ca="1"/>
        <v>Sag Harbor Union Free School District</v>
      </c>
      <c r="C632" s="206">
        <f>IF(COUNTIF(CONTROL!$B$52:$B$101,'Funding by District'!D528)&gt;=1,"",ROW()-104)</f>
        <v>528</v>
      </c>
      <c r="N632" s="321"/>
      <c r="O632" s="321"/>
    </row>
    <row r="633" spans="2:15">
      <c r="B633" s="204" t="str">
        <f ca="1"/>
        <v>Sagaponack Common School District</v>
      </c>
      <c r="C633" s="206">
        <f>IF(COUNTIF(CONTROL!$B$52:$B$101,'Funding by District'!D529)&gt;=1,"",ROW()-104)</f>
        <v>529</v>
      </c>
      <c r="N633" s="321"/>
      <c r="O633" s="321"/>
    </row>
    <row r="634" spans="2:15">
      <c r="B634" s="204" t="str">
        <f ca="1"/>
        <v>Saint Regis Falls Central School District</v>
      </c>
      <c r="C634" s="206">
        <f>IF(COUNTIF(CONTROL!$B$52:$B$101,'Funding by District'!D530)&gt;=1,"",ROW()-104)</f>
        <v>530</v>
      </c>
      <c r="N634" s="321"/>
      <c r="O634" s="321"/>
    </row>
    <row r="635" spans="2:15">
      <c r="B635" s="204" t="str">
        <f ca="1"/>
        <v>Salamanca City School District</v>
      </c>
      <c r="C635" s="206">
        <f>IF(COUNTIF(CONTROL!$B$52:$B$101,'Funding by District'!D531)&gt;=1,"",ROW()-104)</f>
        <v>531</v>
      </c>
      <c r="N635" s="321"/>
      <c r="O635" s="321"/>
    </row>
    <row r="636" spans="2:15">
      <c r="B636" s="204" t="str">
        <f ca="1"/>
        <v>Salem Central School District</v>
      </c>
      <c r="C636" s="206">
        <f>IF(COUNTIF(CONTROL!$B$52:$B$101,'Funding by District'!D532)&gt;=1,"",ROW()-104)</f>
        <v>532</v>
      </c>
      <c r="N636" s="321"/>
      <c r="O636" s="321"/>
    </row>
    <row r="637" spans="2:15">
      <c r="B637" s="204" t="str">
        <f ca="1"/>
        <v>Salmon River Central School District</v>
      </c>
      <c r="C637" s="206">
        <f>IF(COUNTIF(CONTROL!$B$52:$B$101,'Funding by District'!D533)&gt;=1,"",ROW()-104)</f>
        <v>533</v>
      </c>
      <c r="N637" s="321"/>
      <c r="O637" s="321"/>
    </row>
    <row r="638" spans="2:15">
      <c r="B638" s="204" t="str">
        <f ca="1"/>
        <v>Sandy Creek Central School District</v>
      </c>
      <c r="C638" s="206">
        <f>IF(COUNTIF(CONTROL!$B$52:$B$101,'Funding by District'!D534)&gt;=1,"",ROW()-104)</f>
        <v>534</v>
      </c>
      <c r="N638" s="321"/>
      <c r="O638" s="321"/>
    </row>
    <row r="639" spans="2:15">
      <c r="B639" s="204" t="str">
        <f ca="1"/>
        <v>Saranac Central School District</v>
      </c>
      <c r="C639" s="206">
        <f>IF(COUNTIF(CONTROL!$B$52:$B$101,'Funding by District'!D535)&gt;=1,"",ROW()-104)</f>
        <v>535</v>
      </c>
      <c r="N639" s="321"/>
      <c r="O639" s="321"/>
    </row>
    <row r="640" spans="2:15">
      <c r="B640" s="204" t="str">
        <f ca="1"/>
        <v>Saranac Lake Central School District</v>
      </c>
      <c r="C640" s="206">
        <f>IF(COUNTIF(CONTROL!$B$52:$B$101,'Funding by District'!D536)&gt;=1,"",ROW()-104)</f>
        <v>536</v>
      </c>
      <c r="N640" s="321"/>
      <c r="O640" s="321"/>
    </row>
    <row r="641" spans="2:15">
      <c r="B641" s="204" t="str">
        <f ca="1"/>
        <v>Saratoga Springs City School District</v>
      </c>
      <c r="C641" s="206">
        <f>IF(COUNTIF(CONTROL!$B$52:$B$101,'Funding by District'!D537)&gt;=1,"",ROW()-104)</f>
        <v>537</v>
      </c>
      <c r="N641" s="321"/>
      <c r="O641" s="321"/>
    </row>
    <row r="642" spans="2:15">
      <c r="B642" s="204" t="str">
        <f ca="1"/>
        <v>Saugerties Central School District</v>
      </c>
      <c r="C642" s="206">
        <f>IF(COUNTIF(CONTROL!$B$52:$B$101,'Funding by District'!D538)&gt;=1,"",ROW()-104)</f>
        <v>538</v>
      </c>
      <c r="N642" s="321"/>
      <c r="O642" s="321"/>
    </row>
    <row r="643" spans="2:15">
      <c r="B643" s="204" t="str">
        <f ca="1"/>
        <v>Sauquoit Valley Central School District</v>
      </c>
      <c r="C643" s="206">
        <f>IF(COUNTIF(CONTROL!$B$52:$B$101,'Funding by District'!D539)&gt;=1,"",ROW()-104)</f>
        <v>539</v>
      </c>
      <c r="N643" s="321"/>
      <c r="O643" s="321"/>
    </row>
    <row r="644" spans="2:15">
      <c r="B644" s="204" t="str">
        <f ca="1"/>
        <v>Sayville Union Free School District</v>
      </c>
      <c r="C644" s="206">
        <f>IF(COUNTIF(CONTROL!$B$52:$B$101,'Funding by District'!D540)&gt;=1,"",ROW()-104)</f>
        <v>540</v>
      </c>
      <c r="N644" s="321"/>
      <c r="O644" s="321"/>
    </row>
    <row r="645" spans="2:15">
      <c r="B645" s="204" t="str">
        <f ca="1"/>
        <v>Scarsdale Union Free School District</v>
      </c>
      <c r="C645" s="206">
        <f>IF(COUNTIF(CONTROL!$B$52:$B$101,'Funding by District'!D541)&gt;=1,"",ROW()-104)</f>
        <v>541</v>
      </c>
      <c r="N645" s="321"/>
      <c r="O645" s="321"/>
    </row>
    <row r="646" spans="2:15">
      <c r="B646" s="204" t="str">
        <f ca="1"/>
        <v>Schalmont Central School District</v>
      </c>
      <c r="C646" s="206">
        <f>IF(COUNTIF(CONTROL!$B$52:$B$101,'Funding by District'!D542)&gt;=1,"",ROW()-104)</f>
        <v>542</v>
      </c>
      <c r="N646" s="321"/>
      <c r="O646" s="321"/>
    </row>
    <row r="647" spans="2:15">
      <c r="B647" s="204" t="str">
        <f ca="1"/>
        <v>Schenectady City School District</v>
      </c>
      <c r="C647" s="206">
        <f>IF(COUNTIF(CONTROL!$B$52:$B$101,'Funding by District'!D543)&gt;=1,"",ROW()-104)</f>
        <v>543</v>
      </c>
      <c r="N647" s="321"/>
      <c r="O647" s="321"/>
    </row>
    <row r="648" spans="2:15">
      <c r="B648" s="204" t="str">
        <f ca="1"/>
        <v>Schenevus Central School District</v>
      </c>
      <c r="C648" s="206">
        <f>IF(COUNTIF(CONTROL!$B$52:$B$101,'Funding by District'!D544)&gt;=1,"",ROW()-104)</f>
        <v>544</v>
      </c>
      <c r="N648" s="321"/>
      <c r="O648" s="321"/>
    </row>
    <row r="649" spans="2:15">
      <c r="B649" s="204" t="str">
        <f ca="1"/>
        <v>Schodack Central School District</v>
      </c>
      <c r="C649" s="206">
        <f>IF(COUNTIF(CONTROL!$B$52:$B$101,'Funding by District'!D545)&gt;=1,"",ROW()-104)</f>
        <v>545</v>
      </c>
      <c r="N649" s="321"/>
      <c r="O649" s="321"/>
    </row>
    <row r="650" spans="2:15">
      <c r="B650" s="204" t="str">
        <f ca="1"/>
        <v>Schoharie Central School District</v>
      </c>
      <c r="C650" s="206">
        <f>IF(COUNTIF(CONTROL!$B$52:$B$101,'Funding by District'!D546)&gt;=1,"",ROW()-104)</f>
        <v>546</v>
      </c>
      <c r="N650" s="321"/>
      <c r="O650" s="321"/>
    </row>
    <row r="651" spans="2:15">
      <c r="B651" s="204" t="str">
        <f ca="1"/>
        <v>Schroon Lake Central School District</v>
      </c>
      <c r="C651" s="206">
        <f>IF(COUNTIF(CONTROL!$B$52:$B$101,'Funding by District'!D547)&gt;=1,"",ROW()-104)</f>
        <v>547</v>
      </c>
      <c r="N651" s="321"/>
      <c r="O651" s="321"/>
    </row>
    <row r="652" spans="2:15">
      <c r="B652" s="204" t="str">
        <f ca="1"/>
        <v>Schuylerville Central School District</v>
      </c>
      <c r="C652" s="206">
        <f>IF(COUNTIF(CONTROL!$B$52:$B$101,'Funding by District'!D548)&gt;=1,"",ROW()-104)</f>
        <v>548</v>
      </c>
      <c r="N652" s="321"/>
      <c r="O652" s="321"/>
    </row>
    <row r="653" spans="2:15">
      <c r="B653" s="204" t="str">
        <f ca="1"/>
        <v>Scio Central School District</v>
      </c>
      <c r="C653" s="206">
        <f>IF(COUNTIF(CONTROL!$B$52:$B$101,'Funding by District'!D549)&gt;=1,"",ROW()-104)</f>
        <v>549</v>
      </c>
      <c r="N653" s="321"/>
      <c r="O653" s="321"/>
    </row>
    <row r="654" spans="2:15">
      <c r="B654" s="204" t="str">
        <f ca="1"/>
        <v>Scotia-Glenville Central School District</v>
      </c>
      <c r="C654" s="206">
        <f>IF(COUNTIF(CONTROL!$B$52:$B$101,'Funding by District'!D550)&gt;=1,"",ROW()-104)</f>
        <v>550</v>
      </c>
      <c r="N654" s="321"/>
      <c r="O654" s="321"/>
    </row>
    <row r="655" spans="2:15">
      <c r="B655" s="204" t="str">
        <f ca="1"/>
        <v>Seaford Union Free School District</v>
      </c>
      <c r="C655" s="206">
        <f>IF(COUNTIF(CONTROL!$B$52:$B$101,'Funding by District'!D551)&gt;=1,"",ROW()-104)</f>
        <v>551</v>
      </c>
      <c r="N655" s="321"/>
      <c r="O655" s="321"/>
    </row>
    <row r="656" spans="2:15">
      <c r="B656" s="204" t="str">
        <f ca="1"/>
        <v>Seneca Falls Central School District</v>
      </c>
      <c r="C656" s="206">
        <f>IF(COUNTIF(CONTROL!$B$52:$B$101,'Funding by District'!D552)&gt;=1,"",ROW()-104)</f>
        <v>552</v>
      </c>
      <c r="N656" s="321"/>
      <c r="O656" s="321"/>
    </row>
    <row r="657" spans="2:15">
      <c r="B657" s="204" t="str">
        <f ca="1"/>
        <v>Sewanhaka Central High School District</v>
      </c>
      <c r="C657" s="206">
        <f>IF(COUNTIF(CONTROL!$B$52:$B$101,'Funding by District'!D553)&gt;=1,"",ROW()-104)</f>
        <v>553</v>
      </c>
      <c r="N657" s="321"/>
      <c r="O657" s="321"/>
    </row>
    <row r="658" spans="2:15">
      <c r="B658" s="204" t="str">
        <f ca="1"/>
        <v>Sharon Springs Central School District</v>
      </c>
      <c r="C658" s="206">
        <f>IF(COUNTIF(CONTROL!$B$52:$B$101,'Funding by District'!D554)&gt;=1,"",ROW()-104)</f>
        <v>554</v>
      </c>
      <c r="N658" s="321"/>
      <c r="O658" s="321"/>
    </row>
    <row r="659" spans="2:15">
      <c r="B659" s="204" t="str">
        <f ca="1"/>
        <v>Shelter Island Union Free School District</v>
      </c>
      <c r="C659" s="206">
        <f>IF(COUNTIF(CONTROL!$B$52:$B$101,'Funding by District'!D555)&gt;=1,"",ROW()-104)</f>
        <v>555</v>
      </c>
      <c r="N659" s="321"/>
      <c r="O659" s="321"/>
    </row>
    <row r="660" spans="2:15">
      <c r="B660" s="204" t="str">
        <f ca="1"/>
        <v>Shenendehowa Central School District</v>
      </c>
      <c r="C660" s="206">
        <f>IF(COUNTIF(CONTROL!$B$52:$B$101,'Funding by District'!D556)&gt;=1,"",ROW()-104)</f>
        <v>556</v>
      </c>
      <c r="N660" s="321"/>
      <c r="O660" s="321"/>
    </row>
    <row r="661" spans="2:15">
      <c r="B661" s="204" t="str">
        <f ca="1"/>
        <v>Sherburne-Earlville Central School District</v>
      </c>
      <c r="C661" s="206">
        <f>IF(COUNTIF(CONTROL!$B$52:$B$101,'Funding by District'!D557)&gt;=1,"",ROW()-104)</f>
        <v>557</v>
      </c>
      <c r="N661" s="321"/>
      <c r="O661" s="321"/>
    </row>
    <row r="662" spans="2:15">
      <c r="B662" s="204" t="str">
        <f ca="1"/>
        <v>Sherman Central School District</v>
      </c>
      <c r="C662" s="206">
        <f>IF(COUNTIF(CONTROL!$B$52:$B$101,'Funding by District'!D558)&gt;=1,"",ROW()-104)</f>
        <v>558</v>
      </c>
      <c r="N662" s="321"/>
      <c r="O662" s="321"/>
    </row>
    <row r="663" spans="2:15">
      <c r="B663" s="204" t="str">
        <f ca="1"/>
        <v>Shoreham-Wading River Central School District</v>
      </c>
      <c r="C663" s="206">
        <f>IF(COUNTIF(CONTROL!$B$52:$B$101,'Funding by District'!D559)&gt;=1,"",ROW()-104)</f>
        <v>559</v>
      </c>
      <c r="N663" s="321"/>
      <c r="O663" s="321"/>
    </row>
    <row r="664" spans="2:15">
      <c r="B664" s="204" t="str">
        <f ca="1"/>
        <v>Sidney Central School District</v>
      </c>
      <c r="C664" s="206">
        <f>IF(COUNTIF(CONTROL!$B$52:$B$101,'Funding by District'!D560)&gt;=1,"",ROW()-104)</f>
        <v>560</v>
      </c>
      <c r="N664" s="321"/>
      <c r="O664" s="321"/>
    </row>
    <row r="665" spans="2:15">
      <c r="B665" s="204" t="str">
        <f ca="1"/>
        <v>Silver Creek Central School District</v>
      </c>
      <c r="C665" s="206">
        <f>IF(COUNTIF(CONTROL!$B$52:$B$101,'Funding by District'!D561)&gt;=1,"",ROW()-104)</f>
        <v>561</v>
      </c>
      <c r="N665" s="321"/>
      <c r="O665" s="321"/>
    </row>
    <row r="666" spans="2:15">
      <c r="B666" s="204" t="str">
        <f ca="1"/>
        <v>Skaneateles Central School District</v>
      </c>
      <c r="C666" s="206">
        <f>IF(COUNTIF(CONTROL!$B$52:$B$101,'Funding by District'!D562)&gt;=1,"",ROW()-104)</f>
        <v>562</v>
      </c>
      <c r="N666" s="321"/>
      <c r="O666" s="321"/>
    </row>
    <row r="667" spans="2:15">
      <c r="B667" s="204" t="str">
        <f ca="1"/>
        <v>Smithtown Central School District</v>
      </c>
      <c r="C667" s="206">
        <f>IF(COUNTIF(CONTROL!$B$52:$B$101,'Funding by District'!D563)&gt;=1,"",ROW()-104)</f>
        <v>563</v>
      </c>
      <c r="N667" s="321"/>
      <c r="O667" s="321"/>
    </row>
    <row r="668" spans="2:15">
      <c r="B668" s="204" t="str">
        <f ca="1"/>
        <v>Sodus Central School District</v>
      </c>
      <c r="C668" s="206">
        <f>IF(COUNTIF(CONTROL!$B$52:$B$101,'Funding by District'!D564)&gt;=1,"",ROW()-104)</f>
        <v>564</v>
      </c>
      <c r="N668" s="321"/>
      <c r="O668" s="321"/>
    </row>
    <row r="669" spans="2:15">
      <c r="B669" s="204" t="str">
        <f ca="1"/>
        <v>Solvay Union Free School District</v>
      </c>
      <c r="C669" s="206">
        <f>IF(COUNTIF(CONTROL!$B$52:$B$101,'Funding by District'!D565)&gt;=1,"",ROW()-104)</f>
        <v>565</v>
      </c>
      <c r="N669" s="321"/>
      <c r="O669" s="321"/>
    </row>
    <row r="670" spans="2:15">
      <c r="B670" s="204" t="str">
        <f ca="1"/>
        <v>Somers Central School District</v>
      </c>
      <c r="C670" s="206">
        <f>IF(COUNTIF(CONTROL!$B$52:$B$101,'Funding by District'!D566)&gt;=1,"",ROW()-104)</f>
        <v>566</v>
      </c>
      <c r="N670" s="321"/>
      <c r="O670" s="321"/>
    </row>
    <row r="671" spans="2:15">
      <c r="B671" s="204" t="str">
        <f ca="1"/>
        <v>South Colonie Central School District</v>
      </c>
      <c r="C671" s="206">
        <f>IF(COUNTIF(CONTROL!$B$52:$B$101,'Funding by District'!D567)&gt;=1,"",ROW()-104)</f>
        <v>567</v>
      </c>
      <c r="N671" s="321"/>
      <c r="O671" s="321"/>
    </row>
    <row r="672" spans="2:15">
      <c r="B672" s="204" t="str">
        <f ca="1"/>
        <v>South Country Central School District</v>
      </c>
      <c r="C672" s="206">
        <f>IF(COUNTIF(CONTROL!$B$52:$B$101,'Funding by District'!D568)&gt;=1,"",ROW()-104)</f>
        <v>568</v>
      </c>
      <c r="N672" s="321"/>
      <c r="O672" s="321"/>
    </row>
    <row r="673" spans="2:15">
      <c r="B673" s="204" t="str">
        <f ca="1"/>
        <v>South Glens Falls Central School District</v>
      </c>
      <c r="C673" s="206">
        <f>IF(COUNTIF(CONTROL!$B$52:$B$101,'Funding by District'!D569)&gt;=1,"",ROW()-104)</f>
        <v>569</v>
      </c>
      <c r="N673" s="321"/>
      <c r="O673" s="321"/>
    </row>
    <row r="674" spans="2:15">
      <c r="B674" s="204" t="str">
        <f ca="1"/>
        <v>South Huntington Union Free School District</v>
      </c>
      <c r="C674" s="206">
        <f>IF(COUNTIF(CONTROL!$B$52:$B$101,'Funding by District'!D570)&gt;=1,"",ROW()-104)</f>
        <v>570</v>
      </c>
      <c r="N674" s="321"/>
      <c r="O674" s="321"/>
    </row>
    <row r="675" spans="2:15">
      <c r="B675" s="204" t="str">
        <f ca="1"/>
        <v>South Jefferson Central School District</v>
      </c>
      <c r="C675" s="206">
        <f>IF(COUNTIF(CONTROL!$B$52:$B$101,'Funding by District'!D571)&gt;=1,"",ROW()-104)</f>
        <v>571</v>
      </c>
      <c r="N675" s="321"/>
      <c r="O675" s="321"/>
    </row>
    <row r="676" spans="2:15">
      <c r="B676" s="204" t="str">
        <f ca="1"/>
        <v>South Kortright Central School District</v>
      </c>
      <c r="C676" s="206">
        <f>IF(COUNTIF(CONTROL!$B$52:$B$101,'Funding by District'!D572)&gt;=1,"",ROW()-104)</f>
        <v>572</v>
      </c>
      <c r="N676" s="321"/>
      <c r="O676" s="321"/>
    </row>
    <row r="677" spans="2:15">
      <c r="B677" s="204" t="str">
        <f ca="1"/>
        <v>South Lewis Central School District</v>
      </c>
      <c r="C677" s="206">
        <f>IF(COUNTIF(CONTROL!$B$52:$B$101,'Funding by District'!D573)&gt;=1,"",ROW()-104)</f>
        <v>573</v>
      </c>
      <c r="N677" s="321"/>
      <c r="O677" s="321"/>
    </row>
    <row r="678" spans="2:15">
      <c r="B678" s="204" t="str">
        <f ca="1"/>
        <v>South Orangetown Central School District</v>
      </c>
      <c r="C678" s="206">
        <f>IF(COUNTIF(CONTROL!$B$52:$B$101,'Funding by District'!D574)&gt;=1,"",ROW()-104)</f>
        <v>574</v>
      </c>
      <c r="N678" s="321"/>
      <c r="O678" s="321"/>
    </row>
    <row r="679" spans="2:15">
      <c r="B679" s="204" t="str">
        <f ca="1"/>
        <v>South Seneca Central School District</v>
      </c>
      <c r="C679" s="206">
        <f>IF(COUNTIF(CONTROL!$B$52:$B$101,'Funding by District'!D575)&gt;=1,"",ROW()-104)</f>
        <v>575</v>
      </c>
      <c r="N679" s="321"/>
      <c r="O679" s="321"/>
    </row>
    <row r="680" spans="2:15">
      <c r="B680" s="204" t="str">
        <f ca="1"/>
        <v>Southampton Union Free School District</v>
      </c>
      <c r="C680" s="206">
        <f>IF(COUNTIF(CONTROL!$B$52:$B$101,'Funding by District'!D576)&gt;=1,"",ROW()-104)</f>
        <v>576</v>
      </c>
      <c r="N680" s="321"/>
      <c r="O680" s="321"/>
    </row>
    <row r="681" spans="2:15">
      <c r="B681" s="204" t="str">
        <f ca="1"/>
        <v>Southern Cayuga Central School District</v>
      </c>
      <c r="C681" s="206">
        <f>IF(COUNTIF(CONTROL!$B$52:$B$101,'Funding by District'!D577)&gt;=1,"",ROW()-104)</f>
        <v>577</v>
      </c>
      <c r="N681" s="321"/>
      <c r="O681" s="321"/>
    </row>
    <row r="682" spans="2:15">
      <c r="B682" s="204" t="str">
        <f ca="1"/>
        <v>Southold Union Free School District</v>
      </c>
      <c r="C682" s="206">
        <f>IF(COUNTIF(CONTROL!$B$52:$B$101,'Funding by District'!D578)&gt;=1,"",ROW()-104)</f>
        <v>578</v>
      </c>
      <c r="N682" s="321"/>
      <c r="O682" s="321"/>
    </row>
    <row r="683" spans="2:15">
      <c r="B683" s="204" t="str">
        <f ca="1"/>
        <v>Southwestern Central School District</v>
      </c>
      <c r="C683" s="206">
        <f>IF(COUNTIF(CONTROL!$B$52:$B$101,'Funding by District'!D579)&gt;=1,"",ROW()-104)</f>
        <v>579</v>
      </c>
      <c r="N683" s="321"/>
      <c r="O683" s="321"/>
    </row>
    <row r="684" spans="2:15">
      <c r="B684" s="204" t="str">
        <f ca="1"/>
        <v>Spackenkill Union Free School District</v>
      </c>
      <c r="C684" s="206">
        <f>IF(COUNTIF(CONTROL!$B$52:$B$101,'Funding by District'!D580)&gt;=1,"",ROW()-104)</f>
        <v>580</v>
      </c>
      <c r="N684" s="321"/>
      <c r="O684" s="321"/>
    </row>
    <row r="685" spans="2:15">
      <c r="B685" s="204" t="str">
        <f ca="1"/>
        <v>Spencerport Central School District</v>
      </c>
      <c r="C685" s="206">
        <f>IF(COUNTIF(CONTROL!$B$52:$B$101,'Funding by District'!D581)&gt;=1,"",ROW()-104)</f>
        <v>581</v>
      </c>
      <c r="N685" s="321"/>
      <c r="O685" s="321"/>
    </row>
    <row r="686" spans="2:15">
      <c r="B686" s="204" t="str">
        <f ca="1"/>
        <v>Spencer-Van Etten Central School District</v>
      </c>
      <c r="C686" s="206">
        <f>IF(COUNTIF(CONTROL!$B$52:$B$101,'Funding by District'!D582)&gt;=1,"",ROW()-104)</f>
        <v>582</v>
      </c>
      <c r="N686" s="321"/>
      <c r="O686" s="321"/>
    </row>
    <row r="687" spans="2:15">
      <c r="B687" s="204" t="str">
        <f ca="1"/>
        <v>Springs Union Free School District</v>
      </c>
      <c r="C687" s="206">
        <f>IF(COUNTIF(CONTROL!$B$52:$B$101,'Funding by District'!D583)&gt;=1,"",ROW()-104)</f>
        <v>583</v>
      </c>
      <c r="N687" s="321"/>
      <c r="O687" s="321"/>
    </row>
    <row r="688" spans="2:15">
      <c r="B688" s="204" t="str">
        <f ca="1"/>
        <v>Springville-Griffith Institute Central School District</v>
      </c>
      <c r="C688" s="206">
        <f>IF(COUNTIF(CONTROL!$B$52:$B$101,'Funding by District'!D584)&gt;=1,"",ROW()-104)</f>
        <v>584</v>
      </c>
      <c r="N688" s="321"/>
      <c r="O688" s="321"/>
    </row>
    <row r="689" spans="2:15">
      <c r="B689" s="204" t="str">
        <f ca="1"/>
        <v>Stamford Central School District</v>
      </c>
      <c r="C689" s="206">
        <f>IF(COUNTIF(CONTROL!$B$52:$B$101,'Funding by District'!D585)&gt;=1,"",ROW()-104)</f>
        <v>585</v>
      </c>
      <c r="N689" s="321"/>
      <c r="O689" s="321"/>
    </row>
    <row r="690" spans="2:15">
      <c r="B690" s="204" t="str">
        <f ca="1"/>
        <v>Starpoint Central School District</v>
      </c>
      <c r="C690" s="206">
        <f>IF(COUNTIF(CONTROL!$B$52:$B$101,'Funding by District'!D586)&gt;=1,"",ROW()-104)</f>
        <v>586</v>
      </c>
      <c r="N690" s="321"/>
      <c r="O690" s="321"/>
    </row>
    <row r="691" spans="2:15">
      <c r="B691" s="204" t="str">
        <f ca="1"/>
        <v>Stillwater Central School District</v>
      </c>
      <c r="C691" s="206">
        <f>IF(COUNTIF(CONTROL!$B$52:$B$101,'Funding by District'!D587)&gt;=1,"",ROW()-104)</f>
        <v>587</v>
      </c>
      <c r="N691" s="321"/>
      <c r="O691" s="321"/>
    </row>
    <row r="692" spans="2:15">
      <c r="B692" s="204" t="str">
        <f ca="1"/>
        <v>Stockbridge Valley Central School District</v>
      </c>
      <c r="C692" s="206">
        <f>IF(COUNTIF(CONTROL!$B$52:$B$101,'Funding by District'!D588)&gt;=1,"",ROW()-104)</f>
        <v>588</v>
      </c>
      <c r="N692" s="321"/>
      <c r="O692" s="321"/>
    </row>
    <row r="693" spans="2:15">
      <c r="B693" s="204" t="str">
        <f ca="1"/>
        <v>Suffern Central School District</v>
      </c>
      <c r="C693" s="206">
        <f>IF(COUNTIF(CONTROL!$B$52:$B$101,'Funding by District'!D589)&gt;=1,"",ROW()-104)</f>
        <v>589</v>
      </c>
      <c r="N693" s="321"/>
      <c r="O693" s="321"/>
    </row>
    <row r="694" spans="2:15">
      <c r="B694" s="204" t="str">
        <f ca="1"/>
        <v>Sullivan West Central School District</v>
      </c>
      <c r="C694" s="206">
        <f>IF(COUNTIF(CONTROL!$B$52:$B$101,'Funding by District'!D590)&gt;=1,"",ROW()-104)</f>
        <v>590</v>
      </c>
      <c r="N694" s="321"/>
      <c r="O694" s="321"/>
    </row>
    <row r="695" spans="2:15">
      <c r="B695" s="204" t="str">
        <f ca="1"/>
        <v>Susquehanna Valley Central School District</v>
      </c>
      <c r="C695" s="206">
        <f>IF(COUNTIF(CONTROL!$B$52:$B$101,'Funding by District'!D591)&gt;=1,"",ROW()-104)</f>
        <v>591</v>
      </c>
      <c r="N695" s="321"/>
      <c r="O695" s="321"/>
    </row>
    <row r="696" spans="2:15">
      <c r="B696" s="204" t="str">
        <f ca="1"/>
        <v>Sweet Home Central School District</v>
      </c>
      <c r="C696" s="206">
        <f>IF(COUNTIF(CONTROL!$B$52:$B$101,'Funding by District'!D592)&gt;=1,"",ROW()-104)</f>
        <v>592</v>
      </c>
      <c r="N696" s="321"/>
      <c r="O696" s="321"/>
    </row>
    <row r="697" spans="2:15">
      <c r="B697" s="204" t="str">
        <f ca="1"/>
        <v>Syosset Central School District</v>
      </c>
      <c r="C697" s="206">
        <f>IF(COUNTIF(CONTROL!$B$52:$B$101,'Funding by District'!D593)&gt;=1,"",ROW()-104)</f>
        <v>593</v>
      </c>
      <c r="N697" s="321"/>
      <c r="O697" s="321"/>
    </row>
    <row r="698" spans="2:15">
      <c r="B698" s="204" t="str">
        <f ca="1"/>
        <v>Syracuse City School District</v>
      </c>
      <c r="C698" s="206">
        <f>IF(COUNTIF(CONTROL!$B$52:$B$101,'Funding by District'!D594)&gt;=1,"",ROW()-104)</f>
        <v>594</v>
      </c>
      <c r="N698" s="321"/>
      <c r="O698" s="321"/>
    </row>
    <row r="699" spans="2:15">
      <c r="B699" s="204" t="str">
        <f ca="1"/>
        <v>Taconic Hills Central School District</v>
      </c>
      <c r="C699" s="206">
        <f>IF(COUNTIF(CONTROL!$B$52:$B$101,'Funding by District'!D595)&gt;=1,"",ROW()-104)</f>
        <v>595</v>
      </c>
      <c r="N699" s="321"/>
      <c r="O699" s="321"/>
    </row>
    <row r="700" spans="2:15">
      <c r="B700" s="204" t="str">
        <f ca="1"/>
        <v>Tarrytown Union Free School District</v>
      </c>
      <c r="C700" s="206">
        <f>IF(COUNTIF(CONTROL!$B$52:$B$101,'Funding by District'!D596)&gt;=1,"",ROW()-104)</f>
        <v>596</v>
      </c>
      <c r="N700" s="321"/>
      <c r="O700" s="321"/>
    </row>
    <row r="701" spans="2:15">
      <c r="B701" s="204" t="str">
        <f ca="1"/>
        <v>Thousand Islands Central School District</v>
      </c>
      <c r="C701" s="206">
        <f>IF(COUNTIF(CONTROL!$B$52:$B$101,'Funding by District'!D597)&gt;=1,"",ROW()-104)</f>
        <v>597</v>
      </c>
      <c r="N701" s="321"/>
      <c r="O701" s="321"/>
    </row>
    <row r="702" spans="2:15">
      <c r="B702" s="204" t="str">
        <f ca="1"/>
        <v>Three Village Central School District</v>
      </c>
      <c r="C702" s="206">
        <f>IF(COUNTIF(CONTROL!$B$52:$B$101,'Funding by District'!D598)&gt;=1,"",ROW()-104)</f>
        <v>598</v>
      </c>
      <c r="N702" s="321"/>
      <c r="O702" s="321"/>
    </row>
    <row r="703" spans="2:15">
      <c r="B703" s="204" t="str">
        <f ca="1"/>
        <v>Ticonderoga Central School District</v>
      </c>
      <c r="C703" s="206">
        <f>IF(COUNTIF(CONTROL!$B$52:$B$101,'Funding by District'!D599)&gt;=1,"",ROW()-104)</f>
        <v>599</v>
      </c>
      <c r="N703" s="321"/>
      <c r="O703" s="321"/>
    </row>
    <row r="704" spans="2:15">
      <c r="B704" s="204" t="str">
        <f ca="1"/>
        <v>Tioga Central School District</v>
      </c>
      <c r="C704" s="206">
        <f>IF(COUNTIF(CONTROL!$B$52:$B$101,'Funding by District'!D600)&gt;=1,"",ROW()-104)</f>
        <v>600</v>
      </c>
      <c r="N704" s="321"/>
      <c r="O704" s="321"/>
    </row>
    <row r="705" spans="2:15">
      <c r="B705" s="204" t="str">
        <f ca="1"/>
        <v>Tonawanda City School District</v>
      </c>
      <c r="C705" s="206">
        <f>IF(COUNTIF(CONTROL!$B$52:$B$101,'Funding by District'!D601)&gt;=1,"",ROW()-104)</f>
        <v>601</v>
      </c>
      <c r="N705" s="321"/>
      <c r="O705" s="321"/>
    </row>
    <row r="706" spans="2:15">
      <c r="B706" s="204" t="str">
        <f ca="1"/>
        <v>Town of Webb Union Free School District</v>
      </c>
      <c r="C706" s="206">
        <f>IF(COUNTIF(CONTROL!$B$52:$B$101,'Funding by District'!D602)&gt;=1,"",ROW()-104)</f>
        <v>602</v>
      </c>
      <c r="N706" s="321"/>
      <c r="O706" s="321"/>
    </row>
    <row r="707" spans="2:15">
      <c r="B707" s="204" t="str">
        <f ca="1"/>
        <v>Tri-Valley Central School District</v>
      </c>
      <c r="C707" s="206">
        <f>IF(COUNTIF(CONTROL!$B$52:$B$101,'Funding by District'!D603)&gt;=1,"",ROW()-104)</f>
        <v>603</v>
      </c>
      <c r="N707" s="321"/>
      <c r="O707" s="321"/>
    </row>
    <row r="708" spans="2:15">
      <c r="B708" s="204" t="str">
        <f ca="1"/>
        <v>Troy City School District</v>
      </c>
      <c r="C708" s="206">
        <f>IF(COUNTIF(CONTROL!$B$52:$B$101,'Funding by District'!D604)&gt;=1,"",ROW()-104)</f>
        <v>604</v>
      </c>
      <c r="N708" s="321"/>
      <c r="O708" s="321"/>
    </row>
    <row r="709" spans="2:15">
      <c r="B709" s="204" t="str">
        <f ca="1"/>
        <v>Trumansburg Central School District</v>
      </c>
      <c r="C709" s="206">
        <f>IF(COUNTIF(CONTROL!$B$52:$B$101,'Funding by District'!D605)&gt;=1,"",ROW()-104)</f>
        <v>605</v>
      </c>
      <c r="N709" s="321"/>
      <c r="O709" s="321"/>
    </row>
    <row r="710" spans="2:15">
      <c r="B710" s="204" t="str">
        <f ca="1"/>
        <v>Tuckahoe Common School District</v>
      </c>
      <c r="C710" s="206">
        <f>IF(COUNTIF(CONTROL!$B$52:$B$101,'Funding by District'!D606)&gt;=1,"",ROW()-104)</f>
        <v>606</v>
      </c>
      <c r="N710" s="321"/>
      <c r="O710" s="321"/>
    </row>
    <row r="711" spans="2:15">
      <c r="B711" s="204" t="str">
        <f ca="1"/>
        <v>Tuckahoe Union Free School District</v>
      </c>
      <c r="C711" s="206">
        <f>IF(COUNTIF(CONTROL!$B$52:$B$101,'Funding by District'!D607)&gt;=1,"",ROW()-104)</f>
        <v>607</v>
      </c>
      <c r="N711" s="321"/>
      <c r="O711" s="321"/>
    </row>
    <row r="712" spans="2:15">
      <c r="B712" s="204" t="str">
        <f ca="1"/>
        <v>Tully Central School District</v>
      </c>
      <c r="C712" s="206">
        <f>IF(COUNTIF(CONTROL!$B$52:$B$101,'Funding by District'!D608)&gt;=1,"",ROW()-104)</f>
        <v>608</v>
      </c>
      <c r="N712" s="321"/>
      <c r="O712" s="321"/>
    </row>
    <row r="713" spans="2:15">
      <c r="B713" s="204" t="str">
        <f ca="1"/>
        <v>Tupper Lake Central School District</v>
      </c>
      <c r="C713" s="206">
        <f>IF(COUNTIF(CONTROL!$B$52:$B$101,'Funding by District'!D609)&gt;=1,"",ROW()-104)</f>
        <v>609</v>
      </c>
      <c r="N713" s="321"/>
      <c r="O713" s="321"/>
    </row>
    <row r="714" spans="2:15">
      <c r="B714" s="204" t="str">
        <f ca="1"/>
        <v>Tuxedo Union Free School District</v>
      </c>
      <c r="C714" s="206">
        <f>IF(COUNTIF(CONTROL!$B$52:$B$101,'Funding by District'!D610)&gt;=1,"",ROW()-104)</f>
        <v>610</v>
      </c>
      <c r="N714" s="321"/>
      <c r="O714" s="321"/>
    </row>
    <row r="715" spans="2:15">
      <c r="B715" s="204" t="str">
        <f ca="1"/>
        <v>Unadilla Valley Central School District</v>
      </c>
      <c r="C715" s="206">
        <f>IF(COUNTIF(CONTROL!$B$52:$B$101,'Funding by District'!D611)&gt;=1,"",ROW()-104)</f>
        <v>611</v>
      </c>
      <c r="N715" s="321"/>
      <c r="O715" s="321"/>
    </row>
    <row r="716" spans="2:15">
      <c r="B716" s="204" t="str">
        <f ca="1"/>
        <v>Unatego Central School District</v>
      </c>
      <c r="C716" s="206">
        <f>IF(COUNTIF(CONTROL!$B$52:$B$101,'Funding by District'!D612)&gt;=1,"",ROW()-104)</f>
        <v>612</v>
      </c>
      <c r="N716" s="321"/>
      <c r="O716" s="321"/>
    </row>
    <row r="717" spans="2:15">
      <c r="B717" s="204" t="str">
        <f ca="1"/>
        <v>Union Springs Central School District</v>
      </c>
      <c r="C717" s="206">
        <f>IF(COUNTIF(CONTROL!$B$52:$B$101,'Funding by District'!D613)&gt;=1,"",ROW()-104)</f>
        <v>613</v>
      </c>
      <c r="N717" s="321"/>
      <c r="O717" s="321"/>
    </row>
    <row r="718" spans="2:15">
      <c r="B718" s="204" t="str">
        <f ca="1"/>
        <v>Uniondale Union Free School District</v>
      </c>
      <c r="C718" s="206">
        <f>IF(COUNTIF(CONTROL!$B$52:$B$101,'Funding by District'!D614)&gt;=1,"",ROW()-104)</f>
        <v>614</v>
      </c>
      <c r="N718" s="321"/>
      <c r="O718" s="321"/>
    </row>
    <row r="719" spans="2:15">
      <c r="B719" s="204" t="str">
        <f ca="1"/>
        <v>Union-Endicott Central School District</v>
      </c>
      <c r="C719" s="206">
        <f>IF(COUNTIF(CONTROL!$B$52:$B$101,'Funding by District'!D615)&gt;=1,"",ROW()-104)</f>
        <v>615</v>
      </c>
      <c r="N719" s="321"/>
      <c r="O719" s="321"/>
    </row>
    <row r="720" spans="2:15">
      <c r="B720" s="204" t="str">
        <f ca="1"/>
        <v>Utica City School District</v>
      </c>
      <c r="C720" s="206">
        <f>IF(COUNTIF(CONTROL!$B$52:$B$101,'Funding by District'!D616)&gt;=1,"",ROW()-104)</f>
        <v>616</v>
      </c>
      <c r="N720" s="321"/>
      <c r="O720" s="321"/>
    </row>
    <row r="721" spans="2:15">
      <c r="B721" s="204" t="str">
        <f ca="1"/>
        <v>Valhalla Union Free School District</v>
      </c>
      <c r="C721" s="206">
        <f>IF(COUNTIF(CONTROL!$B$52:$B$101,'Funding by District'!D617)&gt;=1,"",ROW()-104)</f>
        <v>617</v>
      </c>
      <c r="N721" s="321"/>
      <c r="O721" s="321"/>
    </row>
    <row r="722" spans="2:15">
      <c r="B722" s="204" t="str">
        <f ca="1"/>
        <v>Valley Central School District</v>
      </c>
      <c r="C722" s="206">
        <f>IF(COUNTIF(CONTROL!$B$52:$B$101,'Funding by District'!D618)&gt;=1,"",ROW()-104)</f>
        <v>618</v>
      </c>
      <c r="N722" s="321"/>
      <c r="O722" s="321"/>
    </row>
    <row r="723" spans="2:15">
      <c r="B723" s="204" t="str">
        <f ca="1"/>
        <v>Valley Stream 13 Union Free School District</v>
      </c>
      <c r="C723" s="206">
        <f>IF(COUNTIF(CONTROL!$B$52:$B$101,'Funding by District'!D619)&gt;=1,"",ROW()-104)</f>
        <v>619</v>
      </c>
      <c r="N723" s="321"/>
      <c r="O723" s="321"/>
    </row>
    <row r="724" spans="2:15">
      <c r="B724" s="204" t="str">
        <f ca="1"/>
        <v>Valley Stream 24 Union Free School District</v>
      </c>
      <c r="C724" s="206">
        <f>IF(COUNTIF(CONTROL!$B$52:$B$101,'Funding by District'!D620)&gt;=1,"",ROW()-104)</f>
        <v>620</v>
      </c>
      <c r="N724" s="321"/>
      <c r="O724" s="321"/>
    </row>
    <row r="725" spans="2:15">
      <c r="B725" s="204" t="str">
        <f ca="1"/>
        <v>Valley Stream 30 Union Free School District</v>
      </c>
      <c r="C725" s="206">
        <f>IF(COUNTIF(CONTROL!$B$52:$B$101,'Funding by District'!D621)&gt;=1,"",ROW()-104)</f>
        <v>621</v>
      </c>
      <c r="N725" s="321"/>
      <c r="O725" s="321"/>
    </row>
    <row r="726" spans="2:15">
      <c r="B726" s="204" t="str">
        <f ca="1"/>
        <v>Valley Stream Central High School District</v>
      </c>
      <c r="C726" s="206">
        <f>IF(COUNTIF(CONTROL!$B$52:$B$101,'Funding by District'!D622)&gt;=1,"",ROW()-104)</f>
        <v>622</v>
      </c>
      <c r="N726" s="321"/>
      <c r="O726" s="321"/>
    </row>
    <row r="727" spans="2:15">
      <c r="B727" s="204" t="str">
        <f ca="1"/>
        <v>Vernon-Verona-Sherrill Central School District</v>
      </c>
      <c r="C727" s="206">
        <f>IF(COUNTIF(CONTROL!$B$52:$B$101,'Funding by District'!D623)&gt;=1,"",ROW()-104)</f>
        <v>623</v>
      </c>
      <c r="N727" s="321"/>
      <c r="O727" s="321"/>
    </row>
    <row r="728" spans="2:15">
      <c r="B728" s="204" t="str">
        <f ca="1"/>
        <v>Vestal Central School District</v>
      </c>
      <c r="C728" s="206">
        <f>IF(COUNTIF(CONTROL!$B$52:$B$101,'Funding by District'!D624)&gt;=1,"",ROW()-104)</f>
        <v>624</v>
      </c>
      <c r="N728" s="321"/>
      <c r="O728" s="321"/>
    </row>
    <row r="729" spans="2:15">
      <c r="B729" s="204" t="str">
        <f ca="1"/>
        <v>Victor Central School District</v>
      </c>
      <c r="C729" s="206">
        <f>IF(COUNTIF(CONTROL!$B$52:$B$101,'Funding by District'!D625)&gt;=1,"",ROW()-104)</f>
        <v>625</v>
      </c>
      <c r="N729" s="321"/>
      <c r="O729" s="321"/>
    </row>
    <row r="730" spans="2:15">
      <c r="B730" s="204" t="str">
        <f ca="1"/>
        <v>Voorheesville Central School District</v>
      </c>
      <c r="C730" s="206">
        <f>IF(COUNTIF(CONTROL!$B$52:$B$101,'Funding by District'!D626)&gt;=1,"",ROW()-104)</f>
        <v>626</v>
      </c>
      <c r="N730" s="321"/>
      <c r="O730" s="321"/>
    </row>
    <row r="731" spans="2:15">
      <c r="B731" s="204" t="str">
        <f ca="1"/>
        <v>Wainscott Common School District</v>
      </c>
      <c r="C731" s="206">
        <f>IF(COUNTIF(CONTROL!$B$52:$B$101,'Funding by District'!D627)&gt;=1,"",ROW()-104)</f>
        <v>627</v>
      </c>
      <c r="N731" s="321"/>
      <c r="O731" s="321"/>
    </row>
    <row r="732" spans="2:15">
      <c r="B732" s="204" t="str">
        <f ca="1"/>
        <v>Wallkill Central School District</v>
      </c>
      <c r="C732" s="206">
        <f>IF(COUNTIF(CONTROL!$B$52:$B$101,'Funding by District'!D628)&gt;=1,"",ROW()-104)</f>
        <v>628</v>
      </c>
      <c r="N732" s="321"/>
      <c r="O732" s="321"/>
    </row>
    <row r="733" spans="2:15">
      <c r="B733" s="204" t="str">
        <f ca="1"/>
        <v>Walton Central School District</v>
      </c>
      <c r="C733" s="206">
        <f>IF(COUNTIF(CONTROL!$B$52:$B$101,'Funding by District'!D629)&gt;=1,"",ROW()-104)</f>
        <v>629</v>
      </c>
      <c r="N733" s="321"/>
      <c r="O733" s="321"/>
    </row>
    <row r="734" spans="2:15">
      <c r="B734" s="204" t="str">
        <f ca="1"/>
        <v>Wantagh Union Free School District</v>
      </c>
      <c r="C734" s="206">
        <f>IF(COUNTIF(CONTROL!$B$52:$B$101,'Funding by District'!D630)&gt;=1,"",ROW()-104)</f>
        <v>630</v>
      </c>
      <c r="N734" s="321"/>
      <c r="O734" s="321"/>
    </row>
    <row r="735" spans="2:15">
      <c r="B735" s="204" t="str">
        <f ca="1"/>
        <v>Wappingers Central School District</v>
      </c>
      <c r="C735" s="206">
        <f>IF(COUNTIF(CONTROL!$B$52:$B$101,'Funding by District'!D631)&gt;=1,"",ROW()-104)</f>
        <v>631</v>
      </c>
      <c r="N735" s="321"/>
      <c r="O735" s="321"/>
    </row>
    <row r="736" spans="2:15">
      <c r="B736" s="204" t="str">
        <f ca="1"/>
        <v>Warrensburg Central School District</v>
      </c>
      <c r="C736" s="206">
        <f>IF(COUNTIF(CONTROL!$B$52:$B$101,'Funding by District'!D632)&gt;=1,"",ROW()-104)</f>
        <v>632</v>
      </c>
      <c r="N736" s="321"/>
      <c r="O736" s="321"/>
    </row>
    <row r="737" spans="2:15">
      <c r="B737" s="204" t="str">
        <f ca="1"/>
        <v>Warsaw Central School District</v>
      </c>
      <c r="C737" s="206">
        <f>IF(COUNTIF(CONTROL!$B$52:$B$101,'Funding by District'!D633)&gt;=1,"",ROW()-104)</f>
        <v>633</v>
      </c>
      <c r="N737" s="321"/>
      <c r="O737" s="321"/>
    </row>
    <row r="738" spans="2:15">
      <c r="B738" s="204" t="str">
        <f ca="1"/>
        <v>Warwick Valley Central School District</v>
      </c>
      <c r="C738" s="206">
        <f>IF(COUNTIF(CONTROL!$B$52:$B$101,'Funding by District'!D634)&gt;=1,"",ROW()-104)</f>
        <v>634</v>
      </c>
      <c r="N738" s="321"/>
      <c r="O738" s="321"/>
    </row>
    <row r="739" spans="2:15">
      <c r="B739" s="204" t="str">
        <f ca="1"/>
        <v>Washingtonville Central School District</v>
      </c>
      <c r="C739" s="206">
        <f>IF(COUNTIF(CONTROL!$B$52:$B$101,'Funding by District'!D635)&gt;=1,"",ROW()-104)</f>
        <v>635</v>
      </c>
      <c r="N739" s="321"/>
      <c r="O739" s="321"/>
    </row>
    <row r="740" spans="2:15">
      <c r="B740" s="204" t="str">
        <f ca="1"/>
        <v>Waterford-Halfmoon Union Free School District</v>
      </c>
      <c r="C740" s="206">
        <f>IF(COUNTIF(CONTROL!$B$52:$B$101,'Funding by District'!D636)&gt;=1,"",ROW()-104)</f>
        <v>636</v>
      </c>
      <c r="N740" s="321"/>
      <c r="O740" s="321"/>
    </row>
    <row r="741" spans="2:15">
      <c r="B741" s="204" t="str">
        <f ca="1"/>
        <v>Waterloo Central School District</v>
      </c>
      <c r="C741" s="206">
        <f>IF(COUNTIF(CONTROL!$B$52:$B$101,'Funding by District'!D637)&gt;=1,"",ROW()-104)</f>
        <v>637</v>
      </c>
      <c r="N741" s="321"/>
      <c r="O741" s="321"/>
    </row>
    <row r="742" spans="2:15">
      <c r="B742" s="204" t="str">
        <f ca="1"/>
        <v>Watertown City School District</v>
      </c>
      <c r="C742" s="206">
        <f>IF(COUNTIF(CONTROL!$B$52:$B$101,'Funding by District'!D638)&gt;=1,"",ROW()-104)</f>
        <v>638</v>
      </c>
      <c r="N742" s="321"/>
      <c r="O742" s="321"/>
    </row>
    <row r="743" spans="2:15">
      <c r="B743" s="204" t="str">
        <f ca="1"/>
        <v>Waterville Central School District</v>
      </c>
      <c r="C743" s="206">
        <f>IF(COUNTIF(CONTROL!$B$52:$B$101,'Funding by District'!D639)&gt;=1,"",ROW()-104)</f>
        <v>639</v>
      </c>
      <c r="N743" s="321"/>
      <c r="O743" s="321"/>
    </row>
    <row r="744" spans="2:15">
      <c r="B744" s="204" t="str">
        <f ca="1"/>
        <v>Watervliet City School District</v>
      </c>
      <c r="C744" s="206">
        <f>IF(COUNTIF(CONTROL!$B$52:$B$101,'Funding by District'!D640)&gt;=1,"",ROW()-104)</f>
        <v>640</v>
      </c>
      <c r="N744" s="321"/>
      <c r="O744" s="321"/>
    </row>
    <row r="745" spans="2:15">
      <c r="B745" s="204" t="str">
        <f ca="1"/>
        <v>Watkins Glen Central School District</v>
      </c>
      <c r="C745" s="206">
        <f>IF(COUNTIF(CONTROL!$B$52:$B$101,'Funding by District'!D641)&gt;=1,"",ROW()-104)</f>
        <v>641</v>
      </c>
      <c r="N745" s="321"/>
      <c r="O745" s="321"/>
    </row>
    <row r="746" spans="2:15">
      <c r="B746" s="204" t="str">
        <f ca="1"/>
        <v>Waverly Central School District</v>
      </c>
      <c r="C746" s="206">
        <f>IF(COUNTIF(CONTROL!$B$52:$B$101,'Funding by District'!D642)&gt;=1,"",ROW()-104)</f>
        <v>642</v>
      </c>
      <c r="N746" s="321"/>
      <c r="O746" s="321"/>
    </row>
    <row r="747" spans="2:15">
      <c r="B747" s="204" t="str">
        <f ca="1"/>
        <v>Wayland-Cohocton Central School District</v>
      </c>
      <c r="C747" s="206">
        <f>IF(COUNTIF(CONTROL!$B$52:$B$101,'Funding by District'!D643)&gt;=1,"",ROW()-104)</f>
        <v>643</v>
      </c>
      <c r="N747" s="321"/>
      <c r="O747" s="321"/>
    </row>
    <row r="748" spans="2:15">
      <c r="B748" s="204" t="str">
        <f ca="1"/>
        <v>Wayne Central School District</v>
      </c>
      <c r="C748" s="206">
        <f>IF(COUNTIF(CONTROL!$B$52:$B$101,'Funding by District'!D644)&gt;=1,"",ROW()-104)</f>
        <v>644</v>
      </c>
      <c r="N748" s="321"/>
      <c r="O748" s="321"/>
    </row>
    <row r="749" spans="2:15">
      <c r="B749" s="204" t="str">
        <f ca="1"/>
        <v>Webster Central School District</v>
      </c>
      <c r="C749" s="206">
        <f>IF(COUNTIF(CONTROL!$B$52:$B$101,'Funding by District'!D645)&gt;=1,"",ROW()-104)</f>
        <v>645</v>
      </c>
      <c r="N749" s="321"/>
      <c r="O749" s="321"/>
    </row>
    <row r="750" spans="2:15">
      <c r="B750" s="204" t="str">
        <f ca="1"/>
        <v>Webutuck Central School District</v>
      </c>
      <c r="C750" s="206">
        <f>IF(COUNTIF(CONTROL!$B$52:$B$101,'Funding by District'!D646)&gt;=1,"",ROW()-104)</f>
        <v>646</v>
      </c>
      <c r="N750" s="321"/>
      <c r="O750" s="321"/>
    </row>
    <row r="751" spans="2:15">
      <c r="B751" s="204" t="str">
        <f ca="1"/>
        <v>Weedsport Central School District</v>
      </c>
      <c r="C751" s="206">
        <f>IF(COUNTIF(CONTROL!$B$52:$B$101,'Funding by District'!D647)&gt;=1,"",ROW()-104)</f>
        <v>647</v>
      </c>
      <c r="N751" s="321"/>
      <c r="O751" s="321"/>
    </row>
    <row r="752" spans="2:15">
      <c r="B752" s="204" t="str">
        <f ca="1"/>
        <v>Wells Central School District</v>
      </c>
      <c r="C752" s="206">
        <f>IF(COUNTIF(CONTROL!$B$52:$B$101,'Funding by District'!D648)&gt;=1,"",ROW()-104)</f>
        <v>648</v>
      </c>
      <c r="N752" s="321"/>
      <c r="O752" s="321"/>
    </row>
    <row r="753" spans="2:15">
      <c r="B753" s="204" t="str">
        <f ca="1"/>
        <v>Wellsville Central School District</v>
      </c>
      <c r="C753" s="206">
        <f>IF(COUNTIF(CONTROL!$B$52:$B$101,'Funding by District'!D649)&gt;=1,"",ROW()-104)</f>
        <v>649</v>
      </c>
      <c r="N753" s="321"/>
      <c r="O753" s="321"/>
    </row>
    <row r="754" spans="2:15">
      <c r="B754" s="204" t="str">
        <f ca="1"/>
        <v>West Babylon Union Free School District</v>
      </c>
      <c r="C754" s="206">
        <f>IF(COUNTIF(CONTROL!$B$52:$B$101,'Funding by District'!D650)&gt;=1,"",ROW()-104)</f>
        <v>650</v>
      </c>
      <c r="N754" s="321"/>
      <c r="O754" s="321"/>
    </row>
    <row r="755" spans="2:15">
      <c r="B755" s="204" t="str">
        <f ca="1"/>
        <v>West Canada Valley Central School District</v>
      </c>
      <c r="C755" s="206">
        <f>IF(COUNTIF(CONTROL!$B$52:$B$101,'Funding by District'!D651)&gt;=1,"",ROW()-104)</f>
        <v>651</v>
      </c>
      <c r="N755" s="321"/>
      <c r="O755" s="321"/>
    </row>
    <row r="756" spans="2:15">
      <c r="B756" s="204" t="str">
        <f ca="1"/>
        <v>West Genesee Central School District</v>
      </c>
      <c r="C756" s="206">
        <f>IF(COUNTIF(CONTROL!$B$52:$B$101,'Funding by District'!D652)&gt;=1,"",ROW()-104)</f>
        <v>652</v>
      </c>
      <c r="N756" s="321"/>
      <c r="O756" s="321"/>
    </row>
    <row r="757" spans="2:15">
      <c r="B757" s="204" t="str">
        <f ca="1"/>
        <v>West Hempstead Union Free School District</v>
      </c>
      <c r="C757" s="206">
        <f>IF(COUNTIF(CONTROL!$B$52:$B$101,'Funding by District'!D653)&gt;=1,"",ROW()-104)</f>
        <v>653</v>
      </c>
      <c r="N757" s="321"/>
      <c r="O757" s="321"/>
    </row>
    <row r="758" spans="2:15">
      <c r="B758" s="204" t="str">
        <f ca="1"/>
        <v>West Irondequoit Central School District</v>
      </c>
      <c r="C758" s="206">
        <f>IF(COUNTIF(CONTROL!$B$52:$B$101,'Funding by District'!D654)&gt;=1,"",ROW()-104)</f>
        <v>654</v>
      </c>
      <c r="N758" s="321"/>
      <c r="O758" s="321"/>
    </row>
    <row r="759" spans="2:15">
      <c r="B759" s="204" t="str">
        <f ca="1"/>
        <v>West Islip Union Free School District</v>
      </c>
      <c r="C759" s="206">
        <f>IF(COUNTIF(CONTROL!$B$52:$B$101,'Funding by District'!D655)&gt;=1,"",ROW()-104)</f>
        <v>655</v>
      </c>
      <c r="N759" s="321"/>
      <c r="O759" s="321"/>
    </row>
    <row r="760" spans="2:15">
      <c r="B760" s="204" t="str">
        <f ca="1"/>
        <v>West Seneca Central School District</v>
      </c>
      <c r="C760" s="206">
        <f>IF(COUNTIF(CONTROL!$B$52:$B$101,'Funding by District'!D656)&gt;=1,"",ROW()-104)</f>
        <v>656</v>
      </c>
      <c r="N760" s="321"/>
      <c r="O760" s="321"/>
    </row>
    <row r="761" spans="2:15">
      <c r="B761" s="204" t="str">
        <f ca="1"/>
        <v>West Valley Central School District</v>
      </c>
      <c r="C761" s="206">
        <f>IF(COUNTIF(CONTROL!$B$52:$B$101,'Funding by District'!D657)&gt;=1,"",ROW()-104)</f>
        <v>657</v>
      </c>
      <c r="N761" s="321"/>
      <c r="O761" s="321"/>
    </row>
    <row r="762" spans="2:15">
      <c r="B762" s="204" t="str">
        <f ca="1"/>
        <v>Westbury Union Free School District</v>
      </c>
      <c r="C762" s="206">
        <f>IF(COUNTIF(CONTROL!$B$52:$B$101,'Funding by District'!D658)&gt;=1,"",ROW()-104)</f>
        <v>658</v>
      </c>
      <c r="N762" s="321"/>
      <c r="O762" s="321"/>
    </row>
    <row r="763" spans="2:15">
      <c r="B763" s="204" t="str">
        <f ca="1"/>
        <v>Westfield Academy and Central School District</v>
      </c>
      <c r="C763" s="206">
        <f>IF(COUNTIF(CONTROL!$B$52:$B$101,'Funding by District'!D659)&gt;=1,"",ROW()-104)</f>
        <v>659</v>
      </c>
      <c r="N763" s="321"/>
      <c r="O763" s="321"/>
    </row>
    <row r="764" spans="2:15">
      <c r="B764" s="204" t="str">
        <f ca="1"/>
        <v>Westhampton Beach Union Free School District</v>
      </c>
      <c r="C764" s="206">
        <f>IF(COUNTIF(CONTROL!$B$52:$B$101,'Funding by District'!D660)&gt;=1,"",ROW()-104)</f>
        <v>660</v>
      </c>
      <c r="N764" s="321"/>
      <c r="O764" s="321"/>
    </row>
    <row r="765" spans="2:15">
      <c r="B765" s="204" t="str">
        <f ca="1"/>
        <v>Westhill Central School District</v>
      </c>
      <c r="C765" s="206">
        <f>IF(COUNTIF(CONTROL!$B$52:$B$101,'Funding by District'!D661)&gt;=1,"",ROW()-104)</f>
        <v>661</v>
      </c>
      <c r="N765" s="321"/>
      <c r="O765" s="321"/>
    </row>
    <row r="766" spans="2:15">
      <c r="B766" s="204" t="str">
        <f ca="1"/>
        <v>Westmoreland Central School District</v>
      </c>
      <c r="C766" s="206">
        <f>IF(COUNTIF(CONTROL!$B$52:$B$101,'Funding by District'!D662)&gt;=1,"",ROW()-104)</f>
        <v>662</v>
      </c>
      <c r="N766" s="321"/>
      <c r="O766" s="321"/>
    </row>
    <row r="767" spans="2:15">
      <c r="B767" s="204" t="str">
        <f ca="1"/>
        <v>Wheatland-Chili Central School District</v>
      </c>
      <c r="C767" s="206">
        <f>IF(COUNTIF(CONTROL!$B$52:$B$101,'Funding by District'!D663)&gt;=1,"",ROW()-104)</f>
        <v>663</v>
      </c>
      <c r="N767" s="321"/>
      <c r="O767" s="321"/>
    </row>
    <row r="768" spans="2:15">
      <c r="B768" s="204" t="str">
        <f ca="1"/>
        <v>Wheelerville Union Free School District</v>
      </c>
      <c r="C768" s="206">
        <f>IF(COUNTIF(CONTROL!$B$52:$B$101,'Funding by District'!D664)&gt;=1,"",ROW()-104)</f>
        <v>664</v>
      </c>
      <c r="N768" s="321"/>
      <c r="O768" s="321"/>
    </row>
    <row r="769" spans="2:15">
      <c r="B769" s="204" t="str">
        <f ca="1"/>
        <v>White Plains City School District</v>
      </c>
      <c r="C769" s="206">
        <f>IF(COUNTIF(CONTROL!$B$52:$B$101,'Funding by District'!D665)&gt;=1,"",ROW()-104)</f>
        <v>665</v>
      </c>
      <c r="N769" s="321"/>
      <c r="O769" s="321"/>
    </row>
    <row r="770" spans="2:15">
      <c r="B770" s="204" t="str">
        <f ca="1"/>
        <v>Whitehall Central School District</v>
      </c>
      <c r="C770" s="206">
        <f>IF(COUNTIF(CONTROL!$B$52:$B$101,'Funding by District'!D666)&gt;=1,"",ROW()-104)</f>
        <v>666</v>
      </c>
      <c r="N770" s="321"/>
      <c r="O770" s="321"/>
    </row>
    <row r="771" spans="2:15">
      <c r="B771" s="204" t="str">
        <f ca="1"/>
        <v>Whitesboro Central School District</v>
      </c>
      <c r="C771" s="206">
        <f>IF(COUNTIF(CONTROL!$B$52:$B$101,'Funding by District'!D667)&gt;=1,"",ROW()-104)</f>
        <v>667</v>
      </c>
      <c r="N771" s="321"/>
      <c r="O771" s="321"/>
    </row>
    <row r="772" spans="2:15">
      <c r="B772" s="204" t="str">
        <f ca="1"/>
        <v>Whitesville Central School District</v>
      </c>
      <c r="C772" s="206">
        <f>IF(COUNTIF(CONTROL!$B$52:$B$101,'Funding by District'!D668)&gt;=1,"",ROW()-104)</f>
        <v>668</v>
      </c>
      <c r="N772" s="321"/>
      <c r="O772" s="321"/>
    </row>
    <row r="773" spans="2:15">
      <c r="B773" s="204" t="str">
        <f ca="1"/>
        <v>Whitney Point Central School District</v>
      </c>
      <c r="C773" s="206">
        <f>IF(COUNTIF(CONTROL!$B$52:$B$101,'Funding by District'!D669)&gt;=1,"",ROW()-104)</f>
        <v>669</v>
      </c>
      <c r="N773" s="321"/>
      <c r="O773" s="321"/>
    </row>
    <row r="774" spans="2:15">
      <c r="B774" s="204" t="str">
        <f ca="1"/>
        <v>William Floyd Union Free School District</v>
      </c>
      <c r="C774" s="206">
        <f>IF(COUNTIF(CONTROL!$B$52:$B$101,'Funding by District'!D670)&gt;=1,"",ROW()-104)</f>
        <v>670</v>
      </c>
      <c r="N774" s="321"/>
      <c r="O774" s="321"/>
    </row>
    <row r="775" spans="2:15">
      <c r="B775" s="204" t="str">
        <f ca="1"/>
        <v>Williamson Central School District</v>
      </c>
      <c r="C775" s="206">
        <f>IF(COUNTIF(CONTROL!$B$52:$B$101,'Funding by District'!D671)&gt;=1,"",ROW()-104)</f>
        <v>671</v>
      </c>
      <c r="N775" s="321"/>
      <c r="O775" s="321"/>
    </row>
    <row r="776" spans="2:15">
      <c r="B776" s="204" t="str">
        <f ca="1"/>
        <v>Williamsville Central School District</v>
      </c>
      <c r="C776" s="206">
        <f>IF(COUNTIF(CONTROL!$B$52:$B$101,'Funding by District'!D672)&gt;=1,"",ROW()-104)</f>
        <v>672</v>
      </c>
      <c r="N776" s="321"/>
      <c r="O776" s="321"/>
    </row>
    <row r="777" spans="2:15">
      <c r="B777" s="204" t="str">
        <f ca="1"/>
        <v>Willsboro Central School District</v>
      </c>
      <c r="C777" s="206">
        <f>IF(COUNTIF(CONTROL!$B$52:$B$101,'Funding by District'!D673)&gt;=1,"",ROW()-104)</f>
        <v>673</v>
      </c>
      <c r="N777" s="321"/>
      <c r="O777" s="321"/>
    </row>
    <row r="778" spans="2:15">
      <c r="B778" s="204" t="str">
        <f ca="1"/>
        <v>Wilson Central School District</v>
      </c>
      <c r="C778" s="206">
        <f>IF(COUNTIF(CONTROL!$B$52:$B$101,'Funding by District'!D674)&gt;=1,"",ROW()-104)</f>
        <v>674</v>
      </c>
      <c r="N778" s="321"/>
      <c r="O778" s="321"/>
    </row>
    <row r="779" spans="2:15">
      <c r="B779" s="204" t="str">
        <f ca="1"/>
        <v>Windham-Ashland-Jewett Central School District</v>
      </c>
      <c r="C779" s="206">
        <f>IF(COUNTIF(CONTROL!$B$52:$B$101,'Funding by District'!D675)&gt;=1,"",ROW()-104)</f>
        <v>675</v>
      </c>
      <c r="N779" s="321"/>
      <c r="O779" s="321"/>
    </row>
    <row r="780" spans="2:15">
      <c r="B780" s="204" t="str">
        <f ca="1"/>
        <v>Windsor Central School District</v>
      </c>
      <c r="C780" s="206">
        <f>IF(COUNTIF(CONTROL!$B$52:$B$101,'Funding by District'!D676)&gt;=1,"",ROW()-104)</f>
        <v>676</v>
      </c>
      <c r="N780" s="321"/>
      <c r="O780" s="321"/>
    </row>
    <row r="781" spans="2:15">
      <c r="B781" s="204" t="str">
        <f ca="1"/>
        <v>Worcester Central School District</v>
      </c>
      <c r="C781" s="206">
        <f>IF(COUNTIF(CONTROL!$B$52:$B$101,'Funding by District'!D677)&gt;=1,"",ROW()-104)</f>
        <v>677</v>
      </c>
      <c r="N781" s="321"/>
      <c r="O781" s="321"/>
    </row>
    <row r="782" spans="2:15">
      <c r="B782" s="204" t="str">
        <f ca="1"/>
        <v>Wyandanch Union Free School District</v>
      </c>
      <c r="C782" s="206">
        <f>IF(COUNTIF(CONTROL!$B$52:$B$101,'Funding by District'!D678)&gt;=1,"",ROW()-104)</f>
        <v>678</v>
      </c>
      <c r="N782" s="321"/>
      <c r="O782" s="321"/>
    </row>
    <row r="783" spans="2:15">
      <c r="B783" s="204" t="str">
        <f ca="1"/>
        <v>Wynantskill Union Free School District</v>
      </c>
      <c r="C783" s="206">
        <f>IF(COUNTIF(CONTROL!$B$52:$B$101,'Funding by District'!D679)&gt;=1,"",ROW()-104)</f>
        <v>679</v>
      </c>
      <c r="N783" s="321"/>
      <c r="O783" s="321"/>
    </row>
    <row r="784" spans="2:15">
      <c r="B784" s="204" t="str">
        <f ca="1"/>
        <v>Wyoming Central School District</v>
      </c>
      <c r="C784" s="206">
        <f>IF(COUNTIF(CONTROL!$B$52:$B$101,'Funding by District'!D680)&gt;=1,"",ROW()-104)</f>
        <v>680</v>
      </c>
      <c r="N784" s="321"/>
      <c r="O784" s="321"/>
    </row>
    <row r="785" spans="2:15">
      <c r="B785" s="204" t="str">
        <f ca="1"/>
        <v>Yonkers City School District</v>
      </c>
      <c r="C785" s="206">
        <f>IF(COUNTIF(CONTROL!$B$52:$B$101,'Funding by District'!D681)&gt;=1,"",ROW()-104)</f>
        <v>681</v>
      </c>
      <c r="N785" s="321"/>
      <c r="O785" s="321"/>
    </row>
    <row r="786" spans="2:15">
      <c r="B786" s="204" t="str">
        <f ca="1"/>
        <v>York Central School District</v>
      </c>
      <c r="C786" s="206">
        <f>IF(COUNTIF(CONTROL!$B$52:$B$101,'Funding by District'!D682)&gt;=1,"",ROW()-104)</f>
        <v>682</v>
      </c>
      <c r="N786" s="321"/>
      <c r="O786" s="321"/>
    </row>
    <row r="787" spans="2:15">
      <c r="B787" s="204" t="str">
        <f ca="1"/>
        <v>Yorktown Central School District</v>
      </c>
      <c r="C787" s="206">
        <f>IF(COUNTIF(CONTROL!$B$52:$B$101,'Funding by District'!D683)&gt;=1,"",ROW()-104)</f>
        <v>683</v>
      </c>
      <c r="N787" s="321"/>
      <c r="O787" s="321"/>
    </row>
    <row r="788" spans="2:15">
      <c r="B788" s="204" t="e">
        <f ca="1"/>
        <v>#N/A</v>
      </c>
      <c r="C788" s="206">
        <f>IF(COUNTIF(CONTROL!$B$52:$B$101,'Funding by District'!#REF!)&gt;=1,"",ROW()-104)</f>
        <v>684</v>
      </c>
      <c r="N788" s="321"/>
      <c r="O788" s="321"/>
    </row>
    <row r="789" spans="2:15">
      <c r="B789" s="204" t="e">
        <f ca="1"/>
        <v>#N/A</v>
      </c>
      <c r="C789" s="206">
        <f>IF(COUNTIF(CONTROL!$B$52:$B$101,'Funding by District'!#REF!)&gt;=1,"",ROW()-104)</f>
        <v>685</v>
      </c>
      <c r="N789" s="321"/>
      <c r="O789" s="321"/>
    </row>
    <row r="791" spans="2:15">
      <c r="B791" s="850" t="s">
        <v>525</v>
      </c>
      <c r="C791" s="833"/>
      <c r="D791" s="833"/>
      <c r="E791" s="833"/>
      <c r="F791" s="833"/>
      <c r="G791" s="833"/>
      <c r="H791" s="833"/>
      <c r="I791" s="833"/>
      <c r="J791" s="834"/>
    </row>
    <row r="792" spans="2:15">
      <c r="B792" s="781">
        <v>0</v>
      </c>
      <c r="C792" s="838" t="s">
        <v>536</v>
      </c>
      <c r="D792" s="839"/>
      <c r="E792" s="838"/>
      <c r="F792" s="838"/>
      <c r="G792" s="838"/>
      <c r="H792" s="838"/>
      <c r="I792" s="838"/>
      <c r="J792" s="840"/>
    </row>
    <row r="793" spans="2:15">
      <c r="B793" s="781">
        <v>1</v>
      </c>
      <c r="C793" s="838" t="e">
        <f>"Please enter balance sheet data for the Ed Corp
 "&amp;D801&amp;"
only on this template.
The balance sheet should include data for
all charter schools operated by the Ed Corp."</f>
        <v>#N/A</v>
      </c>
      <c r="D793" s="839"/>
      <c r="E793" s="838"/>
      <c r="F793" s="838"/>
      <c r="G793" s="838"/>
      <c r="H793" s="838"/>
      <c r="I793" s="838"/>
      <c r="J793" s="840"/>
    </row>
    <row r="794" spans="2:15">
      <c r="B794" s="841">
        <v>2</v>
      </c>
      <c r="C794" s="835" t="e">
        <f>"DO NOT ENTER BALANCE SHEET DATA ON THIS TEMPLATE
Balance sheet data for the Ed Corp:
"&amp;D801&amp;"
should be entered on the template for 
"&amp;D802&amp;"."</f>
        <v>#N/A</v>
      </c>
      <c r="D794" s="836"/>
      <c r="E794" s="835"/>
      <c r="F794" s="835"/>
      <c r="G794" s="835"/>
      <c r="H794" s="835"/>
      <c r="I794" s="835"/>
      <c r="J794" s="837"/>
    </row>
    <row r="795" spans="2:15">
      <c r="B795" s="36"/>
      <c r="C795" s="762"/>
      <c r="D795" s="762"/>
      <c r="J795"/>
    </row>
    <row r="796" spans="2:15">
      <c r="B796" s="832" t="s">
        <v>524</v>
      </c>
      <c r="C796" s="849" t="e">
        <f>INDEX(Table2[BS-NeedCode],MATCH(School,Table2[SCHOOLS],0))</f>
        <v>#N/A</v>
      </c>
      <c r="D796"/>
      <c r="E796"/>
      <c r="F796"/>
      <c r="G796"/>
      <c r="H796"/>
      <c r="I796"/>
      <c r="J796"/>
    </row>
    <row r="797" spans="2:15">
      <c r="B797" s="832" t="s">
        <v>526</v>
      </c>
      <c r="C797" s="842" t="e">
        <f>INDEX(C792:C794,MATCH(BSNoteCode,B792:B794,0))</f>
        <v>#N/A</v>
      </c>
      <c r="D797" s="839"/>
      <c r="E797" s="838"/>
      <c r="F797" s="838"/>
      <c r="G797" s="838"/>
      <c r="H797" s="838"/>
      <c r="I797" s="838"/>
      <c r="J797" s="840"/>
    </row>
    <row r="798" spans="2:15" ht="15.75" thickBot="1">
      <c r="B798"/>
      <c r="C798"/>
      <c r="D798"/>
      <c r="E798"/>
      <c r="F798"/>
      <c r="G798"/>
      <c r="H798"/>
      <c r="I798"/>
      <c r="J798"/>
    </row>
    <row r="799" spans="2:15">
      <c r="B799" s="36"/>
      <c r="C799" s="852" t="s">
        <v>550</v>
      </c>
      <c r="D799" s="1138" t="str">
        <f>School</f>
        <v/>
      </c>
      <c r="E799" s="1138"/>
      <c r="F799" s="1138"/>
      <c r="G799" s="1138"/>
      <c r="H799" s="1138"/>
      <c r="I799" s="1138"/>
      <c r="J799" s="1139"/>
    </row>
    <row r="800" spans="2:15">
      <c r="B800" s="36"/>
      <c r="C800" s="853" t="s">
        <v>502</v>
      </c>
      <c r="D800" s="1140" t="e">
        <f>INDEX(Table2[MergeCorpID],MATCH(School,Table2[SCHOOLS],0))</f>
        <v>#N/A</v>
      </c>
      <c r="E800" s="1140"/>
      <c r="F800" s="1140"/>
      <c r="G800" s="1140"/>
      <c r="H800" s="1140"/>
      <c r="I800" s="1140"/>
      <c r="J800" s="1141"/>
    </row>
    <row r="801" spans="1:34">
      <c r="B801" s="36"/>
      <c r="C801" s="853" t="s">
        <v>503</v>
      </c>
      <c r="D801" s="1140" t="e">
        <f t="array" ref="D801">INDEX(Table2[MergeName],MATCH(1,(D800=Table2[MergeCorpID])*(TRUE=Table2[SurvivingEdCorp]),0))</f>
        <v>#N/A</v>
      </c>
      <c r="E801" s="1140"/>
      <c r="F801" s="1140"/>
      <c r="G801" s="1140"/>
      <c r="H801" s="1140"/>
      <c r="I801" s="1140"/>
      <c r="J801" s="1141"/>
    </row>
    <row r="802" spans="1:34" ht="15.75" thickBot="1">
      <c r="B802" s="36"/>
      <c r="C802" s="854" t="s">
        <v>551</v>
      </c>
      <c r="D802" s="1122" t="e">
        <f>INDEX(Table2[SCHOOLS],MATCH(D801,Table2[MergeName],0))</f>
        <v>#N/A</v>
      </c>
      <c r="E802" s="1122"/>
      <c r="F802" s="1122"/>
      <c r="G802" s="1122"/>
      <c r="H802" s="1122"/>
      <c r="I802" s="1122"/>
      <c r="J802" s="1123"/>
      <c r="L802"/>
    </row>
    <row r="803" spans="1:34">
      <c r="L803"/>
    </row>
    <row r="804" spans="1:34">
      <c r="L804"/>
    </row>
    <row r="805" spans="1:34">
      <c r="H805" s="4" t="s">
        <v>521</v>
      </c>
      <c r="L805"/>
    </row>
    <row r="806" spans="1:34">
      <c r="C806" s="481"/>
      <c r="H806" s="4" t="s">
        <v>522</v>
      </c>
      <c r="L806"/>
    </row>
    <row r="807" spans="1:34">
      <c r="H807" s="4" t="s">
        <v>523</v>
      </c>
    </row>
    <row r="808" spans="1:34" ht="29.25" customHeight="1">
      <c r="B808" s="763" t="s">
        <v>377</v>
      </c>
      <c r="C808" s="986" t="s">
        <v>504</v>
      </c>
      <c r="D808" s="987" t="s">
        <v>505</v>
      </c>
      <c r="E808" s="987" t="s">
        <v>502</v>
      </c>
      <c r="F808" s="764" t="s">
        <v>503</v>
      </c>
      <c r="G808" s="765" t="s">
        <v>576</v>
      </c>
      <c r="H808" s="4" t="s">
        <v>520</v>
      </c>
      <c r="I808" s="36"/>
      <c r="J808" s="22"/>
      <c r="K808" s="4"/>
      <c r="Q808"/>
      <c r="AH808" s="4"/>
    </row>
    <row r="809" spans="1:34">
      <c r="B809" s="1012" t="s">
        <v>666</v>
      </c>
      <c r="C809" s="1009" t="s">
        <v>501</v>
      </c>
      <c r="D809" s="1009" t="s">
        <v>501</v>
      </c>
      <c r="E809" s="1016" t="s">
        <v>501</v>
      </c>
      <c r="F809" s="1008" t="s">
        <v>501</v>
      </c>
      <c r="G809" s="40" t="s">
        <v>501</v>
      </c>
      <c r="H809" s="40" t="s">
        <v>501</v>
      </c>
      <c r="J809" s="4"/>
      <c r="K809" s="4"/>
      <c r="AH809" s="4"/>
    </row>
    <row r="810" spans="1:34">
      <c r="A810"/>
      <c r="B810" s="1011" t="s">
        <v>578</v>
      </c>
      <c r="C810" s="1014">
        <v>2017</v>
      </c>
      <c r="D810" s="1013"/>
      <c r="E810" s="1015"/>
      <c r="F810" s="1010"/>
      <c r="G810" s="40" t="b">
        <f>IF(ISBLANK(Table2[[#This Row],[MergeCorpID]]=TRUE),"",AND(ISNUMBER(Table2[[#This Row],[MergeCorpID]])=TRUE,ISBLANK(Table2[[#This Row],[MergeName]])=FALSE))</f>
        <v>0</v>
      </c>
      <c r="H810" s="40">
        <f>IF(ISBLANK(Table2[[#This Row],[MergeCorpID]])=TRUE,0,IF(Table2[[#This Row],[SurvivingEdCorp]]=TRUE,1,2))</f>
        <v>0</v>
      </c>
      <c r="J810" s="4"/>
      <c r="K810" s="4"/>
      <c r="AH810" s="4"/>
    </row>
    <row r="811" spans="1:34">
      <c r="B811" s="1012" t="s">
        <v>651</v>
      </c>
      <c r="C811" s="1009">
        <v>2018</v>
      </c>
      <c r="D811" s="1009">
        <v>2019</v>
      </c>
      <c r="E811" s="1016">
        <v>521</v>
      </c>
      <c r="F811" s="1008"/>
      <c r="G811" s="40" t="b">
        <f>IF(ISBLANK(Table2[[#This Row],[MergeCorpID]]=TRUE),"",AND(ISNUMBER(Table2[[#This Row],[MergeCorpID]])=TRUE,ISBLANK(Table2[[#This Row],[MergeName]])=FALSE))</f>
        <v>0</v>
      </c>
      <c r="H811" s="40">
        <f>IF(ISBLANK(Table2[[#This Row],[MergeCorpID]])=TRUE,0,IF(Table2[[#This Row],[SurvivingEdCorp]]=TRUE,1,2))</f>
        <v>2</v>
      </c>
      <c r="J811" s="4"/>
    </row>
    <row r="812" spans="1:34">
      <c r="B812" s="1011" t="s">
        <v>1367</v>
      </c>
      <c r="C812" s="1014">
        <v>2022</v>
      </c>
      <c r="D812" s="1013"/>
      <c r="E812" s="1015"/>
      <c r="F812" s="1010"/>
      <c r="G812" s="40" t="b">
        <f>IF(ISBLANK(Table2[[#This Row],[MergeCorpID]]=TRUE),"",AND(ISNUMBER(Table2[[#This Row],[MergeCorpID]])=TRUE,ISBLANK(Table2[[#This Row],[MergeName]])=FALSE))</f>
        <v>0</v>
      </c>
      <c r="H812" s="40">
        <f>IF(ISBLANK(Table2[[#This Row],[MergeCorpID]])=TRUE,0,IF(Table2[[#This Row],[SurvivingEdCorp]]=TRUE,1,2))</f>
        <v>0</v>
      </c>
      <c r="J812" s="4"/>
    </row>
    <row r="813" spans="1:34">
      <c r="B813" s="1012" t="s">
        <v>378</v>
      </c>
      <c r="C813" s="1009">
        <v>2009</v>
      </c>
      <c r="D813" s="1009">
        <v>2019</v>
      </c>
      <c r="E813" s="1016">
        <v>521</v>
      </c>
      <c r="F813" s="1008" t="s">
        <v>579</v>
      </c>
      <c r="G813" s="40" t="b">
        <f>IF(ISBLANK(Table2[[#This Row],[MergeCorpID]]=TRUE),"",AND(ISNUMBER(Table2[[#This Row],[MergeCorpID]])=TRUE,ISBLANK(Table2[[#This Row],[MergeName]])=FALSE))</f>
        <v>1</v>
      </c>
      <c r="H813" s="40">
        <f>IF(ISBLANK(Table2[[#This Row],[MergeCorpID]])=TRUE,0,IF(Table2[[#This Row],[SurvivingEdCorp]]=TRUE,1,2))</f>
        <v>1</v>
      </c>
      <c r="J813" s="4"/>
    </row>
    <row r="814" spans="1:34">
      <c r="B814" s="1011" t="s">
        <v>433</v>
      </c>
      <c r="C814" s="1014">
        <v>2011</v>
      </c>
      <c r="D814" s="1013"/>
      <c r="E814" s="1015"/>
      <c r="F814" s="1010"/>
      <c r="G814" s="40" t="b">
        <f>IF(ISBLANK(Table2[[#This Row],[MergeCorpID]]=TRUE),"",AND(ISNUMBER(Table2[[#This Row],[MergeCorpID]])=TRUE,ISBLANK(Table2[[#This Row],[MergeName]])=FALSE))</f>
        <v>0</v>
      </c>
      <c r="H814" s="40">
        <f>IF(ISBLANK(Table2[[#This Row],[MergeCorpID]])=TRUE,0,IF(Table2[[#This Row],[SurvivingEdCorp]]=TRUE,1,2))</f>
        <v>0</v>
      </c>
      <c r="J814" s="4"/>
    </row>
    <row r="815" spans="1:34">
      <c r="B815" s="1012" t="s">
        <v>381</v>
      </c>
      <c r="C815" s="1009">
        <v>2010</v>
      </c>
      <c r="D815" s="1009">
        <v>2016</v>
      </c>
      <c r="E815" s="1016">
        <v>511</v>
      </c>
      <c r="F815" s="1008"/>
      <c r="G815" s="40" t="b">
        <f>IF(ISBLANK(Table2[[#This Row],[MergeCorpID]]=TRUE),"",AND(ISNUMBER(Table2[[#This Row],[MergeCorpID]])=TRUE,ISBLANK(Table2[[#This Row],[MergeName]])=FALSE))</f>
        <v>0</v>
      </c>
      <c r="H815" s="40">
        <f>IF(ISBLANK(Table2[[#This Row],[MergeCorpID]])=TRUE,0,IF(Table2[[#This Row],[SurvivingEdCorp]]=TRUE,1,2))</f>
        <v>2</v>
      </c>
      <c r="J815" s="4"/>
    </row>
    <row r="816" spans="1:34">
      <c r="B816" s="1011" t="s">
        <v>442</v>
      </c>
      <c r="C816" s="1014">
        <v>2013</v>
      </c>
      <c r="D816" s="1013">
        <v>2016</v>
      </c>
      <c r="E816" s="1015">
        <v>511</v>
      </c>
      <c r="F816" s="1010"/>
      <c r="G816" s="40" t="b">
        <f>IF(ISBLANK(Table2[[#This Row],[MergeCorpID]]=TRUE),"",AND(ISNUMBER(Table2[[#This Row],[MergeCorpID]])=TRUE,ISBLANK(Table2[[#This Row],[MergeName]])=FALSE))</f>
        <v>0</v>
      </c>
      <c r="H816" s="40">
        <f>IF(ISBLANK(Table2[[#This Row],[MergeCorpID]])=TRUE,0,IF(Table2[[#This Row],[SurvivingEdCorp]]=TRUE,1,2))</f>
        <v>2</v>
      </c>
      <c r="J816" s="4"/>
    </row>
    <row r="817" spans="2:10">
      <c r="B817" s="1012" t="s">
        <v>379</v>
      </c>
      <c r="C817" s="1009">
        <v>2008</v>
      </c>
      <c r="D817" s="1009">
        <v>2016</v>
      </c>
      <c r="E817" s="1016">
        <v>511</v>
      </c>
      <c r="F817" s="1008"/>
      <c r="G817" s="40" t="b">
        <f>IF(ISBLANK(Table2[[#This Row],[MergeCorpID]]=TRUE),"",AND(ISNUMBER(Table2[[#This Row],[MergeCorpID]])=TRUE,ISBLANK(Table2[[#This Row],[MergeName]])=FALSE))</f>
        <v>0</v>
      </c>
      <c r="H817" s="40">
        <f>IF(ISBLANK(Table2[[#This Row],[MergeCorpID]])=TRUE,0,IF(Table2[[#This Row],[SurvivingEdCorp]]=TRUE,1,2))</f>
        <v>2</v>
      </c>
      <c r="J817" s="4"/>
    </row>
    <row r="818" spans="2:10">
      <c r="B818" s="1011" t="s">
        <v>380</v>
      </c>
      <c r="C818" s="1014">
        <v>2006</v>
      </c>
      <c r="D818" s="1013">
        <v>2016</v>
      </c>
      <c r="E818" s="1015">
        <v>511</v>
      </c>
      <c r="F818" s="1010" t="s">
        <v>580</v>
      </c>
      <c r="G818" s="40" t="b">
        <f>IF(ISBLANK(Table2[[#This Row],[MergeCorpID]]=TRUE),"",AND(ISNUMBER(Table2[[#This Row],[MergeCorpID]])=TRUE,ISBLANK(Table2[[#This Row],[MergeName]])=FALSE))</f>
        <v>1</v>
      </c>
      <c r="H818" s="40">
        <f>IF(ISBLANK(Table2[[#This Row],[MergeCorpID]])=TRUE,0,IF(Table2[[#This Row],[SurvivingEdCorp]]=TRUE,1,2))</f>
        <v>1</v>
      </c>
      <c r="J818" s="4"/>
    </row>
    <row r="819" spans="2:10">
      <c r="B819" s="1012" t="s">
        <v>1354</v>
      </c>
      <c r="C819" s="1009">
        <v>2022</v>
      </c>
      <c r="D819" s="1009">
        <v>2022</v>
      </c>
      <c r="E819" s="1016">
        <v>511</v>
      </c>
      <c r="F819" s="1008"/>
      <c r="G819" s="40" t="b">
        <f>IF(ISBLANK(Table2[[#This Row],[MergeCorpID]]=TRUE),"",AND(ISNUMBER(Table2[[#This Row],[MergeCorpID]])=TRUE,ISBLANK(Table2[[#This Row],[MergeName]])=FALSE))</f>
        <v>0</v>
      </c>
      <c r="H819" s="40">
        <f>IF(ISBLANK(Table2[[#This Row],[MergeCorpID]])=TRUE,0,IF(Table2[[#This Row],[SurvivingEdCorp]]=TRUE,1,2))</f>
        <v>2</v>
      </c>
      <c r="J819" s="4"/>
    </row>
    <row r="820" spans="2:10">
      <c r="B820" s="1011" t="s">
        <v>485</v>
      </c>
      <c r="C820" s="1014">
        <v>2016</v>
      </c>
      <c r="D820" s="1013">
        <v>2017</v>
      </c>
      <c r="E820" s="1015">
        <v>511</v>
      </c>
      <c r="F820" s="1010"/>
      <c r="G820" s="40" t="b">
        <f>IF(ISBLANK(Table2[[#This Row],[MergeCorpID]]=TRUE),"",AND(ISNUMBER(Table2[[#This Row],[MergeCorpID]])=TRUE,ISBLANK(Table2[[#This Row],[MergeName]])=FALSE))</f>
        <v>0</v>
      </c>
      <c r="H820" s="40">
        <f>IF(ISBLANK(Table2[[#This Row],[MergeCorpID]])=TRUE,0,IF(Table2[[#This Row],[SurvivingEdCorp]]=TRUE,1,2))</f>
        <v>2</v>
      </c>
      <c r="J820" s="4"/>
    </row>
    <row r="821" spans="2:10">
      <c r="B821" s="1012" t="s">
        <v>486</v>
      </c>
      <c r="C821" s="1009">
        <v>2016</v>
      </c>
      <c r="D821" s="1009">
        <v>2017</v>
      </c>
      <c r="E821" s="1016">
        <v>511</v>
      </c>
      <c r="F821" s="1008"/>
      <c r="G821" s="40" t="b">
        <f>IF(ISBLANK(Table2[[#This Row],[MergeCorpID]]=TRUE),"",AND(ISNUMBER(Table2[[#This Row],[MergeCorpID]])=TRUE,ISBLANK(Table2[[#This Row],[MergeName]])=FALSE))</f>
        <v>0</v>
      </c>
      <c r="H821" s="40">
        <f>IF(ISBLANK(Table2[[#This Row],[MergeCorpID]])=TRUE,0,IF(Table2[[#This Row],[SurvivingEdCorp]]=TRUE,1,2))</f>
        <v>2</v>
      </c>
      <c r="J821" s="4"/>
    </row>
    <row r="822" spans="2:10">
      <c r="B822" s="1011" t="s">
        <v>487</v>
      </c>
      <c r="C822" s="1014">
        <v>2016</v>
      </c>
      <c r="D822" s="1013">
        <v>2017</v>
      </c>
      <c r="E822" s="1015">
        <v>511</v>
      </c>
      <c r="F822" s="1010"/>
      <c r="G822" s="40" t="b">
        <f>IF(ISBLANK(Table2[[#This Row],[MergeCorpID]]=TRUE),"",AND(ISNUMBER(Table2[[#This Row],[MergeCorpID]])=TRUE,ISBLANK(Table2[[#This Row],[MergeName]])=FALSE))</f>
        <v>0</v>
      </c>
      <c r="H822" s="40">
        <f>IF(ISBLANK(Table2[[#This Row],[MergeCorpID]])=TRUE,0,IF(Table2[[#This Row],[SurvivingEdCorp]]=TRUE,1,2))</f>
        <v>2</v>
      </c>
      <c r="J822" s="4"/>
    </row>
    <row r="823" spans="2:10">
      <c r="B823" s="1012" t="s">
        <v>1352</v>
      </c>
      <c r="C823" s="1009">
        <v>2021</v>
      </c>
      <c r="D823" s="1009">
        <v>2022</v>
      </c>
      <c r="E823" s="1016">
        <v>511</v>
      </c>
      <c r="F823" s="1008"/>
      <c r="G823" s="40" t="b">
        <f>IF(ISBLANK(Table2[[#This Row],[MergeCorpID]]=TRUE),"",AND(ISNUMBER(Table2[[#This Row],[MergeCorpID]])=TRUE,ISBLANK(Table2[[#This Row],[MergeName]])=FALSE))</f>
        <v>0</v>
      </c>
      <c r="H823" s="40">
        <f>IF(ISBLANK(Table2[[#This Row],[MergeCorpID]])=TRUE,0,IF(Table2[[#This Row],[SurvivingEdCorp]]=TRUE,1,2))</f>
        <v>2</v>
      </c>
      <c r="J823" s="4"/>
    </row>
    <row r="824" spans="2:10">
      <c r="B824" s="1011" t="s">
        <v>468</v>
      </c>
      <c r="C824" s="1014">
        <v>2014</v>
      </c>
      <c r="D824" s="1013">
        <v>2016</v>
      </c>
      <c r="E824" s="1015">
        <v>511</v>
      </c>
      <c r="F824" s="1010"/>
      <c r="G824" s="40" t="b">
        <f>IF(ISBLANK(Table2[[#This Row],[MergeCorpID]]=TRUE),"",AND(ISNUMBER(Table2[[#This Row],[MergeCorpID]])=TRUE,ISBLANK(Table2[[#This Row],[MergeName]])=FALSE))</f>
        <v>0</v>
      </c>
      <c r="H824" s="40">
        <f>IF(ISBLANK(Table2[[#This Row],[MergeCorpID]])=TRUE,0,IF(Table2[[#This Row],[SurvivingEdCorp]]=TRUE,1,2))</f>
        <v>2</v>
      </c>
      <c r="J824" s="4"/>
    </row>
    <row r="825" spans="2:10">
      <c r="B825" s="1012" t="s">
        <v>463</v>
      </c>
      <c r="C825" s="1009">
        <v>2014</v>
      </c>
      <c r="D825" s="1009">
        <v>2016</v>
      </c>
      <c r="E825" s="1016">
        <v>511</v>
      </c>
      <c r="F825" s="1008"/>
      <c r="G825" s="40" t="b">
        <f>IF(ISBLANK(Table2[[#This Row],[MergeCorpID]]=TRUE),"",AND(ISNUMBER(Table2[[#This Row],[MergeCorpID]])=TRUE,ISBLANK(Table2[[#This Row],[MergeName]])=FALSE))</f>
        <v>0</v>
      </c>
      <c r="H825" s="40">
        <f>IF(ISBLANK(Table2[[#This Row],[MergeCorpID]])=TRUE,0,IF(Table2[[#This Row],[SurvivingEdCorp]]=TRUE,1,2))</f>
        <v>2</v>
      </c>
      <c r="J825" s="4"/>
    </row>
    <row r="826" spans="2:10">
      <c r="B826" s="1011" t="s">
        <v>506</v>
      </c>
      <c r="C826" s="1014">
        <v>2016</v>
      </c>
      <c r="D826" s="1013">
        <v>2016</v>
      </c>
      <c r="E826" s="1015">
        <v>511</v>
      </c>
      <c r="F826" s="1010"/>
      <c r="G826" s="40" t="b">
        <f>IF(ISBLANK(Table2[[#This Row],[MergeCorpID]]=TRUE),"",AND(ISNUMBER(Table2[[#This Row],[MergeCorpID]])=TRUE,ISBLANK(Table2[[#This Row],[MergeName]])=FALSE))</f>
        <v>0</v>
      </c>
      <c r="H826" s="40">
        <f>IF(ISBLANK(Table2[[#This Row],[MergeCorpID]])=TRUE,0,IF(Table2[[#This Row],[SurvivingEdCorp]]=TRUE,1,2))</f>
        <v>2</v>
      </c>
      <c r="J826" s="4"/>
    </row>
    <row r="827" spans="2:10">
      <c r="B827" s="1012" t="s">
        <v>382</v>
      </c>
      <c r="C827" s="1009">
        <v>2010</v>
      </c>
      <c r="D827" s="1009"/>
      <c r="E827" s="1016"/>
      <c r="F827" s="1008"/>
      <c r="G827" s="40" t="b">
        <f>IF(ISBLANK(Table2[[#This Row],[MergeCorpID]]=TRUE),"",AND(ISNUMBER(Table2[[#This Row],[MergeCorpID]])=TRUE,ISBLANK(Table2[[#This Row],[MergeName]])=FALSE))</f>
        <v>0</v>
      </c>
      <c r="H827" s="40">
        <f>IF(ISBLANK(Table2[[#This Row],[MergeCorpID]])=TRUE,0,IF(Table2[[#This Row],[SurvivingEdCorp]]=TRUE,1,2))</f>
        <v>0</v>
      </c>
      <c r="J827" s="4"/>
    </row>
    <row r="828" spans="2:10">
      <c r="B828" s="1011" t="s">
        <v>581</v>
      </c>
      <c r="C828" s="1014">
        <v>2000</v>
      </c>
      <c r="D828" s="1013">
        <v>2017</v>
      </c>
      <c r="E828" s="1015">
        <v>522</v>
      </c>
      <c r="F828" s="1010" t="s">
        <v>582</v>
      </c>
      <c r="G828" s="40" t="b">
        <f>IF(ISBLANK(Table2[[#This Row],[MergeCorpID]]=TRUE),"",AND(ISNUMBER(Table2[[#This Row],[MergeCorpID]])=TRUE,ISBLANK(Table2[[#This Row],[MergeName]])=FALSE))</f>
        <v>1</v>
      </c>
      <c r="H828" s="40">
        <f>IF(ISBLANK(Table2[[#This Row],[MergeCorpID]])=TRUE,0,IF(Table2[[#This Row],[SurvivingEdCorp]]=TRUE,1,2))</f>
        <v>1</v>
      </c>
      <c r="J828" s="4"/>
    </row>
    <row r="829" spans="2:10">
      <c r="B829" s="1011" t="s">
        <v>1351</v>
      </c>
      <c r="C829" s="1014">
        <v>2021</v>
      </c>
      <c r="D829" s="1013">
        <v>2021</v>
      </c>
      <c r="E829" s="1015">
        <v>522</v>
      </c>
      <c r="F829" s="1010"/>
      <c r="G829" s="40" t="b">
        <f>IF(ISBLANK(Table2[[#This Row],[MergeCorpID]]=TRUE),"",AND(ISNUMBER(Table2[[#This Row],[MergeCorpID]])=TRUE,ISBLANK(Table2[[#This Row],[MergeName]])=FALSE))</f>
        <v>0</v>
      </c>
      <c r="H829" s="40">
        <f>IF(ISBLANK(Table2[[#This Row],[MergeCorpID]])=TRUE,0,IF(Table2[[#This Row],[SurvivingEdCorp]]=TRUE,1,2))</f>
        <v>2</v>
      </c>
      <c r="J829" s="4"/>
    </row>
    <row r="830" spans="2:10">
      <c r="B830" s="1012" t="s">
        <v>583</v>
      </c>
      <c r="C830" s="1009">
        <v>2016</v>
      </c>
      <c r="D830" s="1009">
        <v>2017</v>
      </c>
      <c r="E830" s="1016">
        <v>522</v>
      </c>
      <c r="F830" s="1008"/>
      <c r="G830" s="40" t="b">
        <f>IF(ISBLANK(Table2[[#This Row],[MergeCorpID]]=TRUE),"",AND(ISNUMBER(Table2[[#This Row],[MergeCorpID]])=TRUE,ISBLANK(Table2[[#This Row],[MergeName]])=FALSE))</f>
        <v>0</v>
      </c>
      <c r="H830" s="40">
        <f>IF(ISBLANK(Table2[[#This Row],[MergeCorpID]])=TRUE,0,IF(Table2[[#This Row],[SurvivingEdCorp]]=TRUE,1,2))</f>
        <v>2</v>
      </c>
      <c r="J830" s="4"/>
    </row>
    <row r="831" spans="2:10">
      <c r="B831" s="1012" t="s">
        <v>476</v>
      </c>
      <c r="C831" s="1009">
        <v>2015</v>
      </c>
      <c r="D831" s="1009"/>
      <c r="E831" s="1016"/>
      <c r="F831" s="1008"/>
      <c r="G831" s="40" t="b">
        <f>IF(ISBLANK(Table2[[#This Row],[MergeCorpID]]=TRUE),"",AND(ISNUMBER(Table2[[#This Row],[MergeCorpID]])=TRUE,ISBLANK(Table2[[#This Row],[MergeName]])=FALSE))</f>
        <v>0</v>
      </c>
      <c r="H831" s="40">
        <f>IF(ISBLANK(Table2[[#This Row],[MergeCorpID]])=TRUE,0,IF(Table2[[#This Row],[SurvivingEdCorp]]=TRUE,1,2))</f>
        <v>0</v>
      </c>
      <c r="J831" s="4"/>
    </row>
    <row r="832" spans="2:10">
      <c r="B832" s="1011" t="s">
        <v>383</v>
      </c>
      <c r="C832" s="1014">
        <v>2008</v>
      </c>
      <c r="D832" s="1013">
        <v>2016</v>
      </c>
      <c r="E832" s="1015">
        <v>509</v>
      </c>
      <c r="F832" s="1010"/>
      <c r="G832" s="40" t="b">
        <f>IF(ISBLANK(Table2[[#This Row],[MergeCorpID]]=TRUE),"",AND(ISNUMBER(Table2[[#This Row],[MergeCorpID]])=TRUE,ISBLANK(Table2[[#This Row],[MergeName]])=FALSE))</f>
        <v>0</v>
      </c>
      <c r="H832" s="40">
        <f>IF(ISBLANK(Table2[[#This Row],[MergeCorpID]])=TRUE,0,IF(Table2[[#This Row],[SurvivingEdCorp]]=TRUE,1,2))</f>
        <v>2</v>
      </c>
      <c r="J832" s="4"/>
    </row>
    <row r="833" spans="2:10">
      <c r="B833" s="1012" t="s">
        <v>443</v>
      </c>
      <c r="C833" s="1009">
        <v>2012</v>
      </c>
      <c r="D833" s="1009">
        <v>2015</v>
      </c>
      <c r="E833" s="1016">
        <v>504</v>
      </c>
      <c r="F833" s="1008"/>
      <c r="G833" s="40" t="b">
        <f>IF(ISBLANK(Table2[[#This Row],[MergeCorpID]]=TRUE),"",AND(ISNUMBER(Table2[[#This Row],[MergeCorpID]])=TRUE,ISBLANK(Table2[[#This Row],[MergeName]])=FALSE))</f>
        <v>0</v>
      </c>
      <c r="H833" s="40">
        <f>IF(ISBLANK(Table2[[#This Row],[MergeCorpID]])=TRUE,0,IF(Table2[[#This Row],[SurvivingEdCorp]]=TRUE,1,2))</f>
        <v>2</v>
      </c>
      <c r="J833" s="4"/>
    </row>
    <row r="834" spans="2:10">
      <c r="B834" s="1011" t="s">
        <v>455</v>
      </c>
      <c r="C834" s="1014">
        <v>2014</v>
      </c>
      <c r="D834" s="1013">
        <v>2015</v>
      </c>
      <c r="E834" s="1015">
        <v>506</v>
      </c>
      <c r="F834" s="1010"/>
      <c r="G834" s="40" t="b">
        <f>IF(ISBLANK(Table2[[#This Row],[MergeCorpID]]=TRUE),"",AND(ISNUMBER(Table2[[#This Row],[MergeCorpID]])=TRUE,ISBLANK(Table2[[#This Row],[MergeName]])=FALSE))</f>
        <v>0</v>
      </c>
      <c r="H834" s="40">
        <f>IF(ISBLANK(Table2[[#This Row],[MergeCorpID]])=TRUE,0,IF(Table2[[#This Row],[SurvivingEdCorp]]=TRUE,1,2))</f>
        <v>2</v>
      </c>
      <c r="J834" s="4"/>
    </row>
    <row r="835" spans="2:10">
      <c r="B835" s="1011" t="s">
        <v>2055</v>
      </c>
      <c r="C835" s="1014">
        <v>2023</v>
      </c>
      <c r="D835" s="1013"/>
      <c r="E835" s="1015"/>
      <c r="F835" s="1010"/>
      <c r="G835" s="40" t="b">
        <f>IF(ISBLANK(Table2[[#This Row],[MergeCorpID]]=TRUE),"",AND(ISNUMBER(Table2[[#This Row],[MergeCorpID]])=TRUE,ISBLANK(Table2[[#This Row],[MergeName]])=FALSE))</f>
        <v>0</v>
      </c>
      <c r="H835" s="40">
        <f>IF(ISBLANK(Table2[[#This Row],[MergeCorpID]])=TRUE,0,IF(Table2[[#This Row],[SurvivingEdCorp]]=TRUE,1,2))</f>
        <v>0</v>
      </c>
      <c r="J835" s="4"/>
    </row>
    <row r="836" spans="2:10">
      <c r="B836" s="1012" t="s">
        <v>652</v>
      </c>
      <c r="C836" s="1009">
        <v>2020</v>
      </c>
      <c r="D836" s="1009">
        <v>2021</v>
      </c>
      <c r="E836" s="1016">
        <v>514</v>
      </c>
      <c r="F836" s="1008"/>
      <c r="G836" s="40" t="b">
        <f>IF(ISBLANK(Table2[[#This Row],[MergeCorpID]]=TRUE),"",AND(ISNUMBER(Table2[[#This Row],[MergeCorpID]])=TRUE,ISBLANK(Table2[[#This Row],[MergeName]])=FALSE))</f>
        <v>0</v>
      </c>
      <c r="H836" s="40">
        <f>IF(ISBLANK(Table2[[#This Row],[MergeCorpID]])=TRUE,0,IF(Table2[[#This Row],[SurvivingEdCorp]]=TRUE,1,2))</f>
        <v>2</v>
      </c>
      <c r="J836" s="4"/>
    </row>
    <row r="837" spans="2:10">
      <c r="B837" s="1011" t="s">
        <v>545</v>
      </c>
      <c r="C837" s="1014">
        <v>2017</v>
      </c>
      <c r="D837" s="1013">
        <v>2018</v>
      </c>
      <c r="E837" s="1015">
        <v>514</v>
      </c>
      <c r="F837" s="1010"/>
      <c r="G837" s="40" t="b">
        <f>IF(ISBLANK(Table2[[#This Row],[MergeCorpID]]=TRUE),"",AND(ISNUMBER(Table2[[#This Row],[MergeCorpID]])=TRUE,ISBLANK(Table2[[#This Row],[MergeName]])=FALSE))</f>
        <v>0</v>
      </c>
      <c r="H837" s="40">
        <f>IF(ISBLANK(Table2[[#This Row],[MergeCorpID]])=TRUE,0,IF(Table2[[#This Row],[SurvivingEdCorp]]=TRUE,1,2))</f>
        <v>2</v>
      </c>
      <c r="J837" s="4"/>
    </row>
    <row r="838" spans="2:10">
      <c r="B838" s="1012" t="s">
        <v>653</v>
      </c>
      <c r="C838" s="1009">
        <v>2020</v>
      </c>
      <c r="D838" s="1009">
        <v>2021</v>
      </c>
      <c r="E838" s="1016">
        <v>514</v>
      </c>
      <c r="F838" s="1008"/>
      <c r="G838" s="40" t="b">
        <f>IF(ISBLANK(Table2[[#This Row],[MergeCorpID]]=TRUE),"",AND(ISNUMBER(Table2[[#This Row],[MergeCorpID]])=TRUE,ISBLANK(Table2[[#This Row],[MergeName]])=FALSE))</f>
        <v>0</v>
      </c>
      <c r="H838" s="40">
        <f>IF(ISBLANK(Table2[[#This Row],[MergeCorpID]])=TRUE,0,IF(Table2[[#This Row],[SurvivingEdCorp]]=TRUE,1,2))</f>
        <v>2</v>
      </c>
      <c r="J838" s="4"/>
    </row>
    <row r="839" spans="2:10">
      <c r="B839" s="1011" t="s">
        <v>647</v>
      </c>
      <c r="C839" s="1014">
        <v>2017</v>
      </c>
      <c r="D839" s="1013">
        <v>2018</v>
      </c>
      <c r="E839" s="1015">
        <v>514</v>
      </c>
      <c r="F839" s="1010" t="s">
        <v>584</v>
      </c>
      <c r="G839" s="40" t="b">
        <f>IF(ISBLANK(Table2[[#This Row],[MergeCorpID]]=TRUE),"",AND(ISNUMBER(Table2[[#This Row],[MergeCorpID]])=TRUE,ISBLANK(Table2[[#This Row],[MergeName]])=FALSE))</f>
        <v>1</v>
      </c>
      <c r="H839" s="40">
        <f>IF(ISBLANK(Table2[[#This Row],[MergeCorpID]])=TRUE,0,IF(Table2[[#This Row],[SurvivingEdCorp]]=TRUE,1,2))</f>
        <v>1</v>
      </c>
      <c r="J839" s="4"/>
    </row>
    <row r="840" spans="2:10">
      <c r="B840" s="1012" t="s">
        <v>384</v>
      </c>
      <c r="C840" s="1009">
        <v>2003</v>
      </c>
      <c r="D840" s="1009">
        <v>2016</v>
      </c>
      <c r="E840" s="1016">
        <v>517</v>
      </c>
      <c r="F840" s="1008" t="s">
        <v>611</v>
      </c>
      <c r="G840" s="40" t="b">
        <f>IF(ISBLANK(Table2[[#This Row],[MergeCorpID]]=TRUE),"",AND(ISNUMBER(Table2[[#This Row],[MergeCorpID]])=TRUE,ISBLANK(Table2[[#This Row],[MergeName]])=FALSE))</f>
        <v>1</v>
      </c>
      <c r="H840" s="40">
        <f>IF(ISBLANK(Table2[[#This Row],[MergeCorpID]])=TRUE,0,IF(Table2[[#This Row],[SurvivingEdCorp]]=TRUE,1,2))</f>
        <v>1</v>
      </c>
      <c r="J840" s="4"/>
    </row>
    <row r="841" spans="2:10">
      <c r="B841" s="1011" t="s">
        <v>477</v>
      </c>
      <c r="C841" s="1014">
        <v>2015</v>
      </c>
      <c r="D841" s="1013">
        <v>2016</v>
      </c>
      <c r="E841" s="1015">
        <v>517</v>
      </c>
      <c r="F841" s="1010"/>
      <c r="G841" s="40" t="b">
        <f>IF(ISBLANK(Table2[[#This Row],[MergeCorpID]]=TRUE),"",AND(ISNUMBER(Table2[[#This Row],[MergeCorpID]])=TRUE,ISBLANK(Table2[[#This Row],[MergeName]])=FALSE))</f>
        <v>0</v>
      </c>
      <c r="H841" s="40">
        <f>IF(ISBLANK(Table2[[#This Row],[MergeCorpID]])=TRUE,0,IF(Table2[[#This Row],[SurvivingEdCorp]]=TRUE,1,2))</f>
        <v>2</v>
      </c>
      <c r="J841" s="4"/>
    </row>
    <row r="842" spans="2:10">
      <c r="B842" s="1012" t="s">
        <v>385</v>
      </c>
      <c r="C842" s="1009">
        <v>2004</v>
      </c>
      <c r="D842" s="1009">
        <v>2017</v>
      </c>
      <c r="E842" s="1016">
        <v>510</v>
      </c>
      <c r="F842" s="1008" t="s">
        <v>585</v>
      </c>
      <c r="G842" s="40" t="b">
        <f>IF(ISBLANK(Table2[[#This Row],[MergeCorpID]]=TRUE),"",AND(ISNUMBER(Table2[[#This Row],[MergeCorpID]])=TRUE,ISBLANK(Table2[[#This Row],[MergeName]])=FALSE))</f>
        <v>1</v>
      </c>
      <c r="H842" s="40">
        <f>IF(ISBLANK(Table2[[#This Row],[MergeCorpID]])=TRUE,0,IF(Table2[[#This Row],[SurvivingEdCorp]]=TRUE,1,2))</f>
        <v>1</v>
      </c>
      <c r="J842" s="4"/>
    </row>
    <row r="843" spans="2:10">
      <c r="B843" s="1011" t="s">
        <v>484</v>
      </c>
      <c r="C843" s="1014">
        <v>2016</v>
      </c>
      <c r="D843" s="1013">
        <v>2017</v>
      </c>
      <c r="E843" s="1015">
        <v>510</v>
      </c>
      <c r="F843" s="1010"/>
      <c r="G843" s="40" t="b">
        <f>IF(ISBLANK(Table2[[#This Row],[MergeCorpID]]=TRUE),"",AND(ISNUMBER(Table2[[#This Row],[MergeCorpID]])=TRUE,ISBLANK(Table2[[#This Row],[MergeName]])=FALSE))</f>
        <v>0</v>
      </c>
      <c r="H843" s="40">
        <f>IF(ISBLANK(Table2[[#This Row],[MergeCorpID]])=TRUE,0,IF(Table2[[#This Row],[SurvivingEdCorp]]=TRUE,1,2))</f>
        <v>2</v>
      </c>
      <c r="J843" s="4"/>
    </row>
    <row r="844" spans="2:10">
      <c r="B844" s="1012" t="s">
        <v>541</v>
      </c>
      <c r="C844" s="1009">
        <v>2017</v>
      </c>
      <c r="D844" s="1009">
        <v>2018</v>
      </c>
      <c r="E844" s="1016">
        <v>510</v>
      </c>
      <c r="F844" s="1008"/>
      <c r="G844" s="40" t="b">
        <f>IF(ISBLANK(Table2[[#This Row],[MergeCorpID]]=TRUE),"",AND(ISNUMBER(Table2[[#This Row],[MergeCorpID]])=TRUE,ISBLANK(Table2[[#This Row],[MergeName]])=FALSE))</f>
        <v>0</v>
      </c>
      <c r="H844" s="40">
        <f>IF(ISBLANK(Table2[[#This Row],[MergeCorpID]])=TRUE,0,IF(Table2[[#This Row],[SurvivingEdCorp]]=TRUE,1,2))</f>
        <v>2</v>
      </c>
      <c r="J844" s="4"/>
    </row>
    <row r="845" spans="2:10">
      <c r="B845" s="1011" t="s">
        <v>586</v>
      </c>
      <c r="C845" s="1014">
        <v>2018</v>
      </c>
      <c r="D845" s="1013">
        <v>2019</v>
      </c>
      <c r="E845" s="1015">
        <v>510</v>
      </c>
      <c r="F845" s="1010"/>
      <c r="G845" s="40" t="b">
        <f>IF(ISBLANK(Table2[[#This Row],[MergeCorpID]]=TRUE),"",AND(ISNUMBER(Table2[[#This Row],[MergeCorpID]])=TRUE,ISBLANK(Table2[[#This Row],[MergeName]])=FALSE))</f>
        <v>0</v>
      </c>
      <c r="H845" s="40">
        <f>IF(ISBLANK(Table2[[#This Row],[MergeCorpID]])=TRUE,0,IF(Table2[[#This Row],[SurvivingEdCorp]]=TRUE,1,2))</f>
        <v>2</v>
      </c>
      <c r="J845" s="4"/>
    </row>
    <row r="846" spans="2:10">
      <c r="B846" s="1012" t="s">
        <v>612</v>
      </c>
      <c r="C846" s="1009">
        <v>2019</v>
      </c>
      <c r="D846" s="1009">
        <v>2020</v>
      </c>
      <c r="E846" s="1016">
        <v>510</v>
      </c>
      <c r="F846" s="1008"/>
      <c r="G846" s="40" t="b">
        <f>IF(ISBLANK(Table2[[#This Row],[MergeCorpID]]=TRUE),"",AND(ISNUMBER(Table2[[#This Row],[MergeCorpID]])=TRUE,ISBLANK(Table2[[#This Row],[MergeName]])=FALSE))</f>
        <v>0</v>
      </c>
      <c r="H846" s="40">
        <f>IF(ISBLANK(Table2[[#This Row],[MergeCorpID]])=TRUE,0,IF(Table2[[#This Row],[SurvivingEdCorp]]=TRUE,1,2))</f>
        <v>2</v>
      </c>
      <c r="J846" s="4"/>
    </row>
    <row r="847" spans="2:10">
      <c r="B847" s="1011" t="s">
        <v>386</v>
      </c>
      <c r="C847" s="1014">
        <v>2001</v>
      </c>
      <c r="D847" s="1013">
        <v>2018</v>
      </c>
      <c r="E847" s="1015">
        <v>520</v>
      </c>
      <c r="F847" s="1010" t="s">
        <v>587</v>
      </c>
      <c r="G847" s="40" t="b">
        <f>IF(ISBLANK(Table2[[#This Row],[MergeCorpID]]=TRUE),"",AND(ISNUMBER(Table2[[#This Row],[MergeCorpID]])=TRUE,ISBLANK(Table2[[#This Row],[MergeName]])=FALSE))</f>
        <v>1</v>
      </c>
      <c r="H847" s="40">
        <f>IF(ISBLANK(Table2[[#This Row],[MergeCorpID]])=TRUE,0,IF(Table2[[#This Row],[SurvivingEdCorp]]=TRUE,1,2))</f>
        <v>1</v>
      </c>
      <c r="J847" s="4"/>
    </row>
    <row r="848" spans="2:10">
      <c r="B848" s="1012" t="s">
        <v>488</v>
      </c>
      <c r="C848" s="1009">
        <v>2016</v>
      </c>
      <c r="D848" s="1009">
        <v>2017</v>
      </c>
      <c r="E848" s="1016">
        <v>512</v>
      </c>
      <c r="F848" s="1008"/>
      <c r="G848" s="40" t="b">
        <f>IF(ISBLANK(Table2[[#This Row],[MergeCorpID]]=TRUE),"",AND(ISNUMBER(Table2[[#This Row],[MergeCorpID]])=TRUE,ISBLANK(Table2[[#This Row],[MergeName]])=FALSE))</f>
        <v>0</v>
      </c>
      <c r="H848" s="40">
        <f>IF(ISBLANK(Table2[[#This Row],[MergeCorpID]])=TRUE,0,IF(Table2[[#This Row],[SurvivingEdCorp]]=TRUE,1,2))</f>
        <v>2</v>
      </c>
      <c r="J848" s="4"/>
    </row>
    <row r="849" spans="2:10">
      <c r="B849" s="1011" t="s">
        <v>387</v>
      </c>
      <c r="C849" s="1014">
        <v>2010</v>
      </c>
      <c r="D849" s="1013"/>
      <c r="E849" s="1015"/>
      <c r="F849" s="1010"/>
      <c r="G849" s="40" t="b">
        <f>IF(ISBLANK(Table2[[#This Row],[MergeCorpID]]=TRUE),"",AND(ISNUMBER(Table2[[#This Row],[MergeCorpID]])=TRUE,ISBLANK(Table2[[#This Row],[MergeName]])=FALSE))</f>
        <v>0</v>
      </c>
      <c r="H849" s="40">
        <f>IF(ISBLANK(Table2[[#This Row],[MergeCorpID]])=TRUE,0,IF(Table2[[#This Row],[SurvivingEdCorp]]=TRUE,1,2))</f>
        <v>0</v>
      </c>
      <c r="J849" s="4"/>
    </row>
    <row r="850" spans="2:10">
      <c r="B850" s="1012" t="s">
        <v>393</v>
      </c>
      <c r="C850" s="1009">
        <v>2010</v>
      </c>
      <c r="D850" s="1009">
        <v>2016</v>
      </c>
      <c r="E850" s="1016">
        <v>509</v>
      </c>
      <c r="F850" s="1008"/>
      <c r="G850" s="40" t="b">
        <f>IF(ISBLANK(Table2[[#This Row],[MergeCorpID]]=TRUE),"",AND(ISNUMBER(Table2[[#This Row],[MergeCorpID]])=TRUE,ISBLANK(Table2[[#This Row],[MergeName]])=FALSE))</f>
        <v>0</v>
      </c>
      <c r="H850" s="40">
        <f>IF(ISBLANK(Table2[[#This Row],[MergeCorpID]])=TRUE,0,IF(Table2[[#This Row],[SurvivingEdCorp]]=TRUE,1,2))</f>
        <v>2</v>
      </c>
      <c r="J850" s="4"/>
    </row>
    <row r="851" spans="2:10">
      <c r="B851" s="1011" t="s">
        <v>542</v>
      </c>
      <c r="C851" s="1014">
        <v>2017</v>
      </c>
      <c r="D851" s="1013"/>
      <c r="E851" s="1015"/>
      <c r="F851" s="1010"/>
      <c r="G851" s="40" t="b">
        <f>IF(ISBLANK(Table2[[#This Row],[MergeCorpID]]=TRUE),"",AND(ISNUMBER(Table2[[#This Row],[MergeCorpID]])=TRUE,ISBLANK(Table2[[#This Row],[MergeName]])=FALSE))</f>
        <v>0</v>
      </c>
      <c r="H851" s="40">
        <f>IF(ISBLANK(Table2[[#This Row],[MergeCorpID]])=TRUE,0,IF(Table2[[#This Row],[SurvivingEdCorp]]=TRUE,1,2))</f>
        <v>0</v>
      </c>
      <c r="J851" s="4"/>
    </row>
    <row r="852" spans="2:10">
      <c r="B852" s="1012" t="s">
        <v>388</v>
      </c>
      <c r="C852" s="1009">
        <v>2003</v>
      </c>
      <c r="D852" s="1009"/>
      <c r="E852" s="1016"/>
      <c r="F852" s="1008"/>
      <c r="G852" s="40" t="b">
        <f>IF(ISBLANK(Table2[[#This Row],[MergeCorpID]]=TRUE),"",AND(ISNUMBER(Table2[[#This Row],[MergeCorpID]])=TRUE,ISBLANK(Table2[[#This Row],[MergeName]])=FALSE))</f>
        <v>0</v>
      </c>
      <c r="H852" s="40">
        <f>IF(ISBLANK(Table2[[#This Row],[MergeCorpID]])=TRUE,0,IF(Table2[[#This Row],[SurvivingEdCorp]]=TRUE,1,2))</f>
        <v>0</v>
      </c>
      <c r="J852" s="4"/>
    </row>
    <row r="853" spans="2:10">
      <c r="B853" s="1011" t="s">
        <v>549</v>
      </c>
      <c r="C853" s="1014">
        <v>2016</v>
      </c>
      <c r="D853" s="1013">
        <v>2017</v>
      </c>
      <c r="E853" s="1015">
        <v>523</v>
      </c>
      <c r="F853" s="1010"/>
      <c r="G853" s="40" t="b">
        <f>IF(ISBLANK(Table2[[#This Row],[MergeCorpID]]=TRUE),"",AND(ISNUMBER(Table2[[#This Row],[MergeCorpID]])=TRUE,ISBLANK(Table2[[#This Row],[MergeName]])=FALSE))</f>
        <v>0</v>
      </c>
      <c r="H853" s="40">
        <f>IF(ISBLANK(Table2[[#This Row],[MergeCorpID]])=TRUE,0,IF(Table2[[#This Row],[SurvivingEdCorp]]=TRUE,1,2))</f>
        <v>2</v>
      </c>
      <c r="J853" s="4"/>
    </row>
    <row r="854" spans="2:10">
      <c r="B854" s="1012" t="s">
        <v>1359</v>
      </c>
      <c r="C854" s="1009">
        <v>2015</v>
      </c>
      <c r="D854" s="1009">
        <v>2022</v>
      </c>
      <c r="E854" s="1016">
        <v>523</v>
      </c>
      <c r="F854" s="1008"/>
      <c r="G854" s="40" t="b">
        <f>IF(ISBLANK(Table2[[#This Row],[MergeCorpID]]=TRUE),"",AND(ISNUMBER(Table2[[#This Row],[MergeCorpID]])=TRUE,ISBLANK(Table2[[#This Row],[MergeName]])=FALSE))</f>
        <v>0</v>
      </c>
      <c r="H854" s="40">
        <f>IF(ISBLANK(Table2[[#This Row],[MergeCorpID]])=TRUE,0,IF(Table2[[#This Row],[SurvivingEdCorp]]=TRUE,1,2))</f>
        <v>2</v>
      </c>
      <c r="J854" s="4"/>
    </row>
    <row r="855" spans="2:10">
      <c r="B855" s="1011" t="s">
        <v>548</v>
      </c>
      <c r="C855" s="1014">
        <v>2009</v>
      </c>
      <c r="D855" s="1013">
        <v>2017</v>
      </c>
      <c r="E855" s="1015">
        <v>523</v>
      </c>
      <c r="F855" s="1010" t="s">
        <v>588</v>
      </c>
      <c r="G855" s="40" t="b">
        <f>IF(ISBLANK(Table2[[#This Row],[MergeCorpID]]=TRUE),"",AND(ISNUMBER(Table2[[#This Row],[MergeCorpID]])=TRUE,ISBLANK(Table2[[#This Row],[MergeName]])=FALSE))</f>
        <v>1</v>
      </c>
      <c r="H855" s="40">
        <f>IF(ISBLANK(Table2[[#This Row],[MergeCorpID]])=TRUE,0,IF(Table2[[#This Row],[SurvivingEdCorp]]=TRUE,1,2))</f>
        <v>1</v>
      </c>
      <c r="J855" s="4"/>
    </row>
    <row r="856" spans="2:10">
      <c r="B856" s="1012" t="s">
        <v>613</v>
      </c>
      <c r="C856" s="1009">
        <v>2019</v>
      </c>
      <c r="D856" s="1009">
        <v>2020</v>
      </c>
      <c r="E856" s="1016">
        <v>523</v>
      </c>
      <c r="F856" s="1008"/>
      <c r="G856" s="40" t="b">
        <f>IF(ISBLANK(Table2[[#This Row],[MergeCorpID]]=TRUE),"",AND(ISNUMBER(Table2[[#This Row],[MergeCorpID]])=TRUE,ISBLANK(Table2[[#This Row],[MergeName]])=FALSE))</f>
        <v>0</v>
      </c>
      <c r="H856" s="40">
        <f>IF(ISBLANK(Table2[[#This Row],[MergeCorpID]])=TRUE,0,IF(Table2[[#This Row],[SurvivingEdCorp]]=TRUE,1,2))</f>
        <v>2</v>
      </c>
      <c r="J856" s="4"/>
    </row>
    <row r="857" spans="2:10">
      <c r="B857" s="1011" t="s">
        <v>435</v>
      </c>
      <c r="C857" s="1014">
        <v>2011</v>
      </c>
      <c r="D857" s="1013"/>
      <c r="E857" s="1015"/>
      <c r="F857" s="1010"/>
      <c r="G857" s="40" t="b">
        <f>IF(ISBLANK(Table2[[#This Row],[MergeCorpID]]=TRUE),"",AND(ISNUMBER(Table2[[#This Row],[MergeCorpID]])=TRUE,ISBLANK(Table2[[#This Row],[MergeName]])=FALSE))</f>
        <v>0</v>
      </c>
      <c r="H857" s="40">
        <f>IF(ISBLANK(Table2[[#This Row],[MergeCorpID]])=TRUE,0,IF(Table2[[#This Row],[SurvivingEdCorp]]=TRUE,1,2))</f>
        <v>0</v>
      </c>
      <c r="J857" s="4"/>
    </row>
    <row r="858" spans="2:10">
      <c r="B858" s="1012" t="s">
        <v>489</v>
      </c>
      <c r="C858" s="1009">
        <v>2016</v>
      </c>
      <c r="D858" s="1009">
        <v>2017</v>
      </c>
      <c r="E858" s="1016">
        <v>512</v>
      </c>
      <c r="F858" s="1008"/>
      <c r="G858" s="40" t="b">
        <f>IF(ISBLANK(Table2[[#This Row],[MergeCorpID]]=TRUE),"",AND(ISNUMBER(Table2[[#This Row],[MergeCorpID]])=TRUE,ISBLANK(Table2[[#This Row],[MergeName]])=FALSE))</f>
        <v>0</v>
      </c>
      <c r="H858" s="40">
        <f>IF(ISBLANK(Table2[[#This Row],[MergeCorpID]])=TRUE,0,IF(Table2[[#This Row],[SurvivingEdCorp]]=TRUE,1,2))</f>
        <v>2</v>
      </c>
      <c r="J858" s="4"/>
    </row>
    <row r="859" spans="2:10">
      <c r="B859" s="1011" t="s">
        <v>389</v>
      </c>
      <c r="C859" s="1014">
        <v>2009</v>
      </c>
      <c r="D859" s="1013">
        <v>2016</v>
      </c>
      <c r="E859" s="1015">
        <v>509</v>
      </c>
      <c r="F859" s="1010"/>
      <c r="G859" s="40" t="b">
        <f>IF(ISBLANK(Table2[[#This Row],[MergeCorpID]]=TRUE),"",AND(ISNUMBER(Table2[[#This Row],[MergeCorpID]])=TRUE,ISBLANK(Table2[[#This Row],[MergeName]])=FALSE))</f>
        <v>0</v>
      </c>
      <c r="H859" s="40">
        <f>IF(ISBLANK(Table2[[#This Row],[MergeCorpID]])=TRUE,0,IF(Table2[[#This Row],[SurvivingEdCorp]]=TRUE,1,2))</f>
        <v>2</v>
      </c>
      <c r="J859" s="4"/>
    </row>
    <row r="860" spans="2:10">
      <c r="B860" s="1012" t="s">
        <v>1348</v>
      </c>
      <c r="C860" s="1009">
        <v>2022</v>
      </c>
      <c r="D860" s="1009"/>
      <c r="E860" s="1016"/>
      <c r="F860" s="1008"/>
      <c r="G860" s="40" t="b">
        <f>IF(ISBLANK(Table2[[#This Row],[MergeCorpID]]=TRUE),"",AND(ISNUMBER(Table2[[#This Row],[MergeCorpID]])=TRUE,ISBLANK(Table2[[#This Row],[MergeName]])=FALSE))</f>
        <v>0</v>
      </c>
      <c r="H860" s="40">
        <f>IF(ISBLANK(Table2[[#This Row],[MergeCorpID]])=TRUE,0,IF(Table2[[#This Row],[SurvivingEdCorp]]=TRUE,1,2))</f>
        <v>0</v>
      </c>
      <c r="J860" s="4"/>
    </row>
    <row r="861" spans="2:10">
      <c r="B861" s="1011" t="s">
        <v>662</v>
      </c>
      <c r="C861" s="1014">
        <v>2020</v>
      </c>
      <c r="D861" s="1013"/>
      <c r="E861" s="1015"/>
      <c r="F861" s="1010"/>
      <c r="G861" s="40" t="b">
        <f>IF(ISBLANK(Table2[[#This Row],[MergeCorpID]]=TRUE),"",AND(ISNUMBER(Table2[[#This Row],[MergeCorpID]])=TRUE,ISBLANK(Table2[[#This Row],[MergeName]])=FALSE))</f>
        <v>0</v>
      </c>
      <c r="H861" s="40">
        <f>IF(ISBLANK(Table2[[#This Row],[MergeCorpID]])=TRUE,0,IF(Table2[[#This Row],[SurvivingEdCorp]]=TRUE,1,2))</f>
        <v>0</v>
      </c>
      <c r="J861" s="4"/>
    </row>
    <row r="862" spans="2:10">
      <c r="B862" s="1012" t="s">
        <v>390</v>
      </c>
      <c r="C862" s="1009">
        <v>2003</v>
      </c>
      <c r="D862" s="1009"/>
      <c r="E862" s="1016"/>
      <c r="F862" s="1008"/>
      <c r="G862" s="40" t="b">
        <f>IF(ISBLANK(Table2[[#This Row],[MergeCorpID]]=TRUE),"",AND(ISNUMBER(Table2[[#This Row],[MergeCorpID]])=TRUE,ISBLANK(Table2[[#This Row],[MergeName]])=FALSE))</f>
        <v>0</v>
      </c>
      <c r="H862" s="40">
        <f>IF(ISBLANK(Table2[[#This Row],[MergeCorpID]])=TRUE,0,IF(Table2[[#This Row],[SurvivingEdCorp]]=TRUE,1,2))</f>
        <v>0</v>
      </c>
      <c r="J862" s="4"/>
    </row>
    <row r="863" spans="2:10">
      <c r="B863" s="1011" t="s">
        <v>490</v>
      </c>
      <c r="C863" s="1014">
        <v>2016</v>
      </c>
      <c r="D863" s="1013">
        <v>2017</v>
      </c>
      <c r="E863" s="1015">
        <v>512</v>
      </c>
      <c r="F863" s="1010"/>
      <c r="G863" s="40" t="b">
        <f>IF(ISBLANK(Table2[[#This Row],[MergeCorpID]]=TRUE),"",AND(ISNUMBER(Table2[[#This Row],[MergeCorpID]])=TRUE,ISBLANK(Table2[[#This Row],[MergeName]])=FALSE))</f>
        <v>0</v>
      </c>
      <c r="H863" s="40">
        <f>IF(ISBLANK(Table2[[#This Row],[MergeCorpID]])=TRUE,0,IF(Table2[[#This Row],[SurvivingEdCorp]]=TRUE,1,2))</f>
        <v>2</v>
      </c>
      <c r="J863" s="4"/>
    </row>
    <row r="864" spans="2:10">
      <c r="B864" s="1012" t="s">
        <v>447</v>
      </c>
      <c r="C864" s="1009">
        <v>2013</v>
      </c>
      <c r="D864" s="1009">
        <v>2017</v>
      </c>
      <c r="E864" s="1016">
        <v>512</v>
      </c>
      <c r="F864" s="1008" t="s">
        <v>589</v>
      </c>
      <c r="G864" s="40" t="b">
        <f>IF(ISBLANK(Table2[[#This Row],[MergeCorpID]]=TRUE),"",AND(ISNUMBER(Table2[[#This Row],[MergeCorpID]])=TRUE,ISBLANK(Table2[[#This Row],[MergeName]])=FALSE))</f>
        <v>1</v>
      </c>
      <c r="H864" s="40">
        <f>IF(ISBLANK(Table2[[#This Row],[MergeCorpID]])=TRUE,0,IF(Table2[[#This Row],[SurvivingEdCorp]]=TRUE,1,2))</f>
        <v>1</v>
      </c>
      <c r="J864" s="4"/>
    </row>
    <row r="865" spans="2:10">
      <c r="B865" s="1011" t="s">
        <v>654</v>
      </c>
      <c r="C865" s="1014">
        <v>2020</v>
      </c>
      <c r="D865" s="1013">
        <v>2020</v>
      </c>
      <c r="E865" s="1015">
        <v>531</v>
      </c>
      <c r="F865" s="1010" t="s">
        <v>663</v>
      </c>
      <c r="G865" s="40" t="b">
        <f>IF(ISBLANK(Table2[[#This Row],[MergeCorpID]]=TRUE),"",AND(ISNUMBER(Table2[[#This Row],[MergeCorpID]])=TRUE,ISBLANK(Table2[[#This Row],[MergeName]])=FALSE))</f>
        <v>1</v>
      </c>
      <c r="H865" s="40">
        <f>IF(ISBLANK(Table2[[#This Row],[MergeCorpID]])=TRUE,0,IF(Table2[[#This Row],[SurvivingEdCorp]]=TRUE,1,2))</f>
        <v>1</v>
      </c>
      <c r="J865" s="4"/>
    </row>
    <row r="866" spans="2:10">
      <c r="B866" s="1012" t="s">
        <v>661</v>
      </c>
      <c r="C866" s="1009">
        <v>2019</v>
      </c>
      <c r="D866" s="1009">
        <v>2020</v>
      </c>
      <c r="E866" s="1016">
        <v>531</v>
      </c>
      <c r="F866" s="1008"/>
      <c r="G866" s="40" t="b">
        <f>IF(ISBLANK(Table2[[#This Row],[MergeCorpID]]=TRUE),"",AND(ISNUMBER(Table2[[#This Row],[MergeCorpID]])=TRUE,ISBLANK(Table2[[#This Row],[MergeName]])=FALSE))</f>
        <v>0</v>
      </c>
      <c r="H866" s="40">
        <f>IF(ISBLANK(Table2[[#This Row],[MergeCorpID]])=TRUE,0,IF(Table2[[#This Row],[SurvivingEdCorp]]=TRUE,1,2))</f>
        <v>2</v>
      </c>
      <c r="J866" s="4"/>
    </row>
    <row r="867" spans="2:10">
      <c r="B867" s="1011" t="s">
        <v>590</v>
      </c>
      <c r="C867" s="1014">
        <v>2019</v>
      </c>
      <c r="D867" s="1013"/>
      <c r="E867" s="1015"/>
      <c r="F867" s="1010"/>
      <c r="G867" s="40" t="b">
        <f>IF(ISBLANK(Table2[[#This Row],[MergeCorpID]]=TRUE),"",AND(ISNUMBER(Table2[[#This Row],[MergeCorpID]])=TRUE,ISBLANK(Table2[[#This Row],[MergeName]])=FALSE))</f>
        <v>0</v>
      </c>
      <c r="H867" s="40">
        <f>IF(ISBLANK(Table2[[#This Row],[MergeCorpID]])=TRUE,0,IF(Table2[[#This Row],[SurvivingEdCorp]]=TRUE,1,2))</f>
        <v>0</v>
      </c>
      <c r="J867" s="4"/>
    </row>
    <row r="868" spans="2:10">
      <c r="B868" s="1012" t="s">
        <v>465</v>
      </c>
      <c r="C868" s="1009">
        <v>2014</v>
      </c>
      <c r="D868" s="1009">
        <v>2017</v>
      </c>
      <c r="E868" s="1016">
        <v>512</v>
      </c>
      <c r="F868" s="1008"/>
      <c r="G868" s="40" t="b">
        <f>IF(ISBLANK(Table2[[#This Row],[MergeCorpID]]=TRUE),"",AND(ISNUMBER(Table2[[#This Row],[MergeCorpID]])=TRUE,ISBLANK(Table2[[#This Row],[MergeName]])=FALSE))</f>
        <v>0</v>
      </c>
      <c r="H868" s="40">
        <f>IF(ISBLANK(Table2[[#This Row],[MergeCorpID]])=TRUE,0,IF(Table2[[#This Row],[SurvivingEdCorp]]=TRUE,1,2))</f>
        <v>2</v>
      </c>
      <c r="J868" s="4"/>
    </row>
    <row r="869" spans="2:10">
      <c r="B869" s="1011" t="s">
        <v>448</v>
      </c>
      <c r="C869" s="1014">
        <v>2012</v>
      </c>
      <c r="D869" s="1013"/>
      <c r="E869" s="1015"/>
      <c r="F869" s="1010"/>
      <c r="G869" s="40" t="b">
        <f>IF(ISBLANK(Table2[[#This Row],[MergeCorpID]]=TRUE),"",AND(ISNUMBER(Table2[[#This Row],[MergeCorpID]])=TRUE,ISBLANK(Table2[[#This Row],[MergeName]])=FALSE))</f>
        <v>0</v>
      </c>
      <c r="H869" s="40">
        <f>IF(ISBLANK(Table2[[#This Row],[MergeCorpID]])=TRUE,0,IF(Table2[[#This Row],[SurvivingEdCorp]]=TRUE,1,2))</f>
        <v>0</v>
      </c>
      <c r="J869" s="4"/>
    </row>
    <row r="870" spans="2:10">
      <c r="B870" s="1012" t="s">
        <v>449</v>
      </c>
      <c r="C870" s="1009">
        <v>2012</v>
      </c>
      <c r="D870" s="1009"/>
      <c r="E870" s="1016"/>
      <c r="F870" s="1008"/>
      <c r="G870" s="40" t="b">
        <f>IF(ISBLANK(Table2[[#This Row],[MergeCorpID]]=TRUE),"",AND(ISNUMBER(Table2[[#This Row],[MergeCorpID]])=TRUE,ISBLANK(Table2[[#This Row],[MergeName]])=FALSE))</f>
        <v>0</v>
      </c>
      <c r="H870" s="40">
        <f>IF(ISBLANK(Table2[[#This Row],[MergeCorpID]])=TRUE,0,IF(Table2[[#This Row],[SurvivingEdCorp]]=TRUE,1,2))</f>
        <v>0</v>
      </c>
      <c r="J870" s="4"/>
    </row>
    <row r="871" spans="2:10">
      <c r="B871" s="1011" t="s">
        <v>391</v>
      </c>
      <c r="C871" s="1014">
        <v>2000</v>
      </c>
      <c r="D871" s="1013">
        <v>2015</v>
      </c>
      <c r="E871" s="1015">
        <v>504</v>
      </c>
      <c r="F871" s="1010" t="s">
        <v>391</v>
      </c>
      <c r="G871" s="40" t="b">
        <f>IF(ISBLANK(Table2[[#This Row],[MergeCorpID]]=TRUE),"",AND(ISNUMBER(Table2[[#This Row],[MergeCorpID]])=TRUE,ISBLANK(Table2[[#This Row],[MergeName]])=FALSE))</f>
        <v>1</v>
      </c>
      <c r="H871" s="40">
        <f>IF(ISBLANK(Table2[[#This Row],[MergeCorpID]])=TRUE,0,IF(Table2[[#This Row],[SurvivingEdCorp]]=TRUE,1,2))</f>
        <v>1</v>
      </c>
      <c r="J871" s="4"/>
    </row>
    <row r="872" spans="2:10">
      <c r="B872" s="1012" t="s">
        <v>591</v>
      </c>
      <c r="C872" s="1009">
        <v>2017</v>
      </c>
      <c r="D872" s="1009"/>
      <c r="E872" s="1016"/>
      <c r="F872" s="1008"/>
      <c r="G872" s="40" t="b">
        <f>IF(ISBLANK(Table2[[#This Row],[MergeCorpID]]=TRUE),"",AND(ISNUMBER(Table2[[#This Row],[MergeCorpID]])=TRUE,ISBLANK(Table2[[#This Row],[MergeName]])=FALSE))</f>
        <v>0</v>
      </c>
      <c r="H872" s="40">
        <f>IF(ISBLANK(Table2[[#This Row],[MergeCorpID]])=TRUE,0,IF(Table2[[#This Row],[SurvivingEdCorp]]=TRUE,1,2))</f>
        <v>0</v>
      </c>
      <c r="J872" s="4"/>
    </row>
    <row r="873" spans="2:10">
      <c r="B873" s="1011" t="s">
        <v>592</v>
      </c>
      <c r="C873" s="1014">
        <v>2018</v>
      </c>
      <c r="D873" s="1013">
        <v>2019</v>
      </c>
      <c r="E873" s="1015">
        <v>512</v>
      </c>
      <c r="F873" s="1010"/>
      <c r="G873" s="40" t="b">
        <f>IF(ISBLANK(Table2[[#This Row],[MergeCorpID]]=TRUE),"",AND(ISNUMBER(Table2[[#This Row],[MergeCorpID]])=TRUE,ISBLANK(Table2[[#This Row],[MergeName]])=FALSE))</f>
        <v>0</v>
      </c>
      <c r="H873" s="40">
        <f>IF(ISBLANK(Table2[[#This Row],[MergeCorpID]])=TRUE,0,IF(Table2[[#This Row],[SurvivingEdCorp]]=TRUE,1,2))</f>
        <v>2</v>
      </c>
      <c r="J873" s="4"/>
    </row>
    <row r="874" spans="2:10">
      <c r="B874" s="1012" t="s">
        <v>614</v>
      </c>
      <c r="C874" s="1009">
        <v>2019</v>
      </c>
      <c r="D874" s="1009">
        <v>2020</v>
      </c>
      <c r="E874" s="1016">
        <v>520</v>
      </c>
      <c r="F874" s="1008"/>
      <c r="G874" s="40" t="b">
        <f>IF(ISBLANK(Table2[[#This Row],[MergeCorpID]]=TRUE),"",AND(ISNUMBER(Table2[[#This Row],[MergeCorpID]])=TRUE,ISBLANK(Table2[[#This Row],[MergeName]])=FALSE))</f>
        <v>0</v>
      </c>
      <c r="H874" s="40">
        <f>IF(ISBLANK(Table2[[#This Row],[MergeCorpID]])=TRUE,0,IF(Table2[[#This Row],[SurvivingEdCorp]]=TRUE,1,2))</f>
        <v>2</v>
      </c>
      <c r="J874" s="4"/>
    </row>
    <row r="875" spans="2:10">
      <c r="B875" s="1011" t="s">
        <v>615</v>
      </c>
      <c r="C875" s="1014">
        <v>2017</v>
      </c>
      <c r="D875" s="1013">
        <v>2018</v>
      </c>
      <c r="E875" s="1015">
        <v>520</v>
      </c>
      <c r="F875" s="1010"/>
      <c r="G875" s="40" t="b">
        <f>IF(ISBLANK(Table2[[#This Row],[MergeCorpID]]=TRUE),"",AND(ISNUMBER(Table2[[#This Row],[MergeCorpID]])=TRUE,ISBLANK(Table2[[#This Row],[MergeName]])=FALSE))</f>
        <v>0</v>
      </c>
      <c r="H875" s="40">
        <f>IF(ISBLANK(Table2[[#This Row],[MergeCorpID]])=TRUE,0,IF(Table2[[#This Row],[SurvivingEdCorp]]=TRUE,1,2))</f>
        <v>2</v>
      </c>
      <c r="J875" s="4"/>
    </row>
    <row r="876" spans="2:10">
      <c r="B876" s="1012" t="s">
        <v>559</v>
      </c>
      <c r="C876" s="1009">
        <v>2017</v>
      </c>
      <c r="D876" s="1009">
        <v>2018</v>
      </c>
      <c r="E876" s="1016">
        <v>520</v>
      </c>
      <c r="F876" s="1008"/>
      <c r="G876" s="40" t="b">
        <f>IF(ISBLANK(Table2[[#This Row],[MergeCorpID]]=TRUE),"",AND(ISNUMBER(Table2[[#This Row],[MergeCorpID]])=TRUE,ISBLANK(Table2[[#This Row],[MergeName]])=FALSE))</f>
        <v>0</v>
      </c>
      <c r="H876" s="40">
        <f>IF(ISBLANK(Table2[[#This Row],[MergeCorpID]])=TRUE,0,IF(Table2[[#This Row],[SurvivingEdCorp]]=TRUE,1,2))</f>
        <v>2</v>
      </c>
      <c r="J876" s="4"/>
    </row>
    <row r="877" spans="2:10">
      <c r="B877" s="1011" t="s">
        <v>1355</v>
      </c>
      <c r="C877" s="1014">
        <v>2022</v>
      </c>
      <c r="D877" s="1013"/>
      <c r="E877" s="1015"/>
      <c r="F877" s="1010"/>
      <c r="G877" s="40" t="b">
        <f>IF(ISBLANK(Table2[[#This Row],[MergeCorpID]]=TRUE),"",AND(ISNUMBER(Table2[[#This Row],[MergeCorpID]])=TRUE,ISBLANK(Table2[[#This Row],[MergeName]])=FALSE))</f>
        <v>0</v>
      </c>
      <c r="H877" s="40">
        <f>IF(ISBLANK(Table2[[#This Row],[MergeCorpID]])=TRUE,0,IF(Table2[[#This Row],[SurvivingEdCorp]]=TRUE,1,2))</f>
        <v>0</v>
      </c>
      <c r="J877" s="4"/>
    </row>
    <row r="878" spans="2:10">
      <c r="B878" s="1012" t="s">
        <v>557</v>
      </c>
      <c r="C878" s="1009">
        <v>2017</v>
      </c>
      <c r="D878" s="1009">
        <v>2020</v>
      </c>
      <c r="E878" s="1016">
        <v>527</v>
      </c>
      <c r="F878" s="1008" t="s">
        <v>616</v>
      </c>
      <c r="G878" s="40" t="b">
        <f>IF(ISBLANK(Table2[[#This Row],[MergeCorpID]]=TRUE),"",AND(ISNUMBER(Table2[[#This Row],[MergeCorpID]])=TRUE,ISBLANK(Table2[[#This Row],[MergeName]])=FALSE))</f>
        <v>1</v>
      </c>
      <c r="H878" s="40">
        <f>IF(ISBLANK(Table2[[#This Row],[MergeCorpID]])=TRUE,0,IF(Table2[[#This Row],[SurvivingEdCorp]]=TRUE,1,2))</f>
        <v>1</v>
      </c>
      <c r="J878" s="4"/>
    </row>
    <row r="879" spans="2:10">
      <c r="B879" s="1011" t="s">
        <v>1356</v>
      </c>
      <c r="C879" s="1014">
        <v>2022</v>
      </c>
      <c r="D879" s="1013">
        <v>2023</v>
      </c>
      <c r="E879" s="1015">
        <v>527</v>
      </c>
      <c r="F879" s="1010"/>
      <c r="G879" s="40" t="b">
        <f>IF(ISBLANK(Table2[[#This Row],[MergeCorpID]]=TRUE),"",AND(ISNUMBER(Table2[[#This Row],[MergeCorpID]])=TRUE,ISBLANK(Table2[[#This Row],[MergeName]])=FALSE))</f>
        <v>0</v>
      </c>
      <c r="H879" s="40">
        <f>IF(ISBLANK(Table2[[#This Row],[MergeCorpID]])=TRUE,0,IF(Table2[[#This Row],[SurvivingEdCorp]]=TRUE,1,2))</f>
        <v>2</v>
      </c>
      <c r="J879" s="4"/>
    </row>
    <row r="880" spans="2:10">
      <c r="B880" s="1012" t="s">
        <v>617</v>
      </c>
      <c r="C880" s="1009">
        <v>2019</v>
      </c>
      <c r="D880" s="1009">
        <v>2020</v>
      </c>
      <c r="E880" s="1016">
        <v>527</v>
      </c>
      <c r="F880" s="1008"/>
      <c r="G880" s="40" t="b">
        <f>IF(ISBLANK(Table2[[#This Row],[MergeCorpID]]=TRUE),"",AND(ISNUMBER(Table2[[#This Row],[MergeCorpID]])=TRUE,ISBLANK(Table2[[#This Row],[MergeName]])=FALSE))</f>
        <v>0</v>
      </c>
      <c r="H880" s="40">
        <f>IF(ISBLANK(Table2[[#This Row],[MergeCorpID]])=TRUE,0,IF(Table2[[#This Row],[SurvivingEdCorp]]=TRUE,1,2))</f>
        <v>2</v>
      </c>
      <c r="J880" s="4"/>
    </row>
    <row r="881" spans="2:10">
      <c r="B881" s="1011" t="s">
        <v>1347</v>
      </c>
      <c r="C881" s="1014">
        <v>2021</v>
      </c>
      <c r="D881" s="1013"/>
      <c r="E881" s="1015"/>
      <c r="F881" s="1010"/>
      <c r="G881" s="40" t="b">
        <f>IF(ISBLANK(Table2[[#This Row],[MergeCorpID]]=TRUE),"",AND(ISNUMBER(Table2[[#This Row],[MergeCorpID]])=TRUE,ISBLANK(Table2[[#This Row],[MergeName]])=FALSE))</f>
        <v>0</v>
      </c>
      <c r="H881" s="40">
        <f>IF(ISBLANK(Table2[[#This Row],[MergeCorpID]])=TRUE,0,IF(Table2[[#This Row],[SurvivingEdCorp]]=TRUE,1,2))</f>
        <v>0</v>
      </c>
      <c r="J881" s="4"/>
    </row>
    <row r="882" spans="2:10">
      <c r="B882" s="1012" t="s">
        <v>650</v>
      </c>
      <c r="C882" s="1009">
        <v>2019</v>
      </c>
      <c r="D882" s="1009">
        <v>2020</v>
      </c>
      <c r="E882" s="1016">
        <v>512</v>
      </c>
      <c r="F882" s="1008"/>
      <c r="G882" s="40" t="b">
        <f>IF(ISBLANK(Table2[[#This Row],[MergeCorpID]]=TRUE),"",AND(ISNUMBER(Table2[[#This Row],[MergeCorpID]])=TRUE,ISBLANK(Table2[[#This Row],[MergeName]])=FALSE))</f>
        <v>0</v>
      </c>
      <c r="H882" s="40">
        <f>IF(ISBLANK(Table2[[#This Row],[MergeCorpID]])=TRUE,0,IF(Table2[[#This Row],[SurvivingEdCorp]]=TRUE,1,2))</f>
        <v>2</v>
      </c>
      <c r="J882" s="4"/>
    </row>
    <row r="883" spans="2:10">
      <c r="B883" s="1011" t="s">
        <v>656</v>
      </c>
      <c r="C883" s="1014">
        <v>2019</v>
      </c>
      <c r="D883" s="1013">
        <v>2020</v>
      </c>
      <c r="E883" s="1015">
        <v>512</v>
      </c>
      <c r="F883" s="1010"/>
      <c r="G883" s="40" t="b">
        <f>IF(ISBLANK(Table2[[#This Row],[MergeCorpID]]=TRUE),"",AND(ISNUMBER(Table2[[#This Row],[MergeCorpID]])=TRUE,ISBLANK(Table2[[#This Row],[MergeName]])=FALSE))</f>
        <v>0</v>
      </c>
      <c r="H883" s="40">
        <f>IF(ISBLANK(Table2[[#This Row],[MergeCorpID]])=TRUE,0,IF(Table2[[#This Row],[SurvivingEdCorp]]=TRUE,1,2))</f>
        <v>2</v>
      </c>
      <c r="J883" s="4"/>
    </row>
    <row r="884" spans="2:10">
      <c r="B884" s="1012" t="s">
        <v>436</v>
      </c>
      <c r="C884" s="1009">
        <v>2011</v>
      </c>
      <c r="D884" s="1009">
        <v>2014</v>
      </c>
      <c r="E884" s="1016">
        <v>508</v>
      </c>
      <c r="F884" s="1008" t="s">
        <v>593</v>
      </c>
      <c r="G884" s="40" t="b">
        <f>IF(ISBLANK(Table2[[#This Row],[MergeCorpID]]=TRUE),"",AND(ISNUMBER(Table2[[#This Row],[MergeCorpID]])=TRUE,ISBLANK(Table2[[#This Row],[MergeName]])=FALSE))</f>
        <v>1</v>
      </c>
      <c r="H884" s="40">
        <f>IF(ISBLANK(Table2[[#This Row],[MergeCorpID]])=TRUE,0,IF(Table2[[#This Row],[SurvivingEdCorp]]=TRUE,1,2))</f>
        <v>1</v>
      </c>
      <c r="J884" s="4"/>
    </row>
    <row r="885" spans="2:10">
      <c r="B885" s="1011" t="s">
        <v>462</v>
      </c>
      <c r="C885" s="1014">
        <v>2013</v>
      </c>
      <c r="D885" s="1013">
        <v>2014</v>
      </c>
      <c r="E885" s="1015">
        <v>508</v>
      </c>
      <c r="F885" s="1010"/>
      <c r="G885" s="40" t="b">
        <f>IF(ISBLANK(Table2[[#This Row],[MergeCorpID]]=TRUE),"",AND(ISNUMBER(Table2[[#This Row],[MergeCorpID]])=TRUE,ISBLANK(Table2[[#This Row],[MergeName]])=FALSE))</f>
        <v>0</v>
      </c>
      <c r="H885" s="40">
        <f>IF(ISBLANK(Table2[[#This Row],[MergeCorpID]])=TRUE,0,IF(Table2[[#This Row],[SurvivingEdCorp]]=TRUE,1,2))</f>
        <v>2</v>
      </c>
      <c r="J885" s="4"/>
    </row>
    <row r="886" spans="2:10">
      <c r="B886" s="1012" t="s">
        <v>594</v>
      </c>
      <c r="C886" s="1009">
        <v>2018</v>
      </c>
      <c r="D886" s="1009"/>
      <c r="E886" s="1016"/>
      <c r="F886" s="1008"/>
      <c r="G886" s="40" t="b">
        <f>IF(ISBLANK(Table2[[#This Row],[MergeCorpID]]=TRUE),"",AND(ISNUMBER(Table2[[#This Row],[MergeCorpID]])=TRUE,ISBLANK(Table2[[#This Row],[MergeName]])=FALSE))</f>
        <v>0</v>
      </c>
      <c r="H886" s="40">
        <f>IF(ISBLANK(Table2[[#This Row],[MergeCorpID]])=TRUE,0,IF(Table2[[#This Row],[SurvivingEdCorp]]=TRUE,1,2))</f>
        <v>0</v>
      </c>
      <c r="J886" s="4"/>
    </row>
    <row r="887" spans="2:10">
      <c r="B887" s="1011" t="s">
        <v>546</v>
      </c>
      <c r="C887" s="1014">
        <v>2017</v>
      </c>
      <c r="D887" s="1013">
        <v>2018</v>
      </c>
      <c r="E887" s="1015">
        <v>515</v>
      </c>
      <c r="F887" s="1010"/>
      <c r="G887" s="40" t="b">
        <f>IF(ISBLANK(Table2[[#This Row],[MergeCorpID]]=TRUE),"",AND(ISNUMBER(Table2[[#This Row],[MergeCorpID]])=TRUE,ISBLANK(Table2[[#This Row],[MergeName]])=FALSE))</f>
        <v>0</v>
      </c>
      <c r="H887" s="40">
        <f>IF(ISBLANK(Table2[[#This Row],[MergeCorpID]])=TRUE,0,IF(Table2[[#This Row],[SurvivingEdCorp]]=TRUE,1,2))</f>
        <v>2</v>
      </c>
      <c r="J887" s="4"/>
    </row>
    <row r="888" spans="2:10">
      <c r="B888" s="1012" t="s">
        <v>539</v>
      </c>
      <c r="C888" s="1009">
        <v>2017</v>
      </c>
      <c r="D888" s="1009">
        <v>2018</v>
      </c>
      <c r="E888" s="1016">
        <v>515</v>
      </c>
      <c r="F888" s="1008" t="s">
        <v>618</v>
      </c>
      <c r="G888" s="40" t="b">
        <f>IF(ISBLANK(Table2[[#This Row],[MergeCorpID]]=TRUE),"",AND(ISNUMBER(Table2[[#This Row],[MergeCorpID]])=TRUE,ISBLANK(Table2[[#This Row],[MergeName]])=FALSE))</f>
        <v>1</v>
      </c>
      <c r="H888" s="40">
        <f>IF(ISBLANK(Table2[[#This Row],[MergeCorpID]])=TRUE,0,IF(Table2[[#This Row],[SurvivingEdCorp]]=TRUE,1,2))</f>
        <v>1</v>
      </c>
      <c r="J888" s="4"/>
    </row>
    <row r="889" spans="2:10">
      <c r="B889" s="1011" t="s">
        <v>394</v>
      </c>
      <c r="C889" s="1014">
        <v>2000</v>
      </c>
      <c r="D889" s="1013"/>
      <c r="E889" s="1015"/>
      <c r="F889" s="1010"/>
      <c r="G889" s="40" t="b">
        <f>IF(ISBLANK(Table2[[#This Row],[MergeCorpID]]=TRUE),"",AND(ISNUMBER(Table2[[#This Row],[MergeCorpID]])=TRUE,ISBLANK(Table2[[#This Row],[MergeName]])=FALSE))</f>
        <v>0</v>
      </c>
      <c r="H889" s="40">
        <f>IF(ISBLANK(Table2[[#This Row],[MergeCorpID]])=TRUE,0,IF(Table2[[#This Row],[SurvivingEdCorp]]=TRUE,1,2))</f>
        <v>0</v>
      </c>
      <c r="J889" s="4"/>
    </row>
    <row r="890" spans="2:10">
      <c r="B890" s="1012" t="s">
        <v>395</v>
      </c>
      <c r="C890" s="1009">
        <v>2004</v>
      </c>
      <c r="D890" s="1009">
        <v>2016</v>
      </c>
      <c r="E890" s="1016">
        <v>509</v>
      </c>
      <c r="F890" s="1008"/>
      <c r="G890" s="40" t="b">
        <f>IF(ISBLANK(Table2[[#This Row],[MergeCorpID]]=TRUE),"",AND(ISNUMBER(Table2[[#This Row],[MergeCorpID]])=TRUE,ISBLANK(Table2[[#This Row],[MergeName]])=FALSE))</f>
        <v>0</v>
      </c>
      <c r="H890" s="40">
        <f>IF(ISBLANK(Table2[[#This Row],[MergeCorpID]])=TRUE,0,IF(Table2[[#This Row],[SurvivingEdCorp]]=TRUE,1,2))</f>
        <v>2</v>
      </c>
      <c r="J890" s="4"/>
    </row>
    <row r="891" spans="2:10">
      <c r="B891" s="1011" t="s">
        <v>396</v>
      </c>
      <c r="C891" s="1014">
        <v>2009</v>
      </c>
      <c r="D891" s="1013">
        <v>2016</v>
      </c>
      <c r="E891" s="1015">
        <v>509</v>
      </c>
      <c r="F891" s="1010"/>
      <c r="G891" s="40" t="b">
        <f>IF(ISBLANK(Table2[[#This Row],[MergeCorpID]]=TRUE),"",AND(ISNUMBER(Table2[[#This Row],[MergeCorpID]])=TRUE,ISBLANK(Table2[[#This Row],[MergeName]])=FALSE))</f>
        <v>0</v>
      </c>
      <c r="H891" s="40">
        <f>IF(ISBLANK(Table2[[#This Row],[MergeCorpID]])=TRUE,0,IF(Table2[[#This Row],[SurvivingEdCorp]]=TRUE,1,2))</f>
        <v>2</v>
      </c>
      <c r="J891" s="4"/>
    </row>
    <row r="892" spans="2:10">
      <c r="B892" s="1012" t="s">
        <v>480</v>
      </c>
      <c r="C892" s="1009">
        <v>2015</v>
      </c>
      <c r="D892" s="1009">
        <v>2016</v>
      </c>
      <c r="E892" s="1016">
        <v>507</v>
      </c>
      <c r="F892" s="1008"/>
      <c r="G892" s="40" t="b">
        <f>IF(ISBLANK(Table2[[#This Row],[MergeCorpID]]=TRUE),"",AND(ISNUMBER(Table2[[#This Row],[MergeCorpID]])=TRUE,ISBLANK(Table2[[#This Row],[MergeName]])=FALSE))</f>
        <v>0</v>
      </c>
      <c r="H892" s="40">
        <f>IF(ISBLANK(Table2[[#This Row],[MergeCorpID]])=TRUE,0,IF(Table2[[#This Row],[SurvivingEdCorp]]=TRUE,1,2))</f>
        <v>2</v>
      </c>
      <c r="J892" s="4"/>
    </row>
    <row r="893" spans="2:10">
      <c r="B893" s="1011" t="s">
        <v>481</v>
      </c>
      <c r="C893" s="1014">
        <v>2015</v>
      </c>
      <c r="D893" s="1013">
        <v>2016</v>
      </c>
      <c r="E893" s="1015">
        <v>507</v>
      </c>
      <c r="F893" s="1010"/>
      <c r="G893" s="40" t="b">
        <f>IF(ISBLANK(Table2[[#This Row],[MergeCorpID]]=TRUE),"",AND(ISNUMBER(Table2[[#This Row],[MergeCorpID]])=TRUE,ISBLANK(Table2[[#This Row],[MergeName]])=FALSE))</f>
        <v>0</v>
      </c>
      <c r="H893" s="40">
        <f>IF(ISBLANK(Table2[[#This Row],[MergeCorpID]])=TRUE,0,IF(Table2[[#This Row],[SurvivingEdCorp]]=TRUE,1,2))</f>
        <v>2</v>
      </c>
      <c r="J893" s="4"/>
    </row>
    <row r="894" spans="2:10">
      <c r="B894" s="1012" t="s">
        <v>450</v>
      </c>
      <c r="C894" s="1009">
        <v>2012</v>
      </c>
      <c r="D894" s="1009">
        <v>2016</v>
      </c>
      <c r="E894" s="1016">
        <v>507</v>
      </c>
      <c r="F894" s="1008"/>
      <c r="G894" s="40" t="b">
        <f>IF(ISBLANK(Table2[[#This Row],[MergeCorpID]]=TRUE),"",AND(ISNUMBER(Table2[[#This Row],[MergeCorpID]])=TRUE,ISBLANK(Table2[[#This Row],[MergeName]])=FALSE))</f>
        <v>0</v>
      </c>
      <c r="H894" s="40">
        <f>IF(ISBLANK(Table2[[#This Row],[MergeCorpID]])=TRUE,0,IF(Table2[[#This Row],[SurvivingEdCorp]]=TRUE,1,2))</f>
        <v>2</v>
      </c>
      <c r="J894" s="4"/>
    </row>
    <row r="895" spans="2:10">
      <c r="B895" s="1011" t="s">
        <v>437</v>
      </c>
      <c r="C895" s="1014">
        <v>2011</v>
      </c>
      <c r="D895" s="1013">
        <v>2016</v>
      </c>
      <c r="E895" s="1015">
        <v>507</v>
      </c>
      <c r="F895" s="1010" t="s">
        <v>595</v>
      </c>
      <c r="G895" s="40" t="b">
        <f>IF(ISBLANK(Table2[[#This Row],[MergeCorpID]]=TRUE),"",AND(ISNUMBER(Table2[[#This Row],[MergeCorpID]])=TRUE,ISBLANK(Table2[[#This Row],[MergeName]])=FALSE))</f>
        <v>1</v>
      </c>
      <c r="H895" s="40">
        <f>IF(ISBLANK(Table2[[#This Row],[MergeCorpID]])=TRUE,0,IF(Table2[[#This Row],[SurvivingEdCorp]]=TRUE,1,2))</f>
        <v>1</v>
      </c>
      <c r="J895" s="4"/>
    </row>
    <row r="896" spans="2:10">
      <c r="B896" s="1012" t="s">
        <v>397</v>
      </c>
      <c r="C896" s="1009">
        <v>2001</v>
      </c>
      <c r="D896" s="1009">
        <v>2015</v>
      </c>
      <c r="E896" s="1016">
        <v>503</v>
      </c>
      <c r="F896" s="1008" t="s">
        <v>596</v>
      </c>
      <c r="G896" s="40" t="b">
        <f>IF(ISBLANK(Table2[[#This Row],[MergeCorpID]]=TRUE),"",AND(ISNUMBER(Table2[[#This Row],[MergeCorpID]])=TRUE,ISBLANK(Table2[[#This Row],[MergeName]])=FALSE))</f>
        <v>1</v>
      </c>
      <c r="H896" s="40">
        <f>IF(ISBLANK(Table2[[#This Row],[MergeCorpID]])=TRUE,0,IF(Table2[[#This Row],[SurvivingEdCorp]]=TRUE,1,2))</f>
        <v>1</v>
      </c>
      <c r="J896" s="4"/>
    </row>
    <row r="897" spans="2:10">
      <c r="B897" s="1011" t="s">
        <v>451</v>
      </c>
      <c r="C897" s="1014">
        <v>2012</v>
      </c>
      <c r="D897" s="1013">
        <v>2015</v>
      </c>
      <c r="E897" s="1015">
        <v>503</v>
      </c>
      <c r="F897" s="1010"/>
      <c r="G897" s="40" t="b">
        <f>IF(ISBLANK(Table2[[#This Row],[MergeCorpID]]=TRUE),"",AND(ISNUMBER(Table2[[#This Row],[MergeCorpID]])=TRUE,ISBLANK(Table2[[#This Row],[MergeName]])=FALSE))</f>
        <v>0</v>
      </c>
      <c r="H897" s="40">
        <f>IF(ISBLANK(Table2[[#This Row],[MergeCorpID]])=TRUE,0,IF(Table2[[#This Row],[SurvivingEdCorp]]=TRUE,1,2))</f>
        <v>2</v>
      </c>
      <c r="J897" s="4"/>
    </row>
    <row r="898" spans="2:10">
      <c r="B898" s="1012" t="s">
        <v>467</v>
      </c>
      <c r="C898" s="1009">
        <v>2014</v>
      </c>
      <c r="D898" s="1009">
        <v>2015</v>
      </c>
      <c r="E898" s="1016">
        <v>503</v>
      </c>
      <c r="F898" s="1008"/>
      <c r="G898" s="40" t="b">
        <f>IF(ISBLANK(Table2[[#This Row],[MergeCorpID]]=TRUE),"",AND(ISNUMBER(Table2[[#This Row],[MergeCorpID]])=TRUE,ISBLANK(Table2[[#This Row],[MergeName]])=FALSE))</f>
        <v>0</v>
      </c>
      <c r="H898" s="40">
        <f>IF(ISBLANK(Table2[[#This Row],[MergeCorpID]])=TRUE,0,IF(Table2[[#This Row],[SurvivingEdCorp]]=TRUE,1,2))</f>
        <v>2</v>
      </c>
      <c r="J898" s="4"/>
    </row>
    <row r="899" spans="2:10">
      <c r="B899" s="1011" t="s">
        <v>1357</v>
      </c>
      <c r="C899" s="1014">
        <v>2022</v>
      </c>
      <c r="D899" s="1013">
        <v>2023</v>
      </c>
      <c r="E899" s="1015">
        <v>503</v>
      </c>
      <c r="F899" s="1010"/>
      <c r="G899" s="40" t="b">
        <f>IF(ISBLANK(Table2[[#This Row],[MergeCorpID]]=TRUE),"",AND(ISNUMBER(Table2[[#This Row],[MergeCorpID]])=TRUE,ISBLANK(Table2[[#This Row],[MergeName]])=FALSE))</f>
        <v>0</v>
      </c>
      <c r="H899" s="40">
        <f>IF(ISBLANK(Table2[[#This Row],[MergeCorpID]])=TRUE,0,IF(Table2[[#This Row],[SurvivingEdCorp]]=TRUE,1,2))</f>
        <v>2</v>
      </c>
      <c r="J899" s="4"/>
    </row>
    <row r="900" spans="2:10">
      <c r="B900" s="1012" t="s">
        <v>478</v>
      </c>
      <c r="C900" s="1009">
        <v>2015</v>
      </c>
      <c r="D900" s="1009"/>
      <c r="E900" s="1016"/>
      <c r="F900" s="1008"/>
      <c r="G900" s="40" t="b">
        <f>IF(ISBLANK(Table2[[#This Row],[MergeCorpID]]=TRUE),"",AND(ISNUMBER(Table2[[#This Row],[MergeCorpID]])=TRUE,ISBLANK(Table2[[#This Row],[MergeName]])=FALSE))</f>
        <v>0</v>
      </c>
      <c r="H900" s="40">
        <f>IF(ISBLANK(Table2[[#This Row],[MergeCorpID]])=TRUE,0,IF(Table2[[#This Row],[SurvivingEdCorp]]=TRUE,1,2))</f>
        <v>0</v>
      </c>
      <c r="J900" s="4"/>
    </row>
    <row r="901" spans="2:10">
      <c r="B901" s="1011" t="s">
        <v>543</v>
      </c>
      <c r="C901" s="1014">
        <v>2017</v>
      </c>
      <c r="D901" s="1013"/>
      <c r="E901" s="1015"/>
      <c r="F901" s="1010"/>
      <c r="G901" s="40" t="b">
        <f>IF(ISBLANK(Table2[[#This Row],[MergeCorpID]]=TRUE),"",AND(ISNUMBER(Table2[[#This Row],[MergeCorpID]])=TRUE,ISBLANK(Table2[[#This Row],[MergeName]])=FALSE))</f>
        <v>0</v>
      </c>
      <c r="H901" s="40">
        <f>IF(ISBLANK(Table2[[#This Row],[MergeCorpID]])=TRUE,0,IF(Table2[[#This Row],[SurvivingEdCorp]]=TRUE,1,2))</f>
        <v>0</v>
      </c>
      <c r="J901" s="4"/>
    </row>
    <row r="902" spans="2:10">
      <c r="B902" s="1012" t="s">
        <v>1358</v>
      </c>
      <c r="C902" s="1009">
        <v>2022</v>
      </c>
      <c r="D902" s="1009"/>
      <c r="E902" s="1016"/>
      <c r="F902" s="1008"/>
      <c r="G902" s="40" t="b">
        <f>IF(ISBLANK(Table2[[#This Row],[MergeCorpID]]=TRUE),"",AND(ISNUMBER(Table2[[#This Row],[MergeCorpID]])=TRUE,ISBLANK(Table2[[#This Row],[MergeName]])=FALSE))</f>
        <v>0</v>
      </c>
      <c r="H902" s="40">
        <f>IF(ISBLANK(Table2[[#This Row],[MergeCorpID]])=TRUE,0,IF(Table2[[#This Row],[SurvivingEdCorp]]=TRUE,1,2))</f>
        <v>0</v>
      </c>
      <c r="J902" s="4"/>
    </row>
    <row r="903" spans="2:10">
      <c r="B903" s="1011" t="s">
        <v>398</v>
      </c>
      <c r="C903" s="1014">
        <v>2005</v>
      </c>
      <c r="D903" s="1013">
        <v>2015</v>
      </c>
      <c r="E903" s="1015">
        <v>506</v>
      </c>
      <c r="F903" s="1010" t="s">
        <v>597</v>
      </c>
      <c r="G903" s="40" t="b">
        <f>IF(ISBLANK(Table2[[#This Row],[MergeCorpID]]=TRUE),"",AND(ISNUMBER(Table2[[#This Row],[MergeCorpID]])=TRUE,ISBLANK(Table2[[#This Row],[MergeName]])=FALSE))</f>
        <v>1</v>
      </c>
      <c r="H903" s="40">
        <f>IF(ISBLANK(Table2[[#This Row],[MergeCorpID]])=TRUE,0,IF(Table2[[#This Row],[SurvivingEdCorp]]=TRUE,1,2))</f>
        <v>1</v>
      </c>
      <c r="J903" s="4"/>
    </row>
    <row r="904" spans="2:10">
      <c r="B904" s="1012" t="s">
        <v>399</v>
      </c>
      <c r="C904" s="1009">
        <v>2009</v>
      </c>
      <c r="D904" s="1009">
        <v>2015</v>
      </c>
      <c r="E904" s="1016">
        <v>506</v>
      </c>
      <c r="F904" s="1008"/>
      <c r="G904" s="40" t="b">
        <f>IF(ISBLANK(Table2[[#This Row],[MergeCorpID]]=TRUE),"",AND(ISNUMBER(Table2[[#This Row],[MergeCorpID]])=TRUE,ISBLANK(Table2[[#This Row],[MergeName]])=FALSE))</f>
        <v>0</v>
      </c>
      <c r="H904" s="40">
        <f>IF(ISBLANK(Table2[[#This Row],[MergeCorpID]])=TRUE,0,IF(Table2[[#This Row],[SurvivingEdCorp]]=TRUE,1,2))</f>
        <v>2</v>
      </c>
      <c r="J904" s="4"/>
    </row>
    <row r="905" spans="2:10">
      <c r="B905" s="1011" t="s">
        <v>659</v>
      </c>
      <c r="C905" s="1014">
        <v>2020</v>
      </c>
      <c r="D905" s="1013">
        <v>2021</v>
      </c>
      <c r="E905" s="1015">
        <v>506</v>
      </c>
      <c r="F905" s="1010"/>
      <c r="G905" s="40" t="b">
        <f>IF(ISBLANK(Table2[[#This Row],[MergeCorpID]]=TRUE),"",AND(ISNUMBER(Table2[[#This Row],[MergeCorpID]])=TRUE,ISBLANK(Table2[[#This Row],[MergeName]])=FALSE))</f>
        <v>0</v>
      </c>
      <c r="H905" s="40">
        <f>IF(ISBLANK(Table2[[#This Row],[MergeCorpID]])=TRUE,0,IF(Table2[[#This Row],[SurvivingEdCorp]]=TRUE,1,2))</f>
        <v>2</v>
      </c>
      <c r="J905" s="4"/>
    </row>
    <row r="906" spans="2:10">
      <c r="B906" s="1012" t="s">
        <v>400</v>
      </c>
      <c r="C906" s="1009">
        <v>2004</v>
      </c>
      <c r="D906" s="1009"/>
      <c r="E906" s="1016"/>
      <c r="F906" s="1008"/>
      <c r="G906" s="40" t="b">
        <f>IF(ISBLANK(Table2[[#This Row],[MergeCorpID]]=TRUE),"",AND(ISNUMBER(Table2[[#This Row],[MergeCorpID]])=TRUE,ISBLANK(Table2[[#This Row],[MergeName]])=FALSE))</f>
        <v>0</v>
      </c>
      <c r="H906" s="40">
        <f>IF(ISBLANK(Table2[[#This Row],[MergeCorpID]])=TRUE,0,IF(Table2[[#This Row],[SurvivingEdCorp]]=TRUE,1,2))</f>
        <v>0</v>
      </c>
      <c r="J906" s="4"/>
    </row>
    <row r="907" spans="2:10">
      <c r="B907" s="1011" t="s">
        <v>646</v>
      </c>
      <c r="C907" s="1014">
        <v>2008</v>
      </c>
      <c r="D907" s="1013"/>
      <c r="E907" s="1015"/>
      <c r="F907" s="1010"/>
      <c r="G907" s="40" t="b">
        <f>IF(ISBLANK(Table2[[#This Row],[MergeCorpID]]=TRUE),"",AND(ISNUMBER(Table2[[#This Row],[MergeCorpID]])=TRUE,ISBLANK(Table2[[#This Row],[MergeName]])=FALSE))</f>
        <v>0</v>
      </c>
      <c r="H907" s="40">
        <f>IF(ISBLANK(Table2[[#This Row],[MergeCorpID]])=TRUE,0,IF(Table2[[#This Row],[SurvivingEdCorp]]=TRUE,1,2))</f>
        <v>0</v>
      </c>
      <c r="J907" s="4"/>
    </row>
    <row r="908" spans="2:10">
      <c r="B908" s="1012" t="s">
        <v>402</v>
      </c>
      <c r="C908" s="1009">
        <v>2000</v>
      </c>
      <c r="D908" s="1009"/>
      <c r="E908" s="1016"/>
      <c r="F908" s="1008"/>
      <c r="G908" s="40" t="b">
        <f>IF(ISBLANK(Table2[[#This Row],[MergeCorpID]]=TRUE),"",AND(ISNUMBER(Table2[[#This Row],[MergeCorpID]])=TRUE,ISBLANK(Table2[[#This Row],[MergeName]])=FALSE))</f>
        <v>0</v>
      </c>
      <c r="H908" s="40">
        <f>IF(ISBLANK(Table2[[#This Row],[MergeCorpID]])=TRUE,0,IF(Table2[[#This Row],[SurvivingEdCorp]]=TRUE,1,2))</f>
        <v>0</v>
      </c>
      <c r="J908" s="4"/>
    </row>
    <row r="909" spans="2:10">
      <c r="B909" s="1011" t="s">
        <v>404</v>
      </c>
      <c r="C909" s="1014">
        <v>2005</v>
      </c>
      <c r="D909" s="1013"/>
      <c r="E909" s="1015"/>
      <c r="F909" s="1010"/>
      <c r="G909" s="40" t="b">
        <f>IF(ISBLANK(Table2[[#This Row],[MergeCorpID]]=TRUE),"",AND(ISNUMBER(Table2[[#This Row],[MergeCorpID]])=TRUE,ISBLANK(Table2[[#This Row],[MergeName]])=FALSE))</f>
        <v>0</v>
      </c>
      <c r="H909" s="40">
        <f>IF(ISBLANK(Table2[[#This Row],[MergeCorpID]])=TRUE,0,IF(Table2[[#This Row],[SurvivingEdCorp]]=TRUE,1,2))</f>
        <v>0</v>
      </c>
      <c r="J909" s="4"/>
    </row>
    <row r="910" spans="2:10">
      <c r="B910" s="1012" t="s">
        <v>403</v>
      </c>
      <c r="C910" s="1009">
        <v>2001</v>
      </c>
      <c r="D910" s="1009">
        <v>2018</v>
      </c>
      <c r="E910" s="1016">
        <v>520</v>
      </c>
      <c r="F910" s="1008"/>
      <c r="G910" s="40" t="b">
        <f>IF(ISBLANK(Table2[[#This Row],[MergeCorpID]]=TRUE),"",AND(ISNUMBER(Table2[[#This Row],[MergeCorpID]])=TRUE,ISBLANK(Table2[[#This Row],[MergeName]])=FALSE))</f>
        <v>0</v>
      </c>
      <c r="H910" s="40">
        <f>IF(ISBLANK(Table2[[#This Row],[MergeCorpID]])=TRUE,0,IF(Table2[[#This Row],[SurvivingEdCorp]]=TRUE,1,2))</f>
        <v>2</v>
      </c>
      <c r="J910" s="4"/>
    </row>
    <row r="911" spans="2:10">
      <c r="B911" s="1011" t="s">
        <v>598</v>
      </c>
      <c r="C911" s="1014">
        <v>2005</v>
      </c>
      <c r="D911" s="1013"/>
      <c r="E911" s="1015"/>
      <c r="F911" s="1010"/>
      <c r="G911" s="40" t="b">
        <f>IF(ISBLANK(Table2[[#This Row],[MergeCorpID]]=TRUE),"",AND(ISNUMBER(Table2[[#This Row],[MergeCorpID]])=TRUE,ISBLANK(Table2[[#This Row],[MergeName]])=FALSE))</f>
        <v>0</v>
      </c>
      <c r="H911" s="40">
        <f>IF(ISBLANK(Table2[[#This Row],[MergeCorpID]])=TRUE,0,IF(Table2[[#This Row],[SurvivingEdCorp]]=TRUE,1,2))</f>
        <v>0</v>
      </c>
      <c r="J911" s="4"/>
    </row>
    <row r="912" spans="2:10">
      <c r="B912" s="1012" t="s">
        <v>619</v>
      </c>
      <c r="C912" s="1009">
        <v>2019</v>
      </c>
      <c r="D912" s="1009">
        <v>2020</v>
      </c>
      <c r="E912" s="1016">
        <v>530</v>
      </c>
      <c r="F912" s="1008"/>
      <c r="G912" s="40" t="b">
        <f>IF(ISBLANK(Table2[[#This Row],[MergeCorpID]]=TRUE),"",AND(ISNUMBER(Table2[[#This Row],[MergeCorpID]])=TRUE,ISBLANK(Table2[[#This Row],[MergeName]])=FALSE))</f>
        <v>0</v>
      </c>
      <c r="H912" s="40">
        <f>IF(ISBLANK(Table2[[#This Row],[MergeCorpID]])=TRUE,0,IF(Table2[[#This Row],[SurvivingEdCorp]]=TRUE,1,2))</f>
        <v>2</v>
      </c>
      <c r="J912" s="4"/>
    </row>
    <row r="913" spans="2:10">
      <c r="B913" s="1011" t="s">
        <v>599</v>
      </c>
      <c r="C913" s="1014">
        <v>2003</v>
      </c>
      <c r="D913" s="1013">
        <v>2020</v>
      </c>
      <c r="E913" s="1015">
        <v>530</v>
      </c>
      <c r="F913" s="1010" t="s">
        <v>620</v>
      </c>
      <c r="G913" s="40" t="b">
        <f>IF(ISBLANK(Table2[[#This Row],[MergeCorpID]]=TRUE),"",AND(ISNUMBER(Table2[[#This Row],[MergeCorpID]])=TRUE,ISBLANK(Table2[[#This Row],[MergeName]])=FALSE))</f>
        <v>1</v>
      </c>
      <c r="H913" s="40">
        <f>IF(ISBLANK(Table2[[#This Row],[MergeCorpID]])=TRUE,0,IF(Table2[[#This Row],[SurvivingEdCorp]]=TRUE,1,2))</f>
        <v>1</v>
      </c>
      <c r="J913" s="4"/>
    </row>
    <row r="914" spans="2:10">
      <c r="B914" s="1012" t="s">
        <v>411</v>
      </c>
      <c r="C914" s="1009">
        <v>2007</v>
      </c>
      <c r="D914" s="1009"/>
      <c r="E914" s="1016"/>
      <c r="F914" s="1008"/>
      <c r="G914" s="40" t="b">
        <f>IF(ISBLANK(Table2[[#This Row],[MergeCorpID]]=TRUE),"",AND(ISNUMBER(Table2[[#This Row],[MergeCorpID]])=TRUE,ISBLANK(Table2[[#This Row],[MergeName]])=FALSE))</f>
        <v>0</v>
      </c>
      <c r="H914" s="40">
        <f>IF(ISBLANK(Table2[[#This Row],[MergeCorpID]])=TRUE,0,IF(Table2[[#This Row],[SurvivingEdCorp]]=TRUE,1,2))</f>
        <v>0</v>
      </c>
      <c r="J914" s="4"/>
    </row>
    <row r="915" spans="2:10">
      <c r="B915" s="1011" t="s">
        <v>412</v>
      </c>
      <c r="C915" s="1014">
        <v>2001</v>
      </c>
      <c r="D915" s="1013"/>
      <c r="E915" s="1015"/>
      <c r="F915" s="1010"/>
      <c r="G915" s="40" t="b">
        <f>IF(ISBLANK(Table2[[#This Row],[MergeCorpID]]=TRUE),"",AND(ISNUMBER(Table2[[#This Row],[MergeCorpID]])=TRUE,ISBLANK(Table2[[#This Row],[MergeName]])=FALSE))</f>
        <v>0</v>
      </c>
      <c r="H915" s="40">
        <f>IF(ISBLANK(Table2[[#This Row],[MergeCorpID]])=TRUE,0,IF(Table2[[#This Row],[SurvivingEdCorp]]=TRUE,1,2))</f>
        <v>0</v>
      </c>
      <c r="J915" s="4"/>
    </row>
    <row r="916" spans="2:10">
      <c r="B916" s="1012" t="s">
        <v>413</v>
      </c>
      <c r="C916" s="1009">
        <v>2007</v>
      </c>
      <c r="D916" s="1009"/>
      <c r="E916" s="1016"/>
      <c r="F916" s="1008"/>
      <c r="G916" s="40" t="b">
        <f>IF(ISBLANK(Table2[[#This Row],[MergeCorpID]]=TRUE),"",AND(ISNUMBER(Table2[[#This Row],[MergeCorpID]])=TRUE,ISBLANK(Table2[[#This Row],[MergeName]])=FALSE))</f>
        <v>0</v>
      </c>
      <c r="H916" s="40">
        <f>IF(ISBLANK(Table2[[#This Row],[MergeCorpID]])=TRUE,0,IF(Table2[[#This Row],[SurvivingEdCorp]]=TRUE,1,2))</f>
        <v>0</v>
      </c>
      <c r="J916" s="4"/>
    </row>
    <row r="917" spans="2:10">
      <c r="B917" s="1011" t="s">
        <v>414</v>
      </c>
      <c r="C917" s="1014">
        <v>2008</v>
      </c>
      <c r="D917" s="1013"/>
      <c r="E917" s="1015"/>
      <c r="F917" s="1010"/>
      <c r="G917" s="40" t="b">
        <f>IF(ISBLANK(Table2[[#This Row],[MergeCorpID]]=TRUE),"",AND(ISNUMBER(Table2[[#This Row],[MergeCorpID]])=TRUE,ISBLANK(Table2[[#This Row],[MergeName]])=FALSE))</f>
        <v>0</v>
      </c>
      <c r="H917" s="40">
        <f>IF(ISBLANK(Table2[[#This Row],[MergeCorpID]])=TRUE,0,IF(Table2[[#This Row],[SurvivingEdCorp]]=TRUE,1,2))</f>
        <v>0</v>
      </c>
      <c r="J917" s="4"/>
    </row>
    <row r="918" spans="2:10">
      <c r="B918" s="1012" t="s">
        <v>415</v>
      </c>
      <c r="C918" s="1009">
        <v>2009</v>
      </c>
      <c r="D918" s="1009"/>
      <c r="E918" s="1016"/>
      <c r="F918" s="1008"/>
      <c r="G918" s="40" t="b">
        <f>IF(ISBLANK(Table2[[#This Row],[MergeCorpID]]=TRUE),"",AND(ISNUMBER(Table2[[#This Row],[MergeCorpID]])=TRUE,ISBLANK(Table2[[#This Row],[MergeName]])=FALSE))</f>
        <v>0</v>
      </c>
      <c r="H918" s="40">
        <f>IF(ISBLANK(Table2[[#This Row],[MergeCorpID]])=TRUE,0,IF(Table2[[#This Row],[SurvivingEdCorp]]=TRUE,1,2))</f>
        <v>0</v>
      </c>
      <c r="J918" s="4"/>
    </row>
    <row r="919" spans="2:10">
      <c r="B919" s="1011" t="s">
        <v>416</v>
      </c>
      <c r="C919" s="1014">
        <v>2011</v>
      </c>
      <c r="D919" s="1013"/>
      <c r="E919" s="1015"/>
      <c r="F919" s="1010"/>
      <c r="G919" s="40" t="b">
        <f>IF(ISBLANK(Table2[[#This Row],[MergeCorpID]]=TRUE),"",AND(ISNUMBER(Table2[[#This Row],[MergeCorpID]])=TRUE,ISBLANK(Table2[[#This Row],[MergeName]])=FALSE))</f>
        <v>0</v>
      </c>
      <c r="H919" s="40">
        <f>IF(ISBLANK(Table2[[#This Row],[MergeCorpID]])=TRUE,0,IF(Table2[[#This Row],[SurvivingEdCorp]]=TRUE,1,2))</f>
        <v>0</v>
      </c>
      <c r="J919" s="4"/>
    </row>
    <row r="920" spans="2:10">
      <c r="B920" s="1012" t="s">
        <v>452</v>
      </c>
      <c r="C920" s="1009">
        <v>2012</v>
      </c>
      <c r="D920" s="1009"/>
      <c r="E920" s="1016"/>
      <c r="F920" s="1008"/>
      <c r="G920" s="40" t="b">
        <f>IF(ISBLANK(Table2[[#This Row],[MergeCorpID]]=TRUE),"",AND(ISNUMBER(Table2[[#This Row],[MergeCorpID]])=TRUE,ISBLANK(Table2[[#This Row],[MergeName]])=FALSE))</f>
        <v>0</v>
      </c>
      <c r="H920" s="40">
        <f>IF(ISBLANK(Table2[[#This Row],[MergeCorpID]])=TRUE,0,IF(Table2[[#This Row],[SurvivingEdCorp]]=TRUE,1,2))</f>
        <v>0</v>
      </c>
      <c r="J920" s="4"/>
    </row>
    <row r="921" spans="2:10">
      <c r="B921" s="1011" t="s">
        <v>453</v>
      </c>
      <c r="C921" s="1014">
        <v>2013</v>
      </c>
      <c r="D921" s="1013"/>
      <c r="E921" s="1015"/>
      <c r="F921" s="1010"/>
      <c r="G921" s="40" t="b">
        <f>IF(ISBLANK(Table2[[#This Row],[MergeCorpID]]=TRUE),"",AND(ISNUMBER(Table2[[#This Row],[MergeCorpID]])=TRUE,ISBLANK(Table2[[#This Row],[MergeName]])=FALSE))</f>
        <v>0</v>
      </c>
      <c r="H921" s="40">
        <f>IF(ISBLANK(Table2[[#This Row],[MergeCorpID]])=TRUE,0,IF(Table2[[#This Row],[SurvivingEdCorp]]=TRUE,1,2))</f>
        <v>0</v>
      </c>
      <c r="J921" s="4"/>
    </row>
    <row r="922" spans="2:10">
      <c r="B922" s="1012" t="s">
        <v>1360</v>
      </c>
      <c r="C922" s="1009">
        <v>2022</v>
      </c>
      <c r="D922" s="1009"/>
      <c r="E922" s="1016"/>
      <c r="F922" s="1008"/>
      <c r="G922" s="40" t="b">
        <f>IF(ISBLANK(Table2[[#This Row],[MergeCorpID]]=TRUE),"",AND(ISNUMBER(Table2[[#This Row],[MergeCorpID]])=TRUE,ISBLANK(Table2[[#This Row],[MergeName]])=FALSE))</f>
        <v>0</v>
      </c>
      <c r="H922" s="40">
        <f>IF(ISBLANK(Table2[[#This Row],[MergeCorpID]])=TRUE,0,IF(Table2[[#This Row],[SurvivingEdCorp]]=TRUE,1,2))</f>
        <v>0</v>
      </c>
      <c r="J922" s="4"/>
    </row>
    <row r="923" spans="2:10">
      <c r="B923" s="1011" t="s">
        <v>600</v>
      </c>
      <c r="C923" s="1014">
        <v>2017</v>
      </c>
      <c r="D923" s="1013"/>
      <c r="E923" s="1015"/>
      <c r="F923" s="1010"/>
      <c r="G923" s="40" t="b">
        <f>IF(ISBLANK(Table2[[#This Row],[MergeCorpID]]=TRUE),"",AND(ISNUMBER(Table2[[#This Row],[MergeCorpID]])=TRUE,ISBLANK(Table2[[#This Row],[MergeName]])=FALSE))</f>
        <v>0</v>
      </c>
      <c r="H923" s="40">
        <f>IF(ISBLANK(Table2[[#This Row],[MergeCorpID]])=TRUE,0,IF(Table2[[#This Row],[SurvivingEdCorp]]=TRUE,1,2))</f>
        <v>0</v>
      </c>
      <c r="J923" s="4"/>
    </row>
    <row r="924" spans="2:10">
      <c r="B924" s="1012" t="s">
        <v>417</v>
      </c>
      <c r="C924" s="1009">
        <v>2000</v>
      </c>
      <c r="D924" s="1009"/>
      <c r="E924" s="1016"/>
      <c r="F924" s="1008"/>
      <c r="G924" s="40" t="b">
        <f>IF(ISBLANK(Table2[[#This Row],[MergeCorpID]]=TRUE),"",AND(ISNUMBER(Table2[[#This Row],[MergeCorpID]])=TRUE,ISBLANK(Table2[[#This Row],[MergeName]])=FALSE))</f>
        <v>0</v>
      </c>
      <c r="H924" s="40">
        <f>IF(ISBLANK(Table2[[#This Row],[MergeCorpID]])=TRUE,0,IF(Table2[[#This Row],[SurvivingEdCorp]]=TRUE,1,2))</f>
        <v>0</v>
      </c>
      <c r="J924" s="4"/>
    </row>
    <row r="925" spans="2:10">
      <c r="B925" s="1011" t="s">
        <v>418</v>
      </c>
      <c r="C925" s="1014">
        <v>2007</v>
      </c>
      <c r="D925" s="1013">
        <v>2016</v>
      </c>
      <c r="E925" s="1015">
        <v>509</v>
      </c>
      <c r="F925" s="1010"/>
      <c r="G925" s="40" t="b">
        <f>IF(ISBLANK(Table2[[#This Row],[MergeCorpID]]=TRUE),"",AND(ISNUMBER(Table2[[#This Row],[MergeCorpID]])=TRUE,ISBLANK(Table2[[#This Row],[MergeName]])=FALSE))</f>
        <v>0</v>
      </c>
      <c r="H925" s="40">
        <f>IF(ISBLANK(Table2[[#This Row],[MergeCorpID]])=TRUE,0,IF(Table2[[#This Row],[SurvivingEdCorp]]=TRUE,1,2))</f>
        <v>2</v>
      </c>
      <c r="J925" s="4"/>
    </row>
    <row r="926" spans="2:10">
      <c r="B926" s="1012" t="s">
        <v>1369</v>
      </c>
      <c r="C926" s="1009">
        <v>2006</v>
      </c>
      <c r="D926" s="1009">
        <v>2021</v>
      </c>
      <c r="E926" s="1016">
        <v>532</v>
      </c>
      <c r="F926" s="1008"/>
      <c r="G926" s="40" t="b">
        <f>IF(ISBLANK(Table2[[#This Row],[MergeCorpID]]=TRUE),"",AND(ISNUMBER(Table2[[#This Row],[MergeCorpID]])=TRUE,ISBLANK(Table2[[#This Row],[MergeName]])=FALSE))</f>
        <v>0</v>
      </c>
      <c r="H926" s="40">
        <f>IF(ISBLANK(Table2[[#This Row],[MergeCorpID]])=TRUE,0,IF(Table2[[#This Row],[SurvivingEdCorp]]=TRUE,1,2))</f>
        <v>2</v>
      </c>
      <c r="J926" s="4"/>
    </row>
    <row r="927" spans="2:10">
      <c r="B927" s="1011" t="s">
        <v>621</v>
      </c>
      <c r="C927" s="1014">
        <v>2019</v>
      </c>
      <c r="D927" s="1013">
        <v>2020</v>
      </c>
      <c r="E927" s="1015">
        <v>526</v>
      </c>
      <c r="F927" s="1010"/>
      <c r="G927" s="40" t="b">
        <f>IF(ISBLANK(Table2[[#This Row],[MergeCorpID]]=TRUE),"",AND(ISNUMBER(Table2[[#This Row],[MergeCorpID]])=TRUE,ISBLANK(Table2[[#This Row],[MergeName]])=FALSE))</f>
        <v>0</v>
      </c>
      <c r="H927" s="40">
        <f>IF(ISBLANK(Table2[[#This Row],[MergeCorpID]])=TRUE,0,IF(Table2[[#This Row],[SurvivingEdCorp]]=TRUE,1,2))</f>
        <v>2</v>
      </c>
      <c r="J927" s="4"/>
    </row>
    <row r="928" spans="2:10">
      <c r="B928" s="1012" t="s">
        <v>1346</v>
      </c>
      <c r="C928" s="1009">
        <v>2021</v>
      </c>
      <c r="D928" s="1009">
        <v>2021</v>
      </c>
      <c r="E928" s="1016">
        <v>526</v>
      </c>
      <c r="F928" s="1008"/>
      <c r="G928" s="40" t="b">
        <f>IF(ISBLANK(Table2[[#This Row],[MergeCorpID]]=TRUE),"",AND(ISNUMBER(Table2[[#This Row],[MergeCorpID]])=TRUE,ISBLANK(Table2[[#This Row],[MergeName]])=FALSE))</f>
        <v>0</v>
      </c>
      <c r="H928" s="40">
        <f>IF(ISBLANK(Table2[[#This Row],[MergeCorpID]])=TRUE,0,IF(Table2[[#This Row],[SurvivingEdCorp]]=TRUE,1,2))</f>
        <v>2</v>
      </c>
      <c r="J928" s="4"/>
    </row>
    <row r="929" spans="2:10">
      <c r="B929" s="1011" t="s">
        <v>622</v>
      </c>
      <c r="C929" s="1014">
        <v>2019</v>
      </c>
      <c r="D929" s="1013">
        <v>2020</v>
      </c>
      <c r="E929" s="1015">
        <v>526</v>
      </c>
      <c r="F929" s="1010"/>
      <c r="G929" s="40" t="b">
        <f>IF(ISBLANK(Table2[[#This Row],[MergeCorpID]]=TRUE),"",AND(ISNUMBER(Table2[[#This Row],[MergeCorpID]])=TRUE,ISBLANK(Table2[[#This Row],[MergeName]])=FALSE))</f>
        <v>0</v>
      </c>
      <c r="H929" s="40">
        <f>IF(ISBLANK(Table2[[#This Row],[MergeCorpID]])=TRUE,0,IF(Table2[[#This Row],[SurvivingEdCorp]]=TRUE,1,2))</f>
        <v>2</v>
      </c>
      <c r="J929" s="4"/>
    </row>
    <row r="930" spans="2:10">
      <c r="B930" s="1012" t="s">
        <v>624</v>
      </c>
      <c r="C930" s="1009">
        <v>2019</v>
      </c>
      <c r="D930" s="1009">
        <v>2020</v>
      </c>
      <c r="E930" s="1016">
        <v>526</v>
      </c>
      <c r="F930" s="1008" t="s">
        <v>623</v>
      </c>
      <c r="G930" s="40" t="b">
        <f>IF(ISBLANK(Table2[[#This Row],[MergeCorpID]]=TRUE),"",AND(ISNUMBER(Table2[[#This Row],[MergeCorpID]])=TRUE,ISBLANK(Table2[[#This Row],[MergeName]])=FALSE))</f>
        <v>1</v>
      </c>
      <c r="H930" s="40">
        <f>IF(ISBLANK(Table2[[#This Row],[MergeCorpID]])=TRUE,0,IF(Table2[[#This Row],[SurvivingEdCorp]]=TRUE,1,2))</f>
        <v>1</v>
      </c>
      <c r="J930" s="4"/>
    </row>
    <row r="931" spans="2:10">
      <c r="B931" s="1011" t="s">
        <v>625</v>
      </c>
      <c r="C931" s="1014">
        <v>2019</v>
      </c>
      <c r="D931" s="1013">
        <v>2020</v>
      </c>
      <c r="E931" s="1015">
        <v>526</v>
      </c>
      <c r="F931" s="1010"/>
      <c r="G931" s="40" t="b">
        <f>IF(ISBLANK(Table2[[#This Row],[MergeCorpID]]=TRUE),"",AND(ISNUMBER(Table2[[#This Row],[MergeCorpID]])=TRUE,ISBLANK(Table2[[#This Row],[MergeName]])=FALSE))</f>
        <v>0</v>
      </c>
      <c r="H931" s="40">
        <f>IF(ISBLANK(Table2[[#This Row],[MergeCorpID]])=TRUE,0,IF(Table2[[#This Row],[SurvivingEdCorp]]=TRUE,1,2))</f>
        <v>2</v>
      </c>
      <c r="J931" s="4"/>
    </row>
    <row r="932" spans="2:10">
      <c r="B932" s="1012" t="s">
        <v>626</v>
      </c>
      <c r="C932" s="1009">
        <v>2019</v>
      </c>
      <c r="D932" s="1009">
        <v>2020</v>
      </c>
      <c r="E932" s="1016">
        <v>526</v>
      </c>
      <c r="F932" s="1008"/>
      <c r="G932" s="40" t="b">
        <f>IF(ISBLANK(Table2[[#This Row],[MergeCorpID]]=TRUE),"",AND(ISNUMBER(Table2[[#This Row],[MergeCorpID]])=TRUE,ISBLANK(Table2[[#This Row],[MergeName]])=FALSE))</f>
        <v>0</v>
      </c>
      <c r="H932" s="40">
        <f>IF(ISBLANK(Table2[[#This Row],[MergeCorpID]])=TRUE,0,IF(Table2[[#This Row],[SurvivingEdCorp]]=TRUE,1,2))</f>
        <v>2</v>
      </c>
      <c r="J932" s="4"/>
    </row>
    <row r="933" spans="2:10">
      <c r="B933" s="1011" t="s">
        <v>660</v>
      </c>
      <c r="C933" s="1014">
        <v>2019</v>
      </c>
      <c r="D933" s="1013">
        <v>2020</v>
      </c>
      <c r="E933" s="1015">
        <v>526</v>
      </c>
      <c r="F933" s="1010"/>
      <c r="G933" s="40" t="b">
        <f>IF(ISBLANK(Table2[[#This Row],[MergeCorpID]]=TRUE),"",AND(ISNUMBER(Table2[[#This Row],[MergeCorpID]])=TRUE,ISBLANK(Table2[[#This Row],[MergeName]])=FALSE))</f>
        <v>0</v>
      </c>
      <c r="H933" s="40">
        <f>IF(ISBLANK(Table2[[#This Row],[MergeCorpID]])=TRUE,0,IF(Table2[[#This Row],[SurvivingEdCorp]]=TRUE,1,2))</f>
        <v>2</v>
      </c>
      <c r="J933" s="4"/>
    </row>
    <row r="934" spans="2:10">
      <c r="B934" s="1012" t="s">
        <v>627</v>
      </c>
      <c r="C934" s="1009">
        <v>2003</v>
      </c>
      <c r="D934" s="1009">
        <v>2020</v>
      </c>
      <c r="E934" s="1016">
        <v>526</v>
      </c>
      <c r="F934" s="1008"/>
      <c r="G934" s="40" t="b">
        <f>IF(ISBLANK(Table2[[#This Row],[MergeCorpID]]=TRUE),"",AND(ISNUMBER(Table2[[#This Row],[MergeCorpID]])=TRUE,ISBLANK(Table2[[#This Row],[MergeName]])=FALSE))</f>
        <v>0</v>
      </c>
      <c r="H934" s="40">
        <f>IF(ISBLANK(Table2[[#This Row],[MergeCorpID]])=TRUE,0,IF(Table2[[#This Row],[SurvivingEdCorp]]=TRUE,1,2))</f>
        <v>2</v>
      </c>
      <c r="J934" s="4"/>
    </row>
    <row r="935" spans="2:10">
      <c r="B935" s="1011" t="s">
        <v>419</v>
      </c>
      <c r="C935" s="1014">
        <v>2005</v>
      </c>
      <c r="D935" s="1013">
        <v>2021</v>
      </c>
      <c r="E935" s="1015">
        <v>532</v>
      </c>
      <c r="F935" s="1010" t="s">
        <v>1370</v>
      </c>
      <c r="G935" s="40" t="b">
        <f>IF(ISBLANK(Table2[[#This Row],[MergeCorpID]]=TRUE),"",AND(ISNUMBER(Table2[[#This Row],[MergeCorpID]])=TRUE,ISBLANK(Table2[[#This Row],[MergeName]])=FALSE))</f>
        <v>1</v>
      </c>
      <c r="H935" s="40">
        <f>IF(ISBLANK(Table2[[#This Row],[MergeCorpID]])=TRUE,0,IF(Table2[[#This Row],[SurvivingEdCorp]]=TRUE,1,2))</f>
        <v>1</v>
      </c>
      <c r="J935" s="4"/>
    </row>
    <row r="936" spans="2:10">
      <c r="B936" s="1012" t="s">
        <v>1368</v>
      </c>
      <c r="C936" s="1009">
        <v>2009</v>
      </c>
      <c r="D936" s="1009">
        <v>2023</v>
      </c>
      <c r="E936" s="1016">
        <v>532</v>
      </c>
      <c r="F936" s="1008"/>
      <c r="G936" s="40" t="b">
        <f>IF(ISBLANK(Table2[[#This Row],[MergeCorpID]]=TRUE),"",AND(ISNUMBER(Table2[[#This Row],[MergeCorpID]])=TRUE,ISBLANK(Table2[[#This Row],[MergeName]])=FALSE))</f>
        <v>0</v>
      </c>
      <c r="H936" s="40">
        <f>IF(ISBLANK(Table2[[#This Row],[MergeCorpID]])=TRUE,0,IF(Table2[[#This Row],[SurvivingEdCorp]]=TRUE,1,2))</f>
        <v>2</v>
      </c>
      <c r="J936" s="4"/>
    </row>
    <row r="937" spans="2:10">
      <c r="B937" s="1011" t="s">
        <v>658</v>
      </c>
      <c r="C937" s="1014">
        <v>2020</v>
      </c>
      <c r="D937" s="1013"/>
      <c r="E937" s="1015"/>
      <c r="F937" s="1010"/>
      <c r="G937" s="40" t="b">
        <f>IF(ISBLANK(Table2[[#This Row],[MergeCorpID]]=TRUE),"",AND(ISNUMBER(Table2[[#This Row],[MergeCorpID]])=TRUE,ISBLANK(Table2[[#This Row],[MergeName]])=FALSE))</f>
        <v>0</v>
      </c>
      <c r="H937" s="40">
        <f>IF(ISBLANK(Table2[[#This Row],[MergeCorpID]])=TRUE,0,IF(Table2[[#This Row],[SurvivingEdCorp]]=TRUE,1,2))</f>
        <v>0</v>
      </c>
      <c r="J937" s="4"/>
    </row>
    <row r="938" spans="2:10">
      <c r="B938" s="1012" t="s">
        <v>1353</v>
      </c>
      <c r="C938" s="1009">
        <v>2017</v>
      </c>
      <c r="D938" s="1009"/>
      <c r="E938" s="1016"/>
      <c r="F938" s="1008"/>
      <c r="G938" s="40" t="b">
        <f>IF(ISBLANK(Table2[[#This Row],[MergeCorpID]]=TRUE),"",AND(ISNUMBER(Table2[[#This Row],[MergeCorpID]])=TRUE,ISBLANK(Table2[[#This Row],[MergeName]])=FALSE))</f>
        <v>0</v>
      </c>
      <c r="H938" s="40">
        <f>IF(ISBLANK(Table2[[#This Row],[MergeCorpID]])=TRUE,0,IF(Table2[[#This Row],[SurvivingEdCorp]]=TRUE,1,2))</f>
        <v>0</v>
      </c>
      <c r="J938" s="4"/>
    </row>
    <row r="939" spans="2:10">
      <c r="B939" s="1011" t="s">
        <v>420</v>
      </c>
      <c r="C939" s="1014">
        <v>2006</v>
      </c>
      <c r="D939" s="1013">
        <v>2016</v>
      </c>
      <c r="E939" s="1015">
        <v>509</v>
      </c>
      <c r="F939" s="1010" t="s">
        <v>601</v>
      </c>
      <c r="G939" s="40" t="b">
        <f>IF(ISBLANK(Table2[[#This Row],[MergeCorpID]]=TRUE),"",AND(ISNUMBER(Table2[[#This Row],[MergeCorpID]])=TRUE,ISBLANK(Table2[[#This Row],[MergeName]])=FALSE))</f>
        <v>1</v>
      </c>
      <c r="H939" s="40">
        <f>IF(ISBLANK(Table2[[#This Row],[MergeCorpID]])=TRUE,0,IF(Table2[[#This Row],[SurvivingEdCorp]]=TRUE,1,2))</f>
        <v>1</v>
      </c>
      <c r="J939" s="4"/>
    </row>
    <row r="940" spans="2:10">
      <c r="B940" s="1012" t="s">
        <v>421</v>
      </c>
      <c r="C940" s="1009">
        <v>2009</v>
      </c>
      <c r="D940" s="1009">
        <v>2016</v>
      </c>
      <c r="E940" s="1016">
        <v>509</v>
      </c>
      <c r="F940" s="1008"/>
      <c r="G940" s="40" t="b">
        <f>IF(ISBLANK(Table2[[#This Row],[MergeCorpID]]=TRUE),"",AND(ISNUMBER(Table2[[#This Row],[MergeCorpID]])=TRUE,ISBLANK(Table2[[#This Row],[MergeName]])=FALSE))</f>
        <v>0</v>
      </c>
      <c r="H940" s="40">
        <f>IF(ISBLANK(Table2[[#This Row],[MergeCorpID]])=TRUE,0,IF(Table2[[#This Row],[SurvivingEdCorp]]=TRUE,1,2))</f>
        <v>2</v>
      </c>
      <c r="J940" s="4"/>
    </row>
    <row r="941" spans="2:10">
      <c r="B941" s="1011" t="s">
        <v>423</v>
      </c>
      <c r="C941" s="1014">
        <v>2013</v>
      </c>
      <c r="D941" s="1013">
        <v>2016</v>
      </c>
      <c r="E941" s="1015">
        <v>509</v>
      </c>
      <c r="F941" s="1010"/>
      <c r="G941" s="40" t="b">
        <f>IF(ISBLANK(Table2[[#This Row],[MergeCorpID]]=TRUE),"",AND(ISNUMBER(Table2[[#This Row],[MergeCorpID]])=TRUE,ISBLANK(Table2[[#This Row],[MergeName]])=FALSE))</f>
        <v>0</v>
      </c>
      <c r="H941" s="40">
        <f>IF(ISBLANK(Table2[[#This Row],[MergeCorpID]])=TRUE,0,IF(Table2[[#This Row],[SurvivingEdCorp]]=TRUE,1,2))</f>
        <v>2</v>
      </c>
      <c r="J941" s="4"/>
    </row>
    <row r="942" spans="2:10">
      <c r="B942" s="1012" t="s">
        <v>422</v>
      </c>
      <c r="C942" s="1009">
        <v>2010</v>
      </c>
      <c r="D942" s="1009">
        <v>2016</v>
      </c>
      <c r="E942" s="1016">
        <v>509</v>
      </c>
      <c r="F942" s="1008"/>
      <c r="G942" s="40" t="b">
        <f>IF(ISBLANK(Table2[[#This Row],[MergeCorpID]]=TRUE),"",AND(ISNUMBER(Table2[[#This Row],[MergeCorpID]])=TRUE,ISBLANK(Table2[[#This Row],[MergeName]])=FALSE))</f>
        <v>0</v>
      </c>
      <c r="H942" s="40">
        <f>IF(ISBLANK(Table2[[#This Row],[MergeCorpID]])=TRUE,0,IF(Table2[[#This Row],[SurvivingEdCorp]]=TRUE,1,2))</f>
        <v>2</v>
      </c>
      <c r="J942" s="4"/>
    </row>
    <row r="943" spans="2:10">
      <c r="B943" s="1011" t="s">
        <v>655</v>
      </c>
      <c r="C943" s="1014">
        <v>2019</v>
      </c>
      <c r="D943" s="1013">
        <v>2020</v>
      </c>
      <c r="E943" s="1015">
        <v>512</v>
      </c>
      <c r="F943" s="1010"/>
      <c r="G943" s="40" t="b">
        <f>IF(ISBLANK(Table2[[#This Row],[MergeCorpID]]=TRUE),"",AND(ISNUMBER(Table2[[#This Row],[MergeCorpID]])=TRUE,ISBLANK(Table2[[#This Row],[MergeName]])=FALSE))</f>
        <v>0</v>
      </c>
      <c r="H943" s="40">
        <f>IF(ISBLANK(Table2[[#This Row],[MergeCorpID]])=TRUE,0,IF(Table2[[#This Row],[SurvivingEdCorp]]=TRUE,1,2))</f>
        <v>2</v>
      </c>
      <c r="J943" s="4"/>
    </row>
    <row r="944" spans="2:10">
      <c r="B944" s="1012" t="s">
        <v>544</v>
      </c>
      <c r="C944" s="1009">
        <v>2017</v>
      </c>
      <c r="D944" s="1009"/>
      <c r="E944" s="1016"/>
      <c r="F944" s="1008"/>
      <c r="G944" s="40" t="b">
        <f>IF(ISBLANK(Table2[[#This Row],[MergeCorpID]]=TRUE),"",AND(ISNUMBER(Table2[[#This Row],[MergeCorpID]])=TRUE,ISBLANK(Table2[[#This Row],[MergeName]])=FALSE))</f>
        <v>0</v>
      </c>
      <c r="H944" s="40">
        <f>IF(ISBLANK(Table2[[#This Row],[MergeCorpID]])=TRUE,0,IF(Table2[[#This Row],[SurvivingEdCorp]]=TRUE,1,2))</f>
        <v>0</v>
      </c>
      <c r="J944" s="4"/>
    </row>
    <row r="945" spans="2:10">
      <c r="B945" s="1011" t="s">
        <v>1361</v>
      </c>
      <c r="C945" s="1014">
        <v>2022</v>
      </c>
      <c r="D945" s="1013"/>
      <c r="E945" s="1015"/>
      <c r="F945" s="1010"/>
      <c r="G945" s="40" t="b">
        <f>IF(ISBLANK(Table2[[#This Row],[MergeCorpID]]=TRUE),"",AND(ISNUMBER(Table2[[#This Row],[MergeCorpID]])=TRUE,ISBLANK(Table2[[#This Row],[MergeName]])=FALSE))</f>
        <v>0</v>
      </c>
      <c r="H945" s="40">
        <f>IF(ISBLANK(Table2[[#This Row],[MergeCorpID]])=TRUE,0,IF(Table2[[#This Row],[SurvivingEdCorp]]=TRUE,1,2))</f>
        <v>0</v>
      </c>
      <c r="J945" s="4"/>
    </row>
    <row r="946" spans="2:10">
      <c r="B946" s="1012" t="s">
        <v>491</v>
      </c>
      <c r="C946" s="1009">
        <v>2016</v>
      </c>
      <c r="D946" s="1009">
        <v>2017</v>
      </c>
      <c r="E946" s="1016">
        <v>513</v>
      </c>
      <c r="F946" s="1008"/>
      <c r="G946" s="40" t="b">
        <f>IF(ISBLANK(Table2[[#This Row],[MergeCorpID]]=TRUE),"",AND(ISNUMBER(Table2[[#This Row],[MergeCorpID]])=TRUE,ISBLANK(Table2[[#This Row],[MergeName]])=FALSE))</f>
        <v>0</v>
      </c>
      <c r="H946" s="40">
        <f>IF(ISBLANK(Table2[[#This Row],[MergeCorpID]])=TRUE,0,IF(Table2[[#This Row],[SurvivingEdCorp]]=TRUE,1,2))</f>
        <v>2</v>
      </c>
      <c r="J946" s="4"/>
    </row>
    <row r="947" spans="2:10">
      <c r="B947" s="1011" t="s">
        <v>454</v>
      </c>
      <c r="C947" s="1014">
        <v>2012</v>
      </c>
      <c r="D947" s="1013">
        <v>2017</v>
      </c>
      <c r="E947" s="1015">
        <v>513</v>
      </c>
      <c r="F947" s="1010" t="s">
        <v>602</v>
      </c>
      <c r="G947" s="40" t="b">
        <f>IF(ISBLANK(Table2[[#This Row],[MergeCorpID]]=TRUE),"",AND(ISNUMBER(Table2[[#This Row],[MergeCorpID]])=TRUE,ISBLANK(Table2[[#This Row],[MergeName]])=FALSE))</f>
        <v>1</v>
      </c>
      <c r="H947" s="40">
        <f>IF(ISBLANK(Table2[[#This Row],[MergeCorpID]])=TRUE,0,IF(Table2[[#This Row],[SurvivingEdCorp]]=TRUE,1,2))</f>
        <v>1</v>
      </c>
      <c r="J947" s="4"/>
    </row>
    <row r="948" spans="2:10">
      <c r="B948" s="1012" t="s">
        <v>424</v>
      </c>
      <c r="C948" s="1009">
        <v>2000</v>
      </c>
      <c r="D948" s="1009"/>
      <c r="E948" s="1016"/>
      <c r="F948" s="1008"/>
      <c r="G948" s="40" t="b">
        <f>IF(ISBLANK(Table2[[#This Row],[MergeCorpID]]=TRUE),"",AND(ISNUMBER(Table2[[#This Row],[MergeCorpID]])=TRUE,ISBLANK(Table2[[#This Row],[MergeName]])=FALSE))</f>
        <v>0</v>
      </c>
      <c r="H948" s="40">
        <f>IF(ISBLANK(Table2[[#This Row],[MergeCorpID]])=TRUE,0,IF(Table2[[#This Row],[SurvivingEdCorp]]=TRUE,1,2))</f>
        <v>0</v>
      </c>
      <c r="J948" s="4"/>
    </row>
    <row r="949" spans="2:10">
      <c r="B949" s="1011" t="s">
        <v>466</v>
      </c>
      <c r="C949" s="1014">
        <v>2013</v>
      </c>
      <c r="D949" s="1013"/>
      <c r="E949" s="1015"/>
      <c r="F949" s="1010"/>
      <c r="G949" s="40" t="b">
        <f>IF(ISBLANK(Table2[[#This Row],[MergeCorpID]]=TRUE),"",AND(ISNUMBER(Table2[[#This Row],[MergeCorpID]])=TRUE,ISBLANK(Table2[[#This Row],[MergeName]])=FALSE))</f>
        <v>0</v>
      </c>
      <c r="H949" s="40">
        <f>IF(ISBLANK(Table2[[#This Row],[MergeCorpID]])=TRUE,0,IF(Table2[[#This Row],[SurvivingEdCorp]]=TRUE,1,2))</f>
        <v>0</v>
      </c>
      <c r="J949" s="4"/>
    </row>
    <row r="950" spans="2:10">
      <c r="B950" s="1012" t="s">
        <v>425</v>
      </c>
      <c r="C950" s="1009">
        <v>2009</v>
      </c>
      <c r="D950" s="1009"/>
      <c r="E950" s="1016"/>
      <c r="F950" s="1008"/>
      <c r="G950" s="40" t="b">
        <f>IF(ISBLANK(Table2[[#This Row],[MergeCorpID]]=TRUE),"",AND(ISNUMBER(Table2[[#This Row],[MergeCorpID]])=TRUE,ISBLANK(Table2[[#This Row],[MergeName]])=FALSE))</f>
        <v>0</v>
      </c>
      <c r="H950" s="40">
        <f>IF(ISBLANK(Table2[[#This Row],[MergeCorpID]])=TRUE,0,IF(Table2[[#This Row],[SurvivingEdCorp]]=TRUE,1,2))</f>
        <v>0</v>
      </c>
      <c r="J950" s="4"/>
    </row>
    <row r="951" spans="2:10">
      <c r="B951" s="1011" t="s">
        <v>552</v>
      </c>
      <c r="C951" s="1014">
        <v>2012</v>
      </c>
      <c r="D951" s="1013"/>
      <c r="E951" s="1015"/>
      <c r="F951" s="1010"/>
      <c r="G951" s="40" t="b">
        <f>IF(ISBLANK(Table2[[#This Row],[MergeCorpID]]=TRUE),"",AND(ISNUMBER(Table2[[#This Row],[MergeCorpID]])=TRUE,ISBLANK(Table2[[#This Row],[MergeName]])=FALSE))</f>
        <v>0</v>
      </c>
      <c r="H951" s="40">
        <f>IF(ISBLANK(Table2[[#This Row],[MergeCorpID]])=TRUE,0,IF(Table2[[#This Row],[SurvivingEdCorp]]=TRUE,1,2))</f>
        <v>0</v>
      </c>
      <c r="J951" s="4"/>
    </row>
    <row r="952" spans="2:10">
      <c r="B952" s="1012" t="s">
        <v>553</v>
      </c>
      <c r="C952" s="1009">
        <v>2012</v>
      </c>
      <c r="D952" s="1009"/>
      <c r="E952" s="1016"/>
      <c r="F952" s="1008"/>
      <c r="G952" s="40" t="b">
        <f>IF(ISBLANK(Table2[[#This Row],[MergeCorpID]]=TRUE),"",AND(ISNUMBER(Table2[[#This Row],[MergeCorpID]])=TRUE,ISBLANK(Table2[[#This Row],[MergeName]])=FALSE))</f>
        <v>0</v>
      </c>
      <c r="H952" s="40">
        <f>IF(ISBLANK(Table2[[#This Row],[MergeCorpID]])=TRUE,0,IF(Table2[[#This Row],[SurvivingEdCorp]]=TRUE,1,2))</f>
        <v>0</v>
      </c>
      <c r="J952" s="4"/>
    </row>
    <row r="953" spans="2:10">
      <c r="B953" s="1011" t="s">
        <v>438</v>
      </c>
      <c r="C953" s="1014">
        <v>2011</v>
      </c>
      <c r="D953" s="1013"/>
      <c r="E953" s="1015"/>
      <c r="F953" s="1010"/>
      <c r="G953" s="40" t="b">
        <f>IF(ISBLANK(Table2[[#This Row],[MergeCorpID]]=TRUE),"",AND(ISNUMBER(Table2[[#This Row],[MergeCorpID]])=TRUE,ISBLANK(Table2[[#This Row],[MergeName]])=FALSE))</f>
        <v>0</v>
      </c>
      <c r="H953" s="40">
        <f>IF(ISBLANK(Table2[[#This Row],[MergeCorpID]])=TRUE,0,IF(Table2[[#This Row],[SurvivingEdCorp]]=TRUE,1,2))</f>
        <v>0</v>
      </c>
      <c r="J953" s="4"/>
    </row>
    <row r="954" spans="2:10">
      <c r="B954" s="1012" t="s">
        <v>439</v>
      </c>
      <c r="C954" s="1009">
        <v>2011</v>
      </c>
      <c r="D954" s="1009"/>
      <c r="E954" s="1016"/>
      <c r="F954" s="1008"/>
      <c r="G954" s="40" t="b">
        <f>IF(ISBLANK(Table2[[#This Row],[MergeCorpID]]=TRUE),"",AND(ISNUMBER(Table2[[#This Row],[MergeCorpID]])=TRUE,ISBLANK(Table2[[#This Row],[MergeName]])=FALSE))</f>
        <v>0</v>
      </c>
      <c r="H954" s="40">
        <f>IF(ISBLANK(Table2[[#This Row],[MergeCorpID]])=TRUE,0,IF(Table2[[#This Row],[SurvivingEdCorp]]=TRUE,1,2))</f>
        <v>0</v>
      </c>
      <c r="J954" s="4"/>
    </row>
    <row r="955" spans="2:10">
      <c r="B955" s="1011" t="s">
        <v>426</v>
      </c>
      <c r="C955" s="1014">
        <v>2010</v>
      </c>
      <c r="D955" s="1013"/>
      <c r="E955" s="1015"/>
      <c r="F955" s="1010"/>
      <c r="G955" s="40" t="b">
        <f>IF(ISBLANK(Table2[[#This Row],[MergeCorpID]]=TRUE),"",AND(ISNUMBER(Table2[[#This Row],[MergeCorpID]])=TRUE,ISBLANK(Table2[[#This Row],[MergeName]])=FALSE))</f>
        <v>0</v>
      </c>
      <c r="H955" s="40">
        <f>IF(ISBLANK(Table2[[#This Row],[MergeCorpID]])=TRUE,0,IF(Table2[[#This Row],[SurvivingEdCorp]]=TRUE,1,2))</f>
        <v>0</v>
      </c>
      <c r="J955" s="4"/>
    </row>
    <row r="956" spans="2:10">
      <c r="B956" s="1012" t="s">
        <v>483</v>
      </c>
      <c r="C956" s="1009">
        <v>2016</v>
      </c>
      <c r="D956" s="1009"/>
      <c r="E956" s="1016"/>
      <c r="F956" s="1008"/>
      <c r="G956" s="40" t="b">
        <f>IF(ISBLANK(Table2[[#This Row],[MergeCorpID]]=TRUE),"",AND(ISNUMBER(Table2[[#This Row],[MergeCorpID]])=TRUE,ISBLANK(Table2[[#This Row],[MergeName]])=FALSE))</f>
        <v>0</v>
      </c>
      <c r="H956" s="40">
        <f>IF(ISBLANK(Table2[[#This Row],[MergeCorpID]])=TRUE,0,IF(Table2[[#This Row],[SurvivingEdCorp]]=TRUE,1,2))</f>
        <v>0</v>
      </c>
      <c r="J956" s="4"/>
    </row>
    <row r="957" spans="2:10">
      <c r="B957" s="1012" t="s">
        <v>2054</v>
      </c>
      <c r="C957" s="1009">
        <v>2023</v>
      </c>
      <c r="D957" s="1009"/>
      <c r="E957" s="1016"/>
      <c r="F957" s="1008"/>
      <c r="G957" s="40" t="b">
        <f>IF(ISBLANK(Table2[[#This Row],[MergeCorpID]]=TRUE),"",AND(ISNUMBER(Table2[[#This Row],[MergeCorpID]])=TRUE,ISBLANK(Table2[[#This Row],[MergeName]])=FALSE))</f>
        <v>0</v>
      </c>
      <c r="H957" s="40">
        <f>IF(ISBLANK(Table2[[#This Row],[MergeCorpID]])=TRUE,0,IF(Table2[[#This Row],[SurvivingEdCorp]]=TRUE,1,2))</f>
        <v>0</v>
      </c>
      <c r="J957" s="4"/>
    </row>
    <row r="958" spans="2:10">
      <c r="B958" s="1011" t="s">
        <v>648</v>
      </c>
      <c r="C958" s="1014">
        <v>2017</v>
      </c>
      <c r="D958" s="1013">
        <v>2018</v>
      </c>
      <c r="E958" s="1015">
        <v>516</v>
      </c>
      <c r="F958" s="1010" t="s">
        <v>628</v>
      </c>
      <c r="G958" s="40" t="b">
        <f>IF(ISBLANK(Table2[[#This Row],[MergeCorpID]]=TRUE),"",AND(ISNUMBER(Table2[[#This Row],[MergeCorpID]])=TRUE,ISBLANK(Table2[[#This Row],[MergeName]])=FALSE))</f>
        <v>1</v>
      </c>
      <c r="H958" s="40">
        <f>IF(ISBLANK(Table2[[#This Row],[MergeCorpID]])=TRUE,0,IF(Table2[[#This Row],[SurvivingEdCorp]]=TRUE,1,2))</f>
        <v>1</v>
      </c>
      <c r="J958" s="4"/>
    </row>
    <row r="959" spans="2:10">
      <c r="B959" s="1012" t="s">
        <v>649</v>
      </c>
      <c r="C959" s="1009">
        <v>2017</v>
      </c>
      <c r="D959" s="1009">
        <v>2018</v>
      </c>
      <c r="E959" s="1016">
        <v>516</v>
      </c>
      <c r="F959" s="1008"/>
      <c r="G959" s="40" t="b">
        <f>IF(ISBLANK(Table2[[#This Row],[MergeCorpID]]=TRUE),"",AND(ISNUMBER(Table2[[#This Row],[MergeCorpID]])=TRUE,ISBLANK(Table2[[#This Row],[MergeName]])=FALSE))</f>
        <v>0</v>
      </c>
      <c r="H959" s="40">
        <f>IF(ISBLANK(Table2[[#This Row],[MergeCorpID]])=TRUE,0,IF(Table2[[#This Row],[SurvivingEdCorp]]=TRUE,1,2))</f>
        <v>2</v>
      </c>
      <c r="J959" s="4"/>
    </row>
    <row r="960" spans="2:10">
      <c r="B960" s="1011" t="s">
        <v>392</v>
      </c>
      <c r="C960" s="1014">
        <v>2010</v>
      </c>
      <c r="D960" s="1013">
        <v>2016</v>
      </c>
      <c r="E960" s="1015">
        <v>509</v>
      </c>
      <c r="F960" s="1010"/>
      <c r="G960" s="40" t="b">
        <f>IF(ISBLANK(Table2[[#This Row],[MergeCorpID]]=TRUE),"",AND(ISNUMBER(Table2[[#This Row],[MergeCorpID]])=TRUE,ISBLANK(Table2[[#This Row],[MergeName]])=FALSE))</f>
        <v>0</v>
      </c>
      <c r="H960" s="40">
        <f>IF(ISBLANK(Table2[[#This Row],[MergeCorpID]])=TRUE,0,IF(Table2[[#This Row],[SurvivingEdCorp]]=TRUE,1,2))</f>
        <v>2</v>
      </c>
      <c r="J960" s="4"/>
    </row>
    <row r="961" spans="2:10">
      <c r="B961" s="1012" t="s">
        <v>427</v>
      </c>
      <c r="C961" s="1009">
        <v>2002</v>
      </c>
      <c r="D961" s="1009">
        <v>2019</v>
      </c>
      <c r="E961" s="1016">
        <v>524</v>
      </c>
      <c r="F961" s="1008" t="s">
        <v>603</v>
      </c>
      <c r="G961" s="40" t="b">
        <f>IF(ISBLANK(Table2[[#This Row],[MergeCorpID]]=TRUE),"",AND(ISNUMBER(Table2[[#This Row],[MergeCorpID]])=TRUE,ISBLANK(Table2[[#This Row],[MergeName]])=FALSE))</f>
        <v>1</v>
      </c>
      <c r="H961" s="40">
        <f>IF(ISBLANK(Table2[[#This Row],[MergeCorpID]])=TRUE,0,IF(Table2[[#This Row],[SurvivingEdCorp]]=TRUE,1,2))</f>
        <v>1</v>
      </c>
      <c r="J961" s="4"/>
    </row>
    <row r="962" spans="2:10">
      <c r="B962" s="1011" t="s">
        <v>604</v>
      </c>
      <c r="C962" s="1014">
        <v>2018</v>
      </c>
      <c r="D962" s="1013">
        <v>2019</v>
      </c>
      <c r="E962" s="1015">
        <v>524</v>
      </c>
      <c r="F962" s="1010"/>
      <c r="G962" s="40" t="b">
        <f>IF(ISBLANK(Table2[[#This Row],[MergeCorpID]]=TRUE),"",AND(ISNUMBER(Table2[[#This Row],[MergeCorpID]])=TRUE,ISBLANK(Table2[[#This Row],[MergeName]])=FALSE))</f>
        <v>0</v>
      </c>
      <c r="H962" s="40">
        <f>IF(ISBLANK(Table2[[#This Row],[MergeCorpID]])=TRUE,0,IF(Table2[[#This Row],[SurvivingEdCorp]]=TRUE,1,2))</f>
        <v>2</v>
      </c>
      <c r="J962" s="4"/>
    </row>
    <row r="963" spans="2:10">
      <c r="B963" s="1012" t="s">
        <v>1362</v>
      </c>
      <c r="C963" s="1009">
        <v>2022</v>
      </c>
      <c r="D963" s="1009">
        <v>2023</v>
      </c>
      <c r="E963" s="1016">
        <v>524</v>
      </c>
      <c r="F963" s="1008"/>
      <c r="G963" s="40" t="b">
        <f>IF(ISBLANK(Table2[[#This Row],[MergeCorpID]]=TRUE),"",AND(ISNUMBER(Table2[[#This Row],[MergeCorpID]])=TRUE,ISBLANK(Table2[[#This Row],[MergeName]])=FALSE))</f>
        <v>0</v>
      </c>
      <c r="H963" s="40">
        <f>IF(ISBLANK(Table2[[#This Row],[MergeCorpID]])=TRUE,0,IF(Table2[[#This Row],[SurvivingEdCorp]]=TRUE,1,2))</f>
        <v>2</v>
      </c>
      <c r="J963" s="4"/>
    </row>
    <row r="964" spans="2:10">
      <c r="B964" s="1011" t="s">
        <v>605</v>
      </c>
      <c r="C964" s="1014">
        <v>2017</v>
      </c>
      <c r="D964" s="1013"/>
      <c r="E964" s="1015"/>
      <c r="F964" s="1010"/>
      <c r="G964" s="40" t="b">
        <f>IF(ISBLANK(Table2[[#This Row],[MergeCorpID]]=TRUE),"",AND(ISNUMBER(Table2[[#This Row],[MergeCorpID]])=TRUE,ISBLANK(Table2[[#This Row],[MergeName]])=FALSE))</f>
        <v>0</v>
      </c>
      <c r="H964" s="40">
        <f>IF(ISBLANK(Table2[[#This Row],[MergeCorpID]])=TRUE,0,IF(Table2[[#This Row],[SurvivingEdCorp]]=TRUE,1,2))</f>
        <v>0</v>
      </c>
      <c r="J964" s="4"/>
    </row>
    <row r="965" spans="2:10">
      <c r="B965" s="1012" t="s">
        <v>606</v>
      </c>
      <c r="C965" s="1009">
        <v>2018</v>
      </c>
      <c r="D965" s="1009"/>
      <c r="E965" s="1016"/>
      <c r="F965" s="1008"/>
      <c r="G965" s="40" t="b">
        <f>IF(ISBLANK(Table2[[#This Row],[MergeCorpID]]=TRUE),"",AND(ISNUMBER(Table2[[#This Row],[MergeCorpID]])=TRUE,ISBLANK(Table2[[#This Row],[MergeName]])=FALSE))</f>
        <v>0</v>
      </c>
      <c r="H965" s="40">
        <f>IF(ISBLANK(Table2[[#This Row],[MergeCorpID]])=TRUE,0,IF(Table2[[#This Row],[SurvivingEdCorp]]=TRUE,1,2))</f>
        <v>0</v>
      </c>
      <c r="J965" s="4"/>
    </row>
    <row r="966" spans="2:10">
      <c r="B966" s="1011" t="s">
        <v>1363</v>
      </c>
      <c r="C966" s="1014">
        <v>2022</v>
      </c>
      <c r="D966" s="1013"/>
      <c r="E966" s="1015"/>
      <c r="F966" s="1010"/>
      <c r="G966" s="40" t="b">
        <f>IF(ISBLANK(Table2[[#This Row],[MergeCorpID]]=TRUE),"",AND(ISNUMBER(Table2[[#This Row],[MergeCorpID]])=TRUE,ISBLANK(Table2[[#This Row],[MergeName]])=FALSE))</f>
        <v>0</v>
      </c>
      <c r="H966" s="40">
        <f>IF(ISBLANK(Table2[[#This Row],[MergeCorpID]])=TRUE,0,IF(Table2[[#This Row],[SurvivingEdCorp]]=TRUE,1,2))</f>
        <v>0</v>
      </c>
      <c r="J966" s="4"/>
    </row>
    <row r="967" spans="2:10">
      <c r="B967" s="1012" t="s">
        <v>464</v>
      </c>
      <c r="C967" s="1009">
        <v>2016</v>
      </c>
      <c r="D967" s="1009">
        <v>2015</v>
      </c>
      <c r="E967" s="1016">
        <v>502</v>
      </c>
      <c r="F967" s="1008"/>
      <c r="G967" s="40" t="b">
        <f>IF(ISBLANK(Table2[[#This Row],[MergeCorpID]]=TRUE),"",AND(ISNUMBER(Table2[[#This Row],[MergeCorpID]])=TRUE,ISBLANK(Table2[[#This Row],[MergeName]])=FALSE))</f>
        <v>0</v>
      </c>
      <c r="H967" s="40">
        <f>IF(ISBLANK(Table2[[#This Row],[MergeCorpID]])=TRUE,0,IF(Table2[[#This Row],[SurvivingEdCorp]]=TRUE,1,2))</f>
        <v>2</v>
      </c>
      <c r="J967" s="4"/>
    </row>
    <row r="968" spans="2:10">
      <c r="B968" s="1011" t="s">
        <v>428</v>
      </c>
      <c r="C968" s="1014">
        <v>2000</v>
      </c>
      <c r="D968" s="1013"/>
      <c r="E968" s="1015"/>
      <c r="F968" s="1010"/>
      <c r="G968" s="40" t="b">
        <f>IF(ISBLANK(Table2[[#This Row],[MergeCorpID]]=TRUE),"",AND(ISNUMBER(Table2[[#This Row],[MergeCorpID]])=TRUE,ISBLANK(Table2[[#This Row],[MergeName]])=FALSE))</f>
        <v>0</v>
      </c>
      <c r="H968" s="40">
        <f>IF(ISBLANK(Table2[[#This Row],[MergeCorpID]])=TRUE,0,IF(Table2[[#This Row],[SurvivingEdCorp]]=TRUE,1,2))</f>
        <v>0</v>
      </c>
      <c r="J968" s="4"/>
    </row>
    <row r="969" spans="2:10">
      <c r="B969" s="1012" t="s">
        <v>665</v>
      </c>
      <c r="C969" s="1009">
        <v>1999</v>
      </c>
      <c r="D969" s="1009"/>
      <c r="E969" s="1016"/>
      <c r="F969" s="1008"/>
      <c r="G969" s="40" t="b">
        <f>IF(ISBLANK(Table2[[#This Row],[MergeCorpID]]=TRUE),"",AND(ISNUMBER(Table2[[#This Row],[MergeCorpID]])=TRUE,ISBLANK(Table2[[#This Row],[MergeName]])=FALSE))</f>
        <v>0</v>
      </c>
      <c r="H969" s="40">
        <f>IF(ISBLANK(Table2[[#This Row],[MergeCorpID]])=TRUE,0,IF(Table2[[#This Row],[SurvivingEdCorp]]=TRUE,1,2))</f>
        <v>0</v>
      </c>
      <c r="J969" s="4"/>
    </row>
    <row r="970" spans="2:10">
      <c r="B970" s="1011" t="s">
        <v>429</v>
      </c>
      <c r="C970" s="1014">
        <v>2000</v>
      </c>
      <c r="D970" s="1013"/>
      <c r="E970" s="1015"/>
      <c r="F970" s="1010"/>
      <c r="G970" s="40" t="b">
        <f>IF(ISBLANK(Table2[[#This Row],[MergeCorpID]]=TRUE),"",AND(ISNUMBER(Table2[[#This Row],[MergeCorpID]])=TRUE,ISBLANK(Table2[[#This Row],[MergeName]])=FALSE))</f>
        <v>0</v>
      </c>
      <c r="H970" s="40">
        <f>IF(ISBLANK(Table2[[#This Row],[MergeCorpID]])=TRUE,0,IF(Table2[[#This Row],[SurvivingEdCorp]]=TRUE,1,2))</f>
        <v>0</v>
      </c>
      <c r="J970" s="4"/>
    </row>
    <row r="971" spans="2:10">
      <c r="B971" s="1012" t="s">
        <v>1364</v>
      </c>
      <c r="C971" s="1009">
        <v>2022</v>
      </c>
      <c r="D971" s="1009"/>
      <c r="E971" s="1016"/>
      <c r="F971" s="1008"/>
      <c r="G971" s="40" t="b">
        <f>IF(ISBLANK(Table2[[#This Row],[MergeCorpID]]=TRUE),"",AND(ISNUMBER(Table2[[#This Row],[MergeCorpID]])=TRUE,ISBLANK(Table2[[#This Row],[MergeName]])=FALSE))</f>
        <v>0</v>
      </c>
      <c r="H971" s="40">
        <f>IF(ISBLANK(Table2[[#This Row],[MergeCorpID]])=TRUE,0,IF(Table2[[#This Row],[SurvivingEdCorp]]=TRUE,1,2))</f>
        <v>0</v>
      </c>
      <c r="J971" s="4"/>
    </row>
    <row r="972" spans="2:10">
      <c r="B972" s="1011" t="s">
        <v>1364</v>
      </c>
      <c r="C972" s="1014">
        <v>2023</v>
      </c>
      <c r="D972" s="1013"/>
      <c r="E972" s="1015"/>
      <c r="F972" s="1010"/>
      <c r="G972" s="40" t="b">
        <f>IF(ISBLANK(Table2[[#This Row],[MergeCorpID]]=TRUE),"",AND(ISNUMBER(Table2[[#This Row],[MergeCorpID]])=TRUE,ISBLANK(Table2[[#This Row],[MergeName]])=FALSE))</f>
        <v>0</v>
      </c>
      <c r="H972" s="40">
        <f>IF(ISBLANK(Table2[[#This Row],[MergeCorpID]])=TRUE,0,IF(Table2[[#This Row],[SurvivingEdCorp]]=TRUE,1,2))</f>
        <v>0</v>
      </c>
      <c r="J972" s="4"/>
    </row>
    <row r="973" spans="2:10">
      <c r="B973" s="1011" t="s">
        <v>479</v>
      </c>
      <c r="C973" s="1014">
        <v>2015</v>
      </c>
      <c r="D973" s="1013">
        <v>2020</v>
      </c>
      <c r="E973" s="1015">
        <v>529</v>
      </c>
      <c r="F973" s="1010" t="s">
        <v>629</v>
      </c>
      <c r="G973" s="40" t="b">
        <f>IF(ISBLANK(Table2[[#This Row],[MergeCorpID]]=TRUE),"",AND(ISNUMBER(Table2[[#This Row],[MergeCorpID]])=TRUE,ISBLANK(Table2[[#This Row],[MergeName]])=FALSE))</f>
        <v>1</v>
      </c>
      <c r="H973" s="40">
        <f>IF(ISBLANK(Table2[[#This Row],[MergeCorpID]])=TRUE,0,IF(Table2[[#This Row],[SurvivingEdCorp]]=TRUE,1,2))</f>
        <v>1</v>
      </c>
      <c r="J973" s="4"/>
    </row>
    <row r="974" spans="2:10">
      <c r="B974" s="1012" t="s">
        <v>630</v>
      </c>
      <c r="C974" s="1009">
        <v>2019</v>
      </c>
      <c r="D974" s="1009">
        <v>2020</v>
      </c>
      <c r="E974" s="1016">
        <v>529</v>
      </c>
      <c r="F974" s="1008"/>
      <c r="G974" s="40" t="b">
        <f>IF(ISBLANK(Table2[[#This Row],[MergeCorpID]]=TRUE),"",AND(ISNUMBER(Table2[[#This Row],[MergeCorpID]])=TRUE,ISBLANK(Table2[[#This Row],[MergeName]])=FALSE))</f>
        <v>0</v>
      </c>
      <c r="H974" s="40">
        <f>IF(ISBLANK(Table2[[#This Row],[MergeCorpID]])=TRUE,0,IF(Table2[[#This Row],[SurvivingEdCorp]]=TRUE,1,2))</f>
        <v>2</v>
      </c>
      <c r="J974" s="4"/>
    </row>
    <row r="975" spans="2:10">
      <c r="B975" s="1011" t="s">
        <v>434</v>
      </c>
      <c r="C975" s="1014">
        <v>2011</v>
      </c>
      <c r="D975" s="1013">
        <v>2015</v>
      </c>
      <c r="E975" s="1015">
        <v>500</v>
      </c>
      <c r="F975" s="1010"/>
      <c r="G975" s="40" t="b">
        <f>IF(ISBLANK(Table2[[#This Row],[MergeCorpID]]=TRUE),"",AND(ISNUMBER(Table2[[#This Row],[MergeCorpID]])=TRUE,ISBLANK(Table2[[#This Row],[MergeName]])=FALSE))</f>
        <v>0</v>
      </c>
      <c r="H975" s="40">
        <f>IF(ISBLANK(Table2[[#This Row],[MergeCorpID]])=TRUE,0,IF(Table2[[#This Row],[SurvivingEdCorp]]=TRUE,1,2))</f>
        <v>2</v>
      </c>
      <c r="J975" s="4"/>
    </row>
    <row r="976" spans="2:10">
      <c r="B976" s="1012" t="s">
        <v>444</v>
      </c>
      <c r="C976" s="1009">
        <v>2012</v>
      </c>
      <c r="D976" s="1009">
        <v>2015</v>
      </c>
      <c r="E976" s="1016">
        <v>500</v>
      </c>
      <c r="F976" s="1008"/>
      <c r="G976" s="40" t="b">
        <f>IF(ISBLANK(Table2[[#This Row],[MergeCorpID]]=TRUE),"",AND(ISNUMBER(Table2[[#This Row],[MergeCorpID]])=TRUE,ISBLANK(Table2[[#This Row],[MergeName]])=FALSE))</f>
        <v>0</v>
      </c>
      <c r="H976" s="40">
        <f>IF(ISBLANK(Table2[[#This Row],[MergeCorpID]])=TRUE,0,IF(Table2[[#This Row],[SurvivingEdCorp]]=TRUE,1,2))</f>
        <v>2</v>
      </c>
      <c r="J976" s="4"/>
    </row>
    <row r="977" spans="2:10">
      <c r="B977" s="1011" t="s">
        <v>531</v>
      </c>
      <c r="C977" s="1014">
        <v>2016</v>
      </c>
      <c r="D977" s="1013">
        <v>2017</v>
      </c>
      <c r="E977" s="1015">
        <v>500</v>
      </c>
      <c r="F977" s="1010"/>
      <c r="G977" s="40" t="b">
        <f>IF(ISBLANK(Table2[[#This Row],[MergeCorpID]]=TRUE),"",AND(ISNUMBER(Table2[[#This Row],[MergeCorpID]])=TRUE,ISBLANK(Table2[[#This Row],[MergeName]])=FALSE))</f>
        <v>0</v>
      </c>
      <c r="H977" s="40">
        <f>IF(ISBLANK(Table2[[#This Row],[MergeCorpID]])=TRUE,0,IF(Table2[[#This Row],[SurvivingEdCorp]]=TRUE,1,2))</f>
        <v>2</v>
      </c>
      <c r="J977" s="4"/>
    </row>
    <row r="978" spans="2:10">
      <c r="B978" s="1012" t="s">
        <v>471</v>
      </c>
      <c r="C978" s="1009">
        <v>2014</v>
      </c>
      <c r="D978" s="1009">
        <v>2015</v>
      </c>
      <c r="E978" s="1016">
        <v>500</v>
      </c>
      <c r="F978" s="1008"/>
      <c r="G978" s="40" t="b">
        <f>IF(ISBLANK(Table2[[#This Row],[MergeCorpID]]=TRUE),"",AND(ISNUMBER(Table2[[#This Row],[MergeCorpID]])=TRUE,ISBLANK(Table2[[#This Row],[MergeName]])=FALSE))</f>
        <v>0</v>
      </c>
      <c r="H978" s="40">
        <f>IF(ISBLANK(Table2[[#This Row],[MergeCorpID]])=TRUE,0,IF(Table2[[#This Row],[SurvivingEdCorp]]=TRUE,1,2))</f>
        <v>2</v>
      </c>
      <c r="J978" s="4"/>
    </row>
    <row r="979" spans="2:10">
      <c r="B979" s="1011" t="s">
        <v>472</v>
      </c>
      <c r="C979" s="1014">
        <v>2014</v>
      </c>
      <c r="D979" s="1013">
        <v>2015</v>
      </c>
      <c r="E979" s="1015">
        <v>500</v>
      </c>
      <c r="F979" s="1010"/>
      <c r="G979" s="40" t="b">
        <f>IF(ISBLANK(Table2[[#This Row],[MergeCorpID]]=TRUE),"",AND(ISNUMBER(Table2[[#This Row],[MergeCorpID]])=TRUE,ISBLANK(Table2[[#This Row],[MergeName]])=FALSE))</f>
        <v>0</v>
      </c>
      <c r="H979" s="40">
        <f>IF(ISBLANK(Table2[[#This Row],[MergeCorpID]])=TRUE,0,IF(Table2[[#This Row],[SurvivingEdCorp]]=TRUE,1,2))</f>
        <v>2</v>
      </c>
      <c r="J979" s="4"/>
    </row>
    <row r="980" spans="2:10">
      <c r="B980" s="1012" t="s">
        <v>410</v>
      </c>
      <c r="C980" s="1009">
        <v>2010</v>
      </c>
      <c r="D980" s="1009">
        <v>2015</v>
      </c>
      <c r="E980" s="1016">
        <v>500</v>
      </c>
      <c r="F980" s="1008"/>
      <c r="G980" s="40" t="b">
        <f>IF(ISBLANK(Table2[[#This Row],[MergeCorpID]]=TRUE),"",AND(ISNUMBER(Table2[[#This Row],[MergeCorpID]])=TRUE,ISBLANK(Table2[[#This Row],[MergeName]])=FALSE))</f>
        <v>0</v>
      </c>
      <c r="H980" s="40">
        <f>IF(ISBLANK(Table2[[#This Row],[MergeCorpID]])=TRUE,0,IF(Table2[[#This Row],[SurvivingEdCorp]]=TRUE,1,2))</f>
        <v>2</v>
      </c>
      <c r="J980" s="4"/>
    </row>
    <row r="981" spans="2:10">
      <c r="B981" s="1011" t="s">
        <v>409</v>
      </c>
      <c r="C981" s="1014">
        <v>2010</v>
      </c>
      <c r="D981" s="1013">
        <v>2015</v>
      </c>
      <c r="E981" s="1015">
        <v>500</v>
      </c>
      <c r="F981" s="1010"/>
      <c r="G981" s="40" t="b">
        <f>IF(ISBLANK(Table2[[#This Row],[MergeCorpID]]=TRUE),"",AND(ISNUMBER(Table2[[#This Row],[MergeCorpID]])=TRUE,ISBLANK(Table2[[#This Row],[MergeName]])=FALSE))</f>
        <v>0</v>
      </c>
      <c r="H981" s="40">
        <f>IF(ISBLANK(Table2[[#This Row],[MergeCorpID]])=TRUE,0,IF(Table2[[#This Row],[SurvivingEdCorp]]=TRUE,1,2))</f>
        <v>2</v>
      </c>
      <c r="J981" s="4"/>
    </row>
    <row r="982" spans="2:10">
      <c r="B982" s="1012" t="s">
        <v>461</v>
      </c>
      <c r="C982" s="1009">
        <v>2013</v>
      </c>
      <c r="D982" s="1009">
        <v>2013</v>
      </c>
      <c r="E982" s="1016">
        <v>500</v>
      </c>
      <c r="F982" s="1008"/>
      <c r="G982" s="40" t="b">
        <f>IF(ISBLANK(Table2[[#This Row],[MergeCorpID]]=TRUE),"",AND(ISNUMBER(Table2[[#This Row],[MergeCorpID]])=TRUE,ISBLANK(Table2[[#This Row],[MergeName]])=FALSE))</f>
        <v>0</v>
      </c>
      <c r="H982" s="40">
        <f>IF(ISBLANK(Table2[[#This Row],[MergeCorpID]])=TRUE,0,IF(Table2[[#This Row],[SurvivingEdCorp]]=TRUE,1,2))</f>
        <v>2</v>
      </c>
      <c r="J982" s="4"/>
    </row>
    <row r="983" spans="2:10">
      <c r="B983" s="1011" t="s">
        <v>470</v>
      </c>
      <c r="C983" s="1014">
        <v>2014</v>
      </c>
      <c r="D983" s="1013">
        <v>2015</v>
      </c>
      <c r="E983" s="1015">
        <v>500</v>
      </c>
      <c r="F983" s="1010"/>
      <c r="G983" s="40" t="b">
        <f>IF(ISBLANK(Table2[[#This Row],[MergeCorpID]]=TRUE),"",AND(ISNUMBER(Table2[[#This Row],[MergeCorpID]])=TRUE,ISBLANK(Table2[[#This Row],[MergeName]])=FALSE))</f>
        <v>0</v>
      </c>
      <c r="H983" s="40">
        <f>IF(ISBLANK(Table2[[#This Row],[MergeCorpID]])=TRUE,0,IF(Table2[[#This Row],[SurvivingEdCorp]]=TRUE,1,2))</f>
        <v>2</v>
      </c>
      <c r="J983" s="4"/>
    </row>
    <row r="984" spans="2:10">
      <c r="B984" s="1012" t="s">
        <v>532</v>
      </c>
      <c r="C984" s="1009">
        <v>2016</v>
      </c>
      <c r="D984" s="1009">
        <v>2017</v>
      </c>
      <c r="E984" s="1016">
        <v>500</v>
      </c>
      <c r="F984" s="1008"/>
      <c r="G984" s="40" t="b">
        <f>IF(ISBLANK(Table2[[#This Row],[MergeCorpID]]=TRUE),"",AND(ISNUMBER(Table2[[#This Row],[MergeCorpID]])=TRUE,ISBLANK(Table2[[#This Row],[MergeName]])=FALSE))</f>
        <v>0</v>
      </c>
      <c r="H984" s="40">
        <f>IF(ISBLANK(Table2[[#This Row],[MergeCorpID]])=TRUE,0,IF(Table2[[#This Row],[SurvivingEdCorp]]=TRUE,1,2))</f>
        <v>2</v>
      </c>
      <c r="J984" s="4"/>
    </row>
    <row r="985" spans="2:10">
      <c r="B985" s="1011" t="s">
        <v>445</v>
      </c>
      <c r="C985" s="1014">
        <v>2012</v>
      </c>
      <c r="D985" s="1013">
        <v>2015</v>
      </c>
      <c r="E985" s="1015">
        <v>500</v>
      </c>
      <c r="F985" s="1010"/>
      <c r="G985" s="40" t="b">
        <f>IF(ISBLANK(Table2[[#This Row],[MergeCorpID]]=TRUE),"",AND(ISNUMBER(Table2[[#This Row],[MergeCorpID]])=TRUE,ISBLANK(Table2[[#This Row],[MergeName]])=FALSE))</f>
        <v>0</v>
      </c>
      <c r="H985" s="40">
        <f>IF(ISBLANK(Table2[[#This Row],[MergeCorpID]])=TRUE,0,IF(Table2[[#This Row],[SurvivingEdCorp]]=TRUE,1,2))</f>
        <v>2</v>
      </c>
      <c r="J985" s="4"/>
    </row>
    <row r="986" spans="2:10">
      <c r="B986" s="1012" t="s">
        <v>458</v>
      </c>
      <c r="C986" s="1009">
        <v>2013</v>
      </c>
      <c r="D986" s="1009">
        <v>2013</v>
      </c>
      <c r="E986" s="1016">
        <v>500</v>
      </c>
      <c r="F986" s="1008"/>
      <c r="G986" s="40" t="b">
        <f>IF(ISBLANK(Table2[[#This Row],[MergeCorpID]]=TRUE),"",AND(ISNUMBER(Table2[[#This Row],[MergeCorpID]])=TRUE,ISBLANK(Table2[[#This Row],[MergeName]])=FALSE))</f>
        <v>0</v>
      </c>
      <c r="H986" s="40">
        <f>IF(ISBLANK(Table2[[#This Row],[MergeCorpID]])=TRUE,0,IF(Table2[[#This Row],[SurvivingEdCorp]]=TRUE,1,2))</f>
        <v>2</v>
      </c>
      <c r="J986" s="4"/>
    </row>
    <row r="987" spans="2:10">
      <c r="B987" s="1011" t="s">
        <v>533</v>
      </c>
      <c r="C987" s="1014">
        <v>2016</v>
      </c>
      <c r="D987" s="1013">
        <v>2017</v>
      </c>
      <c r="E987" s="1015">
        <v>500</v>
      </c>
      <c r="F987" s="1010"/>
      <c r="G987" s="40" t="b">
        <f>IF(ISBLANK(Table2[[#This Row],[MergeCorpID]]=TRUE),"",AND(ISNUMBER(Table2[[#This Row],[MergeCorpID]])=TRUE,ISBLANK(Table2[[#This Row],[MergeName]])=FALSE))</f>
        <v>0</v>
      </c>
      <c r="H987" s="40">
        <f>IF(ISBLANK(Table2[[#This Row],[MergeCorpID]])=TRUE,0,IF(Table2[[#This Row],[SurvivingEdCorp]]=TRUE,1,2))</f>
        <v>2</v>
      </c>
      <c r="J987" s="4"/>
    </row>
    <row r="988" spans="2:10">
      <c r="B988" s="1012" t="s">
        <v>534</v>
      </c>
      <c r="C988" s="1009">
        <v>2016</v>
      </c>
      <c r="D988" s="1009">
        <v>2017</v>
      </c>
      <c r="E988" s="1016">
        <v>500</v>
      </c>
      <c r="F988" s="1008"/>
      <c r="G988" s="40" t="b">
        <f>IF(ISBLANK(Table2[[#This Row],[MergeCorpID]]=TRUE),"",AND(ISNUMBER(Table2[[#This Row],[MergeCorpID]])=TRUE,ISBLANK(Table2[[#This Row],[MergeName]])=FALSE))</f>
        <v>0</v>
      </c>
      <c r="H988" s="40">
        <f>IF(ISBLANK(Table2[[#This Row],[MergeCorpID]])=TRUE,0,IF(Table2[[#This Row],[SurvivingEdCorp]]=TRUE,1,2))</f>
        <v>2</v>
      </c>
      <c r="J988" s="4"/>
    </row>
    <row r="989" spans="2:10">
      <c r="B989" s="1011" t="s">
        <v>456</v>
      </c>
      <c r="C989" s="1014">
        <v>2013</v>
      </c>
      <c r="D989" s="1013">
        <v>2013</v>
      </c>
      <c r="E989" s="1015">
        <v>500</v>
      </c>
      <c r="F989" s="1010"/>
      <c r="G989" s="40" t="b">
        <f>IF(ISBLANK(Table2[[#This Row],[MergeCorpID]]=TRUE),"",AND(ISNUMBER(Table2[[#This Row],[MergeCorpID]])=TRUE,ISBLANK(Table2[[#This Row],[MergeName]])=FALSE))</f>
        <v>0</v>
      </c>
      <c r="H989" s="40">
        <f>IF(ISBLANK(Table2[[#This Row],[MergeCorpID]])=TRUE,0,IF(Table2[[#This Row],[SurvivingEdCorp]]=TRUE,1,2))</f>
        <v>2</v>
      </c>
      <c r="J989" s="4"/>
    </row>
    <row r="990" spans="2:10">
      <c r="B990" s="1012" t="s">
        <v>475</v>
      </c>
      <c r="C990" s="1009">
        <v>2006</v>
      </c>
      <c r="D990" s="1009">
        <v>2013</v>
      </c>
      <c r="E990" s="1016">
        <v>500</v>
      </c>
      <c r="F990" s="1008"/>
      <c r="G990" s="40" t="b">
        <f>IF(ISBLANK(Table2[[#This Row],[MergeCorpID]]=TRUE),"",AND(ISNUMBER(Table2[[#This Row],[MergeCorpID]])=TRUE,ISBLANK(Table2[[#This Row],[MergeName]])=FALSE))</f>
        <v>0</v>
      </c>
      <c r="H990" s="40">
        <f>IF(ISBLANK(Table2[[#This Row],[MergeCorpID]])=TRUE,0,IF(Table2[[#This Row],[SurvivingEdCorp]]=TRUE,1,2))</f>
        <v>2</v>
      </c>
      <c r="J990" s="4"/>
    </row>
    <row r="991" spans="2:10">
      <c r="B991" s="1011" t="s">
        <v>405</v>
      </c>
      <c r="C991" s="1014">
        <v>2008</v>
      </c>
      <c r="D991" s="1013">
        <v>2013</v>
      </c>
      <c r="E991" s="1015">
        <v>500</v>
      </c>
      <c r="F991" s="1010"/>
      <c r="G991" s="40" t="b">
        <f>IF(ISBLANK(Table2[[#This Row],[MergeCorpID]]=TRUE),"",AND(ISNUMBER(Table2[[#This Row],[MergeCorpID]])=TRUE,ISBLANK(Table2[[#This Row],[MergeName]])=FALSE))</f>
        <v>0</v>
      </c>
      <c r="H991" s="40">
        <f>IF(ISBLANK(Table2[[#This Row],[MergeCorpID]])=TRUE,0,IF(Table2[[#This Row],[SurvivingEdCorp]]=TRUE,1,2))</f>
        <v>2</v>
      </c>
      <c r="J991" s="4"/>
    </row>
    <row r="992" spans="2:10">
      <c r="B992" s="1012" t="s">
        <v>406</v>
      </c>
      <c r="C992" s="1009">
        <v>2008</v>
      </c>
      <c r="D992" s="1009">
        <v>2013</v>
      </c>
      <c r="E992" s="1016">
        <v>500</v>
      </c>
      <c r="F992" s="1008" t="s">
        <v>607</v>
      </c>
      <c r="G992" s="40" t="b">
        <f>IF(ISBLANK(Table2[[#This Row],[MergeCorpID]]=TRUE),"",AND(ISNUMBER(Table2[[#This Row],[MergeCorpID]])=TRUE,ISBLANK(Table2[[#This Row],[MergeName]])=FALSE))</f>
        <v>1</v>
      </c>
      <c r="H992" s="40">
        <f>IF(ISBLANK(Table2[[#This Row],[MergeCorpID]])=TRUE,0,IF(Table2[[#This Row],[SurvivingEdCorp]]=TRUE,1,2))</f>
        <v>1</v>
      </c>
      <c r="J992" s="4"/>
    </row>
    <row r="993" spans="2:10">
      <c r="B993" s="1011" t="s">
        <v>407</v>
      </c>
      <c r="C993" s="1014">
        <v>2008</v>
      </c>
      <c r="D993" s="1013">
        <v>2013</v>
      </c>
      <c r="E993" s="1015">
        <v>500</v>
      </c>
      <c r="F993" s="1010"/>
      <c r="G993" s="40" t="b">
        <f>IF(ISBLANK(Table2[[#This Row],[MergeCorpID]]=TRUE),"",AND(ISNUMBER(Table2[[#This Row],[MergeCorpID]])=TRUE,ISBLANK(Table2[[#This Row],[MergeName]])=FALSE))</f>
        <v>0</v>
      </c>
      <c r="H993" s="40">
        <f>IF(ISBLANK(Table2[[#This Row],[MergeCorpID]])=TRUE,0,IF(Table2[[#This Row],[SurvivingEdCorp]]=TRUE,1,2))</f>
        <v>2</v>
      </c>
      <c r="J993" s="4"/>
    </row>
    <row r="994" spans="2:10">
      <c r="B994" s="1012" t="s">
        <v>408</v>
      </c>
      <c r="C994" s="1009">
        <v>2010</v>
      </c>
      <c r="D994" s="1009">
        <v>2013</v>
      </c>
      <c r="E994" s="1016">
        <v>500</v>
      </c>
      <c r="F994" s="1008"/>
      <c r="G994" s="40" t="b">
        <f>IF(ISBLANK(Table2[[#This Row],[MergeCorpID]]=TRUE),"",AND(ISNUMBER(Table2[[#This Row],[MergeCorpID]])=TRUE,ISBLANK(Table2[[#This Row],[MergeName]])=FALSE))</f>
        <v>0</v>
      </c>
      <c r="H994" s="40">
        <f>IF(ISBLANK(Table2[[#This Row],[MergeCorpID]])=TRUE,0,IF(Table2[[#This Row],[SurvivingEdCorp]]=TRUE,1,2))</f>
        <v>2</v>
      </c>
      <c r="J994" s="4"/>
    </row>
    <row r="995" spans="2:10">
      <c r="B995" s="1011" t="s">
        <v>538</v>
      </c>
      <c r="C995" s="1014">
        <v>2017</v>
      </c>
      <c r="D995" s="1013">
        <v>2018</v>
      </c>
      <c r="E995" s="1015">
        <v>500</v>
      </c>
      <c r="F995" s="1010"/>
      <c r="G995" s="40" t="b">
        <f>IF(ISBLANK(Table2[[#This Row],[MergeCorpID]]=TRUE),"",AND(ISNUMBER(Table2[[#This Row],[MergeCorpID]])=TRUE,ISBLANK(Table2[[#This Row],[MergeName]])=FALSE))</f>
        <v>0</v>
      </c>
      <c r="H995" s="40">
        <f>IF(ISBLANK(Table2[[#This Row],[MergeCorpID]])=TRUE,0,IF(Table2[[#This Row],[SurvivingEdCorp]]=TRUE,1,2))</f>
        <v>2</v>
      </c>
      <c r="J995" s="4"/>
    </row>
    <row r="996" spans="2:10">
      <c r="B996" s="1012" t="s">
        <v>459</v>
      </c>
      <c r="C996" s="1009">
        <v>2013</v>
      </c>
      <c r="D996" s="1009">
        <v>2013</v>
      </c>
      <c r="E996" s="1016">
        <v>500</v>
      </c>
      <c r="F996" s="1008"/>
      <c r="G996" s="40" t="b">
        <f>IF(ISBLANK(Table2[[#This Row],[MergeCorpID]]=TRUE),"",AND(ISNUMBER(Table2[[#This Row],[MergeCorpID]])=TRUE,ISBLANK(Table2[[#This Row],[MergeName]])=FALSE))</f>
        <v>0</v>
      </c>
      <c r="H996" s="40">
        <f>IF(ISBLANK(Table2[[#This Row],[MergeCorpID]])=TRUE,0,IF(Table2[[#This Row],[SurvivingEdCorp]]=TRUE,1,2))</f>
        <v>2</v>
      </c>
      <c r="J996" s="4"/>
    </row>
    <row r="997" spans="2:10">
      <c r="B997" s="1011" t="s">
        <v>537</v>
      </c>
      <c r="C997" s="1014">
        <v>2017</v>
      </c>
      <c r="D997" s="1013">
        <v>2018</v>
      </c>
      <c r="E997" s="1015">
        <v>500</v>
      </c>
      <c r="F997" s="1010"/>
      <c r="G997" s="40" t="b">
        <f>IF(ISBLANK(Table2[[#This Row],[MergeCorpID]]=TRUE),"",AND(ISNUMBER(Table2[[#This Row],[MergeCorpID]])=TRUE,ISBLANK(Table2[[#This Row],[MergeName]])=FALSE))</f>
        <v>0</v>
      </c>
      <c r="H997" s="40">
        <f>IF(ISBLANK(Table2[[#This Row],[MergeCorpID]])=TRUE,0,IF(Table2[[#This Row],[SurvivingEdCorp]]=TRUE,1,2))</f>
        <v>2</v>
      </c>
      <c r="J997" s="4"/>
    </row>
    <row r="998" spans="2:10">
      <c r="B998" s="1011" t="s">
        <v>1366</v>
      </c>
      <c r="C998" s="1014">
        <v>2022</v>
      </c>
      <c r="D998" s="1013">
        <v>2023</v>
      </c>
      <c r="E998" s="1015">
        <v>500</v>
      </c>
      <c r="F998" s="1010"/>
      <c r="G998" s="40" t="b">
        <f>IF(ISBLANK(Table2[[#This Row],[MergeCorpID]]=TRUE),"",AND(ISNUMBER(Table2[[#This Row],[MergeCorpID]])=TRUE,ISBLANK(Table2[[#This Row],[MergeName]])=FALSE))</f>
        <v>0</v>
      </c>
      <c r="H998" s="40">
        <f>IF(ISBLANK(Table2[[#This Row],[MergeCorpID]])=TRUE,0,IF(Table2[[#This Row],[SurvivingEdCorp]]=TRUE,1,2))</f>
        <v>2</v>
      </c>
      <c r="J998" s="4"/>
    </row>
    <row r="999" spans="2:10">
      <c r="B999" s="1012" t="s">
        <v>1365</v>
      </c>
      <c r="C999" s="1009">
        <v>2022</v>
      </c>
      <c r="D999" s="1009">
        <v>2023</v>
      </c>
      <c r="E999" s="1016">
        <v>500</v>
      </c>
      <c r="F999" s="1008"/>
      <c r="G999" s="40" t="b">
        <f>IF(ISBLANK(Table2[[#This Row],[MergeCorpID]]=TRUE),"",AND(ISNUMBER(Table2[[#This Row],[MergeCorpID]])=TRUE,ISBLANK(Table2[[#This Row],[MergeName]])=FALSE))</f>
        <v>0</v>
      </c>
      <c r="H999" s="40">
        <f>IF(ISBLANK(Table2[[#This Row],[MergeCorpID]])=TRUE,0,IF(Table2[[#This Row],[SurvivingEdCorp]]=TRUE,1,2))</f>
        <v>2</v>
      </c>
      <c r="J999" s="4"/>
    </row>
    <row r="1000" spans="2:10">
      <c r="B1000" s="1012" t="s">
        <v>457</v>
      </c>
      <c r="C1000" s="1009">
        <v>2013</v>
      </c>
      <c r="D1000" s="1009">
        <v>2013</v>
      </c>
      <c r="E1000" s="1016">
        <v>500</v>
      </c>
      <c r="F1000" s="1008"/>
      <c r="G1000" s="40" t="b">
        <f>IF(ISBLANK(Table2[[#This Row],[MergeCorpID]]=TRUE),"",AND(ISNUMBER(Table2[[#This Row],[MergeCorpID]])=TRUE,ISBLANK(Table2[[#This Row],[MergeName]])=FALSE))</f>
        <v>0</v>
      </c>
      <c r="H1000" s="40">
        <f>IF(ISBLANK(Table2[[#This Row],[MergeCorpID]])=TRUE,0,IF(Table2[[#This Row],[SurvivingEdCorp]]=TRUE,1,2))</f>
        <v>2</v>
      </c>
      <c r="J1000" s="4"/>
    </row>
    <row r="1001" spans="2:10">
      <c r="B1001" s="1011" t="s">
        <v>473</v>
      </c>
      <c r="C1001" s="1014">
        <v>2014</v>
      </c>
      <c r="D1001" s="1013">
        <v>2015</v>
      </c>
      <c r="E1001" s="1015">
        <v>500</v>
      </c>
      <c r="F1001" s="1010"/>
      <c r="G1001" s="40" t="b">
        <f>IF(ISBLANK(Table2[[#This Row],[MergeCorpID]]=TRUE),"",AND(ISNUMBER(Table2[[#This Row],[MergeCorpID]])=TRUE,ISBLANK(Table2[[#This Row],[MergeName]])=FALSE))</f>
        <v>0</v>
      </c>
      <c r="H1001" s="40">
        <f>IF(ISBLANK(Table2[[#This Row],[MergeCorpID]])=TRUE,0,IF(Table2[[#This Row],[SurvivingEdCorp]]=TRUE,1,2))</f>
        <v>2</v>
      </c>
      <c r="J1001" s="4"/>
    </row>
    <row r="1002" spans="2:10">
      <c r="B1002" s="1012" t="s">
        <v>535</v>
      </c>
      <c r="C1002" s="1009">
        <v>2016</v>
      </c>
      <c r="D1002" s="1009">
        <v>2017</v>
      </c>
      <c r="E1002" s="1016">
        <v>500</v>
      </c>
      <c r="F1002" s="1008"/>
      <c r="G1002" s="40" t="b">
        <f>IF(ISBLANK(Table2[[#This Row],[MergeCorpID]]=TRUE),"",AND(ISNUMBER(Table2[[#This Row],[MergeCorpID]])=TRUE,ISBLANK(Table2[[#This Row],[MergeName]])=FALSE))</f>
        <v>0</v>
      </c>
      <c r="H1002" s="40">
        <f>IF(ISBLANK(Table2[[#This Row],[MergeCorpID]])=TRUE,0,IF(Table2[[#This Row],[SurvivingEdCorp]]=TRUE,1,2))</f>
        <v>2</v>
      </c>
      <c r="J1002" s="4"/>
    </row>
    <row r="1003" spans="2:10">
      <c r="B1003" s="1011" t="s">
        <v>474</v>
      </c>
      <c r="C1003" s="1014">
        <v>2014</v>
      </c>
      <c r="D1003" s="1013">
        <v>2015</v>
      </c>
      <c r="E1003" s="1015">
        <v>500</v>
      </c>
      <c r="F1003" s="1010"/>
      <c r="G1003" s="40" t="b">
        <f>IF(ISBLANK(Table2[[#This Row],[MergeCorpID]]=TRUE),"",AND(ISNUMBER(Table2[[#This Row],[MergeCorpID]])=TRUE,ISBLANK(Table2[[#This Row],[MergeName]])=FALSE))</f>
        <v>0</v>
      </c>
      <c r="H1003" s="40">
        <f>IF(ISBLANK(Table2[[#This Row],[MergeCorpID]])=TRUE,0,IF(Table2[[#This Row],[SurvivingEdCorp]]=TRUE,1,2))</f>
        <v>2</v>
      </c>
      <c r="J1003" s="4"/>
    </row>
    <row r="1004" spans="2:10">
      <c r="B1004" s="1012" t="s">
        <v>460</v>
      </c>
      <c r="C1004" s="1009">
        <v>2013</v>
      </c>
      <c r="D1004" s="1009">
        <v>2013</v>
      </c>
      <c r="E1004" s="1016">
        <v>500</v>
      </c>
      <c r="F1004" s="1008"/>
      <c r="G1004" s="40" t="b">
        <f>IF(ISBLANK(Table2[[#This Row],[MergeCorpID]]=TRUE),"",AND(ISNUMBER(Table2[[#This Row],[MergeCorpID]])=TRUE,ISBLANK(Table2[[#This Row],[MergeName]])=FALSE))</f>
        <v>0</v>
      </c>
      <c r="H1004" s="40">
        <f>IF(ISBLANK(Table2[[#This Row],[MergeCorpID]])=TRUE,0,IF(Table2[[#This Row],[SurvivingEdCorp]]=TRUE,1,2))</f>
        <v>2</v>
      </c>
      <c r="J1004" s="4"/>
    </row>
    <row r="1005" spans="2:10">
      <c r="B1005" s="1011" t="s">
        <v>441</v>
      </c>
      <c r="C1005" s="1014">
        <v>2011</v>
      </c>
      <c r="D1005" s="1013">
        <v>2015</v>
      </c>
      <c r="E1005" s="1015">
        <v>500</v>
      </c>
      <c r="F1005" s="1010"/>
      <c r="G1005" s="40" t="b">
        <f>IF(ISBLANK(Table2[[#This Row],[MergeCorpID]]=TRUE),"",AND(ISNUMBER(Table2[[#This Row],[MergeCorpID]])=TRUE,ISBLANK(Table2[[#This Row],[MergeName]])=FALSE))</f>
        <v>0</v>
      </c>
      <c r="H1005" s="40">
        <f>IF(ISBLANK(Table2[[#This Row],[MergeCorpID]])=TRUE,0,IF(Table2[[#This Row],[SurvivingEdCorp]]=TRUE,1,2))</f>
        <v>2</v>
      </c>
      <c r="J1005" s="4"/>
    </row>
    <row r="1006" spans="2:10">
      <c r="B1006" s="1012" t="s">
        <v>469</v>
      </c>
      <c r="C1006" s="1009">
        <v>2014</v>
      </c>
      <c r="D1006" s="1009">
        <v>2015</v>
      </c>
      <c r="E1006" s="1016">
        <v>500</v>
      </c>
      <c r="F1006" s="1008"/>
      <c r="G1006" s="40" t="b">
        <f>IF(ISBLANK(Table2[[#This Row],[MergeCorpID]]=TRUE),"",AND(ISNUMBER(Table2[[#This Row],[MergeCorpID]])=TRUE,ISBLANK(Table2[[#This Row],[MergeName]])=FALSE))</f>
        <v>0</v>
      </c>
      <c r="H1006" s="40">
        <f>IF(ISBLANK(Table2[[#This Row],[MergeCorpID]])=TRUE,0,IF(Table2[[#This Row],[SurvivingEdCorp]]=TRUE,1,2))</f>
        <v>2</v>
      </c>
      <c r="J1006" s="4"/>
    </row>
    <row r="1007" spans="2:10">
      <c r="B1007" s="1011" t="s">
        <v>446</v>
      </c>
      <c r="C1007" s="1014">
        <v>2012</v>
      </c>
      <c r="D1007" s="1013">
        <v>2015</v>
      </c>
      <c r="E1007" s="1015">
        <v>500</v>
      </c>
      <c r="F1007" s="1010"/>
      <c r="G1007" s="40" t="b">
        <f>IF(ISBLANK(Table2[[#This Row],[MergeCorpID]]=TRUE),"",AND(ISNUMBER(Table2[[#This Row],[MergeCorpID]])=TRUE,ISBLANK(Table2[[#This Row],[MergeName]])=FALSE))</f>
        <v>0</v>
      </c>
      <c r="H1007" s="40">
        <f>IF(ISBLANK(Table2[[#This Row],[MergeCorpID]])=TRUE,0,IF(Table2[[#This Row],[SurvivingEdCorp]]=TRUE,1,2))</f>
        <v>2</v>
      </c>
      <c r="J1007" s="4"/>
    </row>
    <row r="1008" spans="2:10">
      <c r="B1008" s="1012" t="s">
        <v>430</v>
      </c>
      <c r="C1008" s="1009">
        <v>2001</v>
      </c>
      <c r="D1008" s="1009"/>
      <c r="E1008" s="1016"/>
      <c r="F1008" s="1008"/>
      <c r="G1008" s="40" t="b">
        <f>IF(ISBLANK(Table2[[#This Row],[MergeCorpID]]=TRUE),"",AND(ISNUMBER(Table2[[#This Row],[MergeCorpID]])=TRUE,ISBLANK(Table2[[#This Row],[MergeName]])=FALSE))</f>
        <v>0</v>
      </c>
      <c r="H1008" s="40">
        <f>IF(ISBLANK(Table2[[#This Row],[MergeCorpID]])=TRUE,0,IF(Table2[[#This Row],[SurvivingEdCorp]]=TRUE,1,2))</f>
        <v>0</v>
      </c>
      <c r="J1008" s="4"/>
    </row>
    <row r="1009" spans="2:10">
      <c r="B1009" s="1011" t="s">
        <v>431</v>
      </c>
      <c r="C1009" s="1014">
        <v>2006</v>
      </c>
      <c r="D1009" s="1013">
        <v>2014</v>
      </c>
      <c r="E1009" s="1015">
        <v>502</v>
      </c>
      <c r="F1009" s="1010" t="s">
        <v>608</v>
      </c>
      <c r="G1009" s="40" t="b">
        <f>IF(ISBLANK(Table2[[#This Row],[MergeCorpID]]=TRUE),"",AND(ISNUMBER(Table2[[#This Row],[MergeCorpID]])=TRUE,ISBLANK(Table2[[#This Row],[MergeName]])=FALSE))</f>
        <v>1</v>
      </c>
      <c r="H1009" s="40">
        <f>IF(ISBLANK(Table2[[#This Row],[MergeCorpID]])=TRUE,0,IF(Table2[[#This Row],[SurvivingEdCorp]]=TRUE,1,2))</f>
        <v>1</v>
      </c>
      <c r="J1009" s="4"/>
    </row>
    <row r="1010" spans="2:10">
      <c r="B1010" s="1012" t="s">
        <v>440</v>
      </c>
      <c r="C1010" s="1009">
        <v>2011</v>
      </c>
      <c r="D1010" s="1009">
        <v>2014</v>
      </c>
      <c r="E1010" s="1016">
        <v>502</v>
      </c>
      <c r="F1010" s="1008"/>
      <c r="G1010" s="40" t="b">
        <f>IF(ISBLANK(Table2[[#This Row],[MergeCorpID]]=TRUE),"",AND(ISNUMBER(Table2[[#This Row],[MergeCorpID]])=TRUE,ISBLANK(Table2[[#This Row],[MergeName]])=FALSE))</f>
        <v>0</v>
      </c>
      <c r="H1010" s="40">
        <f>IF(ISBLANK(Table2[[#This Row],[MergeCorpID]])=TRUE,0,IF(Table2[[#This Row],[SurvivingEdCorp]]=TRUE,1,2))</f>
        <v>2</v>
      </c>
      <c r="J1010" s="4"/>
    </row>
    <row r="1011" spans="2:10">
      <c r="B1011" s="1011" t="s">
        <v>631</v>
      </c>
      <c r="C1011" s="1014">
        <v>2019</v>
      </c>
      <c r="D1011" s="1013"/>
      <c r="E1011" s="1015"/>
      <c r="F1011" s="1010"/>
      <c r="G1011" s="40" t="b">
        <f>IF(ISBLANK(Table2[[#This Row],[MergeCorpID]]=TRUE),"",AND(ISNUMBER(Table2[[#This Row],[MergeCorpID]])=TRUE,ISBLANK(Table2[[#This Row],[MergeName]])=FALSE))</f>
        <v>0</v>
      </c>
      <c r="H1011" s="40">
        <f>IF(ISBLANK(Table2[[#This Row],[MergeCorpID]])=TRUE,0,IF(Table2[[#This Row],[SurvivingEdCorp]]=TRUE,1,2))</f>
        <v>0</v>
      </c>
    </row>
    <row r="1012" spans="2:10">
      <c r="B1012" s="1012" t="s">
        <v>401</v>
      </c>
      <c r="C1012" s="1009">
        <v>2008</v>
      </c>
      <c r="D1012" s="1009">
        <v>2020</v>
      </c>
      <c r="E1012" s="1016">
        <v>528</v>
      </c>
      <c r="F1012" s="1008" t="s">
        <v>632</v>
      </c>
      <c r="G1012" s="40" t="b">
        <f>IF(ISBLANK(Table2[[#This Row],[MergeCorpID]]=TRUE),"",AND(ISNUMBER(Table2[[#This Row],[MergeCorpID]])=TRUE,ISBLANK(Table2[[#This Row],[MergeName]])=FALSE))</f>
        <v>1</v>
      </c>
      <c r="H1012" s="40">
        <f>IF(ISBLANK(Table2[[#This Row],[MergeCorpID]])=TRUE,0,IF(Table2[[#This Row],[SurvivingEdCorp]]=TRUE,1,2))</f>
        <v>1</v>
      </c>
    </row>
    <row r="1013" spans="2:10">
      <c r="B1013" s="1011" t="s">
        <v>633</v>
      </c>
      <c r="C1013" s="1014">
        <v>2019</v>
      </c>
      <c r="D1013" s="1013">
        <v>2020</v>
      </c>
      <c r="E1013" s="1015">
        <v>528</v>
      </c>
      <c r="F1013" s="1010"/>
      <c r="G1013" s="40" t="b">
        <f>IF(ISBLANK(Table2[[#This Row],[MergeCorpID]]=TRUE),"",AND(ISNUMBER(Table2[[#This Row],[MergeCorpID]])=TRUE,ISBLANK(Table2[[#This Row],[MergeName]])=FALSE))</f>
        <v>0</v>
      </c>
      <c r="H1013" s="40">
        <f>IF(ISBLANK(Table2[[#This Row],[MergeCorpID]])=TRUE,0,IF(Table2[[#This Row],[SurvivingEdCorp]]=TRUE,1,2))</f>
        <v>2</v>
      </c>
    </row>
    <row r="1014" spans="2:10">
      <c r="B1014" s="1012" t="s">
        <v>432</v>
      </c>
      <c r="C1014" s="1009">
        <v>2010</v>
      </c>
      <c r="D1014" s="1009"/>
      <c r="E1014" s="1016"/>
      <c r="F1014" s="1008"/>
      <c r="G1014" s="40" t="b">
        <f>IF(ISBLANK(Table2[[#This Row],[MergeCorpID]]=TRUE),"",AND(ISNUMBER(Table2[[#This Row],[MergeCorpID]])=TRUE,ISBLANK(Table2[[#This Row],[MergeName]])=FALSE))</f>
        <v>0</v>
      </c>
      <c r="H1014" s="40">
        <f>IF(ISBLANK(Table2[[#This Row],[MergeCorpID]])=TRUE,0,IF(Table2[[#This Row],[SurvivingEdCorp]]=TRUE,1,2))</f>
        <v>0</v>
      </c>
    </row>
    <row r="1015" spans="2:10">
      <c r="B1015" s="1011" t="s">
        <v>609</v>
      </c>
      <c r="C1015" s="1014">
        <v>2018</v>
      </c>
      <c r="D1015" s="1013"/>
      <c r="E1015" s="1015"/>
      <c r="F1015" s="1010"/>
      <c r="G1015" s="40" t="b">
        <f>IF(ISBLANK(Table2[[#This Row],[MergeCorpID]]=TRUE),"",AND(ISNUMBER(Table2[[#This Row],[MergeCorpID]])=TRUE,ISBLANK(Table2[[#This Row],[MergeName]])=FALSE))</f>
        <v>0</v>
      </c>
      <c r="H1015" s="40">
        <f>IF(ISBLANK(Table2[[#This Row],[MergeCorpID]])=TRUE,0,IF(Table2[[#This Row],[SurvivingEdCorp]]=TRUE,1,2))</f>
        <v>0</v>
      </c>
    </row>
    <row r="1016" spans="2:10">
      <c r="B1016" s="1012" t="s">
        <v>634</v>
      </c>
      <c r="C1016" s="1009">
        <v>2019</v>
      </c>
      <c r="D1016" s="1009"/>
      <c r="E1016" s="1016"/>
      <c r="F1016" s="1008"/>
      <c r="G1016" s="40" t="b">
        <f>IF(ISBLANK(Table2[[#This Row],[MergeCorpID]]=TRUE),"",AND(ISNUMBER(Table2[[#This Row],[MergeCorpID]])=TRUE,ISBLANK(Table2[[#This Row],[MergeName]])=FALSE))</f>
        <v>0</v>
      </c>
      <c r="H1016" s="40">
        <f>IF(ISBLANK(Table2[[#This Row],[MergeCorpID]])=TRUE,0,IF(Table2[[#This Row],[SurvivingEdCorp]]=TRUE,1,2))</f>
        <v>0</v>
      </c>
    </row>
    <row r="1017" spans="2:10">
      <c r="B1017" s="1011" t="s">
        <v>657</v>
      </c>
      <c r="C1017" s="1014">
        <v>2020</v>
      </c>
      <c r="D1017" s="1013"/>
      <c r="E1017" s="1015"/>
      <c r="F1017" s="1010"/>
      <c r="G1017" s="40" t="b">
        <f>IF(ISBLANK(Table2[[#This Row],[MergeCorpID]]=TRUE),"",AND(ISNUMBER(Table2[[#This Row],[MergeCorpID]])=TRUE,ISBLANK(Table2[[#This Row],[MergeName]])=FALSE))</f>
        <v>0</v>
      </c>
      <c r="H1017" s="40">
        <f>IF(ISBLANK(Table2[[#This Row],[MergeCorpID]])=TRUE,0,IF(Table2[[#This Row],[SurvivingEdCorp]]=TRUE,1,2))</f>
        <v>0</v>
      </c>
    </row>
    <row r="1018" spans="2:10">
      <c r="B1018" s="1012" t="s">
        <v>482</v>
      </c>
      <c r="C1018" s="1009">
        <v>2016</v>
      </c>
      <c r="D1018" s="1009">
        <v>2017</v>
      </c>
      <c r="E1018" s="1016">
        <v>509</v>
      </c>
      <c r="F1018" s="1008"/>
      <c r="G1018" s="40" t="b">
        <f>IF(ISBLANK(Table2[[#This Row],[MergeCorpID]]=TRUE),"",AND(ISNUMBER(Table2[[#This Row],[MergeCorpID]])=TRUE,ISBLANK(Table2[[#This Row],[MergeName]])=FALSE))</f>
        <v>0</v>
      </c>
      <c r="H1018" s="40">
        <f>IF(ISBLANK(Table2[[#This Row],[MergeCorpID]])=TRUE,0,IF(Table2[[#This Row],[SurvivingEdCorp]]=TRUE,1,2))</f>
        <v>2</v>
      </c>
    </row>
    <row r="1019" spans="2:10">
      <c r="B1019" s="1011" t="s">
        <v>635</v>
      </c>
      <c r="C1019" s="1014">
        <v>2018</v>
      </c>
      <c r="D1019" s="1013">
        <v>2019</v>
      </c>
      <c r="E1019" s="1015">
        <v>525</v>
      </c>
      <c r="F1019" s="1010"/>
      <c r="G1019" s="40" t="b">
        <f>IF(ISBLANK(Table2[[#This Row],[MergeCorpID]]=TRUE),"",AND(ISNUMBER(Table2[[#This Row],[MergeCorpID]])=TRUE,ISBLANK(Table2[[#This Row],[MergeName]])=FALSE))</f>
        <v>0</v>
      </c>
      <c r="H1019" s="40">
        <f>IF(ISBLANK(Table2[[#This Row],[MergeCorpID]])=TRUE,0,IF(Table2[[#This Row],[SurvivingEdCorp]]=TRUE,1,2))</f>
        <v>2</v>
      </c>
    </row>
    <row r="1020" spans="2:10">
      <c r="B1020" s="1012" t="s">
        <v>636</v>
      </c>
      <c r="C1020" s="1009">
        <v>2018</v>
      </c>
      <c r="D1020" s="1009">
        <v>2019</v>
      </c>
      <c r="E1020" s="1016">
        <v>525</v>
      </c>
      <c r="F1020" s="1008" t="s">
        <v>610</v>
      </c>
      <c r="G1020" s="40" t="b">
        <f>IF(ISBLANK(Table2[[#This Row],[MergeCorpID]]=TRUE),"",AND(ISNUMBER(Table2[[#This Row],[MergeCorpID]])=TRUE,ISBLANK(Table2[[#This Row],[MergeName]])=FALSE))</f>
        <v>1</v>
      </c>
      <c r="H1020" s="40">
        <f>IF(ISBLANK(Table2[[#This Row],[MergeCorpID]])=TRUE,0,IF(Table2[[#This Row],[SurvivingEdCorp]]=TRUE,1,2))</f>
        <v>1</v>
      </c>
    </row>
    <row r="1021" spans="2:10">
      <c r="B1021" s="1011" t="s">
        <v>1349</v>
      </c>
      <c r="C1021" s="1014">
        <v>2020</v>
      </c>
      <c r="D1021" s="1013">
        <v>2021</v>
      </c>
      <c r="E1021" s="1015">
        <v>525</v>
      </c>
      <c r="F1021" s="1010"/>
      <c r="G1021" s="40" t="b">
        <f>IF(ISBLANK(Table2[[#This Row],[MergeCorpID]]=TRUE),"",AND(ISNUMBER(Table2[[#This Row],[MergeCorpID]])=TRUE,ISBLANK(Table2[[#This Row],[MergeName]])=FALSE))</f>
        <v>0</v>
      </c>
      <c r="H1021" s="40">
        <f>IF(ISBLANK(Table2[[#This Row],[MergeCorpID]])=TRUE,0,IF(Table2[[#This Row],[SurvivingEdCorp]]=TRUE,1,2))</f>
        <v>2</v>
      </c>
    </row>
    <row r="1022" spans="2:10">
      <c r="B1022" s="1012" t="s">
        <v>1350</v>
      </c>
      <c r="C1022" s="1009">
        <v>2020</v>
      </c>
      <c r="D1022" s="1009">
        <v>2021</v>
      </c>
      <c r="E1022" s="1016">
        <v>525</v>
      </c>
      <c r="F1022" s="1008"/>
      <c r="G1022" s="40" t="b">
        <f>IF(ISBLANK(Table2[[#This Row],[MergeCorpID]]=TRUE),"",AND(ISNUMBER(Table2[[#This Row],[MergeCorpID]])=TRUE,ISBLANK(Table2[[#This Row],[MergeName]])=FALSE))</f>
        <v>0</v>
      </c>
      <c r="H1022" s="40">
        <f>IF(ISBLANK(Table2[[#This Row],[MergeCorpID]])=TRUE,0,IF(Table2[[#This Row],[SurvivingEdCorp]]=TRUE,1,2))</f>
        <v>2</v>
      </c>
    </row>
  </sheetData>
  <sheetProtection selectLockedCells="1"/>
  <sortState xmlns:xlrd2="http://schemas.microsoft.com/office/spreadsheetml/2017/richdata2" ref="B802:H972">
    <sortCondition ref="B802:B972"/>
  </sortState>
  <mergeCells count="9">
    <mergeCell ref="D802:J802"/>
    <mergeCell ref="C50:C51"/>
    <mergeCell ref="K102:K107"/>
    <mergeCell ref="M11:O11"/>
    <mergeCell ref="M4:O4"/>
    <mergeCell ref="M12:O12"/>
    <mergeCell ref="D799:J799"/>
    <mergeCell ref="D800:J800"/>
    <mergeCell ref="D801:J801"/>
  </mergeCells>
  <conditionalFormatting sqref="D792">
    <cfRule type="expression" dxfId="53" priority="407">
      <formula>$R810="Closed"</formula>
    </cfRule>
  </conditionalFormatting>
  <conditionalFormatting sqref="B794">
    <cfRule type="expression" dxfId="52" priority="410">
      <formula>AA809="Closed"</formula>
    </cfRule>
  </conditionalFormatting>
  <conditionalFormatting sqref="B794">
    <cfRule type="expression" dxfId="51" priority="406">
      <formula>AA809="Closed"</formula>
    </cfRule>
  </conditionalFormatting>
  <conditionalFormatting sqref="B794">
    <cfRule type="expression" dxfId="50" priority="405">
      <formula>$R809="Closed"</formula>
    </cfRule>
  </conditionalFormatting>
  <conditionalFormatting sqref="B794">
    <cfRule type="expression" dxfId="49" priority="404">
      <formula>$R809="Closed"</formula>
    </cfRule>
  </conditionalFormatting>
  <conditionalFormatting sqref="B794">
    <cfRule type="expression" dxfId="48" priority="384">
      <formula>$R809="Transferred"</formula>
    </cfRule>
  </conditionalFormatting>
  <conditionalFormatting sqref="D792">
    <cfRule type="expression" dxfId="47" priority="458">
      <formula>$R810="Transferred"</formula>
    </cfRule>
  </conditionalFormatting>
  <conditionalFormatting sqref="D792">
    <cfRule type="expression" dxfId="46" priority="463">
      <formula>AA810="Closed"</formula>
    </cfRule>
  </conditionalFormatting>
  <conditionalFormatting sqref="C799:D802 C795:D795 C797:D797 D793:D795">
    <cfRule type="expression" dxfId="45" priority="465">
      <formula>#REF!="Closed"</formula>
    </cfRule>
  </conditionalFormatting>
  <conditionalFormatting sqref="D793:D795 C797:D797 C799:D802 C795">
    <cfRule type="expression" dxfId="44" priority="480">
      <formula>#REF!="Transferred"</formula>
    </cfRule>
  </conditionalFormatting>
  <conditionalFormatting sqref="D797 D799:D802 D793:D795">
    <cfRule type="expression" dxfId="43" priority="484">
      <formula>#REF!="Closed"</formula>
    </cfRule>
  </conditionalFormatting>
  <conditionalFormatting sqref="M15:M16">
    <cfRule type="expression" dxfId="42" priority="149">
      <formula>OR(#REF!="Closed",#REF!="Transferred")</formula>
    </cfRule>
  </conditionalFormatting>
  <conditionalFormatting sqref="F810">
    <cfRule type="expression" dxfId="41" priority="81">
      <formula>$S810="Closed"</formula>
    </cfRule>
  </conditionalFormatting>
  <conditionalFormatting sqref="F810">
    <cfRule type="expression" dxfId="40" priority="80">
      <formula>$S810="Transferred"</formula>
    </cfRule>
  </conditionalFormatting>
  <conditionalFormatting sqref="F810">
    <cfRule type="expression" dxfId="39" priority="79">
      <formula>$S810="Closed"</formula>
    </cfRule>
  </conditionalFormatting>
  <conditionalFormatting sqref="F810">
    <cfRule type="expression" dxfId="38" priority="84">
      <formula>R810="Closed"</formula>
    </cfRule>
  </conditionalFormatting>
  <conditionalFormatting sqref="F810">
    <cfRule type="expression" dxfId="37" priority="83">
      <formula>$S810="Closed"</formula>
    </cfRule>
  </conditionalFormatting>
  <conditionalFormatting sqref="F810">
    <cfRule type="expression" dxfId="36" priority="82">
      <formula>$S810="Transferred"</formula>
    </cfRule>
  </conditionalFormatting>
  <conditionalFormatting sqref="F810">
    <cfRule type="expression" dxfId="35" priority="78">
      <formula>OR($T810="Closed",$T810="Transferred")</formula>
    </cfRule>
  </conditionalFormatting>
  <conditionalFormatting sqref="B810">
    <cfRule type="expression" dxfId="34" priority="77">
      <formula>OR($S810="Closed",$S810="Transferred")</formula>
    </cfRule>
  </conditionalFormatting>
  <conditionalFormatting sqref="C810">
    <cfRule type="expression" dxfId="33" priority="76">
      <formula>OR($S810="Closed",$S810="Transferred")</formula>
    </cfRule>
  </conditionalFormatting>
  <conditionalFormatting sqref="D810">
    <cfRule type="expression" dxfId="32" priority="75">
      <formula>OR($S810="Closed",$S810="Transferred")</formula>
    </cfRule>
  </conditionalFormatting>
  <conditionalFormatting sqref="E810">
    <cfRule type="expression" dxfId="31" priority="74">
      <formula>OR($S810="Closed",$S810="Transferred")</formula>
    </cfRule>
  </conditionalFormatting>
  <conditionalFormatting sqref="F810">
    <cfRule type="expression" dxfId="30" priority="73">
      <formula>OR(#REF!="Closed",#REF!="Transferred")</formula>
    </cfRule>
  </conditionalFormatting>
  <conditionalFormatting sqref="F809">
    <cfRule type="expression" dxfId="29" priority="72">
      <formula>OR(#REF!="Closed",#REF!="Transferred")</formula>
    </cfRule>
  </conditionalFormatting>
  <conditionalFormatting sqref="B809">
    <cfRule type="expression" dxfId="28" priority="71">
      <formula>OR($S809="Closed",$S809="Transferred")</formula>
    </cfRule>
  </conditionalFormatting>
  <conditionalFormatting sqref="C809">
    <cfRule type="expression" dxfId="27" priority="70">
      <formula>OR($S809="Closed",$S809="Transferred")</formula>
    </cfRule>
  </conditionalFormatting>
  <conditionalFormatting sqref="D809">
    <cfRule type="expression" dxfId="26" priority="69">
      <formula>OR($S809="Closed",$S809="Transferred")</formula>
    </cfRule>
  </conditionalFormatting>
  <conditionalFormatting sqref="E809">
    <cfRule type="expression" dxfId="25" priority="68">
      <formula>OR($S809="Closed",$S809="Transferred")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24" priority="14">
      <formula>$S812="Closed"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23" priority="13">
      <formula>$S812="Transferred"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22" priority="12">
      <formula>$S812="Closed"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21" priority="17">
      <formula>R812="Closed"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20" priority="16">
      <formula>$S812="Closed"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19" priority="15">
      <formula>$S812="Transferred"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18" priority="11">
      <formula>OR($T812="Closed",$T812="Transferred")</formula>
    </cfRule>
  </conditionalFormatting>
  <conditionalFormatting sqref="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cfRule type="expression" dxfId="17" priority="10">
      <formula>OR($S812="Closed",$S812="Transferred")</formula>
    </cfRule>
  </conditionalFormatting>
  <conditionalFormatting sqref="C812 C814 C816 C818 C820 C822 C824 C826 C828 C830 C832 C834 C836 C838 C840 C842 C844 C846 C848 C850 C852 C854 C856 C858 C860 C862 C864 C866 C868 C870 C872 C874 C876 C878 C880 C882 C884 C886 C888 C890 C892 C894 C896 C898 C900 C902 C904 C906 C908 C910 C912 C914 C916 C918 C920 C922 C924 C926 C928 C930 C932 C934 C936 C938 C940 C942 C944 C946 C948 C950 C952 C954 C956 C958 C960 C962 C964 C966 C968 C970 C972 C974 C976 C978 C980 C982 C984 C986 C988 C990 C992 C994 C996 C998 C1000 C1002 C1004 C1006 C1008 C1010 C1012 C1014 C1016 C1018 C1020 C1022">
    <cfRule type="expression" dxfId="16" priority="9">
      <formula>OR($S812="Closed",$S812="Transferred")</formula>
    </cfRule>
  </conditionalFormatting>
  <conditionalFormatting sqref="D812 D814 D816 D818 D820 D822 D824 D826 D828 D830 D832 D834 D836 D838 D840 D842 D844 D846 D848 D850 D852 D854 D856 D858 D860 D862 D864 D866 D868 D870 D872 D874 D876 D878 D880 D882 D884 D886 D888 D890 D892 D894 D896 D898 D900 D902 D904 D906 D908 D910 D912 D914 D916 D918 D920 D922 D924 D926 D928 D930 D932 D934 D936 D938 D940 D942 D944 D946 D948 D950 D952 D954 D956 D958 D960 D962 D964 D966 D968 D970 D972 D974 D976 D978 D980 D982 D984 D986 D988 D990 D992 D994 D996 D998 D1000 D1002 D1004 D1006 D1008 D1010 D1012 D1014 D1016 D1018 D1020 D1022">
    <cfRule type="expression" dxfId="15" priority="8">
      <formula>OR($S812="Closed",$S812="Transferred")</formula>
    </cfRule>
  </conditionalFormatting>
  <conditionalFormatting sqref="E812 E814 E816 E818 E820 E822 E824 E826 E828 E830 E832 E834 E836 E838 E840 E842 E844 E846 E848 E850 E852 E854 E856 E858 E860 E862 E864 E866 E868 E870 E872 E874 E876 E878 E880 E882 E884 E886 E888 E890 E892 E894 E896 E898 E900 E902 E904 E906 E908 E910 E912 E914 E916 E918 E920 E922 E924 E926 E928 E930 E932 E934 E936 E938 E940 E942 E944 E946 E948 E950 E952 E954 E956 E958 E960 E962 E964 E966 E968 E970 E972 E974 E976 E978 E980 E982 E984 E986 E988 E990 E992 E994 E996 E998 E1000 E1002 E1004 E1006 E1008 E1010 E1012 E1014 E1016 E1018 E1020 E1022">
    <cfRule type="expression" dxfId="14" priority="7">
      <formula>OR($S812="Closed",$S812="Transferred")</formula>
    </cfRule>
  </conditionalFormatting>
  <conditionalFormatting sqref="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13" priority="6">
      <formula>OR(#REF!="Closed",#REF!="Transferred")</formula>
    </cfRule>
  </conditionalFormatting>
  <conditionalFormatting sqref="F811 F813 F815 F817 F819 F821 F823 F825 F827 F829 F831 F833 F835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3 F955 F957 F959 F961 F963 F965 F967 F969 F971 F973 F975 F977 F979 F981 F983 F985 F987 F989 F991 F993 F995 F997 F999 F1001 F1003 F1005 F1007 F1009 F1011 F1013 F1015 F1017 F1019 F1021">
    <cfRule type="expression" dxfId="12" priority="5">
      <formula>OR(#REF!="Closed",#REF!="Transferred")</formula>
    </cfRule>
  </conditionalFormatting>
  <conditionalFormatting sqref="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cfRule type="expression" dxfId="11" priority="4">
      <formula>OR($S811="Closed",$S811="Transferred")</formula>
    </cfRule>
  </conditionalFormatting>
  <conditionalFormatting sqref="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 C949 C951 C953 C955 C957 C959 C961 C963 C965 C967 C969 C971 C973 C975 C977 C979 C981 C983 C985 C987 C989 C991 C993 C995 C997 C999 C1001 C1003 C1005 C1007 C1009 C1011 C1013 C1015 C1017 C1019 C1021">
    <cfRule type="expression" dxfId="10" priority="3">
      <formula>OR($S811="Closed",$S811="Transferred")</formula>
    </cfRule>
  </conditionalFormatting>
  <conditionalFormatting sqref="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D1001 D1003 D1005 D1007 D1009 D1011 D1013 D1015 D1017 D1019 D1021">
    <cfRule type="expression" dxfId="9" priority="2">
      <formula>OR($S811="Closed",$S811="Transferred")</formula>
    </cfRule>
  </conditionalFormatting>
  <conditionalFormatting sqref="E811 E813 E815 E817 E819 E821 E823 E825 E827 E829 E831 E833 E835 E837 E839 E841 E843 E845 E847 E849 E851 E853 E855 E857 E859 E861 E863 E865 E867 E869 E871 E873 E875 E877 E879 E881 E883 E885 E887 E889 E891 E893 E895 E897 E899 E901 E903 E905 E907 E909 E911 E913 E915 E917 E919 E921 E923 E925 E927 E929 E931 E933 E935 E937 E939 E941 E943 E945 E947 E949 E951 E953 E955 E957 E959 E961 E963 E965 E967 E969 E971 E973 E975 E977 E979 E981 E983 E985 E987 E989 E991 E993 E995 E997 E999 E1001 E1003 E1005 E1007 E1009 E1011 E1013 E1015 E1017 E1019 E1021">
    <cfRule type="expression" dxfId="8" priority="1">
      <formula>OR($S811="Closed",$S811="Transferred")</formula>
    </cfRule>
  </conditionalFormatting>
  <dataValidations disablePrompts="1" count="2">
    <dataValidation type="list" sqref="K31" xr:uid="{00000000-0002-0000-0900-000000000000}">
      <formula1>$B$36</formula1>
    </dataValidation>
    <dataValidation showInputMessage="1" showErrorMessage="1" sqref="I28" xr:uid="{00000000-0002-0000-0900-000001000000}"/>
  </dataValidations>
  <hyperlinks>
    <hyperlink ref="G116" r:id="rId1" xr:uid="{00000000-0004-0000-0900-000000000000}"/>
  </hyperlinks>
  <pageMargins left="0.7" right="0.7" top="0.75" bottom="0.75" header="0.3" footer="0.3"/>
  <pageSetup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33333"/>
    <pageSetUpPr fitToPage="1"/>
  </sheetPr>
  <dimension ref="B1:K683"/>
  <sheetViews>
    <sheetView showGridLines="0" zoomScale="90" zoomScaleNormal="90" zoomScaleSheetLayoutView="85" zoomScalePageLayoutView="80" workbookViewId="0">
      <pane ySplit="5" topLeftCell="A6" activePane="bottomLeft" state="frozen"/>
      <selection activeCell="J16" sqref="J16"/>
      <selection pane="bottomLeft" activeCell="E676" sqref="E676"/>
    </sheetView>
  </sheetViews>
  <sheetFormatPr defaultColWidth="10.28515625" defaultRowHeight="15"/>
  <cols>
    <col min="1" max="1" width="3.7109375" style="166" customWidth="1"/>
    <col min="2" max="2" width="4.7109375" style="166" customWidth="1"/>
    <col min="3" max="3" width="12.85546875" style="166" bestFit="1" customWidth="1"/>
    <col min="4" max="4" width="44.5703125" style="166" customWidth="1"/>
    <col min="5" max="6" width="18.85546875" style="166" bestFit="1" customWidth="1"/>
    <col min="7" max="8" width="10.28515625" style="166"/>
    <col min="9" max="9" width="53.42578125" style="166" customWidth="1"/>
    <col min="10" max="210" width="10.28515625" style="166"/>
    <col min="211" max="211" width="3.7109375" style="166" customWidth="1"/>
    <col min="212" max="212" width="5.28515625" style="166" customWidth="1"/>
    <col min="213" max="213" width="9.42578125" style="166" bestFit="1" customWidth="1"/>
    <col min="214" max="214" width="25.7109375" style="166" bestFit="1" customWidth="1"/>
    <col min="215" max="216" width="21.7109375" style="166" customWidth="1"/>
    <col min="217" max="217" width="10.28515625" style="166" customWidth="1"/>
    <col min="218" max="218" width="5.28515625" style="166" customWidth="1"/>
    <col min="219" max="219" width="9.42578125" style="166" bestFit="1" customWidth="1"/>
    <col min="220" max="220" width="25.7109375" style="166" bestFit="1" customWidth="1"/>
    <col min="221" max="221" width="21" style="166" customWidth="1"/>
    <col min="222" max="222" width="20.28515625" style="166" customWidth="1"/>
    <col min="223" max="466" width="10.28515625" style="166"/>
    <col min="467" max="467" width="3.7109375" style="166" customWidth="1"/>
    <col min="468" max="468" width="5.28515625" style="166" customWidth="1"/>
    <col min="469" max="469" width="9.42578125" style="166" bestFit="1" customWidth="1"/>
    <col min="470" max="470" width="25.7109375" style="166" bestFit="1" customWidth="1"/>
    <col min="471" max="472" width="21.7109375" style="166" customWidth="1"/>
    <col min="473" max="473" width="10.28515625" style="166" customWidth="1"/>
    <col min="474" max="474" width="5.28515625" style="166" customWidth="1"/>
    <col min="475" max="475" width="9.42578125" style="166" bestFit="1" customWidth="1"/>
    <col min="476" max="476" width="25.7109375" style="166" bestFit="1" customWidth="1"/>
    <col min="477" max="477" width="21" style="166" customWidth="1"/>
    <col min="478" max="478" width="20.28515625" style="166" customWidth="1"/>
    <col min="479" max="722" width="10.28515625" style="166"/>
    <col min="723" max="723" width="3.7109375" style="166" customWidth="1"/>
    <col min="724" max="724" width="5.28515625" style="166" customWidth="1"/>
    <col min="725" max="725" width="9.42578125" style="166" bestFit="1" customWidth="1"/>
    <col min="726" max="726" width="25.7109375" style="166" bestFit="1" customWidth="1"/>
    <col min="727" max="728" width="21.7109375" style="166" customWidth="1"/>
    <col min="729" max="729" width="10.28515625" style="166" customWidth="1"/>
    <col min="730" max="730" width="5.28515625" style="166" customWidth="1"/>
    <col min="731" max="731" width="9.42578125" style="166" bestFit="1" customWidth="1"/>
    <col min="732" max="732" width="25.7109375" style="166" bestFit="1" customWidth="1"/>
    <col min="733" max="733" width="21" style="166" customWidth="1"/>
    <col min="734" max="734" width="20.28515625" style="166" customWidth="1"/>
    <col min="735" max="978" width="10.28515625" style="166"/>
    <col min="979" max="979" width="3.7109375" style="166" customWidth="1"/>
    <col min="980" max="980" width="5.28515625" style="166" customWidth="1"/>
    <col min="981" max="981" width="9.42578125" style="166" bestFit="1" customWidth="1"/>
    <col min="982" max="982" width="25.7109375" style="166" bestFit="1" customWidth="1"/>
    <col min="983" max="984" width="21.7109375" style="166" customWidth="1"/>
    <col min="985" max="985" width="10.28515625" style="166" customWidth="1"/>
    <col min="986" max="986" width="5.28515625" style="166" customWidth="1"/>
    <col min="987" max="987" width="9.42578125" style="166" bestFit="1" customWidth="1"/>
    <col min="988" max="988" width="25.7109375" style="166" bestFit="1" customWidth="1"/>
    <col min="989" max="989" width="21" style="166" customWidth="1"/>
    <col min="990" max="990" width="20.28515625" style="166" customWidth="1"/>
    <col min="991" max="1234" width="10.28515625" style="166"/>
    <col min="1235" max="1235" width="3.7109375" style="166" customWidth="1"/>
    <col min="1236" max="1236" width="5.28515625" style="166" customWidth="1"/>
    <col min="1237" max="1237" width="9.42578125" style="166" bestFit="1" customWidth="1"/>
    <col min="1238" max="1238" width="25.7109375" style="166" bestFit="1" customWidth="1"/>
    <col min="1239" max="1240" width="21.7109375" style="166" customWidth="1"/>
    <col min="1241" max="1241" width="10.28515625" style="166" customWidth="1"/>
    <col min="1242" max="1242" width="5.28515625" style="166" customWidth="1"/>
    <col min="1243" max="1243" width="9.42578125" style="166" bestFit="1" customWidth="1"/>
    <col min="1244" max="1244" width="25.7109375" style="166" bestFit="1" customWidth="1"/>
    <col min="1245" max="1245" width="21" style="166" customWidth="1"/>
    <col min="1246" max="1246" width="20.28515625" style="166" customWidth="1"/>
    <col min="1247" max="1490" width="10.28515625" style="166"/>
    <col min="1491" max="1491" width="3.7109375" style="166" customWidth="1"/>
    <col min="1492" max="1492" width="5.28515625" style="166" customWidth="1"/>
    <col min="1493" max="1493" width="9.42578125" style="166" bestFit="1" customWidth="1"/>
    <col min="1494" max="1494" width="25.7109375" style="166" bestFit="1" customWidth="1"/>
    <col min="1495" max="1496" width="21.7109375" style="166" customWidth="1"/>
    <col min="1497" max="1497" width="10.28515625" style="166" customWidth="1"/>
    <col min="1498" max="1498" width="5.28515625" style="166" customWidth="1"/>
    <col min="1499" max="1499" width="9.42578125" style="166" bestFit="1" customWidth="1"/>
    <col min="1500" max="1500" width="25.7109375" style="166" bestFit="1" customWidth="1"/>
    <col min="1501" max="1501" width="21" style="166" customWidth="1"/>
    <col min="1502" max="1502" width="20.28515625" style="166" customWidth="1"/>
    <col min="1503" max="1746" width="10.28515625" style="166"/>
    <col min="1747" max="1747" width="3.7109375" style="166" customWidth="1"/>
    <col min="1748" max="1748" width="5.28515625" style="166" customWidth="1"/>
    <col min="1749" max="1749" width="9.42578125" style="166" bestFit="1" customWidth="1"/>
    <col min="1750" max="1750" width="25.7109375" style="166" bestFit="1" customWidth="1"/>
    <col min="1751" max="1752" width="21.7109375" style="166" customWidth="1"/>
    <col min="1753" max="1753" width="10.28515625" style="166" customWidth="1"/>
    <col min="1754" max="1754" width="5.28515625" style="166" customWidth="1"/>
    <col min="1755" max="1755" width="9.42578125" style="166" bestFit="1" customWidth="1"/>
    <col min="1756" max="1756" width="25.7109375" style="166" bestFit="1" customWidth="1"/>
    <col min="1757" max="1757" width="21" style="166" customWidth="1"/>
    <col min="1758" max="1758" width="20.28515625" style="166" customWidth="1"/>
    <col min="1759" max="2002" width="10.28515625" style="166"/>
    <col min="2003" max="2003" width="3.7109375" style="166" customWidth="1"/>
    <col min="2004" max="2004" width="5.28515625" style="166" customWidth="1"/>
    <col min="2005" max="2005" width="9.42578125" style="166" bestFit="1" customWidth="1"/>
    <col min="2006" max="2006" width="25.7109375" style="166" bestFit="1" customWidth="1"/>
    <col min="2007" max="2008" width="21.7109375" style="166" customWidth="1"/>
    <col min="2009" max="2009" width="10.28515625" style="166" customWidth="1"/>
    <col min="2010" max="2010" width="5.28515625" style="166" customWidth="1"/>
    <col min="2011" max="2011" width="9.42578125" style="166" bestFit="1" customWidth="1"/>
    <col min="2012" max="2012" width="25.7109375" style="166" bestFit="1" customWidth="1"/>
    <col min="2013" max="2013" width="21" style="166" customWidth="1"/>
    <col min="2014" max="2014" width="20.28515625" style="166" customWidth="1"/>
    <col min="2015" max="2258" width="10.28515625" style="166"/>
    <col min="2259" max="2259" width="3.7109375" style="166" customWidth="1"/>
    <col min="2260" max="2260" width="5.28515625" style="166" customWidth="1"/>
    <col min="2261" max="2261" width="9.42578125" style="166" bestFit="1" customWidth="1"/>
    <col min="2262" max="2262" width="25.7109375" style="166" bestFit="1" customWidth="1"/>
    <col min="2263" max="2264" width="21.7109375" style="166" customWidth="1"/>
    <col min="2265" max="2265" width="10.28515625" style="166" customWidth="1"/>
    <col min="2266" max="2266" width="5.28515625" style="166" customWidth="1"/>
    <col min="2267" max="2267" width="9.42578125" style="166" bestFit="1" customWidth="1"/>
    <col min="2268" max="2268" width="25.7109375" style="166" bestFit="1" customWidth="1"/>
    <col min="2269" max="2269" width="21" style="166" customWidth="1"/>
    <col min="2270" max="2270" width="20.28515625" style="166" customWidth="1"/>
    <col min="2271" max="2514" width="10.28515625" style="166"/>
    <col min="2515" max="2515" width="3.7109375" style="166" customWidth="1"/>
    <col min="2516" max="2516" width="5.28515625" style="166" customWidth="1"/>
    <col min="2517" max="2517" width="9.42578125" style="166" bestFit="1" customWidth="1"/>
    <col min="2518" max="2518" width="25.7109375" style="166" bestFit="1" customWidth="1"/>
    <col min="2519" max="2520" width="21.7109375" style="166" customWidth="1"/>
    <col min="2521" max="2521" width="10.28515625" style="166" customWidth="1"/>
    <col min="2522" max="2522" width="5.28515625" style="166" customWidth="1"/>
    <col min="2523" max="2523" width="9.42578125" style="166" bestFit="1" customWidth="1"/>
    <col min="2524" max="2524" width="25.7109375" style="166" bestFit="1" customWidth="1"/>
    <col min="2525" max="2525" width="21" style="166" customWidth="1"/>
    <col min="2526" max="2526" width="20.28515625" style="166" customWidth="1"/>
    <col min="2527" max="2770" width="10.28515625" style="166"/>
    <col min="2771" max="2771" width="3.7109375" style="166" customWidth="1"/>
    <col min="2772" max="2772" width="5.28515625" style="166" customWidth="1"/>
    <col min="2773" max="2773" width="9.42578125" style="166" bestFit="1" customWidth="1"/>
    <col min="2774" max="2774" width="25.7109375" style="166" bestFit="1" customWidth="1"/>
    <col min="2775" max="2776" width="21.7109375" style="166" customWidth="1"/>
    <col min="2777" max="2777" width="10.28515625" style="166" customWidth="1"/>
    <col min="2778" max="2778" width="5.28515625" style="166" customWidth="1"/>
    <col min="2779" max="2779" width="9.42578125" style="166" bestFit="1" customWidth="1"/>
    <col min="2780" max="2780" width="25.7109375" style="166" bestFit="1" customWidth="1"/>
    <col min="2781" max="2781" width="21" style="166" customWidth="1"/>
    <col min="2782" max="2782" width="20.28515625" style="166" customWidth="1"/>
    <col min="2783" max="3026" width="10.28515625" style="166"/>
    <col min="3027" max="3027" width="3.7109375" style="166" customWidth="1"/>
    <col min="3028" max="3028" width="5.28515625" style="166" customWidth="1"/>
    <col min="3029" max="3029" width="9.42578125" style="166" bestFit="1" customWidth="1"/>
    <col min="3030" max="3030" width="25.7109375" style="166" bestFit="1" customWidth="1"/>
    <col min="3031" max="3032" width="21.7109375" style="166" customWidth="1"/>
    <col min="3033" max="3033" width="10.28515625" style="166" customWidth="1"/>
    <col min="3034" max="3034" width="5.28515625" style="166" customWidth="1"/>
    <col min="3035" max="3035" width="9.42578125" style="166" bestFit="1" customWidth="1"/>
    <col min="3036" max="3036" width="25.7109375" style="166" bestFit="1" customWidth="1"/>
    <col min="3037" max="3037" width="21" style="166" customWidth="1"/>
    <col min="3038" max="3038" width="20.28515625" style="166" customWidth="1"/>
    <col min="3039" max="3282" width="10.28515625" style="166"/>
    <col min="3283" max="3283" width="3.7109375" style="166" customWidth="1"/>
    <col min="3284" max="3284" width="5.28515625" style="166" customWidth="1"/>
    <col min="3285" max="3285" width="9.42578125" style="166" bestFit="1" customWidth="1"/>
    <col min="3286" max="3286" width="25.7109375" style="166" bestFit="1" customWidth="1"/>
    <col min="3287" max="3288" width="21.7109375" style="166" customWidth="1"/>
    <col min="3289" max="3289" width="10.28515625" style="166" customWidth="1"/>
    <col min="3290" max="3290" width="5.28515625" style="166" customWidth="1"/>
    <col min="3291" max="3291" width="9.42578125" style="166" bestFit="1" customWidth="1"/>
    <col min="3292" max="3292" width="25.7109375" style="166" bestFit="1" customWidth="1"/>
    <col min="3293" max="3293" width="21" style="166" customWidth="1"/>
    <col min="3294" max="3294" width="20.28515625" style="166" customWidth="1"/>
    <col min="3295" max="3538" width="10.28515625" style="166"/>
    <col min="3539" max="3539" width="3.7109375" style="166" customWidth="1"/>
    <col min="3540" max="3540" width="5.28515625" style="166" customWidth="1"/>
    <col min="3541" max="3541" width="9.42578125" style="166" bestFit="1" customWidth="1"/>
    <col min="3542" max="3542" width="25.7109375" style="166" bestFit="1" customWidth="1"/>
    <col min="3543" max="3544" width="21.7109375" style="166" customWidth="1"/>
    <col min="3545" max="3545" width="10.28515625" style="166" customWidth="1"/>
    <col min="3546" max="3546" width="5.28515625" style="166" customWidth="1"/>
    <col min="3547" max="3547" width="9.42578125" style="166" bestFit="1" customWidth="1"/>
    <col min="3548" max="3548" width="25.7109375" style="166" bestFit="1" customWidth="1"/>
    <col min="3549" max="3549" width="21" style="166" customWidth="1"/>
    <col min="3550" max="3550" width="20.28515625" style="166" customWidth="1"/>
    <col min="3551" max="3794" width="10.28515625" style="166"/>
    <col min="3795" max="3795" width="3.7109375" style="166" customWidth="1"/>
    <col min="3796" max="3796" width="5.28515625" style="166" customWidth="1"/>
    <col min="3797" max="3797" width="9.42578125" style="166" bestFit="1" customWidth="1"/>
    <col min="3798" max="3798" width="25.7109375" style="166" bestFit="1" customWidth="1"/>
    <col min="3799" max="3800" width="21.7109375" style="166" customWidth="1"/>
    <col min="3801" max="3801" width="10.28515625" style="166" customWidth="1"/>
    <col min="3802" max="3802" width="5.28515625" style="166" customWidth="1"/>
    <col min="3803" max="3803" width="9.42578125" style="166" bestFit="1" customWidth="1"/>
    <col min="3804" max="3804" width="25.7109375" style="166" bestFit="1" customWidth="1"/>
    <col min="3805" max="3805" width="21" style="166" customWidth="1"/>
    <col min="3806" max="3806" width="20.28515625" style="166" customWidth="1"/>
    <col min="3807" max="4050" width="10.28515625" style="166"/>
    <col min="4051" max="4051" width="3.7109375" style="166" customWidth="1"/>
    <col min="4052" max="4052" width="5.28515625" style="166" customWidth="1"/>
    <col min="4053" max="4053" width="9.42578125" style="166" bestFit="1" customWidth="1"/>
    <col min="4054" max="4054" width="25.7109375" style="166" bestFit="1" customWidth="1"/>
    <col min="4055" max="4056" width="21.7109375" style="166" customWidth="1"/>
    <col min="4057" max="4057" width="10.28515625" style="166" customWidth="1"/>
    <col min="4058" max="4058" width="5.28515625" style="166" customWidth="1"/>
    <col min="4059" max="4059" width="9.42578125" style="166" bestFit="1" customWidth="1"/>
    <col min="4060" max="4060" width="25.7109375" style="166" bestFit="1" customWidth="1"/>
    <col min="4061" max="4061" width="21" style="166" customWidth="1"/>
    <col min="4062" max="4062" width="20.28515625" style="166" customWidth="1"/>
    <col min="4063" max="4306" width="10.28515625" style="166"/>
    <col min="4307" max="4307" width="3.7109375" style="166" customWidth="1"/>
    <col min="4308" max="4308" width="5.28515625" style="166" customWidth="1"/>
    <col min="4309" max="4309" width="9.42578125" style="166" bestFit="1" customWidth="1"/>
    <col min="4310" max="4310" width="25.7109375" style="166" bestFit="1" customWidth="1"/>
    <col min="4311" max="4312" width="21.7109375" style="166" customWidth="1"/>
    <col min="4313" max="4313" width="10.28515625" style="166" customWidth="1"/>
    <col min="4314" max="4314" width="5.28515625" style="166" customWidth="1"/>
    <col min="4315" max="4315" width="9.42578125" style="166" bestFit="1" customWidth="1"/>
    <col min="4316" max="4316" width="25.7109375" style="166" bestFit="1" customWidth="1"/>
    <col min="4317" max="4317" width="21" style="166" customWidth="1"/>
    <col min="4318" max="4318" width="20.28515625" style="166" customWidth="1"/>
    <col min="4319" max="4562" width="10.28515625" style="166"/>
    <col min="4563" max="4563" width="3.7109375" style="166" customWidth="1"/>
    <col min="4564" max="4564" width="5.28515625" style="166" customWidth="1"/>
    <col min="4565" max="4565" width="9.42578125" style="166" bestFit="1" customWidth="1"/>
    <col min="4566" max="4566" width="25.7109375" style="166" bestFit="1" customWidth="1"/>
    <col min="4567" max="4568" width="21.7109375" style="166" customWidth="1"/>
    <col min="4569" max="4569" width="10.28515625" style="166" customWidth="1"/>
    <col min="4570" max="4570" width="5.28515625" style="166" customWidth="1"/>
    <col min="4571" max="4571" width="9.42578125" style="166" bestFit="1" customWidth="1"/>
    <col min="4572" max="4572" width="25.7109375" style="166" bestFit="1" customWidth="1"/>
    <col min="4573" max="4573" width="21" style="166" customWidth="1"/>
    <col min="4574" max="4574" width="20.28515625" style="166" customWidth="1"/>
    <col min="4575" max="4818" width="10.28515625" style="166"/>
    <col min="4819" max="4819" width="3.7109375" style="166" customWidth="1"/>
    <col min="4820" max="4820" width="5.28515625" style="166" customWidth="1"/>
    <col min="4821" max="4821" width="9.42578125" style="166" bestFit="1" customWidth="1"/>
    <col min="4822" max="4822" width="25.7109375" style="166" bestFit="1" customWidth="1"/>
    <col min="4823" max="4824" width="21.7109375" style="166" customWidth="1"/>
    <col min="4825" max="4825" width="10.28515625" style="166" customWidth="1"/>
    <col min="4826" max="4826" width="5.28515625" style="166" customWidth="1"/>
    <col min="4827" max="4827" width="9.42578125" style="166" bestFit="1" customWidth="1"/>
    <col min="4828" max="4828" width="25.7109375" style="166" bestFit="1" customWidth="1"/>
    <col min="4829" max="4829" width="21" style="166" customWidth="1"/>
    <col min="4830" max="4830" width="20.28515625" style="166" customWidth="1"/>
    <col min="4831" max="5074" width="10.28515625" style="166"/>
    <col min="5075" max="5075" width="3.7109375" style="166" customWidth="1"/>
    <col min="5076" max="5076" width="5.28515625" style="166" customWidth="1"/>
    <col min="5077" max="5077" width="9.42578125" style="166" bestFit="1" customWidth="1"/>
    <col min="5078" max="5078" width="25.7109375" style="166" bestFit="1" customWidth="1"/>
    <col min="5079" max="5080" width="21.7109375" style="166" customWidth="1"/>
    <col min="5081" max="5081" width="10.28515625" style="166" customWidth="1"/>
    <col min="5082" max="5082" width="5.28515625" style="166" customWidth="1"/>
    <col min="5083" max="5083" width="9.42578125" style="166" bestFit="1" customWidth="1"/>
    <col min="5084" max="5084" width="25.7109375" style="166" bestFit="1" customWidth="1"/>
    <col min="5085" max="5085" width="21" style="166" customWidth="1"/>
    <col min="5086" max="5086" width="20.28515625" style="166" customWidth="1"/>
    <col min="5087" max="5330" width="10.28515625" style="166"/>
    <col min="5331" max="5331" width="3.7109375" style="166" customWidth="1"/>
    <col min="5332" max="5332" width="5.28515625" style="166" customWidth="1"/>
    <col min="5333" max="5333" width="9.42578125" style="166" bestFit="1" customWidth="1"/>
    <col min="5334" max="5334" width="25.7109375" style="166" bestFit="1" customWidth="1"/>
    <col min="5335" max="5336" width="21.7109375" style="166" customWidth="1"/>
    <col min="5337" max="5337" width="10.28515625" style="166" customWidth="1"/>
    <col min="5338" max="5338" width="5.28515625" style="166" customWidth="1"/>
    <col min="5339" max="5339" width="9.42578125" style="166" bestFit="1" customWidth="1"/>
    <col min="5340" max="5340" width="25.7109375" style="166" bestFit="1" customWidth="1"/>
    <col min="5341" max="5341" width="21" style="166" customWidth="1"/>
    <col min="5342" max="5342" width="20.28515625" style="166" customWidth="1"/>
    <col min="5343" max="5586" width="10.28515625" style="166"/>
    <col min="5587" max="5587" width="3.7109375" style="166" customWidth="1"/>
    <col min="5588" max="5588" width="5.28515625" style="166" customWidth="1"/>
    <col min="5589" max="5589" width="9.42578125" style="166" bestFit="1" customWidth="1"/>
    <col min="5590" max="5590" width="25.7109375" style="166" bestFit="1" customWidth="1"/>
    <col min="5591" max="5592" width="21.7109375" style="166" customWidth="1"/>
    <col min="5593" max="5593" width="10.28515625" style="166" customWidth="1"/>
    <col min="5594" max="5594" width="5.28515625" style="166" customWidth="1"/>
    <col min="5595" max="5595" width="9.42578125" style="166" bestFit="1" customWidth="1"/>
    <col min="5596" max="5596" width="25.7109375" style="166" bestFit="1" customWidth="1"/>
    <col min="5597" max="5597" width="21" style="166" customWidth="1"/>
    <col min="5598" max="5598" width="20.28515625" style="166" customWidth="1"/>
    <col min="5599" max="5842" width="10.28515625" style="166"/>
    <col min="5843" max="5843" width="3.7109375" style="166" customWidth="1"/>
    <col min="5844" max="5844" width="5.28515625" style="166" customWidth="1"/>
    <col min="5845" max="5845" width="9.42578125" style="166" bestFit="1" customWidth="1"/>
    <col min="5846" max="5846" width="25.7109375" style="166" bestFit="1" customWidth="1"/>
    <col min="5847" max="5848" width="21.7109375" style="166" customWidth="1"/>
    <col min="5849" max="5849" width="10.28515625" style="166" customWidth="1"/>
    <col min="5850" max="5850" width="5.28515625" style="166" customWidth="1"/>
    <col min="5851" max="5851" width="9.42578125" style="166" bestFit="1" customWidth="1"/>
    <col min="5852" max="5852" width="25.7109375" style="166" bestFit="1" customWidth="1"/>
    <col min="5853" max="5853" width="21" style="166" customWidth="1"/>
    <col min="5854" max="5854" width="20.28515625" style="166" customWidth="1"/>
    <col min="5855" max="6098" width="10.28515625" style="166"/>
    <col min="6099" max="6099" width="3.7109375" style="166" customWidth="1"/>
    <col min="6100" max="6100" width="5.28515625" style="166" customWidth="1"/>
    <col min="6101" max="6101" width="9.42578125" style="166" bestFit="1" customWidth="1"/>
    <col min="6102" max="6102" width="25.7109375" style="166" bestFit="1" customWidth="1"/>
    <col min="6103" max="6104" width="21.7109375" style="166" customWidth="1"/>
    <col min="6105" max="6105" width="10.28515625" style="166" customWidth="1"/>
    <col min="6106" max="6106" width="5.28515625" style="166" customWidth="1"/>
    <col min="6107" max="6107" width="9.42578125" style="166" bestFit="1" customWidth="1"/>
    <col min="6108" max="6108" width="25.7109375" style="166" bestFit="1" customWidth="1"/>
    <col min="6109" max="6109" width="21" style="166" customWidth="1"/>
    <col min="6110" max="6110" width="20.28515625" style="166" customWidth="1"/>
    <col min="6111" max="6354" width="10.28515625" style="166"/>
    <col min="6355" max="6355" width="3.7109375" style="166" customWidth="1"/>
    <col min="6356" max="6356" width="5.28515625" style="166" customWidth="1"/>
    <col min="6357" max="6357" width="9.42578125" style="166" bestFit="1" customWidth="1"/>
    <col min="6358" max="6358" width="25.7109375" style="166" bestFit="1" customWidth="1"/>
    <col min="6359" max="6360" width="21.7109375" style="166" customWidth="1"/>
    <col min="6361" max="6361" width="10.28515625" style="166" customWidth="1"/>
    <col min="6362" max="6362" width="5.28515625" style="166" customWidth="1"/>
    <col min="6363" max="6363" width="9.42578125" style="166" bestFit="1" customWidth="1"/>
    <col min="6364" max="6364" width="25.7109375" style="166" bestFit="1" customWidth="1"/>
    <col min="6365" max="6365" width="21" style="166" customWidth="1"/>
    <col min="6366" max="6366" width="20.28515625" style="166" customWidth="1"/>
    <col min="6367" max="6610" width="10.28515625" style="166"/>
    <col min="6611" max="6611" width="3.7109375" style="166" customWidth="1"/>
    <col min="6612" max="6612" width="5.28515625" style="166" customWidth="1"/>
    <col min="6613" max="6613" width="9.42578125" style="166" bestFit="1" customWidth="1"/>
    <col min="6614" max="6614" width="25.7109375" style="166" bestFit="1" customWidth="1"/>
    <col min="6615" max="6616" width="21.7109375" style="166" customWidth="1"/>
    <col min="6617" max="6617" width="10.28515625" style="166" customWidth="1"/>
    <col min="6618" max="6618" width="5.28515625" style="166" customWidth="1"/>
    <col min="6619" max="6619" width="9.42578125" style="166" bestFit="1" customWidth="1"/>
    <col min="6620" max="6620" width="25.7109375" style="166" bestFit="1" customWidth="1"/>
    <col min="6621" max="6621" width="21" style="166" customWidth="1"/>
    <col min="6622" max="6622" width="20.28515625" style="166" customWidth="1"/>
    <col min="6623" max="6866" width="10.28515625" style="166"/>
    <col min="6867" max="6867" width="3.7109375" style="166" customWidth="1"/>
    <col min="6868" max="6868" width="5.28515625" style="166" customWidth="1"/>
    <col min="6869" max="6869" width="9.42578125" style="166" bestFit="1" customWidth="1"/>
    <col min="6870" max="6870" width="25.7109375" style="166" bestFit="1" customWidth="1"/>
    <col min="6871" max="6872" width="21.7109375" style="166" customWidth="1"/>
    <col min="6873" max="6873" width="10.28515625" style="166" customWidth="1"/>
    <col min="6874" max="6874" width="5.28515625" style="166" customWidth="1"/>
    <col min="6875" max="6875" width="9.42578125" style="166" bestFit="1" customWidth="1"/>
    <col min="6876" max="6876" width="25.7109375" style="166" bestFit="1" customWidth="1"/>
    <col min="6877" max="6877" width="21" style="166" customWidth="1"/>
    <col min="6878" max="6878" width="20.28515625" style="166" customWidth="1"/>
    <col min="6879" max="7122" width="10.28515625" style="166"/>
    <col min="7123" max="7123" width="3.7109375" style="166" customWidth="1"/>
    <col min="7124" max="7124" width="5.28515625" style="166" customWidth="1"/>
    <col min="7125" max="7125" width="9.42578125" style="166" bestFit="1" customWidth="1"/>
    <col min="7126" max="7126" width="25.7109375" style="166" bestFit="1" customWidth="1"/>
    <col min="7127" max="7128" width="21.7109375" style="166" customWidth="1"/>
    <col min="7129" max="7129" width="10.28515625" style="166" customWidth="1"/>
    <col min="7130" max="7130" width="5.28515625" style="166" customWidth="1"/>
    <col min="7131" max="7131" width="9.42578125" style="166" bestFit="1" customWidth="1"/>
    <col min="7132" max="7132" width="25.7109375" style="166" bestFit="1" customWidth="1"/>
    <col min="7133" max="7133" width="21" style="166" customWidth="1"/>
    <col min="7134" max="7134" width="20.28515625" style="166" customWidth="1"/>
    <col min="7135" max="7378" width="10.28515625" style="166"/>
    <col min="7379" max="7379" width="3.7109375" style="166" customWidth="1"/>
    <col min="7380" max="7380" width="5.28515625" style="166" customWidth="1"/>
    <col min="7381" max="7381" width="9.42578125" style="166" bestFit="1" customWidth="1"/>
    <col min="7382" max="7382" width="25.7109375" style="166" bestFit="1" customWidth="1"/>
    <col min="7383" max="7384" width="21.7109375" style="166" customWidth="1"/>
    <col min="7385" max="7385" width="10.28515625" style="166" customWidth="1"/>
    <col min="7386" max="7386" width="5.28515625" style="166" customWidth="1"/>
    <col min="7387" max="7387" width="9.42578125" style="166" bestFit="1" customWidth="1"/>
    <col min="7388" max="7388" width="25.7109375" style="166" bestFit="1" customWidth="1"/>
    <col min="7389" max="7389" width="21" style="166" customWidth="1"/>
    <col min="7390" max="7390" width="20.28515625" style="166" customWidth="1"/>
    <col min="7391" max="7634" width="10.28515625" style="166"/>
    <col min="7635" max="7635" width="3.7109375" style="166" customWidth="1"/>
    <col min="7636" max="7636" width="5.28515625" style="166" customWidth="1"/>
    <col min="7637" max="7637" width="9.42578125" style="166" bestFit="1" customWidth="1"/>
    <col min="7638" max="7638" width="25.7109375" style="166" bestFit="1" customWidth="1"/>
    <col min="7639" max="7640" width="21.7109375" style="166" customWidth="1"/>
    <col min="7641" max="7641" width="10.28515625" style="166" customWidth="1"/>
    <col min="7642" max="7642" width="5.28515625" style="166" customWidth="1"/>
    <col min="7643" max="7643" width="9.42578125" style="166" bestFit="1" customWidth="1"/>
    <col min="7644" max="7644" width="25.7109375" style="166" bestFit="1" customWidth="1"/>
    <col min="7645" max="7645" width="21" style="166" customWidth="1"/>
    <col min="7646" max="7646" width="20.28515625" style="166" customWidth="1"/>
    <col min="7647" max="7890" width="10.28515625" style="166"/>
    <col min="7891" max="7891" width="3.7109375" style="166" customWidth="1"/>
    <col min="7892" max="7892" width="5.28515625" style="166" customWidth="1"/>
    <col min="7893" max="7893" width="9.42578125" style="166" bestFit="1" customWidth="1"/>
    <col min="7894" max="7894" width="25.7109375" style="166" bestFit="1" customWidth="1"/>
    <col min="7895" max="7896" width="21.7109375" style="166" customWidth="1"/>
    <col min="7897" max="7897" width="10.28515625" style="166" customWidth="1"/>
    <col min="7898" max="7898" width="5.28515625" style="166" customWidth="1"/>
    <col min="7899" max="7899" width="9.42578125" style="166" bestFit="1" customWidth="1"/>
    <col min="7900" max="7900" width="25.7109375" style="166" bestFit="1" customWidth="1"/>
    <col min="7901" max="7901" width="21" style="166" customWidth="1"/>
    <col min="7902" max="7902" width="20.28515625" style="166" customWidth="1"/>
    <col min="7903" max="8146" width="10.28515625" style="166"/>
    <col min="8147" max="8147" width="3.7109375" style="166" customWidth="1"/>
    <col min="8148" max="8148" width="5.28515625" style="166" customWidth="1"/>
    <col min="8149" max="8149" width="9.42578125" style="166" bestFit="1" customWidth="1"/>
    <col min="8150" max="8150" width="25.7109375" style="166" bestFit="1" customWidth="1"/>
    <col min="8151" max="8152" width="21.7109375" style="166" customWidth="1"/>
    <col min="8153" max="8153" width="10.28515625" style="166" customWidth="1"/>
    <col min="8154" max="8154" width="5.28515625" style="166" customWidth="1"/>
    <col min="8155" max="8155" width="9.42578125" style="166" bestFit="1" customWidth="1"/>
    <col min="8156" max="8156" width="25.7109375" style="166" bestFit="1" customWidth="1"/>
    <col min="8157" max="8157" width="21" style="166" customWidth="1"/>
    <col min="8158" max="8158" width="20.28515625" style="166" customWidth="1"/>
    <col min="8159" max="8402" width="10.28515625" style="166"/>
    <col min="8403" max="8403" width="3.7109375" style="166" customWidth="1"/>
    <col min="8404" max="8404" width="5.28515625" style="166" customWidth="1"/>
    <col min="8405" max="8405" width="9.42578125" style="166" bestFit="1" customWidth="1"/>
    <col min="8406" max="8406" width="25.7109375" style="166" bestFit="1" customWidth="1"/>
    <col min="8407" max="8408" width="21.7109375" style="166" customWidth="1"/>
    <col min="8409" max="8409" width="10.28515625" style="166" customWidth="1"/>
    <col min="8410" max="8410" width="5.28515625" style="166" customWidth="1"/>
    <col min="8411" max="8411" width="9.42578125" style="166" bestFit="1" customWidth="1"/>
    <col min="8412" max="8412" width="25.7109375" style="166" bestFit="1" customWidth="1"/>
    <col min="8413" max="8413" width="21" style="166" customWidth="1"/>
    <col min="8414" max="8414" width="20.28515625" style="166" customWidth="1"/>
    <col min="8415" max="8658" width="10.28515625" style="166"/>
    <col min="8659" max="8659" width="3.7109375" style="166" customWidth="1"/>
    <col min="8660" max="8660" width="5.28515625" style="166" customWidth="1"/>
    <col min="8661" max="8661" width="9.42578125" style="166" bestFit="1" customWidth="1"/>
    <col min="8662" max="8662" width="25.7109375" style="166" bestFit="1" customWidth="1"/>
    <col min="8663" max="8664" width="21.7109375" style="166" customWidth="1"/>
    <col min="8665" max="8665" width="10.28515625" style="166" customWidth="1"/>
    <col min="8666" max="8666" width="5.28515625" style="166" customWidth="1"/>
    <col min="8667" max="8667" width="9.42578125" style="166" bestFit="1" customWidth="1"/>
    <col min="8668" max="8668" width="25.7109375" style="166" bestFit="1" customWidth="1"/>
    <col min="8669" max="8669" width="21" style="166" customWidth="1"/>
    <col min="8670" max="8670" width="20.28515625" style="166" customWidth="1"/>
    <col min="8671" max="8914" width="10.28515625" style="166"/>
    <col min="8915" max="8915" width="3.7109375" style="166" customWidth="1"/>
    <col min="8916" max="8916" width="5.28515625" style="166" customWidth="1"/>
    <col min="8917" max="8917" width="9.42578125" style="166" bestFit="1" customWidth="1"/>
    <col min="8918" max="8918" width="25.7109375" style="166" bestFit="1" customWidth="1"/>
    <col min="8919" max="8920" width="21.7109375" style="166" customWidth="1"/>
    <col min="8921" max="8921" width="10.28515625" style="166" customWidth="1"/>
    <col min="8922" max="8922" width="5.28515625" style="166" customWidth="1"/>
    <col min="8923" max="8923" width="9.42578125" style="166" bestFit="1" customWidth="1"/>
    <col min="8924" max="8924" width="25.7109375" style="166" bestFit="1" customWidth="1"/>
    <col min="8925" max="8925" width="21" style="166" customWidth="1"/>
    <col min="8926" max="8926" width="20.28515625" style="166" customWidth="1"/>
    <col min="8927" max="9170" width="10.28515625" style="166"/>
    <col min="9171" max="9171" width="3.7109375" style="166" customWidth="1"/>
    <col min="9172" max="9172" width="5.28515625" style="166" customWidth="1"/>
    <col min="9173" max="9173" width="9.42578125" style="166" bestFit="1" customWidth="1"/>
    <col min="9174" max="9174" width="25.7109375" style="166" bestFit="1" customWidth="1"/>
    <col min="9175" max="9176" width="21.7109375" style="166" customWidth="1"/>
    <col min="9177" max="9177" width="10.28515625" style="166" customWidth="1"/>
    <col min="9178" max="9178" width="5.28515625" style="166" customWidth="1"/>
    <col min="9179" max="9179" width="9.42578125" style="166" bestFit="1" customWidth="1"/>
    <col min="9180" max="9180" width="25.7109375" style="166" bestFit="1" customWidth="1"/>
    <col min="9181" max="9181" width="21" style="166" customWidth="1"/>
    <col min="9182" max="9182" width="20.28515625" style="166" customWidth="1"/>
    <col min="9183" max="9426" width="10.28515625" style="166"/>
    <col min="9427" max="9427" width="3.7109375" style="166" customWidth="1"/>
    <col min="9428" max="9428" width="5.28515625" style="166" customWidth="1"/>
    <col min="9429" max="9429" width="9.42578125" style="166" bestFit="1" customWidth="1"/>
    <col min="9430" max="9430" width="25.7109375" style="166" bestFit="1" customWidth="1"/>
    <col min="9431" max="9432" width="21.7109375" style="166" customWidth="1"/>
    <col min="9433" max="9433" width="10.28515625" style="166" customWidth="1"/>
    <col min="9434" max="9434" width="5.28515625" style="166" customWidth="1"/>
    <col min="9435" max="9435" width="9.42578125" style="166" bestFit="1" customWidth="1"/>
    <col min="9436" max="9436" width="25.7109375" style="166" bestFit="1" customWidth="1"/>
    <col min="9437" max="9437" width="21" style="166" customWidth="1"/>
    <col min="9438" max="9438" width="20.28515625" style="166" customWidth="1"/>
    <col min="9439" max="9682" width="10.28515625" style="166"/>
    <col min="9683" max="9683" width="3.7109375" style="166" customWidth="1"/>
    <col min="9684" max="9684" width="5.28515625" style="166" customWidth="1"/>
    <col min="9685" max="9685" width="9.42578125" style="166" bestFit="1" customWidth="1"/>
    <col min="9686" max="9686" width="25.7109375" style="166" bestFit="1" customWidth="1"/>
    <col min="9687" max="9688" width="21.7109375" style="166" customWidth="1"/>
    <col min="9689" max="9689" width="10.28515625" style="166" customWidth="1"/>
    <col min="9690" max="9690" width="5.28515625" style="166" customWidth="1"/>
    <col min="9691" max="9691" width="9.42578125" style="166" bestFit="1" customWidth="1"/>
    <col min="9692" max="9692" width="25.7109375" style="166" bestFit="1" customWidth="1"/>
    <col min="9693" max="9693" width="21" style="166" customWidth="1"/>
    <col min="9694" max="9694" width="20.28515625" style="166" customWidth="1"/>
    <col min="9695" max="9938" width="10.28515625" style="166"/>
    <col min="9939" max="9939" width="3.7109375" style="166" customWidth="1"/>
    <col min="9940" max="9940" width="5.28515625" style="166" customWidth="1"/>
    <col min="9941" max="9941" width="9.42578125" style="166" bestFit="1" customWidth="1"/>
    <col min="9942" max="9942" width="25.7109375" style="166" bestFit="1" customWidth="1"/>
    <col min="9943" max="9944" width="21.7109375" style="166" customWidth="1"/>
    <col min="9945" max="9945" width="10.28515625" style="166" customWidth="1"/>
    <col min="9946" max="9946" width="5.28515625" style="166" customWidth="1"/>
    <col min="9947" max="9947" width="9.42578125" style="166" bestFit="1" customWidth="1"/>
    <col min="9948" max="9948" width="25.7109375" style="166" bestFit="1" customWidth="1"/>
    <col min="9949" max="9949" width="21" style="166" customWidth="1"/>
    <col min="9950" max="9950" width="20.28515625" style="166" customWidth="1"/>
    <col min="9951" max="10194" width="10.28515625" style="166"/>
    <col min="10195" max="10195" width="3.7109375" style="166" customWidth="1"/>
    <col min="10196" max="10196" width="5.28515625" style="166" customWidth="1"/>
    <col min="10197" max="10197" width="9.42578125" style="166" bestFit="1" customWidth="1"/>
    <col min="10198" max="10198" width="25.7109375" style="166" bestFit="1" customWidth="1"/>
    <col min="10199" max="10200" width="21.7109375" style="166" customWidth="1"/>
    <col min="10201" max="10201" width="10.28515625" style="166" customWidth="1"/>
    <col min="10202" max="10202" width="5.28515625" style="166" customWidth="1"/>
    <col min="10203" max="10203" width="9.42578125" style="166" bestFit="1" customWidth="1"/>
    <col min="10204" max="10204" width="25.7109375" style="166" bestFit="1" customWidth="1"/>
    <col min="10205" max="10205" width="21" style="166" customWidth="1"/>
    <col min="10206" max="10206" width="20.28515625" style="166" customWidth="1"/>
    <col min="10207" max="10450" width="10.28515625" style="166"/>
    <col min="10451" max="10451" width="3.7109375" style="166" customWidth="1"/>
    <col min="10452" max="10452" width="5.28515625" style="166" customWidth="1"/>
    <col min="10453" max="10453" width="9.42578125" style="166" bestFit="1" customWidth="1"/>
    <col min="10454" max="10454" width="25.7109375" style="166" bestFit="1" customWidth="1"/>
    <col min="10455" max="10456" width="21.7109375" style="166" customWidth="1"/>
    <col min="10457" max="10457" width="10.28515625" style="166" customWidth="1"/>
    <col min="10458" max="10458" width="5.28515625" style="166" customWidth="1"/>
    <col min="10459" max="10459" width="9.42578125" style="166" bestFit="1" customWidth="1"/>
    <col min="10460" max="10460" width="25.7109375" style="166" bestFit="1" customWidth="1"/>
    <col min="10461" max="10461" width="21" style="166" customWidth="1"/>
    <col min="10462" max="10462" width="20.28515625" style="166" customWidth="1"/>
    <col min="10463" max="10706" width="10.28515625" style="166"/>
    <col min="10707" max="10707" width="3.7109375" style="166" customWidth="1"/>
    <col min="10708" max="10708" width="5.28515625" style="166" customWidth="1"/>
    <col min="10709" max="10709" width="9.42578125" style="166" bestFit="1" customWidth="1"/>
    <col min="10710" max="10710" width="25.7109375" style="166" bestFit="1" customWidth="1"/>
    <col min="10711" max="10712" width="21.7109375" style="166" customWidth="1"/>
    <col min="10713" max="10713" width="10.28515625" style="166" customWidth="1"/>
    <col min="10714" max="10714" width="5.28515625" style="166" customWidth="1"/>
    <col min="10715" max="10715" width="9.42578125" style="166" bestFit="1" customWidth="1"/>
    <col min="10716" max="10716" width="25.7109375" style="166" bestFit="1" customWidth="1"/>
    <col min="10717" max="10717" width="21" style="166" customWidth="1"/>
    <col min="10718" max="10718" width="20.28515625" style="166" customWidth="1"/>
    <col min="10719" max="10962" width="10.28515625" style="166"/>
    <col min="10963" max="10963" width="3.7109375" style="166" customWidth="1"/>
    <col min="10964" max="10964" width="5.28515625" style="166" customWidth="1"/>
    <col min="10965" max="10965" width="9.42578125" style="166" bestFit="1" customWidth="1"/>
    <col min="10966" max="10966" width="25.7109375" style="166" bestFit="1" customWidth="1"/>
    <col min="10967" max="10968" width="21.7109375" style="166" customWidth="1"/>
    <col min="10969" max="10969" width="10.28515625" style="166" customWidth="1"/>
    <col min="10970" max="10970" width="5.28515625" style="166" customWidth="1"/>
    <col min="10971" max="10971" width="9.42578125" style="166" bestFit="1" customWidth="1"/>
    <col min="10972" max="10972" width="25.7109375" style="166" bestFit="1" customWidth="1"/>
    <col min="10973" max="10973" width="21" style="166" customWidth="1"/>
    <col min="10974" max="10974" width="20.28515625" style="166" customWidth="1"/>
    <col min="10975" max="11218" width="10.28515625" style="166"/>
    <col min="11219" max="11219" width="3.7109375" style="166" customWidth="1"/>
    <col min="11220" max="11220" width="5.28515625" style="166" customWidth="1"/>
    <col min="11221" max="11221" width="9.42578125" style="166" bestFit="1" customWidth="1"/>
    <col min="11222" max="11222" width="25.7109375" style="166" bestFit="1" customWidth="1"/>
    <col min="11223" max="11224" width="21.7109375" style="166" customWidth="1"/>
    <col min="11225" max="11225" width="10.28515625" style="166" customWidth="1"/>
    <col min="11226" max="11226" width="5.28515625" style="166" customWidth="1"/>
    <col min="11227" max="11227" width="9.42578125" style="166" bestFit="1" customWidth="1"/>
    <col min="11228" max="11228" width="25.7109375" style="166" bestFit="1" customWidth="1"/>
    <col min="11229" max="11229" width="21" style="166" customWidth="1"/>
    <col min="11230" max="11230" width="20.28515625" style="166" customWidth="1"/>
    <col min="11231" max="11474" width="10.28515625" style="166"/>
    <col min="11475" max="11475" width="3.7109375" style="166" customWidth="1"/>
    <col min="11476" max="11476" width="5.28515625" style="166" customWidth="1"/>
    <col min="11477" max="11477" width="9.42578125" style="166" bestFit="1" customWidth="1"/>
    <col min="11478" max="11478" width="25.7109375" style="166" bestFit="1" customWidth="1"/>
    <col min="11479" max="11480" width="21.7109375" style="166" customWidth="1"/>
    <col min="11481" max="11481" width="10.28515625" style="166" customWidth="1"/>
    <col min="11482" max="11482" width="5.28515625" style="166" customWidth="1"/>
    <col min="11483" max="11483" width="9.42578125" style="166" bestFit="1" customWidth="1"/>
    <col min="11484" max="11484" width="25.7109375" style="166" bestFit="1" customWidth="1"/>
    <col min="11485" max="11485" width="21" style="166" customWidth="1"/>
    <col min="11486" max="11486" width="20.28515625" style="166" customWidth="1"/>
    <col min="11487" max="11730" width="10.28515625" style="166"/>
    <col min="11731" max="11731" width="3.7109375" style="166" customWidth="1"/>
    <col min="11732" max="11732" width="5.28515625" style="166" customWidth="1"/>
    <col min="11733" max="11733" width="9.42578125" style="166" bestFit="1" customWidth="1"/>
    <col min="11734" max="11734" width="25.7109375" style="166" bestFit="1" customWidth="1"/>
    <col min="11735" max="11736" width="21.7109375" style="166" customWidth="1"/>
    <col min="11737" max="11737" width="10.28515625" style="166" customWidth="1"/>
    <col min="11738" max="11738" width="5.28515625" style="166" customWidth="1"/>
    <col min="11739" max="11739" width="9.42578125" style="166" bestFit="1" customWidth="1"/>
    <col min="11740" max="11740" width="25.7109375" style="166" bestFit="1" customWidth="1"/>
    <col min="11741" max="11741" width="21" style="166" customWidth="1"/>
    <col min="11742" max="11742" width="20.28515625" style="166" customWidth="1"/>
    <col min="11743" max="11986" width="10.28515625" style="166"/>
    <col min="11987" max="11987" width="3.7109375" style="166" customWidth="1"/>
    <col min="11988" max="11988" width="5.28515625" style="166" customWidth="1"/>
    <col min="11989" max="11989" width="9.42578125" style="166" bestFit="1" customWidth="1"/>
    <col min="11990" max="11990" width="25.7109375" style="166" bestFit="1" customWidth="1"/>
    <col min="11991" max="11992" width="21.7109375" style="166" customWidth="1"/>
    <col min="11993" max="11993" width="10.28515625" style="166" customWidth="1"/>
    <col min="11994" max="11994" width="5.28515625" style="166" customWidth="1"/>
    <col min="11995" max="11995" width="9.42578125" style="166" bestFit="1" customWidth="1"/>
    <col min="11996" max="11996" width="25.7109375" style="166" bestFit="1" customWidth="1"/>
    <col min="11997" max="11997" width="21" style="166" customWidth="1"/>
    <col min="11998" max="11998" width="20.28515625" style="166" customWidth="1"/>
    <col min="11999" max="12242" width="10.28515625" style="166"/>
    <col min="12243" max="12243" width="3.7109375" style="166" customWidth="1"/>
    <col min="12244" max="12244" width="5.28515625" style="166" customWidth="1"/>
    <col min="12245" max="12245" width="9.42578125" style="166" bestFit="1" customWidth="1"/>
    <col min="12246" max="12246" width="25.7109375" style="166" bestFit="1" customWidth="1"/>
    <col min="12247" max="12248" width="21.7109375" style="166" customWidth="1"/>
    <col min="12249" max="12249" width="10.28515625" style="166" customWidth="1"/>
    <col min="12250" max="12250" width="5.28515625" style="166" customWidth="1"/>
    <col min="12251" max="12251" width="9.42578125" style="166" bestFit="1" customWidth="1"/>
    <col min="12252" max="12252" width="25.7109375" style="166" bestFit="1" customWidth="1"/>
    <col min="12253" max="12253" width="21" style="166" customWidth="1"/>
    <col min="12254" max="12254" width="20.28515625" style="166" customWidth="1"/>
    <col min="12255" max="12498" width="10.28515625" style="166"/>
    <col min="12499" max="12499" width="3.7109375" style="166" customWidth="1"/>
    <col min="12500" max="12500" width="5.28515625" style="166" customWidth="1"/>
    <col min="12501" max="12501" width="9.42578125" style="166" bestFit="1" customWidth="1"/>
    <col min="12502" max="12502" width="25.7109375" style="166" bestFit="1" customWidth="1"/>
    <col min="12503" max="12504" width="21.7109375" style="166" customWidth="1"/>
    <col min="12505" max="12505" width="10.28515625" style="166" customWidth="1"/>
    <col min="12506" max="12506" width="5.28515625" style="166" customWidth="1"/>
    <col min="12507" max="12507" width="9.42578125" style="166" bestFit="1" customWidth="1"/>
    <col min="12508" max="12508" width="25.7109375" style="166" bestFit="1" customWidth="1"/>
    <col min="12509" max="12509" width="21" style="166" customWidth="1"/>
    <col min="12510" max="12510" width="20.28515625" style="166" customWidth="1"/>
    <col min="12511" max="12754" width="10.28515625" style="166"/>
    <col min="12755" max="12755" width="3.7109375" style="166" customWidth="1"/>
    <col min="12756" max="12756" width="5.28515625" style="166" customWidth="1"/>
    <col min="12757" max="12757" width="9.42578125" style="166" bestFit="1" customWidth="1"/>
    <col min="12758" max="12758" width="25.7109375" style="166" bestFit="1" customWidth="1"/>
    <col min="12759" max="12760" width="21.7109375" style="166" customWidth="1"/>
    <col min="12761" max="12761" width="10.28515625" style="166" customWidth="1"/>
    <col min="12762" max="12762" width="5.28515625" style="166" customWidth="1"/>
    <col min="12763" max="12763" width="9.42578125" style="166" bestFit="1" customWidth="1"/>
    <col min="12764" max="12764" width="25.7109375" style="166" bestFit="1" customWidth="1"/>
    <col min="12765" max="12765" width="21" style="166" customWidth="1"/>
    <col min="12766" max="12766" width="20.28515625" style="166" customWidth="1"/>
    <col min="12767" max="13010" width="10.28515625" style="166"/>
    <col min="13011" max="13011" width="3.7109375" style="166" customWidth="1"/>
    <col min="13012" max="13012" width="5.28515625" style="166" customWidth="1"/>
    <col min="13013" max="13013" width="9.42578125" style="166" bestFit="1" customWidth="1"/>
    <col min="13014" max="13014" width="25.7109375" style="166" bestFit="1" customWidth="1"/>
    <col min="13015" max="13016" width="21.7109375" style="166" customWidth="1"/>
    <col min="13017" max="13017" width="10.28515625" style="166" customWidth="1"/>
    <col min="13018" max="13018" width="5.28515625" style="166" customWidth="1"/>
    <col min="13019" max="13019" width="9.42578125" style="166" bestFit="1" customWidth="1"/>
    <col min="13020" max="13020" width="25.7109375" style="166" bestFit="1" customWidth="1"/>
    <col min="13021" max="13021" width="21" style="166" customWidth="1"/>
    <col min="13022" max="13022" width="20.28515625" style="166" customWidth="1"/>
    <col min="13023" max="13266" width="10.28515625" style="166"/>
    <col min="13267" max="13267" width="3.7109375" style="166" customWidth="1"/>
    <col min="13268" max="13268" width="5.28515625" style="166" customWidth="1"/>
    <col min="13269" max="13269" width="9.42578125" style="166" bestFit="1" customWidth="1"/>
    <col min="13270" max="13270" width="25.7109375" style="166" bestFit="1" customWidth="1"/>
    <col min="13271" max="13272" width="21.7109375" style="166" customWidth="1"/>
    <col min="13273" max="13273" width="10.28515625" style="166" customWidth="1"/>
    <col min="13274" max="13274" width="5.28515625" style="166" customWidth="1"/>
    <col min="13275" max="13275" width="9.42578125" style="166" bestFit="1" customWidth="1"/>
    <col min="13276" max="13276" width="25.7109375" style="166" bestFit="1" customWidth="1"/>
    <col min="13277" max="13277" width="21" style="166" customWidth="1"/>
    <col min="13278" max="13278" width="20.28515625" style="166" customWidth="1"/>
    <col min="13279" max="13522" width="10.28515625" style="166"/>
    <col min="13523" max="13523" width="3.7109375" style="166" customWidth="1"/>
    <col min="13524" max="13524" width="5.28515625" style="166" customWidth="1"/>
    <col min="13525" max="13525" width="9.42578125" style="166" bestFit="1" customWidth="1"/>
    <col min="13526" max="13526" width="25.7109375" style="166" bestFit="1" customWidth="1"/>
    <col min="13527" max="13528" width="21.7109375" style="166" customWidth="1"/>
    <col min="13529" max="13529" width="10.28515625" style="166" customWidth="1"/>
    <col min="13530" max="13530" width="5.28515625" style="166" customWidth="1"/>
    <col min="13531" max="13531" width="9.42578125" style="166" bestFit="1" customWidth="1"/>
    <col min="13532" max="13532" width="25.7109375" style="166" bestFit="1" customWidth="1"/>
    <col min="13533" max="13533" width="21" style="166" customWidth="1"/>
    <col min="13534" max="13534" width="20.28515625" style="166" customWidth="1"/>
    <col min="13535" max="13778" width="10.28515625" style="166"/>
    <col min="13779" max="13779" width="3.7109375" style="166" customWidth="1"/>
    <col min="13780" max="13780" width="5.28515625" style="166" customWidth="1"/>
    <col min="13781" max="13781" width="9.42578125" style="166" bestFit="1" customWidth="1"/>
    <col min="13782" max="13782" width="25.7109375" style="166" bestFit="1" customWidth="1"/>
    <col min="13783" max="13784" width="21.7109375" style="166" customWidth="1"/>
    <col min="13785" max="13785" width="10.28515625" style="166" customWidth="1"/>
    <col min="13786" max="13786" width="5.28515625" style="166" customWidth="1"/>
    <col min="13787" max="13787" width="9.42578125" style="166" bestFit="1" customWidth="1"/>
    <col min="13788" max="13788" width="25.7109375" style="166" bestFit="1" customWidth="1"/>
    <col min="13789" max="13789" width="21" style="166" customWidth="1"/>
    <col min="13790" max="13790" width="20.28515625" style="166" customWidth="1"/>
    <col min="13791" max="14034" width="10.28515625" style="166"/>
    <col min="14035" max="14035" width="3.7109375" style="166" customWidth="1"/>
    <col min="14036" max="14036" width="5.28515625" style="166" customWidth="1"/>
    <col min="14037" max="14037" width="9.42578125" style="166" bestFit="1" customWidth="1"/>
    <col min="14038" max="14038" width="25.7109375" style="166" bestFit="1" customWidth="1"/>
    <col min="14039" max="14040" width="21.7109375" style="166" customWidth="1"/>
    <col min="14041" max="14041" width="10.28515625" style="166" customWidth="1"/>
    <col min="14042" max="14042" width="5.28515625" style="166" customWidth="1"/>
    <col min="14043" max="14043" width="9.42578125" style="166" bestFit="1" customWidth="1"/>
    <col min="14044" max="14044" width="25.7109375" style="166" bestFit="1" customWidth="1"/>
    <col min="14045" max="14045" width="21" style="166" customWidth="1"/>
    <col min="14046" max="14046" width="20.28515625" style="166" customWidth="1"/>
    <col min="14047" max="14290" width="10.28515625" style="166"/>
    <col min="14291" max="14291" width="3.7109375" style="166" customWidth="1"/>
    <col min="14292" max="14292" width="5.28515625" style="166" customWidth="1"/>
    <col min="14293" max="14293" width="9.42578125" style="166" bestFit="1" customWidth="1"/>
    <col min="14294" max="14294" width="25.7109375" style="166" bestFit="1" customWidth="1"/>
    <col min="14295" max="14296" width="21.7109375" style="166" customWidth="1"/>
    <col min="14297" max="14297" width="10.28515625" style="166" customWidth="1"/>
    <col min="14298" max="14298" width="5.28515625" style="166" customWidth="1"/>
    <col min="14299" max="14299" width="9.42578125" style="166" bestFit="1" customWidth="1"/>
    <col min="14300" max="14300" width="25.7109375" style="166" bestFit="1" customWidth="1"/>
    <col min="14301" max="14301" width="21" style="166" customWidth="1"/>
    <col min="14302" max="14302" width="20.28515625" style="166" customWidth="1"/>
    <col min="14303" max="14546" width="10.28515625" style="166"/>
    <col min="14547" max="14547" width="3.7109375" style="166" customWidth="1"/>
    <col min="14548" max="14548" width="5.28515625" style="166" customWidth="1"/>
    <col min="14549" max="14549" width="9.42578125" style="166" bestFit="1" customWidth="1"/>
    <col min="14550" max="14550" width="25.7109375" style="166" bestFit="1" customWidth="1"/>
    <col min="14551" max="14552" width="21.7109375" style="166" customWidth="1"/>
    <col min="14553" max="14553" width="10.28515625" style="166" customWidth="1"/>
    <col min="14554" max="14554" width="5.28515625" style="166" customWidth="1"/>
    <col min="14555" max="14555" width="9.42578125" style="166" bestFit="1" customWidth="1"/>
    <col min="14556" max="14556" width="25.7109375" style="166" bestFit="1" customWidth="1"/>
    <col min="14557" max="14557" width="21" style="166" customWidth="1"/>
    <col min="14558" max="14558" width="20.28515625" style="166" customWidth="1"/>
    <col min="14559" max="14802" width="10.28515625" style="166"/>
    <col min="14803" max="14803" width="3.7109375" style="166" customWidth="1"/>
    <col min="14804" max="14804" width="5.28515625" style="166" customWidth="1"/>
    <col min="14805" max="14805" width="9.42578125" style="166" bestFit="1" customWidth="1"/>
    <col min="14806" max="14806" width="25.7109375" style="166" bestFit="1" customWidth="1"/>
    <col min="14807" max="14808" width="21.7109375" style="166" customWidth="1"/>
    <col min="14809" max="14809" width="10.28515625" style="166" customWidth="1"/>
    <col min="14810" max="14810" width="5.28515625" style="166" customWidth="1"/>
    <col min="14811" max="14811" width="9.42578125" style="166" bestFit="1" customWidth="1"/>
    <col min="14812" max="14812" width="25.7109375" style="166" bestFit="1" customWidth="1"/>
    <col min="14813" max="14813" width="21" style="166" customWidth="1"/>
    <col min="14814" max="14814" width="20.28515625" style="166" customWidth="1"/>
    <col min="14815" max="15058" width="10.28515625" style="166"/>
    <col min="15059" max="15059" width="3.7109375" style="166" customWidth="1"/>
    <col min="15060" max="15060" width="5.28515625" style="166" customWidth="1"/>
    <col min="15061" max="15061" width="9.42578125" style="166" bestFit="1" customWidth="1"/>
    <col min="15062" max="15062" width="25.7109375" style="166" bestFit="1" customWidth="1"/>
    <col min="15063" max="15064" width="21.7109375" style="166" customWidth="1"/>
    <col min="15065" max="15065" width="10.28515625" style="166" customWidth="1"/>
    <col min="15066" max="15066" width="5.28515625" style="166" customWidth="1"/>
    <col min="15067" max="15067" width="9.42578125" style="166" bestFit="1" customWidth="1"/>
    <col min="15068" max="15068" width="25.7109375" style="166" bestFit="1" customWidth="1"/>
    <col min="15069" max="15069" width="21" style="166" customWidth="1"/>
    <col min="15070" max="15070" width="20.28515625" style="166" customWidth="1"/>
    <col min="15071" max="15314" width="10.28515625" style="166"/>
    <col min="15315" max="15315" width="3.7109375" style="166" customWidth="1"/>
    <col min="15316" max="15316" width="5.28515625" style="166" customWidth="1"/>
    <col min="15317" max="15317" width="9.42578125" style="166" bestFit="1" customWidth="1"/>
    <col min="15318" max="15318" width="25.7109375" style="166" bestFit="1" customWidth="1"/>
    <col min="15319" max="15320" width="21.7109375" style="166" customWidth="1"/>
    <col min="15321" max="15321" width="10.28515625" style="166" customWidth="1"/>
    <col min="15322" max="15322" width="5.28515625" style="166" customWidth="1"/>
    <col min="15323" max="15323" width="9.42578125" style="166" bestFit="1" customWidth="1"/>
    <col min="15324" max="15324" width="25.7109375" style="166" bestFit="1" customWidth="1"/>
    <col min="15325" max="15325" width="21" style="166" customWidth="1"/>
    <col min="15326" max="15326" width="20.28515625" style="166" customWidth="1"/>
    <col min="15327" max="15570" width="10.28515625" style="166"/>
    <col min="15571" max="15571" width="3.7109375" style="166" customWidth="1"/>
    <col min="15572" max="15572" width="5.28515625" style="166" customWidth="1"/>
    <col min="15573" max="15573" width="9.42578125" style="166" bestFit="1" customWidth="1"/>
    <col min="15574" max="15574" width="25.7109375" style="166" bestFit="1" customWidth="1"/>
    <col min="15575" max="15576" width="21.7109375" style="166" customWidth="1"/>
    <col min="15577" max="15577" width="10.28515625" style="166" customWidth="1"/>
    <col min="15578" max="15578" width="5.28515625" style="166" customWidth="1"/>
    <col min="15579" max="15579" width="9.42578125" style="166" bestFit="1" customWidth="1"/>
    <col min="15580" max="15580" width="25.7109375" style="166" bestFit="1" customWidth="1"/>
    <col min="15581" max="15581" width="21" style="166" customWidth="1"/>
    <col min="15582" max="15582" width="20.28515625" style="166" customWidth="1"/>
    <col min="15583" max="15826" width="10.28515625" style="166"/>
    <col min="15827" max="15827" width="3.7109375" style="166" customWidth="1"/>
    <col min="15828" max="15828" width="5.28515625" style="166" customWidth="1"/>
    <col min="15829" max="15829" width="9.42578125" style="166" bestFit="1" customWidth="1"/>
    <col min="15830" max="15830" width="25.7109375" style="166" bestFit="1" customWidth="1"/>
    <col min="15831" max="15832" width="21.7109375" style="166" customWidth="1"/>
    <col min="15833" max="15833" width="10.28515625" style="166" customWidth="1"/>
    <col min="15834" max="15834" width="5.28515625" style="166" customWidth="1"/>
    <col min="15835" max="15835" width="9.42578125" style="166" bestFit="1" customWidth="1"/>
    <col min="15836" max="15836" width="25.7109375" style="166" bestFit="1" customWidth="1"/>
    <col min="15837" max="15837" width="21" style="166" customWidth="1"/>
    <col min="15838" max="15838" width="20.28515625" style="166" customWidth="1"/>
    <col min="15839" max="16082" width="10.28515625" style="166"/>
    <col min="16083" max="16083" width="3.7109375" style="166" customWidth="1"/>
    <col min="16084" max="16084" width="5.28515625" style="166" customWidth="1"/>
    <col min="16085" max="16085" width="9.42578125" style="166" bestFit="1" customWidth="1"/>
    <col min="16086" max="16086" width="25.7109375" style="166" bestFit="1" customWidth="1"/>
    <col min="16087" max="16088" width="21.7109375" style="166" customWidth="1"/>
    <col min="16089" max="16089" width="10.28515625" style="166" customWidth="1"/>
    <col min="16090" max="16090" width="5.28515625" style="166" customWidth="1"/>
    <col min="16091" max="16091" width="9.42578125" style="166" bestFit="1" customWidth="1"/>
    <col min="16092" max="16092" width="25.7109375" style="166" bestFit="1" customWidth="1"/>
    <col min="16093" max="16093" width="21" style="166" customWidth="1"/>
    <col min="16094" max="16094" width="20.28515625" style="166" customWidth="1"/>
    <col min="16095" max="16384" width="10.28515625" style="166"/>
  </cols>
  <sheetData>
    <row r="1" spans="2:11">
      <c r="B1" s="165"/>
      <c r="C1" s="165"/>
      <c r="D1" s="165"/>
      <c r="E1" s="165"/>
      <c r="F1" s="165"/>
    </row>
    <row r="2" spans="2:11" ht="18.75">
      <c r="B2" s="165"/>
      <c r="C2" s="167" t="s">
        <v>130</v>
      </c>
      <c r="D2" s="167"/>
      <c r="E2" s="167"/>
      <c r="F2" s="167"/>
    </row>
    <row r="3" spans="2:11" ht="18.75">
      <c r="B3" s="165"/>
      <c r="C3" s="168" t="s">
        <v>372</v>
      </c>
      <c r="D3" s="168"/>
      <c r="E3" s="168"/>
      <c r="F3" s="168"/>
    </row>
    <row r="4" spans="2:11">
      <c r="B4" s="165"/>
      <c r="C4" s="614"/>
      <c r="D4" s="614"/>
      <c r="E4" s="165"/>
      <c r="F4" s="165"/>
    </row>
    <row r="5" spans="2:11" ht="30.75" thickBot="1">
      <c r="B5" s="165"/>
      <c r="C5" s="615" t="s">
        <v>108</v>
      </c>
      <c r="D5" s="615" t="s">
        <v>109</v>
      </c>
      <c r="E5" s="844" t="s">
        <v>1371</v>
      </c>
      <c r="F5" s="844" t="s">
        <v>2053</v>
      </c>
    </row>
    <row r="6" spans="2:11">
      <c r="B6" s="165"/>
      <c r="C6" s="1022" t="s">
        <v>894</v>
      </c>
      <c r="D6" s="1023" t="s">
        <v>1375</v>
      </c>
      <c r="E6" s="1024">
        <v>13978</v>
      </c>
      <c r="F6" s="1025">
        <v>14508</v>
      </c>
      <c r="H6" s="988"/>
      <c r="I6" s="988"/>
      <c r="J6" s="989"/>
      <c r="K6" s="989"/>
    </row>
    <row r="7" spans="2:11">
      <c r="B7" s="165"/>
      <c r="C7" s="1026" t="s">
        <v>668</v>
      </c>
      <c r="D7" s="1020" t="s">
        <v>1376</v>
      </c>
      <c r="E7" s="1027">
        <v>13099</v>
      </c>
      <c r="F7" s="1028">
        <v>13483</v>
      </c>
      <c r="H7" s="988"/>
      <c r="I7" s="988"/>
      <c r="J7" s="989"/>
      <c r="K7" s="989"/>
    </row>
    <row r="8" spans="2:11">
      <c r="B8" s="165"/>
      <c r="C8" s="1026" t="s">
        <v>669</v>
      </c>
      <c r="D8" s="1020" t="s">
        <v>1377</v>
      </c>
      <c r="E8" s="1027">
        <v>12906</v>
      </c>
      <c r="F8" s="1028">
        <v>13609</v>
      </c>
      <c r="H8" s="988"/>
      <c r="I8" s="988"/>
      <c r="J8" s="989"/>
      <c r="K8" s="989"/>
    </row>
    <row r="9" spans="2:11">
      <c r="B9" s="165"/>
      <c r="C9" s="1026" t="s">
        <v>670</v>
      </c>
      <c r="D9" s="1020" t="s">
        <v>1378</v>
      </c>
      <c r="E9" s="1027">
        <v>13262</v>
      </c>
      <c r="F9" s="1028">
        <v>13338</v>
      </c>
      <c r="H9" s="988"/>
      <c r="I9" s="988"/>
      <c r="J9" s="989"/>
      <c r="K9" s="989"/>
    </row>
    <row r="10" spans="2:11">
      <c r="B10" s="165"/>
      <c r="C10" s="1026" t="s">
        <v>671</v>
      </c>
      <c r="D10" s="1020" t="s">
        <v>1379</v>
      </c>
      <c r="E10" s="1027">
        <v>11798</v>
      </c>
      <c r="F10" s="1028">
        <v>12238</v>
      </c>
      <c r="H10" s="988"/>
      <c r="I10" s="988"/>
      <c r="J10" s="989"/>
      <c r="K10" s="989"/>
    </row>
    <row r="11" spans="2:11">
      <c r="B11" s="165"/>
      <c r="C11" s="1026" t="s">
        <v>672</v>
      </c>
      <c r="D11" s="1020" t="s">
        <v>1380</v>
      </c>
      <c r="E11" s="1027">
        <v>16653</v>
      </c>
      <c r="F11" s="1028">
        <v>17297</v>
      </c>
      <c r="H11" s="988"/>
      <c r="I11" s="988"/>
      <c r="J11" s="989"/>
      <c r="K11" s="989"/>
    </row>
    <row r="12" spans="2:11">
      <c r="B12" s="165"/>
      <c r="C12" s="1026" t="s">
        <v>673</v>
      </c>
      <c r="D12" s="1020" t="s">
        <v>1381</v>
      </c>
      <c r="E12" s="1027">
        <v>11429</v>
      </c>
      <c r="F12" s="1028">
        <v>11437</v>
      </c>
      <c r="H12" s="988"/>
      <c r="I12" s="988"/>
      <c r="J12" s="989"/>
      <c r="K12" s="989"/>
    </row>
    <row r="13" spans="2:11">
      <c r="B13" s="165"/>
      <c r="C13" s="1026" t="s">
        <v>674</v>
      </c>
      <c r="D13" s="1020" t="s">
        <v>1382</v>
      </c>
      <c r="E13" s="1027">
        <v>11162</v>
      </c>
      <c r="F13" s="1028">
        <v>11278</v>
      </c>
      <c r="H13" s="988"/>
      <c r="I13" s="988"/>
      <c r="J13" s="989"/>
      <c r="K13" s="989"/>
    </row>
    <row r="14" spans="2:11">
      <c r="B14" s="165"/>
      <c r="C14" s="1026" t="s">
        <v>675</v>
      </c>
      <c r="D14" s="1020" t="s">
        <v>1383</v>
      </c>
      <c r="E14" s="1027">
        <v>13336</v>
      </c>
      <c r="F14" s="1028">
        <v>13225</v>
      </c>
      <c r="H14" s="988"/>
      <c r="I14" s="988"/>
      <c r="J14" s="989"/>
      <c r="K14" s="989"/>
    </row>
    <row r="15" spans="2:11">
      <c r="B15" s="165"/>
      <c r="C15" s="1026" t="s">
        <v>676</v>
      </c>
      <c r="D15" s="1020" t="s">
        <v>1384</v>
      </c>
      <c r="E15" s="1027">
        <v>13733</v>
      </c>
      <c r="F15" s="1028">
        <v>13883</v>
      </c>
      <c r="H15" s="988"/>
      <c r="I15" s="988"/>
      <c r="J15" s="989"/>
      <c r="K15" s="989"/>
    </row>
    <row r="16" spans="2:11">
      <c r="B16" s="165"/>
      <c r="C16" s="1026" t="s">
        <v>677</v>
      </c>
      <c r="D16" s="1020" t="s">
        <v>1385</v>
      </c>
      <c r="E16" s="1027">
        <v>13052</v>
      </c>
      <c r="F16" s="1028">
        <v>13454</v>
      </c>
      <c r="H16" s="988"/>
      <c r="I16" s="988"/>
      <c r="J16" s="989"/>
      <c r="K16" s="989"/>
    </row>
    <row r="17" spans="2:11">
      <c r="B17" s="165"/>
      <c r="C17" s="1026" t="s">
        <v>678</v>
      </c>
      <c r="D17" s="1020" t="s">
        <v>1386</v>
      </c>
      <c r="E17" s="1027">
        <v>11294</v>
      </c>
      <c r="F17" s="1028">
        <v>11601</v>
      </c>
      <c r="H17" s="988"/>
      <c r="I17" s="988"/>
      <c r="J17" s="989"/>
      <c r="K17" s="989"/>
    </row>
    <row r="18" spans="2:11">
      <c r="B18" s="165"/>
      <c r="C18" s="1026" t="s">
        <v>679</v>
      </c>
      <c r="D18" s="1020" t="s">
        <v>1387</v>
      </c>
      <c r="E18" s="1027">
        <v>13337</v>
      </c>
      <c r="F18" s="1028">
        <v>13897</v>
      </c>
      <c r="H18" s="988"/>
      <c r="I18" s="988"/>
      <c r="J18" s="989"/>
      <c r="K18" s="989"/>
    </row>
    <row r="19" spans="2:11">
      <c r="B19" s="165"/>
      <c r="C19" s="1026" t="s">
        <v>680</v>
      </c>
      <c r="D19" s="1020" t="s">
        <v>1388</v>
      </c>
      <c r="E19" s="1027">
        <v>63762</v>
      </c>
      <c r="F19" s="1028">
        <v>63430</v>
      </c>
      <c r="H19" s="988"/>
      <c r="I19" s="988"/>
      <c r="J19" s="989"/>
      <c r="K19" s="989"/>
    </row>
    <row r="20" spans="2:11">
      <c r="B20" s="165"/>
      <c r="C20" s="1026" t="s">
        <v>681</v>
      </c>
      <c r="D20" s="1020" t="s">
        <v>1389</v>
      </c>
      <c r="E20" s="1027">
        <v>11616</v>
      </c>
      <c r="F20" s="1028">
        <v>11866</v>
      </c>
      <c r="H20" s="988"/>
      <c r="I20" s="988"/>
      <c r="J20" s="989"/>
      <c r="K20" s="989"/>
    </row>
    <row r="21" spans="2:11">
      <c r="B21" s="165"/>
      <c r="C21" s="1026" t="s">
        <v>682</v>
      </c>
      <c r="D21" s="1020" t="s">
        <v>1390</v>
      </c>
      <c r="E21" s="1027">
        <v>19299</v>
      </c>
      <c r="F21" s="1028">
        <v>20322</v>
      </c>
      <c r="H21" s="988"/>
      <c r="I21" s="988"/>
      <c r="J21" s="989"/>
      <c r="K21" s="989"/>
    </row>
    <row r="22" spans="2:11">
      <c r="B22" s="165"/>
      <c r="C22" s="1026" t="s">
        <v>683</v>
      </c>
      <c r="D22" s="1020" t="s">
        <v>1391</v>
      </c>
      <c r="E22" s="1027">
        <v>10941</v>
      </c>
      <c r="F22" s="1028">
        <v>11428</v>
      </c>
      <c r="H22" s="988"/>
      <c r="I22" s="988"/>
      <c r="J22" s="989"/>
      <c r="K22" s="989"/>
    </row>
    <row r="23" spans="2:11">
      <c r="B23" s="165"/>
      <c r="C23" s="1026" t="s">
        <v>684</v>
      </c>
      <c r="D23" s="1020" t="s">
        <v>1392</v>
      </c>
      <c r="E23" s="1027">
        <v>20531</v>
      </c>
      <c r="F23" s="1028">
        <v>20369</v>
      </c>
      <c r="H23" s="988"/>
      <c r="I23" s="988"/>
      <c r="J23" s="989"/>
      <c r="K23" s="989"/>
    </row>
    <row r="24" spans="2:11">
      <c r="B24" s="165"/>
      <c r="C24" s="1026" t="s">
        <v>685</v>
      </c>
      <c r="D24" s="1020" t="s">
        <v>1393</v>
      </c>
      <c r="E24" s="1027">
        <v>14369</v>
      </c>
      <c r="F24" s="1028">
        <v>13869</v>
      </c>
      <c r="H24" s="988"/>
      <c r="I24" s="988"/>
      <c r="J24" s="989"/>
      <c r="K24" s="989"/>
    </row>
    <row r="25" spans="2:11">
      <c r="B25" s="165"/>
      <c r="C25" s="1026" t="s">
        <v>686</v>
      </c>
      <c r="D25" s="1020" t="s">
        <v>1394</v>
      </c>
      <c r="E25" s="1027">
        <v>22534</v>
      </c>
      <c r="F25" s="1028">
        <v>23390</v>
      </c>
      <c r="H25" s="988"/>
      <c r="I25" s="988"/>
      <c r="J25" s="989"/>
      <c r="K25" s="989"/>
    </row>
    <row r="26" spans="2:11">
      <c r="B26" s="165"/>
      <c r="C26" s="1026" t="s">
        <v>687</v>
      </c>
      <c r="D26" s="1020" t="s">
        <v>1395</v>
      </c>
      <c r="E26" s="1027">
        <v>13214</v>
      </c>
      <c r="F26" s="1028">
        <v>13591</v>
      </c>
      <c r="H26" s="988"/>
      <c r="I26" s="988"/>
      <c r="J26" s="989"/>
      <c r="K26" s="989"/>
    </row>
    <row r="27" spans="2:11">
      <c r="B27" s="165"/>
      <c r="C27" s="1026" t="s">
        <v>688</v>
      </c>
      <c r="D27" s="1020" t="s">
        <v>1396</v>
      </c>
      <c r="E27" s="1027">
        <v>11271</v>
      </c>
      <c r="F27" s="1028">
        <v>11921</v>
      </c>
      <c r="H27" s="988"/>
      <c r="I27" s="988"/>
      <c r="J27" s="989"/>
      <c r="K27" s="989"/>
    </row>
    <row r="28" spans="2:11">
      <c r="B28" s="165"/>
      <c r="C28" s="1026" t="s">
        <v>689</v>
      </c>
      <c r="D28" s="1020" t="s">
        <v>1397</v>
      </c>
      <c r="E28" s="1027">
        <v>13322</v>
      </c>
      <c r="F28" s="1028">
        <v>13767</v>
      </c>
      <c r="H28" s="988"/>
      <c r="I28" s="988"/>
      <c r="J28" s="989"/>
      <c r="K28" s="989"/>
    </row>
    <row r="29" spans="2:11">
      <c r="B29" s="165"/>
      <c r="C29" s="1026" t="s">
        <v>690</v>
      </c>
      <c r="D29" s="1020" t="s">
        <v>1398</v>
      </c>
      <c r="E29" s="1027">
        <v>10367</v>
      </c>
      <c r="F29" s="1028">
        <v>10506</v>
      </c>
      <c r="H29" s="988"/>
      <c r="I29" s="988"/>
      <c r="J29" s="989"/>
      <c r="K29" s="989"/>
    </row>
    <row r="30" spans="2:11">
      <c r="B30" s="165"/>
      <c r="C30" s="1026" t="s">
        <v>691</v>
      </c>
      <c r="D30" s="1020" t="s">
        <v>1399</v>
      </c>
      <c r="E30" s="1027">
        <v>11813</v>
      </c>
      <c r="F30" s="1028">
        <v>12014</v>
      </c>
      <c r="H30" s="988"/>
      <c r="I30" s="988"/>
      <c r="J30" s="989"/>
      <c r="K30" s="989"/>
    </row>
    <row r="31" spans="2:11">
      <c r="B31" s="165"/>
      <c r="C31" s="1026" t="s">
        <v>692</v>
      </c>
      <c r="D31" s="1020" t="s">
        <v>1400</v>
      </c>
      <c r="E31" s="1027">
        <v>15073</v>
      </c>
      <c r="F31" s="1028">
        <v>15292</v>
      </c>
      <c r="H31" s="988"/>
      <c r="I31" s="988"/>
      <c r="J31" s="989"/>
      <c r="K31" s="989"/>
    </row>
    <row r="32" spans="2:11">
      <c r="B32" s="165"/>
      <c r="C32" s="1026" t="s">
        <v>693</v>
      </c>
      <c r="D32" s="1020" t="s">
        <v>1401</v>
      </c>
      <c r="E32" s="1027">
        <v>11508</v>
      </c>
      <c r="F32" s="1028">
        <v>11727</v>
      </c>
      <c r="H32" s="988"/>
      <c r="I32" s="988"/>
      <c r="J32" s="989"/>
      <c r="K32" s="989"/>
    </row>
    <row r="33" spans="2:11">
      <c r="B33" s="165"/>
      <c r="C33" s="1026" t="s">
        <v>694</v>
      </c>
      <c r="D33" s="1020" t="s">
        <v>1402</v>
      </c>
      <c r="E33" s="1027">
        <v>15499</v>
      </c>
      <c r="F33" s="1028">
        <v>15491</v>
      </c>
      <c r="H33" s="988"/>
      <c r="I33" s="988"/>
      <c r="J33" s="989"/>
      <c r="K33" s="989"/>
    </row>
    <row r="34" spans="2:11">
      <c r="B34" s="165"/>
      <c r="C34" s="1026" t="s">
        <v>695</v>
      </c>
      <c r="D34" s="1020" t="s">
        <v>1403</v>
      </c>
      <c r="E34" s="1027">
        <v>12268</v>
      </c>
      <c r="F34" s="1028">
        <v>12710</v>
      </c>
      <c r="H34" s="988"/>
      <c r="I34" s="988"/>
      <c r="J34" s="989"/>
      <c r="K34" s="989"/>
    </row>
    <row r="35" spans="2:11">
      <c r="B35" s="165"/>
      <c r="C35" s="1026" t="s">
        <v>696</v>
      </c>
      <c r="D35" s="1020" t="s">
        <v>1404</v>
      </c>
      <c r="E35" s="1027">
        <v>18392</v>
      </c>
      <c r="F35" s="1028">
        <v>19015</v>
      </c>
      <c r="H35" s="988"/>
      <c r="I35" s="988"/>
      <c r="J35" s="989"/>
      <c r="K35" s="989"/>
    </row>
    <row r="36" spans="2:11">
      <c r="B36" s="165"/>
      <c r="C36" s="1026" t="s">
        <v>697</v>
      </c>
      <c r="D36" s="1020" t="s">
        <v>1405</v>
      </c>
      <c r="E36" s="1027">
        <v>12560</v>
      </c>
      <c r="F36" s="1028">
        <v>13059</v>
      </c>
      <c r="H36" s="988"/>
      <c r="I36" s="988"/>
      <c r="J36" s="989"/>
      <c r="K36" s="989"/>
    </row>
    <row r="37" spans="2:11">
      <c r="B37" s="165"/>
      <c r="C37" s="1026" t="s">
        <v>698</v>
      </c>
      <c r="D37" s="1020" t="s">
        <v>1406</v>
      </c>
      <c r="E37" s="1027">
        <v>17082</v>
      </c>
      <c r="F37" s="1028">
        <v>17405</v>
      </c>
      <c r="H37" s="988"/>
      <c r="I37" s="988"/>
      <c r="J37" s="989"/>
      <c r="K37" s="989"/>
    </row>
    <row r="38" spans="2:11">
      <c r="B38" s="165"/>
      <c r="C38" s="1026" t="s">
        <v>699</v>
      </c>
      <c r="D38" s="1020" t="s">
        <v>1407</v>
      </c>
      <c r="E38" s="1027">
        <v>13192</v>
      </c>
      <c r="F38" s="1028">
        <v>13687</v>
      </c>
      <c r="H38" s="988"/>
      <c r="I38" s="988"/>
      <c r="J38" s="989"/>
      <c r="K38" s="989"/>
    </row>
    <row r="39" spans="2:11">
      <c r="B39" s="165"/>
      <c r="C39" s="1026" t="s">
        <v>700</v>
      </c>
      <c r="D39" s="1020" t="s">
        <v>1408</v>
      </c>
      <c r="E39" s="1027">
        <v>13489</v>
      </c>
      <c r="F39" s="1028">
        <v>13810</v>
      </c>
      <c r="H39" s="988"/>
      <c r="I39" s="988"/>
      <c r="J39" s="989"/>
      <c r="K39" s="989"/>
    </row>
    <row r="40" spans="2:11">
      <c r="B40" s="165"/>
      <c r="C40" s="1026" t="s">
        <v>701</v>
      </c>
      <c r="D40" s="1020" t="s">
        <v>1409</v>
      </c>
      <c r="E40" s="1027">
        <v>13489</v>
      </c>
      <c r="F40" s="1028">
        <v>13698</v>
      </c>
      <c r="H40" s="988"/>
      <c r="I40" s="988"/>
      <c r="J40" s="989"/>
      <c r="K40" s="989"/>
    </row>
    <row r="41" spans="2:11">
      <c r="B41" s="165"/>
      <c r="C41" s="1026" t="s">
        <v>702</v>
      </c>
      <c r="D41" s="1020" t="s">
        <v>1410</v>
      </c>
      <c r="E41" s="1027">
        <v>14062</v>
      </c>
      <c r="F41" s="1028">
        <v>14183</v>
      </c>
      <c r="H41" s="988"/>
      <c r="I41" s="988"/>
      <c r="J41" s="989"/>
      <c r="K41" s="989"/>
    </row>
    <row r="42" spans="2:11">
      <c r="B42" s="165"/>
      <c r="C42" s="1026" t="s">
        <v>703</v>
      </c>
      <c r="D42" s="1020" t="s">
        <v>1411</v>
      </c>
      <c r="E42" s="1027">
        <v>10342</v>
      </c>
      <c r="F42" s="1028">
        <v>10455</v>
      </c>
      <c r="H42" s="988"/>
      <c r="I42" s="988"/>
      <c r="J42" s="989"/>
      <c r="K42" s="989"/>
    </row>
    <row r="43" spans="2:11">
      <c r="B43" s="165"/>
      <c r="C43" s="1026" t="s">
        <v>704</v>
      </c>
      <c r="D43" s="1020" t="s">
        <v>1412</v>
      </c>
      <c r="E43" s="1027">
        <v>17943</v>
      </c>
      <c r="F43" s="1028">
        <v>18584</v>
      </c>
      <c r="H43" s="988"/>
      <c r="I43" s="988"/>
      <c r="J43" s="989"/>
      <c r="K43" s="989"/>
    </row>
    <row r="44" spans="2:11">
      <c r="B44" s="165"/>
      <c r="C44" s="1026" t="s">
        <v>705</v>
      </c>
      <c r="D44" s="1020" t="s">
        <v>1413</v>
      </c>
      <c r="E44" s="1027">
        <v>19059</v>
      </c>
      <c r="F44" s="1028">
        <v>19427</v>
      </c>
      <c r="H44" s="988"/>
      <c r="I44" s="988"/>
      <c r="J44" s="989"/>
      <c r="K44" s="989"/>
    </row>
    <row r="45" spans="2:11">
      <c r="B45" s="165"/>
      <c r="C45" s="1026" t="s">
        <v>706</v>
      </c>
      <c r="D45" s="1020" t="s">
        <v>1414</v>
      </c>
      <c r="E45" s="1027">
        <v>13620</v>
      </c>
      <c r="F45" s="1028">
        <v>14127</v>
      </c>
      <c r="H45" s="988"/>
      <c r="I45" s="988"/>
      <c r="J45" s="989"/>
      <c r="K45" s="989"/>
    </row>
    <row r="46" spans="2:11">
      <c r="B46" s="165"/>
      <c r="C46" s="1026" t="s">
        <v>707</v>
      </c>
      <c r="D46" s="1020" t="s">
        <v>1415</v>
      </c>
      <c r="E46" s="1027">
        <v>11131</v>
      </c>
      <c r="F46" s="1028">
        <v>11448</v>
      </c>
      <c r="H46" s="988"/>
      <c r="I46" s="988"/>
      <c r="J46" s="989"/>
      <c r="K46" s="989"/>
    </row>
    <row r="47" spans="2:11">
      <c r="B47" s="165"/>
      <c r="C47" s="1026" t="s">
        <v>708</v>
      </c>
      <c r="D47" s="1020" t="s">
        <v>1416</v>
      </c>
      <c r="E47" s="1027">
        <v>22370</v>
      </c>
      <c r="F47" s="1028">
        <v>23269</v>
      </c>
      <c r="H47" s="988"/>
      <c r="I47" s="988"/>
      <c r="J47" s="989"/>
      <c r="K47" s="989"/>
    </row>
    <row r="48" spans="2:11">
      <c r="B48" s="165"/>
      <c r="C48" s="1026" t="s">
        <v>709</v>
      </c>
      <c r="D48" s="1020" t="s">
        <v>1417</v>
      </c>
      <c r="E48" s="1027">
        <v>13766</v>
      </c>
      <c r="F48" s="1028">
        <v>14511</v>
      </c>
      <c r="H48" s="988"/>
      <c r="I48" s="988"/>
      <c r="J48" s="989"/>
      <c r="K48" s="989"/>
    </row>
    <row r="49" spans="2:11">
      <c r="B49" s="165"/>
      <c r="C49" s="1026" t="s">
        <v>710</v>
      </c>
      <c r="D49" s="1020" t="s">
        <v>1418</v>
      </c>
      <c r="E49" s="1027">
        <v>13706</v>
      </c>
      <c r="F49" s="1028">
        <v>14257</v>
      </c>
      <c r="H49" s="988"/>
      <c r="I49" s="988"/>
      <c r="J49" s="989"/>
      <c r="K49" s="989"/>
    </row>
    <row r="50" spans="2:11">
      <c r="B50" s="165"/>
      <c r="C50" s="1026" t="s">
        <v>711</v>
      </c>
      <c r="D50" s="1020" t="s">
        <v>1419</v>
      </c>
      <c r="E50" s="1027">
        <v>10631</v>
      </c>
      <c r="F50" s="1028">
        <v>9807</v>
      </c>
      <c r="H50" s="988"/>
      <c r="I50" s="988"/>
      <c r="J50" s="989"/>
      <c r="K50" s="989"/>
    </row>
    <row r="51" spans="2:11">
      <c r="B51" s="165"/>
      <c r="C51" s="1026" t="s">
        <v>712</v>
      </c>
      <c r="D51" s="1020" t="s">
        <v>1420</v>
      </c>
      <c r="E51" s="1027">
        <v>21210</v>
      </c>
      <c r="F51" s="1028">
        <v>21708</v>
      </c>
      <c r="H51" s="988"/>
      <c r="I51" s="988"/>
      <c r="J51" s="989"/>
      <c r="K51" s="989"/>
    </row>
    <row r="52" spans="2:11">
      <c r="B52" s="165"/>
      <c r="C52" s="1026" t="s">
        <v>713</v>
      </c>
      <c r="D52" s="1020" t="s">
        <v>1421</v>
      </c>
      <c r="E52" s="1027">
        <v>15327</v>
      </c>
      <c r="F52" s="1028">
        <v>15793</v>
      </c>
      <c r="H52" s="988"/>
      <c r="I52" s="988"/>
      <c r="J52" s="989"/>
      <c r="K52" s="989"/>
    </row>
    <row r="53" spans="2:11">
      <c r="B53" s="165"/>
      <c r="C53" s="1026" t="s">
        <v>714</v>
      </c>
      <c r="D53" s="1020" t="s">
        <v>1422</v>
      </c>
      <c r="E53" s="1027">
        <v>13682</v>
      </c>
      <c r="F53" s="1028">
        <v>14350</v>
      </c>
      <c r="H53" s="988"/>
      <c r="I53" s="988"/>
      <c r="J53" s="989"/>
      <c r="K53" s="989"/>
    </row>
    <row r="54" spans="2:11">
      <c r="B54" s="165"/>
      <c r="C54" s="1026" t="s">
        <v>715</v>
      </c>
      <c r="D54" s="1020" t="s">
        <v>1423</v>
      </c>
      <c r="E54" s="1027">
        <v>14412</v>
      </c>
      <c r="F54" s="1028">
        <v>15059</v>
      </c>
      <c r="H54" s="988"/>
      <c r="I54" s="988"/>
      <c r="J54" s="989"/>
      <c r="K54" s="989"/>
    </row>
    <row r="55" spans="2:11">
      <c r="B55" s="165"/>
      <c r="C55" s="1026" t="s">
        <v>716</v>
      </c>
      <c r="D55" s="1020" t="s">
        <v>1424</v>
      </c>
      <c r="E55" s="1027">
        <v>15485</v>
      </c>
      <c r="F55" s="1028">
        <v>16417</v>
      </c>
      <c r="H55" s="988"/>
      <c r="I55" s="988"/>
      <c r="J55" s="989"/>
      <c r="K55" s="989"/>
    </row>
    <row r="56" spans="2:11">
      <c r="B56" s="165"/>
      <c r="C56" s="1026" t="s">
        <v>717</v>
      </c>
      <c r="D56" s="1020" t="s">
        <v>1425</v>
      </c>
      <c r="E56" s="1027">
        <v>13672</v>
      </c>
      <c r="F56" s="1028">
        <v>13877</v>
      </c>
      <c r="H56" s="988"/>
      <c r="I56" s="988"/>
      <c r="J56" s="989"/>
      <c r="K56" s="989"/>
    </row>
    <row r="57" spans="2:11">
      <c r="B57" s="165"/>
      <c r="C57" s="1026" t="s">
        <v>718</v>
      </c>
      <c r="D57" s="1020" t="s">
        <v>1426</v>
      </c>
      <c r="E57" s="1027">
        <v>19042</v>
      </c>
      <c r="F57" s="1028">
        <v>19074</v>
      </c>
      <c r="H57" s="988"/>
      <c r="I57" s="988"/>
      <c r="J57" s="989"/>
      <c r="K57" s="989"/>
    </row>
    <row r="58" spans="2:11">
      <c r="B58" s="165"/>
      <c r="C58" s="1026" t="s">
        <v>719</v>
      </c>
      <c r="D58" s="1020" t="s">
        <v>1427</v>
      </c>
      <c r="E58" s="1027">
        <v>12121</v>
      </c>
      <c r="F58" s="1028">
        <v>12716</v>
      </c>
      <c r="H58" s="988"/>
      <c r="I58" s="988"/>
      <c r="J58" s="989"/>
      <c r="K58" s="989"/>
    </row>
    <row r="59" spans="2:11">
      <c r="B59" s="165"/>
      <c r="C59" s="1026" t="s">
        <v>720</v>
      </c>
      <c r="D59" s="1020" t="s">
        <v>1428</v>
      </c>
      <c r="E59" s="1027">
        <v>21888</v>
      </c>
      <c r="F59" s="1028">
        <v>21332</v>
      </c>
      <c r="H59" s="988"/>
      <c r="I59" s="988"/>
      <c r="J59" s="989"/>
      <c r="K59" s="989"/>
    </row>
    <row r="60" spans="2:11">
      <c r="B60" s="165"/>
      <c r="C60" s="1026" t="s">
        <v>823</v>
      </c>
      <c r="D60" s="1020" t="s">
        <v>1429</v>
      </c>
      <c r="E60" s="1027">
        <v>12264</v>
      </c>
      <c r="F60" s="1028">
        <v>12412</v>
      </c>
      <c r="H60" s="988"/>
      <c r="I60" s="988"/>
      <c r="J60" s="989"/>
      <c r="K60" s="989"/>
    </row>
    <row r="61" spans="2:11">
      <c r="B61" s="165"/>
      <c r="C61" s="1026" t="s">
        <v>721</v>
      </c>
      <c r="D61" s="1020" t="s">
        <v>1430</v>
      </c>
      <c r="E61" s="1027">
        <v>13477</v>
      </c>
      <c r="F61" s="1028">
        <v>13492</v>
      </c>
      <c r="H61" s="988"/>
      <c r="I61" s="988"/>
      <c r="J61" s="989"/>
      <c r="K61" s="989"/>
    </row>
    <row r="62" spans="2:11">
      <c r="B62" s="165"/>
      <c r="C62" s="1026" t="s">
        <v>722</v>
      </c>
      <c r="D62" s="1020" t="s">
        <v>1431</v>
      </c>
      <c r="E62" s="1027">
        <v>23228</v>
      </c>
      <c r="F62" s="1028">
        <v>23321</v>
      </c>
      <c r="H62" s="988"/>
      <c r="I62" s="988"/>
      <c r="J62" s="989"/>
      <c r="K62" s="989"/>
    </row>
    <row r="63" spans="2:11">
      <c r="B63" s="165"/>
      <c r="C63" s="1029" t="s">
        <v>723</v>
      </c>
      <c r="D63" s="1020" t="s">
        <v>1432</v>
      </c>
      <c r="E63" s="1027">
        <v>15662</v>
      </c>
      <c r="F63" s="1028">
        <v>16118</v>
      </c>
      <c r="H63" s="988"/>
      <c r="I63" s="988"/>
      <c r="J63" s="989"/>
      <c r="K63" s="989"/>
    </row>
    <row r="64" spans="2:11">
      <c r="B64" s="165"/>
      <c r="C64" s="1026" t="s">
        <v>724</v>
      </c>
      <c r="D64" s="1020" t="s">
        <v>1433</v>
      </c>
      <c r="E64" s="1027">
        <v>14440</v>
      </c>
      <c r="F64" s="1028">
        <v>14482</v>
      </c>
      <c r="H64" s="988"/>
      <c r="I64" s="988"/>
      <c r="J64" s="989"/>
      <c r="K64" s="989"/>
    </row>
    <row r="65" spans="2:11">
      <c r="B65" s="165"/>
      <c r="C65" s="1026" t="s">
        <v>725</v>
      </c>
      <c r="D65" s="1020" t="s">
        <v>1434</v>
      </c>
      <c r="E65" s="1027">
        <v>12543</v>
      </c>
      <c r="F65" s="1028">
        <v>13401</v>
      </c>
      <c r="H65" s="988"/>
      <c r="I65" s="988"/>
      <c r="J65" s="989"/>
      <c r="K65" s="989"/>
    </row>
    <row r="66" spans="2:11">
      <c r="B66" s="165"/>
      <c r="C66" s="1026" t="s">
        <v>726</v>
      </c>
      <c r="D66" s="1020" t="s">
        <v>1435</v>
      </c>
      <c r="E66" s="1027">
        <v>16474</v>
      </c>
      <c r="F66" s="1028">
        <v>17336</v>
      </c>
      <c r="H66" s="988"/>
      <c r="I66" s="988"/>
      <c r="J66" s="989"/>
      <c r="K66" s="989"/>
    </row>
    <row r="67" spans="2:11">
      <c r="B67" s="165"/>
      <c r="C67" s="1026" t="s">
        <v>727</v>
      </c>
      <c r="D67" s="1020" t="s">
        <v>1436</v>
      </c>
      <c r="E67" s="1027">
        <v>18631</v>
      </c>
      <c r="F67" s="1028">
        <v>18579</v>
      </c>
      <c r="H67" s="988"/>
      <c r="I67" s="988"/>
      <c r="J67" s="989"/>
      <c r="K67" s="989"/>
    </row>
    <row r="68" spans="2:11">
      <c r="B68" s="165"/>
      <c r="C68" s="1026" t="s">
        <v>728</v>
      </c>
      <c r="D68" s="1020" t="s">
        <v>1437</v>
      </c>
      <c r="E68" s="1027">
        <v>23893</v>
      </c>
      <c r="F68" s="1028">
        <v>24366</v>
      </c>
      <c r="H68" s="988"/>
      <c r="I68" s="988"/>
      <c r="J68" s="989"/>
      <c r="K68" s="989"/>
    </row>
    <row r="69" spans="2:11">
      <c r="B69" s="165"/>
      <c r="C69" s="1026" t="s">
        <v>729</v>
      </c>
      <c r="D69" s="1020" t="s">
        <v>1438</v>
      </c>
      <c r="E69" s="1027">
        <v>72319</v>
      </c>
      <c r="F69" s="1028">
        <v>77128</v>
      </c>
      <c r="H69" s="988"/>
      <c r="I69" s="988"/>
      <c r="J69" s="989"/>
      <c r="K69" s="989"/>
    </row>
    <row r="70" spans="2:11">
      <c r="B70" s="165"/>
      <c r="C70" s="1026" t="s">
        <v>730</v>
      </c>
      <c r="D70" s="1020" t="s">
        <v>1439</v>
      </c>
      <c r="E70" s="1027">
        <v>14228</v>
      </c>
      <c r="F70" s="1028">
        <v>14868</v>
      </c>
      <c r="H70" s="988"/>
      <c r="I70" s="988"/>
      <c r="J70" s="989"/>
      <c r="K70" s="989"/>
    </row>
    <row r="71" spans="2:11">
      <c r="B71" s="165"/>
      <c r="C71" s="1026" t="s">
        <v>731</v>
      </c>
      <c r="D71" s="1020" t="s">
        <v>1440</v>
      </c>
      <c r="E71" s="1027">
        <v>10116</v>
      </c>
      <c r="F71" s="1028">
        <v>10318</v>
      </c>
      <c r="H71" s="988"/>
      <c r="I71" s="988"/>
      <c r="J71" s="989"/>
      <c r="K71" s="989"/>
    </row>
    <row r="72" spans="2:11">
      <c r="B72" s="165"/>
      <c r="C72" s="1026" t="s">
        <v>732</v>
      </c>
      <c r="D72" s="1020" t="s">
        <v>1441</v>
      </c>
      <c r="E72" s="1027">
        <v>12493</v>
      </c>
      <c r="F72" s="1028">
        <v>12643</v>
      </c>
      <c r="H72" s="988"/>
      <c r="I72" s="988"/>
      <c r="J72" s="989"/>
      <c r="K72" s="989"/>
    </row>
    <row r="73" spans="2:11">
      <c r="B73" s="165"/>
      <c r="C73" s="1026" t="s">
        <v>733</v>
      </c>
      <c r="D73" s="1020" t="s">
        <v>1442</v>
      </c>
      <c r="E73" s="1027">
        <v>14725</v>
      </c>
      <c r="F73" s="1028">
        <v>15187</v>
      </c>
      <c r="H73" s="988"/>
      <c r="I73" s="988"/>
      <c r="J73" s="989"/>
      <c r="K73" s="989"/>
    </row>
    <row r="74" spans="2:11">
      <c r="B74" s="165"/>
      <c r="C74" s="1026" t="s">
        <v>734</v>
      </c>
      <c r="D74" s="1020" t="s">
        <v>1443</v>
      </c>
      <c r="E74" s="1027">
        <v>22369</v>
      </c>
      <c r="F74" s="1028">
        <v>22599</v>
      </c>
      <c r="H74" s="988"/>
      <c r="I74" s="988"/>
      <c r="J74" s="989"/>
      <c r="K74" s="989"/>
    </row>
    <row r="75" spans="2:11">
      <c r="B75" s="165"/>
      <c r="C75" s="1026" t="s">
        <v>735</v>
      </c>
      <c r="D75" s="1020" t="s">
        <v>1444</v>
      </c>
      <c r="E75" s="1027">
        <v>14092</v>
      </c>
      <c r="F75" s="1028">
        <v>15370</v>
      </c>
      <c r="H75" s="988"/>
      <c r="I75" s="988"/>
      <c r="J75" s="989"/>
      <c r="K75" s="989"/>
    </row>
    <row r="76" spans="2:11">
      <c r="B76" s="165"/>
      <c r="C76" s="1026" t="s">
        <v>737</v>
      </c>
      <c r="D76" s="1020" t="s">
        <v>1445</v>
      </c>
      <c r="E76" s="1027">
        <v>12629</v>
      </c>
      <c r="F76" s="1028">
        <v>12816</v>
      </c>
      <c r="H76" s="988"/>
      <c r="I76" s="988"/>
      <c r="J76" s="989"/>
      <c r="K76" s="989"/>
    </row>
    <row r="77" spans="2:11">
      <c r="B77" s="165"/>
      <c r="C77" s="1026" t="s">
        <v>738</v>
      </c>
      <c r="D77" s="1020" t="s">
        <v>1446</v>
      </c>
      <c r="E77" s="1027">
        <v>13625</v>
      </c>
      <c r="F77" s="1028">
        <v>14380</v>
      </c>
      <c r="H77" s="988"/>
      <c r="I77" s="988"/>
      <c r="J77" s="989"/>
      <c r="K77" s="989"/>
    </row>
    <row r="78" spans="2:11">
      <c r="B78" s="165"/>
      <c r="C78" s="1026" t="s">
        <v>739</v>
      </c>
      <c r="D78" s="1020" t="s">
        <v>1447</v>
      </c>
      <c r="E78" s="1027">
        <v>13416</v>
      </c>
      <c r="F78" s="1028">
        <v>13966</v>
      </c>
      <c r="H78" s="988"/>
      <c r="I78" s="988"/>
      <c r="J78" s="989"/>
      <c r="K78" s="989"/>
    </row>
    <row r="79" spans="2:11">
      <c r="B79" s="165"/>
      <c r="C79" s="1026" t="s">
        <v>740</v>
      </c>
      <c r="D79" s="1020" t="s">
        <v>1448</v>
      </c>
      <c r="E79" s="1027">
        <v>11793</v>
      </c>
      <c r="F79" s="1028">
        <v>12031</v>
      </c>
      <c r="H79" s="988"/>
      <c r="I79" s="988"/>
      <c r="J79" s="989"/>
      <c r="K79" s="989"/>
    </row>
    <row r="80" spans="2:11">
      <c r="B80" s="165"/>
      <c r="C80" s="1026" t="s">
        <v>741</v>
      </c>
      <c r="D80" s="1020" t="s">
        <v>1449</v>
      </c>
      <c r="E80" s="1027">
        <v>21733</v>
      </c>
      <c r="F80" s="1028">
        <v>22205</v>
      </c>
      <c r="H80" s="988"/>
      <c r="I80" s="988"/>
      <c r="J80" s="989"/>
      <c r="K80" s="989"/>
    </row>
    <row r="81" spans="2:11">
      <c r="B81" s="165"/>
      <c r="C81" s="1026" t="s">
        <v>742</v>
      </c>
      <c r="D81" s="1020" t="s">
        <v>1450</v>
      </c>
      <c r="E81" s="1027">
        <v>12481</v>
      </c>
      <c r="F81" s="1028">
        <v>12815</v>
      </c>
      <c r="H81" s="988"/>
      <c r="I81" s="988"/>
      <c r="J81" s="989"/>
      <c r="K81" s="989"/>
    </row>
    <row r="82" spans="2:11">
      <c r="B82" s="165"/>
      <c r="C82" s="1026" t="s">
        <v>743</v>
      </c>
      <c r="D82" s="1020" t="s">
        <v>1451</v>
      </c>
      <c r="E82" s="1027">
        <v>11106</v>
      </c>
      <c r="F82" s="1028">
        <v>11469</v>
      </c>
      <c r="H82" s="988"/>
      <c r="I82" s="988"/>
      <c r="J82" s="989"/>
      <c r="K82" s="989"/>
    </row>
    <row r="83" spans="2:11">
      <c r="B83" s="165"/>
      <c r="C83" s="1026" t="s">
        <v>744</v>
      </c>
      <c r="D83" s="1020" t="s">
        <v>1452</v>
      </c>
      <c r="E83" s="1027">
        <v>11735</v>
      </c>
      <c r="F83" s="1028">
        <v>11829</v>
      </c>
      <c r="H83" s="988"/>
      <c r="I83" s="988"/>
      <c r="J83" s="989"/>
      <c r="K83" s="989"/>
    </row>
    <row r="84" spans="2:11">
      <c r="B84" s="165"/>
      <c r="C84" s="1026" t="s">
        <v>745</v>
      </c>
      <c r="D84" s="1020" t="s">
        <v>1453</v>
      </c>
      <c r="E84" s="1027">
        <v>14085</v>
      </c>
      <c r="F84" s="1028">
        <v>14254</v>
      </c>
      <c r="H84" s="988"/>
      <c r="I84" s="988"/>
      <c r="J84" s="989"/>
      <c r="K84" s="989"/>
    </row>
    <row r="85" spans="2:11">
      <c r="B85" s="165"/>
      <c r="C85" s="1026" t="s">
        <v>746</v>
      </c>
      <c r="D85" s="1020" t="s">
        <v>1454</v>
      </c>
      <c r="E85" s="1027">
        <v>10693</v>
      </c>
      <c r="F85" s="1028">
        <v>10529</v>
      </c>
      <c r="H85" s="988"/>
      <c r="I85" s="988"/>
      <c r="J85" s="989"/>
      <c r="K85" s="989"/>
    </row>
    <row r="86" spans="2:11">
      <c r="B86" s="165"/>
      <c r="C86" s="1026" t="s">
        <v>747</v>
      </c>
      <c r="D86" s="1020" t="s">
        <v>1455</v>
      </c>
      <c r="E86" s="1027">
        <v>10781</v>
      </c>
      <c r="F86" s="1028">
        <v>10128</v>
      </c>
      <c r="H86" s="988"/>
      <c r="I86" s="988"/>
      <c r="J86" s="989"/>
      <c r="K86" s="989"/>
    </row>
    <row r="87" spans="2:11">
      <c r="B87" s="165"/>
      <c r="C87" s="1026" t="s">
        <v>748</v>
      </c>
      <c r="D87" s="1020" t="s">
        <v>1456</v>
      </c>
      <c r="E87" s="1027">
        <v>12691</v>
      </c>
      <c r="F87" s="1028">
        <v>12596</v>
      </c>
      <c r="H87" s="988"/>
      <c r="I87" s="988"/>
      <c r="J87" s="989"/>
      <c r="K87" s="989"/>
    </row>
    <row r="88" spans="2:11">
      <c r="B88" s="165"/>
      <c r="C88" s="1026" t="s">
        <v>749</v>
      </c>
      <c r="D88" s="1020" t="s">
        <v>1457</v>
      </c>
      <c r="E88" s="1027">
        <v>12175</v>
      </c>
      <c r="F88" s="1028">
        <v>12078</v>
      </c>
      <c r="H88" s="988"/>
      <c r="I88" s="988"/>
      <c r="J88" s="989"/>
      <c r="K88" s="989"/>
    </row>
    <row r="89" spans="2:11">
      <c r="B89" s="165"/>
      <c r="C89" s="1026" t="s">
        <v>750</v>
      </c>
      <c r="D89" s="1020" t="s">
        <v>1458</v>
      </c>
      <c r="E89" s="1027">
        <v>13468</v>
      </c>
      <c r="F89" s="1028">
        <v>13884</v>
      </c>
      <c r="H89" s="988"/>
      <c r="I89" s="988"/>
      <c r="J89" s="989"/>
      <c r="K89" s="989"/>
    </row>
    <row r="90" spans="2:11">
      <c r="B90" s="165"/>
      <c r="C90" s="1026" t="s">
        <v>751</v>
      </c>
      <c r="D90" s="1020" t="s">
        <v>1459</v>
      </c>
      <c r="E90" s="1027">
        <v>11618</v>
      </c>
      <c r="F90" s="1028">
        <v>11955</v>
      </c>
      <c r="H90" s="988"/>
      <c r="I90" s="988"/>
      <c r="J90" s="989"/>
      <c r="K90" s="989"/>
    </row>
    <row r="91" spans="2:11">
      <c r="B91" s="165"/>
      <c r="C91" s="1026" t="s">
        <v>752</v>
      </c>
      <c r="D91" s="1020" t="s">
        <v>1460</v>
      </c>
      <c r="E91" s="1027">
        <v>13672</v>
      </c>
      <c r="F91" s="1028">
        <v>14867</v>
      </c>
      <c r="H91" s="988"/>
      <c r="I91" s="988"/>
      <c r="J91" s="989"/>
      <c r="K91" s="989"/>
    </row>
    <row r="92" spans="2:11">
      <c r="B92" s="165"/>
      <c r="C92" s="1026" t="s">
        <v>753</v>
      </c>
      <c r="D92" s="1020" t="s">
        <v>1461</v>
      </c>
      <c r="E92" s="1027">
        <v>16483</v>
      </c>
      <c r="F92" s="1028">
        <v>16137</v>
      </c>
      <c r="H92" s="988"/>
      <c r="I92" s="988"/>
      <c r="J92" s="989"/>
      <c r="K92" s="989"/>
    </row>
    <row r="93" spans="2:11">
      <c r="B93" s="165"/>
      <c r="C93" s="1026" t="s">
        <v>754</v>
      </c>
      <c r="D93" s="1020" t="s">
        <v>1462</v>
      </c>
      <c r="E93" s="1027">
        <v>13626</v>
      </c>
      <c r="F93" s="1028">
        <v>14138</v>
      </c>
      <c r="H93" s="988"/>
      <c r="I93" s="988"/>
      <c r="J93" s="989"/>
      <c r="K93" s="989"/>
    </row>
    <row r="94" spans="2:11">
      <c r="B94" s="165"/>
      <c r="C94" s="1026" t="s">
        <v>755</v>
      </c>
      <c r="D94" s="1020" t="s">
        <v>1463</v>
      </c>
      <c r="E94" s="1027">
        <v>21519</v>
      </c>
      <c r="F94" s="1028">
        <v>21973</v>
      </c>
      <c r="H94" s="988"/>
      <c r="I94" s="988"/>
      <c r="J94" s="989"/>
      <c r="K94" s="989"/>
    </row>
    <row r="95" spans="2:11">
      <c r="B95" s="165"/>
      <c r="C95" s="1026" t="s">
        <v>756</v>
      </c>
      <c r="D95" s="1020" t="s">
        <v>1464</v>
      </c>
      <c r="E95" s="1027">
        <v>17197</v>
      </c>
      <c r="F95" s="1028">
        <v>17378</v>
      </c>
      <c r="H95" s="988"/>
      <c r="I95" s="988"/>
      <c r="J95" s="989"/>
      <c r="K95" s="989"/>
    </row>
    <row r="96" spans="2:11">
      <c r="B96" s="165"/>
      <c r="C96" s="1026" t="s">
        <v>757</v>
      </c>
      <c r="D96" s="1020" t="s">
        <v>1465</v>
      </c>
      <c r="E96" s="1027">
        <v>8808</v>
      </c>
      <c r="F96" s="1028">
        <v>9585</v>
      </c>
      <c r="H96" s="988"/>
      <c r="I96" s="988"/>
      <c r="J96" s="989"/>
      <c r="K96" s="989"/>
    </row>
    <row r="97" spans="2:11">
      <c r="B97" s="165"/>
      <c r="C97" s="1026" t="s">
        <v>758</v>
      </c>
      <c r="D97" s="1020" t="s">
        <v>1466</v>
      </c>
      <c r="E97" s="1027">
        <v>14753</v>
      </c>
      <c r="F97" s="1028">
        <v>14998</v>
      </c>
      <c r="H97" s="988"/>
      <c r="I97" s="988"/>
      <c r="J97" s="989"/>
      <c r="K97" s="989"/>
    </row>
    <row r="98" spans="2:11">
      <c r="B98" s="165"/>
      <c r="C98" s="1026" t="s">
        <v>759</v>
      </c>
      <c r="D98" s="1020" t="s">
        <v>1467</v>
      </c>
      <c r="E98" s="1027">
        <v>12076</v>
      </c>
      <c r="F98" s="1028">
        <v>12490</v>
      </c>
      <c r="H98" s="988"/>
      <c r="I98" s="988"/>
      <c r="J98" s="989"/>
      <c r="K98" s="989"/>
    </row>
    <row r="99" spans="2:11">
      <c r="B99" s="165"/>
      <c r="C99" s="1026" t="s">
        <v>760</v>
      </c>
      <c r="D99" s="1020" t="s">
        <v>1468</v>
      </c>
      <c r="E99" s="1027">
        <v>15358</v>
      </c>
      <c r="F99" s="1028">
        <v>16209</v>
      </c>
      <c r="H99" s="988"/>
      <c r="I99" s="988"/>
      <c r="J99" s="989"/>
      <c r="K99" s="989"/>
    </row>
    <row r="100" spans="2:11">
      <c r="B100" s="165"/>
      <c r="C100" s="1026" t="s">
        <v>761</v>
      </c>
      <c r="D100" s="1020" t="s">
        <v>1469</v>
      </c>
      <c r="E100" s="1027">
        <v>12808</v>
      </c>
      <c r="F100" s="1028">
        <v>13840</v>
      </c>
      <c r="H100" s="988"/>
      <c r="I100" s="988"/>
      <c r="J100" s="989"/>
      <c r="K100" s="989"/>
    </row>
    <row r="101" spans="2:11">
      <c r="B101" s="165"/>
      <c r="C101" s="1026" t="s">
        <v>762</v>
      </c>
      <c r="D101" s="1020" t="s">
        <v>1470</v>
      </c>
      <c r="E101" s="1027">
        <v>12106</v>
      </c>
      <c r="F101" s="1028">
        <v>12544</v>
      </c>
      <c r="H101" s="988"/>
      <c r="I101" s="988"/>
      <c r="J101" s="989"/>
      <c r="K101" s="989"/>
    </row>
    <row r="102" spans="2:11">
      <c r="B102" s="165"/>
      <c r="C102" s="1026" t="s">
        <v>763</v>
      </c>
      <c r="D102" s="1020" t="s">
        <v>1471</v>
      </c>
      <c r="E102" s="1027">
        <v>16788</v>
      </c>
      <c r="F102" s="1028">
        <v>17208</v>
      </c>
      <c r="H102" s="988"/>
      <c r="I102" s="988"/>
      <c r="J102" s="989"/>
      <c r="K102" s="989"/>
    </row>
    <row r="103" spans="2:11">
      <c r="B103" s="165"/>
      <c r="C103" s="1026" t="s">
        <v>764</v>
      </c>
      <c r="D103" s="1020" t="s">
        <v>1472</v>
      </c>
      <c r="E103" s="1027">
        <v>22743</v>
      </c>
      <c r="F103" s="1028">
        <v>23314</v>
      </c>
      <c r="H103" s="988"/>
      <c r="I103" s="988"/>
      <c r="J103" s="989"/>
      <c r="K103" s="989"/>
    </row>
    <row r="104" spans="2:11">
      <c r="B104" s="165"/>
      <c r="C104" s="1026" t="s">
        <v>765</v>
      </c>
      <c r="D104" s="1020" t="s">
        <v>1473</v>
      </c>
      <c r="E104" s="1027">
        <v>10997</v>
      </c>
      <c r="F104" s="1028">
        <v>11269</v>
      </c>
      <c r="H104" s="988"/>
      <c r="I104" s="988"/>
      <c r="J104" s="989"/>
      <c r="K104" s="989"/>
    </row>
    <row r="105" spans="2:11">
      <c r="B105" s="165"/>
      <c r="C105" s="1026" t="s">
        <v>766</v>
      </c>
      <c r="D105" s="1020" t="s">
        <v>1474</v>
      </c>
      <c r="E105" s="1027">
        <v>10089</v>
      </c>
      <c r="F105" s="1028">
        <v>10419</v>
      </c>
      <c r="H105" s="988"/>
      <c r="I105" s="988"/>
      <c r="J105" s="989"/>
      <c r="K105" s="989"/>
    </row>
    <row r="106" spans="2:11">
      <c r="B106" s="165"/>
      <c r="C106" s="1026" t="s">
        <v>767</v>
      </c>
      <c r="D106" s="1020" t="s">
        <v>1475</v>
      </c>
      <c r="E106" s="1027">
        <v>20432</v>
      </c>
      <c r="F106" s="1028">
        <v>20759</v>
      </c>
      <c r="H106" s="988"/>
      <c r="I106" s="988"/>
      <c r="J106" s="989"/>
      <c r="K106" s="989"/>
    </row>
    <row r="107" spans="2:11">
      <c r="B107" s="165"/>
      <c r="C107" s="1026" t="s">
        <v>768</v>
      </c>
      <c r="D107" s="1020" t="s">
        <v>1476</v>
      </c>
      <c r="E107" s="1027">
        <v>13379</v>
      </c>
      <c r="F107" s="1028">
        <v>14135</v>
      </c>
      <c r="H107" s="988"/>
      <c r="I107" s="988"/>
      <c r="J107" s="989"/>
      <c r="K107" s="989"/>
    </row>
    <row r="108" spans="2:11">
      <c r="B108" s="165"/>
      <c r="C108" s="1026" t="s">
        <v>769</v>
      </c>
      <c r="D108" s="1020" t="s">
        <v>1477</v>
      </c>
      <c r="E108" s="1027">
        <v>12497</v>
      </c>
      <c r="F108" s="1028">
        <v>12794</v>
      </c>
      <c r="H108" s="988"/>
      <c r="I108" s="988"/>
      <c r="J108" s="989"/>
      <c r="K108" s="989"/>
    </row>
    <row r="109" spans="2:11">
      <c r="B109" s="165"/>
      <c r="C109" s="1026" t="s">
        <v>770</v>
      </c>
      <c r="D109" s="1020" t="s">
        <v>1478</v>
      </c>
      <c r="E109" s="1027">
        <v>14011</v>
      </c>
      <c r="F109" s="1028">
        <v>14311</v>
      </c>
      <c r="H109" s="988"/>
      <c r="I109" s="988"/>
      <c r="J109" s="989"/>
      <c r="K109" s="989"/>
    </row>
    <row r="110" spans="2:11">
      <c r="B110" s="165"/>
      <c r="C110" s="1026" t="s">
        <v>771</v>
      </c>
      <c r="D110" s="1020" t="s">
        <v>1479</v>
      </c>
      <c r="E110" s="1027">
        <v>14705</v>
      </c>
      <c r="F110" s="1028">
        <v>14720</v>
      </c>
      <c r="H110" s="988"/>
      <c r="I110" s="988"/>
      <c r="J110" s="989"/>
      <c r="K110" s="989"/>
    </row>
    <row r="111" spans="2:11">
      <c r="B111" s="165"/>
      <c r="C111" s="1026" t="s">
        <v>772</v>
      </c>
      <c r="D111" s="1020" t="s">
        <v>1480</v>
      </c>
      <c r="E111" s="1027">
        <v>13134</v>
      </c>
      <c r="F111" s="1028">
        <v>12944</v>
      </c>
      <c r="H111" s="988"/>
      <c r="I111" s="988"/>
      <c r="J111" s="989"/>
      <c r="K111" s="989"/>
    </row>
    <row r="112" spans="2:11">
      <c r="B112" s="165"/>
      <c r="C112" s="1026" t="s">
        <v>773</v>
      </c>
      <c r="D112" s="1020" t="s">
        <v>1481</v>
      </c>
      <c r="E112" s="1027">
        <v>11595</v>
      </c>
      <c r="F112" s="1028">
        <v>11807</v>
      </c>
      <c r="H112" s="988"/>
      <c r="I112" s="988"/>
      <c r="J112" s="989"/>
      <c r="K112" s="989"/>
    </row>
    <row r="113" spans="2:11">
      <c r="B113" s="165"/>
      <c r="C113" s="1026" t="s">
        <v>775</v>
      </c>
      <c r="D113" s="1020" t="s">
        <v>1482</v>
      </c>
      <c r="E113" s="1027">
        <v>12873</v>
      </c>
      <c r="F113" s="1028">
        <v>13109</v>
      </c>
      <c r="H113" s="988"/>
      <c r="I113" s="988"/>
      <c r="J113" s="989"/>
      <c r="K113" s="989"/>
    </row>
    <row r="114" spans="2:11">
      <c r="B114" s="165"/>
      <c r="C114" s="1026" t="s">
        <v>776</v>
      </c>
      <c r="D114" s="1020" t="s">
        <v>1483</v>
      </c>
      <c r="E114" s="1027">
        <v>12038</v>
      </c>
      <c r="F114" s="1028">
        <v>12269</v>
      </c>
      <c r="H114" s="988"/>
      <c r="I114" s="988"/>
      <c r="J114" s="989"/>
      <c r="K114" s="989"/>
    </row>
    <row r="115" spans="2:11">
      <c r="B115" s="165"/>
      <c r="C115" s="1026" t="s">
        <v>777</v>
      </c>
      <c r="D115" s="1020" t="s">
        <v>1484</v>
      </c>
      <c r="E115" s="1027">
        <v>12325</v>
      </c>
      <c r="F115" s="1028">
        <v>12523</v>
      </c>
      <c r="H115" s="988"/>
      <c r="I115" s="988"/>
      <c r="J115" s="989"/>
      <c r="K115" s="989"/>
    </row>
    <row r="116" spans="2:11">
      <c r="B116" s="165"/>
      <c r="C116" s="1026" t="s">
        <v>778</v>
      </c>
      <c r="D116" s="1020" t="s">
        <v>1485</v>
      </c>
      <c r="E116" s="1027">
        <v>14711</v>
      </c>
      <c r="F116" s="1028">
        <v>15158</v>
      </c>
      <c r="H116" s="988"/>
      <c r="I116" s="988"/>
      <c r="J116" s="989"/>
      <c r="K116" s="989"/>
    </row>
    <row r="117" spans="2:11">
      <c r="B117" s="165"/>
      <c r="C117" s="1026" t="s">
        <v>779</v>
      </c>
      <c r="D117" s="1020" t="s">
        <v>1486</v>
      </c>
      <c r="E117" s="1027">
        <v>15728</v>
      </c>
      <c r="F117" s="1028">
        <v>17038</v>
      </c>
      <c r="H117" s="988"/>
      <c r="I117" s="988"/>
      <c r="J117" s="989"/>
      <c r="K117" s="989"/>
    </row>
    <row r="118" spans="2:11">
      <c r="B118" s="165"/>
      <c r="C118" s="1026" t="s">
        <v>780</v>
      </c>
      <c r="D118" s="1020" t="s">
        <v>1487</v>
      </c>
      <c r="E118" s="1027">
        <v>12878</v>
      </c>
      <c r="F118" s="1028">
        <v>13375</v>
      </c>
      <c r="H118" s="988"/>
      <c r="I118" s="988"/>
      <c r="J118" s="989"/>
      <c r="K118" s="989"/>
    </row>
    <row r="119" spans="2:11">
      <c r="B119" s="165"/>
      <c r="C119" s="1026" t="s">
        <v>781</v>
      </c>
      <c r="D119" s="1020" t="s">
        <v>1488</v>
      </c>
      <c r="E119" s="1027">
        <v>11500</v>
      </c>
      <c r="F119" s="1028">
        <v>11762</v>
      </c>
      <c r="H119" s="988"/>
      <c r="I119" s="988"/>
      <c r="J119" s="989"/>
      <c r="K119" s="989"/>
    </row>
    <row r="120" spans="2:11">
      <c r="B120" s="165"/>
      <c r="C120" s="1026" t="s">
        <v>782</v>
      </c>
      <c r="D120" s="1020" t="s">
        <v>1489</v>
      </c>
      <c r="E120" s="1027">
        <v>14201</v>
      </c>
      <c r="F120" s="1028">
        <v>14259</v>
      </c>
      <c r="H120" s="988"/>
      <c r="I120" s="988"/>
      <c r="J120" s="989"/>
      <c r="K120" s="989"/>
    </row>
    <row r="121" spans="2:11">
      <c r="B121" s="165"/>
      <c r="C121" s="1026" t="s">
        <v>783</v>
      </c>
      <c r="D121" s="1020" t="s">
        <v>1490</v>
      </c>
      <c r="E121" s="1027">
        <v>11276</v>
      </c>
      <c r="F121" s="1028">
        <v>11924</v>
      </c>
      <c r="H121" s="988"/>
      <c r="I121" s="988"/>
      <c r="J121" s="989"/>
      <c r="K121" s="989"/>
    </row>
    <row r="122" spans="2:11">
      <c r="B122" s="165"/>
      <c r="C122" s="1026" t="s">
        <v>784</v>
      </c>
      <c r="D122" s="1020" t="s">
        <v>1491</v>
      </c>
      <c r="E122" s="1027">
        <v>15456</v>
      </c>
      <c r="F122" s="1028">
        <v>16094</v>
      </c>
      <c r="H122" s="988"/>
      <c r="I122" s="988"/>
      <c r="J122" s="989"/>
      <c r="K122" s="989"/>
    </row>
    <row r="123" spans="2:11">
      <c r="B123" s="165"/>
      <c r="C123" s="1026" t="s">
        <v>785</v>
      </c>
      <c r="D123" s="1020" t="s">
        <v>1492</v>
      </c>
      <c r="E123" s="1027">
        <v>12660</v>
      </c>
      <c r="F123" s="1028">
        <v>13021</v>
      </c>
      <c r="H123" s="988"/>
      <c r="I123" s="988"/>
      <c r="J123" s="989"/>
      <c r="K123" s="989"/>
    </row>
    <row r="124" spans="2:11">
      <c r="B124" s="165"/>
      <c r="C124" s="1026" t="s">
        <v>786</v>
      </c>
      <c r="D124" s="1020" t="s">
        <v>1493</v>
      </c>
      <c r="E124" s="1027">
        <v>18179</v>
      </c>
      <c r="F124" s="1028">
        <v>18641</v>
      </c>
      <c r="H124" s="988"/>
      <c r="I124" s="988"/>
      <c r="J124" s="989"/>
      <c r="K124" s="989"/>
    </row>
    <row r="125" spans="2:11">
      <c r="B125" s="165"/>
      <c r="C125" s="1026" t="s">
        <v>787</v>
      </c>
      <c r="D125" s="1020" t="s">
        <v>1494</v>
      </c>
      <c r="E125" s="1027">
        <v>13257</v>
      </c>
      <c r="F125" s="1028">
        <v>13827</v>
      </c>
      <c r="H125" s="988"/>
      <c r="I125" s="988"/>
      <c r="J125" s="989"/>
      <c r="K125" s="989"/>
    </row>
    <row r="126" spans="2:11">
      <c r="B126" s="165"/>
      <c r="C126" s="1026" t="s">
        <v>788</v>
      </c>
      <c r="D126" s="1020" t="s">
        <v>1495</v>
      </c>
      <c r="E126" s="1027">
        <v>16766</v>
      </c>
      <c r="F126" s="1028">
        <v>17096</v>
      </c>
      <c r="H126" s="988"/>
      <c r="I126" s="988"/>
      <c r="J126" s="989"/>
      <c r="K126" s="989"/>
    </row>
    <row r="127" spans="2:11">
      <c r="B127" s="165"/>
      <c r="C127" s="1026" t="s">
        <v>789</v>
      </c>
      <c r="D127" s="1020" t="s">
        <v>1496</v>
      </c>
      <c r="E127" s="1027">
        <v>16122</v>
      </c>
      <c r="F127" s="1028">
        <v>16472</v>
      </c>
      <c r="H127" s="988"/>
      <c r="I127" s="988"/>
      <c r="J127" s="989"/>
      <c r="K127" s="989"/>
    </row>
    <row r="128" spans="2:11">
      <c r="B128" s="165"/>
      <c r="C128" s="1026" t="s">
        <v>790</v>
      </c>
      <c r="D128" s="1020" t="s">
        <v>1497</v>
      </c>
      <c r="E128" s="1027">
        <v>13052</v>
      </c>
      <c r="F128" s="1028">
        <v>13615</v>
      </c>
      <c r="H128" s="988"/>
      <c r="I128" s="988"/>
      <c r="J128" s="989"/>
      <c r="K128" s="989"/>
    </row>
    <row r="129" spans="2:11">
      <c r="B129" s="165"/>
      <c r="C129" s="1026" t="s">
        <v>791</v>
      </c>
      <c r="D129" s="1020" t="s">
        <v>1498</v>
      </c>
      <c r="E129" s="1027">
        <v>14233</v>
      </c>
      <c r="F129" s="1028">
        <v>14664</v>
      </c>
      <c r="H129" s="988"/>
      <c r="I129" s="988"/>
      <c r="J129" s="989"/>
      <c r="K129" s="989"/>
    </row>
    <row r="130" spans="2:11">
      <c r="B130" s="165"/>
      <c r="C130" s="1026" t="s">
        <v>792</v>
      </c>
      <c r="D130" s="1020" t="s">
        <v>1499</v>
      </c>
      <c r="E130" s="1027">
        <v>21013</v>
      </c>
      <c r="F130" s="1028">
        <v>21234</v>
      </c>
      <c r="H130" s="988"/>
      <c r="I130" s="988"/>
      <c r="J130" s="989"/>
      <c r="K130" s="989"/>
    </row>
    <row r="131" spans="2:11">
      <c r="B131" s="165"/>
      <c r="C131" s="1026" t="s">
        <v>793</v>
      </c>
      <c r="D131" s="1020" t="s">
        <v>1500</v>
      </c>
      <c r="E131" s="1027">
        <v>20860</v>
      </c>
      <c r="F131" s="1028">
        <v>21630</v>
      </c>
      <c r="H131" s="988"/>
      <c r="I131" s="988"/>
      <c r="J131" s="989"/>
      <c r="K131" s="989"/>
    </row>
    <row r="132" spans="2:11">
      <c r="B132" s="165"/>
      <c r="C132" s="1026" t="s">
        <v>794</v>
      </c>
      <c r="D132" s="1020" t="s">
        <v>1501</v>
      </c>
      <c r="E132" s="1027">
        <v>16451</v>
      </c>
      <c r="F132" s="1028">
        <v>16226</v>
      </c>
      <c r="H132" s="988"/>
      <c r="I132" s="988"/>
      <c r="J132" s="989"/>
      <c r="K132" s="989"/>
    </row>
    <row r="133" spans="2:11">
      <c r="B133" s="165"/>
      <c r="C133" s="1026" t="s">
        <v>736</v>
      </c>
      <c r="D133" s="1020" t="s">
        <v>1502</v>
      </c>
      <c r="E133" s="1027">
        <v>15376</v>
      </c>
      <c r="F133" s="1028">
        <v>15780</v>
      </c>
      <c r="H133" s="988"/>
      <c r="I133" s="988"/>
      <c r="J133" s="989"/>
      <c r="K133" s="989"/>
    </row>
    <row r="134" spans="2:11">
      <c r="B134" s="165"/>
      <c r="C134" s="1026" t="s">
        <v>795</v>
      </c>
      <c r="D134" s="1020" t="s">
        <v>1503</v>
      </c>
      <c r="E134" s="1027">
        <v>18139</v>
      </c>
      <c r="F134" s="1028">
        <v>18484</v>
      </c>
      <c r="H134" s="988"/>
      <c r="I134" s="988"/>
      <c r="J134" s="989"/>
      <c r="K134" s="989"/>
    </row>
    <row r="135" spans="2:11">
      <c r="B135" s="165"/>
      <c r="C135" s="1026" t="s">
        <v>796</v>
      </c>
      <c r="D135" s="1020" t="s">
        <v>1504</v>
      </c>
      <c r="E135" s="1027">
        <v>13657</v>
      </c>
      <c r="F135" s="1028">
        <v>14060</v>
      </c>
      <c r="H135" s="988"/>
      <c r="I135" s="988"/>
      <c r="J135" s="989"/>
      <c r="K135" s="989"/>
    </row>
    <row r="136" spans="2:11">
      <c r="B136" s="165"/>
      <c r="C136" s="1026" t="s">
        <v>797</v>
      </c>
      <c r="D136" s="1020" t="s">
        <v>1505</v>
      </c>
      <c r="E136" s="1027">
        <v>11167</v>
      </c>
      <c r="F136" s="1028">
        <v>11278</v>
      </c>
      <c r="H136" s="988"/>
      <c r="I136" s="988"/>
      <c r="J136" s="989"/>
      <c r="K136" s="989"/>
    </row>
    <row r="137" spans="2:11">
      <c r="B137" s="165"/>
      <c r="C137" s="1026" t="s">
        <v>798</v>
      </c>
      <c r="D137" s="1020" t="s">
        <v>1506</v>
      </c>
      <c r="E137" s="1027">
        <v>17623</v>
      </c>
      <c r="F137" s="1028">
        <v>18229</v>
      </c>
      <c r="H137" s="988"/>
      <c r="I137" s="988"/>
      <c r="J137" s="989"/>
      <c r="K137" s="989"/>
    </row>
    <row r="138" spans="2:11">
      <c r="B138" s="165"/>
      <c r="C138" s="1026" t="s">
        <v>799</v>
      </c>
      <c r="D138" s="1020" t="s">
        <v>1507</v>
      </c>
      <c r="E138" s="1027">
        <v>11561</v>
      </c>
      <c r="F138" s="1028">
        <v>11929</v>
      </c>
      <c r="H138" s="988"/>
      <c r="I138" s="988"/>
      <c r="J138" s="989"/>
      <c r="K138" s="989"/>
    </row>
    <row r="139" spans="2:11">
      <c r="B139" s="165"/>
      <c r="C139" s="1026" t="s">
        <v>800</v>
      </c>
      <c r="D139" s="1020" t="s">
        <v>1508</v>
      </c>
      <c r="E139" s="1027">
        <v>12725</v>
      </c>
      <c r="F139" s="1028">
        <v>12843</v>
      </c>
      <c r="H139" s="988"/>
      <c r="I139" s="988"/>
      <c r="J139" s="989"/>
      <c r="K139" s="989"/>
    </row>
    <row r="140" spans="2:11">
      <c r="B140" s="165"/>
      <c r="C140" s="1026" t="s">
        <v>801</v>
      </c>
      <c r="D140" s="1020" t="s">
        <v>1509</v>
      </c>
      <c r="E140" s="1027">
        <v>12915</v>
      </c>
      <c r="F140" s="1028">
        <v>13242</v>
      </c>
      <c r="H140" s="988"/>
      <c r="I140" s="988"/>
      <c r="J140" s="989"/>
      <c r="K140" s="989"/>
    </row>
    <row r="141" spans="2:11">
      <c r="B141" s="165"/>
      <c r="C141" s="1026" t="s">
        <v>802</v>
      </c>
      <c r="D141" s="1020" t="s">
        <v>1510</v>
      </c>
      <c r="E141" s="1027">
        <v>11600</v>
      </c>
      <c r="F141" s="1028">
        <v>12043</v>
      </c>
      <c r="H141" s="988"/>
      <c r="I141" s="988"/>
      <c r="J141" s="989"/>
      <c r="K141" s="989"/>
    </row>
    <row r="142" spans="2:11">
      <c r="B142" s="165"/>
      <c r="C142" s="1026" t="s">
        <v>803</v>
      </c>
      <c r="D142" s="1020" t="s">
        <v>1511</v>
      </c>
      <c r="E142" s="1027">
        <v>13308</v>
      </c>
      <c r="F142" s="1028">
        <v>13661</v>
      </c>
      <c r="H142" s="988"/>
      <c r="I142" s="988"/>
      <c r="J142" s="989"/>
      <c r="K142" s="989"/>
    </row>
    <row r="143" spans="2:11">
      <c r="B143" s="165"/>
      <c r="C143" s="1026" t="s">
        <v>804</v>
      </c>
      <c r="D143" s="1020" t="s">
        <v>1512</v>
      </c>
      <c r="E143" s="1027">
        <v>16949</v>
      </c>
      <c r="F143" s="1028">
        <v>17200</v>
      </c>
      <c r="H143" s="988"/>
      <c r="I143" s="988"/>
      <c r="J143" s="989"/>
      <c r="K143" s="989"/>
    </row>
    <row r="144" spans="2:11">
      <c r="B144" s="165"/>
      <c r="C144" s="1026" t="s">
        <v>805</v>
      </c>
      <c r="D144" s="1020" t="s">
        <v>1513</v>
      </c>
      <c r="E144" s="1027">
        <v>18205</v>
      </c>
      <c r="F144" s="1028">
        <v>18940</v>
      </c>
      <c r="H144" s="988"/>
      <c r="I144" s="988"/>
      <c r="J144" s="989"/>
      <c r="K144" s="989"/>
    </row>
    <row r="145" spans="2:11">
      <c r="B145" s="165"/>
      <c r="C145" s="1026" t="s">
        <v>806</v>
      </c>
      <c r="D145" s="1020" t="s">
        <v>1514</v>
      </c>
      <c r="E145" s="1027">
        <v>13495</v>
      </c>
      <c r="F145" s="1028">
        <v>14136</v>
      </c>
      <c r="H145" s="988"/>
      <c r="I145" s="988"/>
      <c r="J145" s="989"/>
      <c r="K145" s="989"/>
    </row>
    <row r="146" spans="2:11">
      <c r="B146" s="165"/>
      <c r="C146" s="1026" t="s">
        <v>808</v>
      </c>
      <c r="D146" s="1020" t="s">
        <v>1515</v>
      </c>
      <c r="E146" s="1027">
        <v>12814</v>
      </c>
      <c r="F146" s="1028">
        <v>13400</v>
      </c>
      <c r="H146" s="988"/>
      <c r="I146" s="988"/>
      <c r="J146" s="989"/>
      <c r="K146" s="989"/>
    </row>
    <row r="147" spans="2:11">
      <c r="B147" s="165"/>
      <c r="C147" s="1026" t="s">
        <v>809</v>
      </c>
      <c r="D147" s="1020" t="s">
        <v>1516</v>
      </c>
      <c r="E147" s="1027">
        <v>16547</v>
      </c>
      <c r="F147" s="1028">
        <v>16635</v>
      </c>
      <c r="H147" s="988"/>
      <c r="I147" s="988"/>
      <c r="J147" s="989"/>
      <c r="K147" s="989"/>
    </row>
    <row r="148" spans="2:11">
      <c r="B148" s="165"/>
      <c r="C148" s="1026" t="s">
        <v>810</v>
      </c>
      <c r="D148" s="1020" t="s">
        <v>1517</v>
      </c>
      <c r="E148" s="1027">
        <v>15660</v>
      </c>
      <c r="F148" s="1028">
        <v>15600</v>
      </c>
      <c r="H148" s="988"/>
      <c r="I148" s="988"/>
      <c r="J148" s="989"/>
      <c r="K148" s="989"/>
    </row>
    <row r="149" spans="2:11">
      <c r="B149" s="165"/>
      <c r="C149" s="1026" t="s">
        <v>811</v>
      </c>
      <c r="D149" s="1020" t="s">
        <v>1518</v>
      </c>
      <c r="E149" s="1027">
        <v>11310</v>
      </c>
      <c r="F149" s="1028">
        <v>11538</v>
      </c>
      <c r="H149" s="988"/>
      <c r="I149" s="988"/>
      <c r="J149" s="989"/>
      <c r="K149" s="989"/>
    </row>
    <row r="150" spans="2:11">
      <c r="B150" s="165"/>
      <c r="C150" s="1026" t="s">
        <v>812</v>
      </c>
      <c r="D150" s="1020" t="s">
        <v>1519</v>
      </c>
      <c r="E150" s="1027">
        <v>15199</v>
      </c>
      <c r="F150" s="1028">
        <v>15029</v>
      </c>
      <c r="H150" s="988"/>
      <c r="I150" s="988"/>
      <c r="J150" s="989"/>
      <c r="K150" s="989"/>
    </row>
    <row r="151" spans="2:11">
      <c r="B151" s="165"/>
      <c r="C151" s="1026" t="s">
        <v>813</v>
      </c>
      <c r="D151" s="1020" t="s">
        <v>1520</v>
      </c>
      <c r="E151" s="1027">
        <v>13063</v>
      </c>
      <c r="F151" s="1028">
        <v>13217</v>
      </c>
      <c r="H151" s="988"/>
      <c r="I151" s="988"/>
      <c r="J151" s="989"/>
      <c r="K151" s="989"/>
    </row>
    <row r="152" spans="2:11">
      <c r="B152" s="165"/>
      <c r="C152" s="1026" t="s">
        <v>814</v>
      </c>
      <c r="D152" s="1020" t="s">
        <v>1521</v>
      </c>
      <c r="E152" s="1027">
        <v>21320</v>
      </c>
      <c r="F152" s="1028">
        <v>22177</v>
      </c>
      <c r="H152" s="988"/>
      <c r="I152" s="988"/>
      <c r="J152" s="989"/>
      <c r="K152" s="989"/>
    </row>
    <row r="153" spans="2:11">
      <c r="B153" s="165"/>
      <c r="C153" s="1026" t="s">
        <v>815</v>
      </c>
      <c r="D153" s="1020" t="s">
        <v>1522</v>
      </c>
      <c r="E153" s="1027">
        <v>11203</v>
      </c>
      <c r="F153" s="1028">
        <v>11045</v>
      </c>
      <c r="H153" s="988"/>
      <c r="I153" s="988"/>
      <c r="J153" s="989"/>
      <c r="K153" s="989"/>
    </row>
    <row r="154" spans="2:11">
      <c r="B154" s="165"/>
      <c r="C154" s="1026" t="s">
        <v>816</v>
      </c>
      <c r="D154" s="1020" t="s">
        <v>1523</v>
      </c>
      <c r="E154" s="1027">
        <v>13134</v>
      </c>
      <c r="F154" s="1028">
        <v>13390</v>
      </c>
      <c r="H154" s="988"/>
      <c r="I154" s="988"/>
      <c r="J154" s="989"/>
      <c r="K154" s="989"/>
    </row>
    <row r="155" spans="2:11">
      <c r="B155" s="165"/>
      <c r="C155" s="1026" t="s">
        <v>817</v>
      </c>
      <c r="D155" s="1020" t="s">
        <v>1524</v>
      </c>
      <c r="E155" s="1027">
        <v>18511</v>
      </c>
      <c r="F155" s="1028">
        <v>19931</v>
      </c>
      <c r="H155" s="988"/>
      <c r="I155" s="988"/>
      <c r="J155" s="989"/>
      <c r="K155" s="989"/>
    </row>
    <row r="156" spans="2:11">
      <c r="B156" s="165"/>
      <c r="C156" s="1026" t="s">
        <v>818</v>
      </c>
      <c r="D156" s="1020" t="s">
        <v>1525</v>
      </c>
      <c r="E156" s="1027">
        <v>12850</v>
      </c>
      <c r="F156" s="1028">
        <v>13026</v>
      </c>
      <c r="H156" s="988"/>
      <c r="I156" s="988"/>
      <c r="J156" s="989"/>
      <c r="K156" s="989"/>
    </row>
    <row r="157" spans="2:11">
      <c r="B157" s="165"/>
      <c r="C157" s="1026" t="s">
        <v>819</v>
      </c>
      <c r="D157" s="1020" t="s">
        <v>1526</v>
      </c>
      <c r="E157" s="1027">
        <v>10090</v>
      </c>
      <c r="F157" s="1028">
        <v>10253</v>
      </c>
      <c r="H157" s="988"/>
      <c r="I157" s="988"/>
      <c r="J157" s="989"/>
      <c r="K157" s="989"/>
    </row>
    <row r="158" spans="2:11">
      <c r="B158" s="165"/>
      <c r="C158" s="1026" t="s">
        <v>820</v>
      </c>
      <c r="D158" s="1020" t="s">
        <v>1527</v>
      </c>
      <c r="E158" s="1027">
        <v>10368</v>
      </c>
      <c r="F158" s="1028">
        <v>10374</v>
      </c>
      <c r="H158" s="988"/>
      <c r="I158" s="988"/>
      <c r="J158" s="989"/>
      <c r="K158" s="989"/>
    </row>
    <row r="159" spans="2:11">
      <c r="B159" s="165"/>
      <c r="C159" s="1026" t="s">
        <v>821</v>
      </c>
      <c r="D159" s="1020" t="s">
        <v>1528</v>
      </c>
      <c r="E159" s="1027">
        <v>14786</v>
      </c>
      <c r="F159" s="1028">
        <v>15391</v>
      </c>
      <c r="H159" s="988"/>
      <c r="I159" s="988"/>
      <c r="J159" s="989"/>
      <c r="K159" s="989"/>
    </row>
    <row r="160" spans="2:11">
      <c r="B160" s="165"/>
      <c r="C160" s="1026" t="s">
        <v>822</v>
      </c>
      <c r="D160" s="1020" t="s">
        <v>1529</v>
      </c>
      <c r="E160" s="1027">
        <v>11516</v>
      </c>
      <c r="F160" s="1028">
        <v>12126</v>
      </c>
      <c r="H160" s="988"/>
      <c r="I160" s="988"/>
      <c r="J160" s="989"/>
      <c r="K160" s="989"/>
    </row>
    <row r="161" spans="2:11">
      <c r="B161" s="165"/>
      <c r="C161" s="1026" t="s">
        <v>824</v>
      </c>
      <c r="D161" s="1020" t="s">
        <v>1530</v>
      </c>
      <c r="E161" s="1027">
        <v>13493</v>
      </c>
      <c r="F161" s="1028">
        <v>13818</v>
      </c>
      <c r="H161" s="988"/>
      <c r="I161" s="988"/>
      <c r="J161" s="989"/>
      <c r="K161" s="989"/>
    </row>
    <row r="162" spans="2:11">
      <c r="B162" s="165"/>
      <c r="C162" s="1026" t="s">
        <v>825</v>
      </c>
      <c r="D162" s="1020" t="s">
        <v>1531</v>
      </c>
      <c r="E162" s="1027">
        <v>24970</v>
      </c>
      <c r="F162" s="1028">
        <v>25462</v>
      </c>
      <c r="H162" s="988"/>
      <c r="I162" s="988"/>
      <c r="J162" s="989"/>
      <c r="K162" s="989"/>
    </row>
    <row r="163" spans="2:11">
      <c r="B163" s="165"/>
      <c r="C163" s="1026" t="s">
        <v>826</v>
      </c>
      <c r="D163" s="1020" t="s">
        <v>1532</v>
      </c>
      <c r="E163" s="1027">
        <v>13549</v>
      </c>
      <c r="F163" s="1028">
        <v>13981</v>
      </c>
      <c r="H163" s="988"/>
      <c r="I163" s="988"/>
      <c r="J163" s="989"/>
      <c r="K163" s="989"/>
    </row>
    <row r="164" spans="2:11">
      <c r="B164" s="165"/>
      <c r="C164" s="1026" t="s">
        <v>827</v>
      </c>
      <c r="D164" s="1020" t="s">
        <v>1533</v>
      </c>
      <c r="E164" s="1027">
        <v>15107</v>
      </c>
      <c r="F164" s="1028">
        <v>15228</v>
      </c>
      <c r="H164" s="988"/>
      <c r="I164" s="988"/>
      <c r="J164" s="989"/>
      <c r="K164" s="989"/>
    </row>
    <row r="165" spans="2:11">
      <c r="B165" s="165"/>
      <c r="C165" s="1026" t="s">
        <v>828</v>
      </c>
      <c r="D165" s="1020" t="s">
        <v>1534</v>
      </c>
      <c r="E165" s="1027">
        <v>17196</v>
      </c>
      <c r="F165" s="1028">
        <v>17471</v>
      </c>
      <c r="H165" s="988"/>
      <c r="I165" s="988"/>
      <c r="J165" s="989"/>
      <c r="K165" s="989"/>
    </row>
    <row r="166" spans="2:11">
      <c r="B166" s="165"/>
      <c r="C166" s="1026" t="s">
        <v>829</v>
      </c>
      <c r="D166" s="1020" t="s">
        <v>1535</v>
      </c>
      <c r="E166" s="1027">
        <v>17486</v>
      </c>
      <c r="F166" s="1028">
        <v>17956</v>
      </c>
      <c r="H166" s="988"/>
      <c r="I166" s="988"/>
      <c r="J166" s="989"/>
      <c r="K166" s="989"/>
    </row>
    <row r="167" spans="2:11">
      <c r="B167" s="165"/>
      <c r="C167" s="1026" t="s">
        <v>830</v>
      </c>
      <c r="D167" s="1020" t="s">
        <v>1536</v>
      </c>
      <c r="E167" s="1027">
        <v>23447</v>
      </c>
      <c r="F167" s="1028">
        <v>23025</v>
      </c>
      <c r="H167" s="988"/>
      <c r="I167" s="988"/>
      <c r="J167" s="989"/>
      <c r="K167" s="989"/>
    </row>
    <row r="168" spans="2:11">
      <c r="B168" s="165"/>
      <c r="C168" s="1026" t="s">
        <v>831</v>
      </c>
      <c r="D168" s="1020" t="s">
        <v>1537</v>
      </c>
      <c r="E168" s="1027">
        <v>18042</v>
      </c>
      <c r="F168" s="1028">
        <v>17234</v>
      </c>
      <c r="H168" s="988"/>
      <c r="I168" s="988"/>
      <c r="J168" s="989"/>
      <c r="K168" s="989"/>
    </row>
    <row r="169" spans="2:11">
      <c r="B169" s="165"/>
      <c r="C169" s="1026" t="s">
        <v>832</v>
      </c>
      <c r="D169" s="1020" t="s">
        <v>1538</v>
      </c>
      <c r="E169" s="1027">
        <v>14300</v>
      </c>
      <c r="F169" s="1028">
        <v>14647</v>
      </c>
      <c r="H169" s="988"/>
      <c r="I169" s="988"/>
      <c r="J169" s="989"/>
      <c r="K169" s="989"/>
    </row>
    <row r="170" spans="2:11">
      <c r="B170" s="165"/>
      <c r="C170" s="1026" t="s">
        <v>833</v>
      </c>
      <c r="D170" s="1020" t="s">
        <v>1539</v>
      </c>
      <c r="E170" s="1027">
        <v>19639</v>
      </c>
      <c r="F170" s="1028">
        <v>20051</v>
      </c>
      <c r="H170" s="988"/>
      <c r="I170" s="988"/>
      <c r="J170" s="989"/>
      <c r="K170" s="989"/>
    </row>
    <row r="171" spans="2:11">
      <c r="B171" s="165"/>
      <c r="C171" s="1026" t="s">
        <v>834</v>
      </c>
      <c r="D171" s="1020" t="s">
        <v>1540</v>
      </c>
      <c r="E171" s="1027">
        <v>15808</v>
      </c>
      <c r="F171" s="1028">
        <v>16309</v>
      </c>
      <c r="H171" s="988"/>
      <c r="I171" s="988"/>
      <c r="J171" s="989"/>
      <c r="K171" s="989"/>
    </row>
    <row r="172" spans="2:11">
      <c r="B172" s="165"/>
      <c r="C172" s="1026" t="s">
        <v>835</v>
      </c>
      <c r="D172" s="1020" t="s">
        <v>1541</v>
      </c>
      <c r="E172" s="1027">
        <v>22568</v>
      </c>
      <c r="F172" s="1028">
        <v>22710</v>
      </c>
      <c r="H172" s="988"/>
      <c r="I172" s="988"/>
      <c r="J172" s="989"/>
      <c r="K172" s="989"/>
    </row>
    <row r="173" spans="2:11">
      <c r="B173" s="165"/>
      <c r="C173" s="1026" t="s">
        <v>836</v>
      </c>
      <c r="D173" s="1020" t="s">
        <v>1542</v>
      </c>
      <c r="E173" s="1027">
        <v>19579</v>
      </c>
      <c r="F173" s="1028">
        <v>20204</v>
      </c>
      <c r="H173" s="988"/>
      <c r="I173" s="988"/>
      <c r="J173" s="989"/>
      <c r="K173" s="989"/>
    </row>
    <row r="174" spans="2:11">
      <c r="B174" s="165"/>
      <c r="C174" s="1026" t="s">
        <v>837</v>
      </c>
      <c r="D174" s="1020" t="s">
        <v>1543</v>
      </c>
      <c r="E174" s="1027">
        <v>13658</v>
      </c>
      <c r="F174" s="1028">
        <v>14193</v>
      </c>
      <c r="H174" s="988"/>
      <c r="I174" s="988"/>
      <c r="J174" s="989"/>
      <c r="K174" s="989"/>
    </row>
    <row r="175" spans="2:11">
      <c r="B175" s="165"/>
      <c r="C175" s="1026" t="s">
        <v>838</v>
      </c>
      <c r="D175" s="1020" t="s">
        <v>1544</v>
      </c>
      <c r="E175" s="1027">
        <v>11525</v>
      </c>
      <c r="F175" s="1028">
        <v>12097</v>
      </c>
      <c r="H175" s="988"/>
      <c r="I175" s="988"/>
      <c r="J175" s="989"/>
      <c r="K175" s="989"/>
    </row>
    <row r="176" spans="2:11">
      <c r="B176" s="165"/>
      <c r="C176" s="1026" t="s">
        <v>839</v>
      </c>
      <c r="D176" s="1020" t="s">
        <v>1545</v>
      </c>
      <c r="E176" s="1027">
        <v>20077</v>
      </c>
      <c r="F176" s="1028">
        <v>20605</v>
      </c>
      <c r="H176" s="988"/>
      <c r="I176" s="988"/>
      <c r="J176" s="989"/>
      <c r="K176" s="989"/>
    </row>
    <row r="177" spans="2:11">
      <c r="B177" s="165"/>
      <c r="C177" s="1026" t="s">
        <v>840</v>
      </c>
      <c r="D177" s="1020" t="s">
        <v>1546</v>
      </c>
      <c r="E177" s="1027">
        <v>23481</v>
      </c>
      <c r="F177" s="1028">
        <v>23504</v>
      </c>
      <c r="H177" s="988"/>
      <c r="I177" s="988"/>
      <c r="J177" s="989"/>
      <c r="K177" s="989"/>
    </row>
    <row r="178" spans="2:11">
      <c r="B178" s="165"/>
      <c r="C178" s="1026" t="s">
        <v>841</v>
      </c>
      <c r="D178" s="1020" t="s">
        <v>1547</v>
      </c>
      <c r="E178" s="1027">
        <v>12982</v>
      </c>
      <c r="F178" s="1028">
        <v>13638</v>
      </c>
      <c r="H178" s="988"/>
      <c r="I178" s="988"/>
      <c r="J178" s="989"/>
      <c r="K178" s="989"/>
    </row>
    <row r="179" spans="2:11">
      <c r="B179" s="165"/>
      <c r="C179" s="1026" t="s">
        <v>842</v>
      </c>
      <c r="D179" s="1020" t="s">
        <v>1548</v>
      </c>
      <c r="E179" s="1027">
        <v>11642</v>
      </c>
      <c r="F179" s="1028">
        <v>12406</v>
      </c>
      <c r="H179" s="988"/>
      <c r="I179" s="988"/>
      <c r="J179" s="989"/>
      <c r="K179" s="989"/>
    </row>
    <row r="180" spans="2:11">
      <c r="B180" s="165"/>
      <c r="C180" s="1026" t="s">
        <v>843</v>
      </c>
      <c r="D180" s="1020" t="s">
        <v>1549</v>
      </c>
      <c r="E180" s="1027">
        <v>13357</v>
      </c>
      <c r="F180" s="1028">
        <v>14281</v>
      </c>
      <c r="H180" s="988"/>
      <c r="I180" s="988"/>
      <c r="J180" s="989"/>
      <c r="K180" s="989"/>
    </row>
    <row r="181" spans="2:11">
      <c r="B181" s="165"/>
      <c r="C181" s="1026" t="s">
        <v>844</v>
      </c>
      <c r="D181" s="1020" t="s">
        <v>1550</v>
      </c>
      <c r="E181" s="1027">
        <v>14145</v>
      </c>
      <c r="F181" s="1028">
        <v>13146</v>
      </c>
      <c r="H181" s="988"/>
      <c r="I181" s="988"/>
      <c r="J181" s="989"/>
      <c r="K181" s="989"/>
    </row>
    <row r="182" spans="2:11">
      <c r="B182" s="165"/>
      <c r="C182" s="1026" t="s">
        <v>845</v>
      </c>
      <c r="D182" s="1020" t="s">
        <v>1551</v>
      </c>
      <c r="E182" s="1027">
        <v>18148</v>
      </c>
      <c r="F182" s="1028">
        <v>18905</v>
      </c>
      <c r="H182" s="988"/>
      <c r="I182" s="988"/>
      <c r="J182" s="989"/>
      <c r="K182" s="989"/>
    </row>
    <row r="183" spans="2:11">
      <c r="B183" s="165"/>
      <c r="C183" s="1026" t="s">
        <v>846</v>
      </c>
      <c r="D183" s="1020" t="s">
        <v>1552</v>
      </c>
      <c r="E183" s="1027">
        <v>12949</v>
      </c>
      <c r="F183" s="1028">
        <v>13525</v>
      </c>
      <c r="H183" s="988"/>
      <c r="I183" s="988"/>
      <c r="J183" s="989"/>
      <c r="K183" s="989"/>
    </row>
    <row r="184" spans="2:11">
      <c r="B184" s="165"/>
      <c r="C184" s="1026" t="s">
        <v>847</v>
      </c>
      <c r="D184" s="1020" t="s">
        <v>1553</v>
      </c>
      <c r="E184" s="1027">
        <v>13029</v>
      </c>
      <c r="F184" s="1028">
        <v>12981</v>
      </c>
      <c r="H184" s="988"/>
      <c r="I184" s="988"/>
      <c r="J184" s="989"/>
      <c r="K184" s="989"/>
    </row>
    <row r="185" spans="2:11">
      <c r="B185" s="165"/>
      <c r="C185" s="1026" t="s">
        <v>848</v>
      </c>
      <c r="D185" s="1020" t="s">
        <v>1554</v>
      </c>
      <c r="E185" s="1027">
        <v>11542</v>
      </c>
      <c r="F185" s="1028">
        <v>11844</v>
      </c>
      <c r="H185" s="988"/>
      <c r="I185" s="988"/>
      <c r="J185" s="989"/>
      <c r="K185" s="989"/>
    </row>
    <row r="186" spans="2:11">
      <c r="B186" s="165"/>
      <c r="C186" s="1026" t="s">
        <v>849</v>
      </c>
      <c r="D186" s="1020" t="s">
        <v>1555</v>
      </c>
      <c r="E186" s="1027">
        <v>15720</v>
      </c>
      <c r="F186" s="1028">
        <v>16052</v>
      </c>
      <c r="H186" s="988"/>
      <c r="I186" s="988"/>
      <c r="J186" s="989"/>
      <c r="K186" s="989"/>
    </row>
    <row r="187" spans="2:11">
      <c r="B187" s="165"/>
      <c r="C187" s="1026" t="s">
        <v>850</v>
      </c>
      <c r="D187" s="1020" t="s">
        <v>1556</v>
      </c>
      <c r="E187" s="1027">
        <v>24769</v>
      </c>
      <c r="F187" s="1028">
        <v>25552</v>
      </c>
      <c r="H187" s="988"/>
      <c r="I187" s="988"/>
      <c r="J187" s="989"/>
      <c r="K187" s="989"/>
    </row>
    <row r="188" spans="2:11">
      <c r="B188" s="165"/>
      <c r="C188" s="1026" t="s">
        <v>851</v>
      </c>
      <c r="D188" s="1020" t="s">
        <v>1557</v>
      </c>
      <c r="E188" s="1027">
        <v>15918</v>
      </c>
      <c r="F188" s="1028">
        <v>16077</v>
      </c>
      <c r="H188" s="988"/>
      <c r="I188" s="988"/>
      <c r="J188" s="989"/>
      <c r="K188" s="989"/>
    </row>
    <row r="189" spans="2:11">
      <c r="B189" s="165"/>
      <c r="C189" s="1026" t="s">
        <v>853</v>
      </c>
      <c r="D189" s="1020" t="s">
        <v>1558</v>
      </c>
      <c r="E189" s="1027">
        <v>13740</v>
      </c>
      <c r="F189" s="1028">
        <v>13818</v>
      </c>
      <c r="H189" s="988"/>
      <c r="I189" s="988"/>
      <c r="J189" s="989"/>
      <c r="K189" s="989"/>
    </row>
    <row r="190" spans="2:11">
      <c r="B190" s="165"/>
      <c r="C190" s="1026" t="s">
        <v>854</v>
      </c>
      <c r="D190" s="1020" t="s">
        <v>1559</v>
      </c>
      <c r="E190" s="1027">
        <v>11875</v>
      </c>
      <c r="F190" s="1028">
        <v>12280</v>
      </c>
      <c r="H190" s="988"/>
      <c r="I190" s="988"/>
      <c r="J190" s="989"/>
      <c r="K190" s="989"/>
    </row>
    <row r="191" spans="2:11">
      <c r="B191" s="165"/>
      <c r="C191" s="1026" t="s">
        <v>855</v>
      </c>
      <c r="D191" s="1020" t="s">
        <v>1560</v>
      </c>
      <c r="E191" s="1027">
        <v>11219</v>
      </c>
      <c r="F191" s="1028">
        <v>11542</v>
      </c>
      <c r="H191" s="988"/>
      <c r="I191" s="988"/>
      <c r="J191" s="989"/>
      <c r="K191" s="989"/>
    </row>
    <row r="192" spans="2:11">
      <c r="B192" s="165"/>
      <c r="C192" s="1026" t="s">
        <v>856</v>
      </c>
      <c r="D192" s="1020" t="s">
        <v>1561</v>
      </c>
      <c r="E192" s="1027">
        <v>20436</v>
      </c>
      <c r="F192" s="1028">
        <v>21341</v>
      </c>
      <c r="H192" s="988"/>
      <c r="I192" s="988"/>
      <c r="J192" s="989"/>
      <c r="K192" s="989"/>
    </row>
    <row r="193" spans="2:11">
      <c r="B193" s="165"/>
      <c r="C193" s="1026" t="s">
        <v>857</v>
      </c>
      <c r="D193" s="1020" t="s">
        <v>1562</v>
      </c>
      <c r="E193" s="1027">
        <v>18908</v>
      </c>
      <c r="F193" s="1028">
        <v>19621</v>
      </c>
      <c r="H193" s="988"/>
      <c r="I193" s="988"/>
      <c r="J193" s="989"/>
      <c r="K193" s="989"/>
    </row>
    <row r="194" spans="2:11">
      <c r="B194" s="165"/>
      <c r="C194" s="1026" t="s">
        <v>858</v>
      </c>
      <c r="D194" s="1020" t="s">
        <v>1563</v>
      </c>
      <c r="E194" s="1027">
        <v>12762</v>
      </c>
      <c r="F194" s="1028">
        <v>13346</v>
      </c>
      <c r="H194" s="988"/>
      <c r="I194" s="988"/>
      <c r="J194" s="989"/>
      <c r="K194" s="989"/>
    </row>
    <row r="195" spans="2:11">
      <c r="B195" s="165"/>
      <c r="C195" s="1026" t="s">
        <v>859</v>
      </c>
      <c r="D195" s="1020" t="s">
        <v>1564</v>
      </c>
      <c r="E195" s="1027">
        <v>10436</v>
      </c>
      <c r="F195" s="1028">
        <v>10869</v>
      </c>
      <c r="H195" s="988"/>
      <c r="I195" s="988"/>
      <c r="J195" s="989"/>
      <c r="K195" s="989"/>
    </row>
    <row r="196" spans="2:11">
      <c r="B196" s="165"/>
      <c r="C196" s="1026" t="s">
        <v>860</v>
      </c>
      <c r="D196" s="1020" t="s">
        <v>1565</v>
      </c>
      <c r="E196" s="1027">
        <v>115110</v>
      </c>
      <c r="F196" s="1028">
        <v>113268</v>
      </c>
      <c r="H196" s="988"/>
      <c r="I196" s="988"/>
      <c r="J196" s="989"/>
      <c r="K196" s="989"/>
    </row>
    <row r="197" spans="2:11">
      <c r="B197" s="165"/>
      <c r="C197" s="1026" t="s">
        <v>861</v>
      </c>
      <c r="D197" s="1020" t="s">
        <v>1566</v>
      </c>
      <c r="E197" s="1027">
        <v>0</v>
      </c>
      <c r="F197" s="1028">
        <v>0</v>
      </c>
      <c r="H197" s="988"/>
      <c r="I197" s="988"/>
      <c r="J197" s="989"/>
      <c r="K197" s="989"/>
    </row>
    <row r="198" spans="2:11">
      <c r="B198" s="165"/>
      <c r="C198" s="1026" t="s">
        <v>862</v>
      </c>
      <c r="D198" s="1020" t="s">
        <v>1567</v>
      </c>
      <c r="E198" s="1027">
        <v>16149</v>
      </c>
      <c r="F198" s="1028">
        <v>16503</v>
      </c>
      <c r="H198" s="988"/>
      <c r="I198" s="988"/>
      <c r="J198" s="989"/>
      <c r="K198" s="989"/>
    </row>
    <row r="199" spans="2:11">
      <c r="B199" s="165"/>
      <c r="C199" s="1026" t="s">
        <v>863</v>
      </c>
      <c r="D199" s="1020" t="s">
        <v>1568</v>
      </c>
      <c r="E199" s="1027">
        <v>15586</v>
      </c>
      <c r="F199" s="1028">
        <v>16108</v>
      </c>
      <c r="H199" s="988"/>
      <c r="I199" s="988"/>
      <c r="J199" s="989"/>
      <c r="K199" s="989"/>
    </row>
    <row r="200" spans="2:11">
      <c r="B200" s="165"/>
      <c r="C200" s="1026" t="s">
        <v>864</v>
      </c>
      <c r="D200" s="1020" t="s">
        <v>1569</v>
      </c>
      <c r="E200" s="1027">
        <v>11311</v>
      </c>
      <c r="F200" s="1028">
        <v>11407</v>
      </c>
      <c r="H200" s="988"/>
      <c r="I200" s="988"/>
      <c r="J200" s="989"/>
      <c r="K200" s="989"/>
    </row>
    <row r="201" spans="2:11">
      <c r="B201" s="165"/>
      <c r="C201" s="1026" t="s">
        <v>865</v>
      </c>
      <c r="D201" s="1020" t="s">
        <v>1570</v>
      </c>
      <c r="E201" s="1027">
        <v>12700</v>
      </c>
      <c r="F201" s="1028">
        <v>13180</v>
      </c>
      <c r="H201" s="988"/>
      <c r="I201" s="988"/>
      <c r="J201" s="989"/>
      <c r="K201" s="989"/>
    </row>
    <row r="202" spans="2:11">
      <c r="B202" s="165"/>
      <c r="C202" s="1026" t="s">
        <v>866</v>
      </c>
      <c r="D202" s="1020" t="s">
        <v>1571</v>
      </c>
      <c r="E202" s="1027">
        <v>14872</v>
      </c>
      <c r="F202" s="1028">
        <v>15126</v>
      </c>
      <c r="H202" s="988"/>
      <c r="I202" s="988"/>
      <c r="J202" s="989"/>
      <c r="K202" s="989"/>
    </row>
    <row r="203" spans="2:11">
      <c r="B203" s="165"/>
      <c r="C203" s="1026" t="s">
        <v>867</v>
      </c>
      <c r="D203" s="1020" t="s">
        <v>1572</v>
      </c>
      <c r="E203" s="1027">
        <v>15275</v>
      </c>
      <c r="F203" s="1028">
        <v>17594</v>
      </c>
      <c r="H203" s="988"/>
      <c r="I203" s="988"/>
      <c r="J203" s="989"/>
      <c r="K203" s="989"/>
    </row>
    <row r="204" spans="2:11">
      <c r="B204" s="165"/>
      <c r="C204" s="1026" t="s">
        <v>868</v>
      </c>
      <c r="D204" s="1020" t="s">
        <v>1573</v>
      </c>
      <c r="E204" s="1027">
        <v>13443</v>
      </c>
      <c r="F204" s="1028">
        <v>13045</v>
      </c>
      <c r="H204" s="988"/>
      <c r="I204" s="988"/>
      <c r="J204" s="989"/>
      <c r="K204" s="989"/>
    </row>
    <row r="205" spans="2:11">
      <c r="B205" s="165"/>
      <c r="C205" s="1026" t="s">
        <v>869</v>
      </c>
      <c r="D205" s="1020" t="s">
        <v>1574</v>
      </c>
      <c r="E205" s="1027">
        <v>10696</v>
      </c>
      <c r="F205" s="1028">
        <v>11208</v>
      </c>
      <c r="H205" s="988"/>
      <c r="I205" s="988"/>
      <c r="J205" s="989"/>
      <c r="K205" s="989"/>
    </row>
    <row r="206" spans="2:11">
      <c r="B206" s="165"/>
      <c r="C206" s="1026" t="s">
        <v>870</v>
      </c>
      <c r="D206" s="1020" t="s">
        <v>1575</v>
      </c>
      <c r="E206" s="1027">
        <v>14814</v>
      </c>
      <c r="F206" s="1028">
        <v>15481</v>
      </c>
      <c r="H206" s="988"/>
      <c r="I206" s="988"/>
      <c r="J206" s="989"/>
      <c r="K206" s="989"/>
    </row>
    <row r="207" spans="2:11">
      <c r="B207" s="165"/>
      <c r="C207" s="1026" t="s">
        <v>871</v>
      </c>
      <c r="D207" s="1020" t="s">
        <v>1576</v>
      </c>
      <c r="E207" s="1027">
        <v>14992</v>
      </c>
      <c r="F207" s="1028">
        <v>15685</v>
      </c>
      <c r="H207" s="988"/>
      <c r="I207" s="988"/>
      <c r="J207" s="989"/>
      <c r="K207" s="989"/>
    </row>
    <row r="208" spans="2:11">
      <c r="B208" s="165"/>
      <c r="C208" s="1026" t="s">
        <v>872</v>
      </c>
      <c r="D208" s="1020" t="s">
        <v>1577</v>
      </c>
      <c r="E208" s="1027">
        <v>12753</v>
      </c>
      <c r="F208" s="1028">
        <v>12903</v>
      </c>
      <c r="H208" s="988"/>
      <c r="I208" s="988"/>
      <c r="J208" s="989"/>
      <c r="K208" s="989"/>
    </row>
    <row r="209" spans="2:11">
      <c r="B209" s="165"/>
      <c r="C209" s="1026" t="s">
        <v>873</v>
      </c>
      <c r="D209" s="1020" t="s">
        <v>1578</v>
      </c>
      <c r="E209" s="1027">
        <v>13749</v>
      </c>
      <c r="F209" s="1028">
        <v>14046</v>
      </c>
      <c r="H209" s="988"/>
      <c r="I209" s="988"/>
      <c r="J209" s="989"/>
      <c r="K209" s="989"/>
    </row>
    <row r="210" spans="2:11">
      <c r="B210" s="165"/>
      <c r="C210" s="1026" t="s">
        <v>874</v>
      </c>
      <c r="D210" s="1020" t="s">
        <v>1579</v>
      </c>
      <c r="E210" s="1027">
        <v>17621</v>
      </c>
      <c r="F210" s="1028">
        <v>17921</v>
      </c>
      <c r="H210" s="988"/>
      <c r="I210" s="988"/>
      <c r="J210" s="989"/>
      <c r="K210" s="989"/>
    </row>
    <row r="211" spans="2:11">
      <c r="B211" s="165"/>
      <c r="C211" s="1026" t="s">
        <v>875</v>
      </c>
      <c r="D211" s="1020" t="s">
        <v>1580</v>
      </c>
      <c r="E211" s="1027">
        <v>11294</v>
      </c>
      <c r="F211" s="1028">
        <v>11698</v>
      </c>
      <c r="H211" s="988"/>
      <c r="I211" s="988"/>
      <c r="J211" s="989"/>
      <c r="K211" s="989"/>
    </row>
    <row r="212" spans="2:11">
      <c r="B212" s="165"/>
      <c r="C212" s="1026" t="s">
        <v>876</v>
      </c>
      <c r="D212" s="1020" t="s">
        <v>1581</v>
      </c>
      <c r="E212" s="1027">
        <v>14595</v>
      </c>
      <c r="F212" s="1028">
        <v>14796</v>
      </c>
      <c r="H212" s="988"/>
      <c r="I212" s="988"/>
      <c r="J212" s="989"/>
      <c r="K212" s="989"/>
    </row>
    <row r="213" spans="2:11">
      <c r="B213" s="165"/>
      <c r="C213" s="1026" t="s">
        <v>877</v>
      </c>
      <c r="D213" s="1020" t="s">
        <v>1582</v>
      </c>
      <c r="E213" s="1027">
        <v>9742</v>
      </c>
      <c r="F213" s="1028">
        <v>10150</v>
      </c>
      <c r="H213" s="988"/>
      <c r="I213" s="988"/>
      <c r="J213" s="989"/>
      <c r="K213" s="989"/>
    </row>
    <row r="214" spans="2:11">
      <c r="B214" s="165"/>
      <c r="C214" s="1026" t="s">
        <v>878</v>
      </c>
      <c r="D214" s="1020" t="s">
        <v>1583</v>
      </c>
      <c r="E214" s="1027">
        <v>12873</v>
      </c>
      <c r="F214" s="1028">
        <v>13336</v>
      </c>
      <c r="H214" s="988"/>
      <c r="I214" s="988"/>
      <c r="J214" s="989"/>
      <c r="K214" s="989"/>
    </row>
    <row r="215" spans="2:11">
      <c r="B215" s="165"/>
      <c r="C215" s="1026" t="s">
        <v>879</v>
      </c>
      <c r="D215" s="1020" t="s">
        <v>1584</v>
      </c>
      <c r="E215" s="1027">
        <v>10850</v>
      </c>
      <c r="F215" s="1028">
        <v>11157</v>
      </c>
      <c r="H215" s="988"/>
      <c r="I215" s="988"/>
      <c r="J215" s="989"/>
      <c r="K215" s="989"/>
    </row>
    <row r="216" spans="2:11">
      <c r="B216" s="165"/>
      <c r="C216" s="1026" t="s">
        <v>880</v>
      </c>
      <c r="D216" s="1020" t="s">
        <v>1585</v>
      </c>
      <c r="E216" s="1027">
        <v>11448</v>
      </c>
      <c r="F216" s="1028">
        <v>11679</v>
      </c>
      <c r="H216" s="988"/>
      <c r="I216" s="988"/>
      <c r="J216" s="989"/>
      <c r="K216" s="989"/>
    </row>
    <row r="217" spans="2:11">
      <c r="B217" s="165"/>
      <c r="C217" s="1026" t="s">
        <v>881</v>
      </c>
      <c r="D217" s="1020" t="s">
        <v>1586</v>
      </c>
      <c r="E217" s="1027">
        <v>18599</v>
      </c>
      <c r="F217" s="1028">
        <v>19064</v>
      </c>
      <c r="H217" s="988"/>
      <c r="I217" s="988"/>
      <c r="J217" s="989"/>
      <c r="K217" s="989"/>
    </row>
    <row r="218" spans="2:11">
      <c r="B218" s="165"/>
      <c r="C218" s="1026" t="s">
        <v>882</v>
      </c>
      <c r="D218" s="1020" t="s">
        <v>1587</v>
      </c>
      <c r="E218" s="1027">
        <v>22212</v>
      </c>
      <c r="F218" s="1028">
        <v>22065</v>
      </c>
      <c r="H218" s="988"/>
      <c r="I218" s="988"/>
      <c r="J218" s="989"/>
      <c r="K218" s="989"/>
    </row>
    <row r="219" spans="2:11">
      <c r="B219" s="165"/>
      <c r="C219" s="1026" t="s">
        <v>883</v>
      </c>
      <c r="D219" s="1020" t="s">
        <v>1588</v>
      </c>
      <c r="E219" s="1027">
        <v>13189</v>
      </c>
      <c r="F219" s="1028">
        <v>13011</v>
      </c>
      <c r="H219" s="988"/>
      <c r="I219" s="988"/>
      <c r="J219" s="989"/>
      <c r="K219" s="989"/>
    </row>
    <row r="220" spans="2:11">
      <c r="B220" s="165"/>
      <c r="C220" s="1026" t="s">
        <v>884</v>
      </c>
      <c r="D220" s="1020" t="s">
        <v>1589</v>
      </c>
      <c r="E220" s="1027">
        <v>10296</v>
      </c>
      <c r="F220" s="1028">
        <v>10462</v>
      </c>
      <c r="H220" s="988"/>
      <c r="I220" s="988"/>
      <c r="J220" s="989"/>
      <c r="K220" s="989"/>
    </row>
    <row r="221" spans="2:11">
      <c r="B221" s="165"/>
      <c r="C221" s="1026" t="s">
        <v>885</v>
      </c>
      <c r="D221" s="1020" t="s">
        <v>1590</v>
      </c>
      <c r="E221" s="1027">
        <v>13016</v>
      </c>
      <c r="F221" s="1028">
        <v>13725</v>
      </c>
      <c r="H221" s="988"/>
      <c r="I221" s="988"/>
      <c r="J221" s="989"/>
      <c r="K221" s="989"/>
    </row>
    <row r="222" spans="2:11">
      <c r="B222" s="165"/>
      <c r="C222" s="1026" t="s">
        <v>886</v>
      </c>
      <c r="D222" s="1020" t="s">
        <v>1591</v>
      </c>
      <c r="E222" s="1027">
        <v>13765</v>
      </c>
      <c r="F222" s="1028">
        <v>13914</v>
      </c>
      <c r="H222" s="988"/>
      <c r="I222" s="988"/>
      <c r="J222" s="989"/>
      <c r="K222" s="989"/>
    </row>
    <row r="223" spans="2:11">
      <c r="B223" s="165"/>
      <c r="C223" s="1026" t="s">
        <v>887</v>
      </c>
      <c r="D223" s="1020" t="s">
        <v>1592</v>
      </c>
      <c r="E223" s="1027">
        <v>15712</v>
      </c>
      <c r="F223" s="1028">
        <v>15910</v>
      </c>
      <c r="H223" s="988"/>
      <c r="I223" s="988"/>
      <c r="J223" s="989"/>
      <c r="K223" s="989"/>
    </row>
    <row r="224" spans="2:11">
      <c r="B224" s="165"/>
      <c r="C224" s="1026" t="s">
        <v>889</v>
      </c>
      <c r="D224" s="1020" t="s">
        <v>1593</v>
      </c>
      <c r="E224" s="1027">
        <v>16032</v>
      </c>
      <c r="F224" s="1028">
        <v>16242</v>
      </c>
      <c r="H224" s="988"/>
      <c r="I224" s="988"/>
      <c r="J224" s="989"/>
      <c r="K224" s="989"/>
    </row>
    <row r="225" spans="2:11">
      <c r="B225" s="165"/>
      <c r="C225" s="1026" t="s">
        <v>890</v>
      </c>
      <c r="D225" s="1020" t="s">
        <v>1594</v>
      </c>
      <c r="E225" s="1027">
        <v>13788</v>
      </c>
      <c r="F225" s="1028">
        <v>14333</v>
      </c>
      <c r="H225" s="988"/>
      <c r="I225" s="988"/>
      <c r="J225" s="989"/>
      <c r="K225" s="989"/>
    </row>
    <row r="226" spans="2:11">
      <c r="B226" s="165"/>
      <c r="C226" s="1026" t="s">
        <v>891</v>
      </c>
      <c r="D226" s="1020" t="s">
        <v>1595</v>
      </c>
      <c r="E226" s="1027">
        <v>15778</v>
      </c>
      <c r="F226" s="1028">
        <v>15860</v>
      </c>
      <c r="H226" s="988"/>
      <c r="I226" s="988"/>
      <c r="J226" s="989"/>
      <c r="K226" s="989"/>
    </row>
    <row r="227" spans="2:11">
      <c r="B227" s="165"/>
      <c r="C227" s="1026" t="s">
        <v>892</v>
      </c>
      <c r="D227" s="1020" t="s">
        <v>1596</v>
      </c>
      <c r="E227" s="1027">
        <v>20493</v>
      </c>
      <c r="F227" s="1028">
        <v>21520</v>
      </c>
      <c r="H227" s="988"/>
      <c r="I227" s="988"/>
      <c r="J227" s="989"/>
      <c r="K227" s="989"/>
    </row>
    <row r="228" spans="2:11">
      <c r="B228" s="165"/>
      <c r="C228" s="1026" t="s">
        <v>893</v>
      </c>
      <c r="D228" s="1020" t="s">
        <v>1597</v>
      </c>
      <c r="E228" s="1027">
        <v>13219</v>
      </c>
      <c r="F228" s="1028">
        <v>13380</v>
      </c>
      <c r="H228" s="988"/>
      <c r="I228" s="988"/>
      <c r="J228" s="989"/>
      <c r="K228" s="989"/>
    </row>
    <row r="229" spans="2:11">
      <c r="B229" s="165"/>
      <c r="C229" s="1026" t="s">
        <v>895</v>
      </c>
      <c r="D229" s="1020" t="s">
        <v>1598</v>
      </c>
      <c r="E229" s="1027">
        <v>10964</v>
      </c>
      <c r="F229" s="1028">
        <v>11409</v>
      </c>
      <c r="H229" s="988"/>
      <c r="I229" s="988"/>
      <c r="J229" s="989"/>
      <c r="K229" s="989"/>
    </row>
    <row r="230" spans="2:11">
      <c r="B230" s="165"/>
      <c r="C230" s="1026" t="s">
        <v>897</v>
      </c>
      <c r="D230" s="1020" t="s">
        <v>1599</v>
      </c>
      <c r="E230" s="1027">
        <v>16667</v>
      </c>
      <c r="F230" s="1028">
        <v>17870</v>
      </c>
      <c r="H230" s="988"/>
      <c r="I230" s="988"/>
      <c r="J230" s="989"/>
      <c r="K230" s="989"/>
    </row>
    <row r="231" spans="2:11">
      <c r="B231" s="165"/>
      <c r="C231" s="1026" t="s">
        <v>898</v>
      </c>
      <c r="D231" s="1020" t="s">
        <v>1600</v>
      </c>
      <c r="E231" s="1027">
        <v>11822</v>
      </c>
      <c r="F231" s="1028">
        <v>12164</v>
      </c>
      <c r="H231" s="988"/>
      <c r="I231" s="988"/>
      <c r="J231" s="989"/>
      <c r="K231" s="989"/>
    </row>
    <row r="232" spans="2:11">
      <c r="B232" s="165"/>
      <c r="C232" s="1026" t="s">
        <v>899</v>
      </c>
      <c r="D232" s="1020" t="s">
        <v>1601</v>
      </c>
      <c r="E232" s="1027">
        <v>12288</v>
      </c>
      <c r="F232" s="1028">
        <v>12664</v>
      </c>
      <c r="H232" s="988"/>
      <c r="I232" s="988"/>
      <c r="J232" s="989"/>
      <c r="K232" s="989"/>
    </row>
    <row r="233" spans="2:11">
      <c r="B233" s="165"/>
      <c r="C233" s="1026" t="s">
        <v>900</v>
      </c>
      <c r="D233" s="1020" t="s">
        <v>1602</v>
      </c>
      <c r="E233" s="1027">
        <v>11676</v>
      </c>
      <c r="F233" s="1028">
        <v>11940</v>
      </c>
      <c r="H233" s="988"/>
      <c r="I233" s="988"/>
      <c r="J233" s="989"/>
      <c r="K233" s="989"/>
    </row>
    <row r="234" spans="2:11">
      <c r="B234" s="165"/>
      <c r="C234" s="1026" t="s">
        <v>901</v>
      </c>
      <c r="D234" s="1020" t="s">
        <v>1603</v>
      </c>
      <c r="E234" s="1027">
        <v>11247</v>
      </c>
      <c r="F234" s="1028">
        <v>11769</v>
      </c>
      <c r="H234" s="988"/>
      <c r="I234" s="988"/>
      <c r="J234" s="989"/>
      <c r="K234" s="989"/>
    </row>
    <row r="235" spans="2:11">
      <c r="B235" s="165"/>
      <c r="C235" s="1026" t="s">
        <v>902</v>
      </c>
      <c r="D235" s="1020" t="s">
        <v>1604</v>
      </c>
      <c r="E235" s="1027">
        <v>23679</v>
      </c>
      <c r="F235" s="1028">
        <v>24027</v>
      </c>
      <c r="H235" s="988"/>
      <c r="I235" s="988"/>
      <c r="J235" s="989"/>
      <c r="K235" s="989"/>
    </row>
    <row r="236" spans="2:11">
      <c r="B236" s="165"/>
      <c r="C236" s="1026" t="s">
        <v>903</v>
      </c>
      <c r="D236" s="1020" t="s">
        <v>1605</v>
      </c>
      <c r="E236" s="1027">
        <v>12553</v>
      </c>
      <c r="F236" s="1028">
        <v>12813</v>
      </c>
      <c r="H236" s="988"/>
      <c r="I236" s="988"/>
      <c r="J236" s="989"/>
      <c r="K236" s="989"/>
    </row>
    <row r="237" spans="2:11">
      <c r="B237" s="165"/>
      <c r="C237" s="1026" t="s">
        <v>904</v>
      </c>
      <c r="D237" s="1020" t="s">
        <v>1606</v>
      </c>
      <c r="E237" s="1027">
        <v>14402</v>
      </c>
      <c r="F237" s="1028">
        <v>15554</v>
      </c>
      <c r="H237" s="988"/>
      <c r="I237" s="988"/>
      <c r="J237" s="989"/>
      <c r="K237" s="989"/>
    </row>
    <row r="238" spans="2:11">
      <c r="B238" s="165"/>
      <c r="C238" s="1026" t="s">
        <v>905</v>
      </c>
      <c r="D238" s="1020" t="s">
        <v>1607</v>
      </c>
      <c r="E238" s="1027">
        <v>23032</v>
      </c>
      <c r="F238" s="1028">
        <v>23424</v>
      </c>
      <c r="H238" s="988"/>
      <c r="I238" s="988"/>
      <c r="J238" s="989"/>
      <c r="K238" s="989"/>
    </row>
    <row r="239" spans="2:11">
      <c r="B239" s="165"/>
      <c r="C239" s="1026" t="s">
        <v>906</v>
      </c>
      <c r="D239" s="1020" t="s">
        <v>1608</v>
      </c>
      <c r="E239" s="1027">
        <v>12282</v>
      </c>
      <c r="F239" s="1028">
        <v>12719</v>
      </c>
      <c r="H239" s="988"/>
      <c r="I239" s="988"/>
      <c r="J239" s="989"/>
      <c r="K239" s="989"/>
    </row>
    <row r="240" spans="2:11">
      <c r="B240" s="165"/>
      <c r="C240" s="1026" t="s">
        <v>907</v>
      </c>
      <c r="D240" s="1020" t="s">
        <v>1609</v>
      </c>
      <c r="E240" s="1027">
        <v>21084</v>
      </c>
      <c r="F240" s="1028">
        <v>21466</v>
      </c>
      <c r="H240" s="988"/>
      <c r="I240" s="988"/>
      <c r="J240" s="989"/>
      <c r="K240" s="989"/>
    </row>
    <row r="241" spans="2:11">
      <c r="B241" s="165"/>
      <c r="C241" s="1026" t="s">
        <v>908</v>
      </c>
      <c r="D241" s="1020" t="s">
        <v>1610</v>
      </c>
      <c r="E241" s="1027">
        <v>14835</v>
      </c>
      <c r="F241" s="1028">
        <v>15274</v>
      </c>
      <c r="H241" s="988"/>
      <c r="I241" s="988"/>
      <c r="J241" s="989"/>
      <c r="K241" s="989"/>
    </row>
    <row r="242" spans="2:11">
      <c r="B242" s="165"/>
      <c r="C242" s="1026" t="s">
        <v>909</v>
      </c>
      <c r="D242" s="1020" t="s">
        <v>1611</v>
      </c>
      <c r="E242" s="1027">
        <v>13545</v>
      </c>
      <c r="F242" s="1028">
        <v>13928</v>
      </c>
      <c r="H242" s="988"/>
      <c r="I242" s="988"/>
      <c r="J242" s="989"/>
      <c r="K242" s="989"/>
    </row>
    <row r="243" spans="2:11">
      <c r="B243" s="165"/>
      <c r="C243" s="1026" t="s">
        <v>910</v>
      </c>
      <c r="D243" s="1020" t="s">
        <v>1612</v>
      </c>
      <c r="E243" s="1027">
        <v>19633</v>
      </c>
      <c r="F243" s="1028">
        <v>19851</v>
      </c>
      <c r="H243" s="988"/>
      <c r="I243" s="988"/>
      <c r="J243" s="989"/>
      <c r="K243" s="989"/>
    </row>
    <row r="244" spans="2:11">
      <c r="B244" s="165"/>
      <c r="C244" s="1026" t="s">
        <v>911</v>
      </c>
      <c r="D244" s="1020" t="s">
        <v>1613</v>
      </c>
      <c r="E244" s="1027">
        <v>12634</v>
      </c>
      <c r="F244" s="1028">
        <v>13104</v>
      </c>
      <c r="H244" s="988"/>
      <c r="I244" s="988"/>
      <c r="J244" s="989"/>
      <c r="K244" s="989"/>
    </row>
    <row r="245" spans="2:11">
      <c r="B245" s="165"/>
      <c r="C245" s="1026" t="s">
        <v>912</v>
      </c>
      <c r="D245" s="1020" t="s">
        <v>1614</v>
      </c>
      <c r="E245" s="1027">
        <v>13529</v>
      </c>
      <c r="F245" s="1028">
        <v>13858</v>
      </c>
      <c r="H245" s="988"/>
      <c r="I245" s="988"/>
      <c r="J245" s="989"/>
      <c r="K245" s="989"/>
    </row>
    <row r="246" spans="2:11">
      <c r="B246" s="165"/>
      <c r="C246" s="1026" t="s">
        <v>913</v>
      </c>
      <c r="D246" s="1020" t="s">
        <v>1615</v>
      </c>
      <c r="E246" s="1027">
        <v>15660</v>
      </c>
      <c r="F246" s="1028">
        <v>15824</v>
      </c>
      <c r="H246" s="988"/>
      <c r="I246" s="988"/>
      <c r="J246" s="989"/>
      <c r="K246" s="989"/>
    </row>
    <row r="247" spans="2:11">
      <c r="B247" s="165"/>
      <c r="C247" s="1026" t="s">
        <v>914</v>
      </c>
      <c r="D247" s="1020" t="s">
        <v>1616</v>
      </c>
      <c r="E247" s="1027">
        <v>16563</v>
      </c>
      <c r="F247" s="1028">
        <v>15811</v>
      </c>
      <c r="H247" s="988"/>
      <c r="I247" s="988"/>
      <c r="J247" s="989"/>
      <c r="K247" s="989"/>
    </row>
    <row r="248" spans="2:11">
      <c r="B248" s="165"/>
      <c r="C248" s="1026" t="s">
        <v>915</v>
      </c>
      <c r="D248" s="1020" t="s">
        <v>1617</v>
      </c>
      <c r="E248" s="1027">
        <v>16106</v>
      </c>
      <c r="F248" s="1028">
        <v>16418</v>
      </c>
      <c r="H248" s="988"/>
      <c r="I248" s="988"/>
      <c r="J248" s="989"/>
      <c r="K248" s="989"/>
    </row>
    <row r="249" spans="2:11">
      <c r="B249" s="165"/>
      <c r="C249" s="1026" t="s">
        <v>916</v>
      </c>
      <c r="D249" s="1020" t="s">
        <v>1618</v>
      </c>
      <c r="E249" s="1027">
        <v>11707</v>
      </c>
      <c r="F249" s="1028">
        <v>12324</v>
      </c>
      <c r="H249" s="988"/>
      <c r="I249" s="988"/>
      <c r="J249" s="989"/>
      <c r="K249" s="989"/>
    </row>
    <row r="250" spans="2:11">
      <c r="B250" s="165"/>
      <c r="C250" s="1026" t="s">
        <v>917</v>
      </c>
      <c r="D250" s="1020" t="s">
        <v>1619</v>
      </c>
      <c r="E250" s="1027">
        <v>14718</v>
      </c>
      <c r="F250" s="1028">
        <v>15230</v>
      </c>
      <c r="H250" s="988"/>
      <c r="I250" s="988"/>
      <c r="J250" s="989"/>
      <c r="K250" s="989"/>
    </row>
    <row r="251" spans="2:11">
      <c r="B251" s="165"/>
      <c r="C251" s="1026" t="s">
        <v>918</v>
      </c>
      <c r="D251" s="1020" t="s">
        <v>1620</v>
      </c>
      <c r="E251" s="1027">
        <v>15084</v>
      </c>
      <c r="F251" s="1028">
        <v>15749</v>
      </c>
      <c r="H251" s="988"/>
      <c r="I251" s="988"/>
      <c r="J251" s="989"/>
      <c r="K251" s="989"/>
    </row>
    <row r="252" spans="2:11">
      <c r="B252" s="165"/>
      <c r="C252" s="1026" t="s">
        <v>919</v>
      </c>
      <c r="D252" s="1020" t="s">
        <v>1621</v>
      </c>
      <c r="E252" s="1027">
        <v>16964</v>
      </c>
      <c r="F252" s="1028">
        <v>17510</v>
      </c>
      <c r="H252" s="988"/>
      <c r="I252" s="988"/>
      <c r="J252" s="989"/>
      <c r="K252" s="989"/>
    </row>
    <row r="253" spans="2:11">
      <c r="B253" s="165"/>
      <c r="C253" s="1026" t="s">
        <v>920</v>
      </c>
      <c r="D253" s="1020" t="s">
        <v>1622</v>
      </c>
      <c r="E253" s="1027">
        <v>17848</v>
      </c>
      <c r="F253" s="1028">
        <v>18424</v>
      </c>
      <c r="H253" s="988"/>
      <c r="I253" s="988"/>
      <c r="J253" s="989"/>
      <c r="K253" s="989"/>
    </row>
    <row r="254" spans="2:11">
      <c r="B254" s="165"/>
      <c r="C254" s="1026" t="s">
        <v>921</v>
      </c>
      <c r="D254" s="1020" t="s">
        <v>1623</v>
      </c>
      <c r="E254" s="1027">
        <v>14019</v>
      </c>
      <c r="F254" s="1028">
        <v>14039</v>
      </c>
      <c r="H254" s="988"/>
      <c r="I254" s="988"/>
      <c r="J254" s="989"/>
      <c r="K254" s="989"/>
    </row>
    <row r="255" spans="2:11">
      <c r="B255" s="165"/>
      <c r="C255" s="1026" t="s">
        <v>922</v>
      </c>
      <c r="D255" s="1020" t="s">
        <v>1624</v>
      </c>
      <c r="E255" s="1027">
        <v>11271</v>
      </c>
      <c r="F255" s="1028">
        <v>11420</v>
      </c>
      <c r="H255" s="988"/>
      <c r="I255" s="988"/>
      <c r="J255" s="989"/>
      <c r="K255" s="989"/>
    </row>
    <row r="256" spans="2:11">
      <c r="B256" s="165"/>
      <c r="C256" s="1026" t="s">
        <v>923</v>
      </c>
      <c r="D256" s="1020" t="s">
        <v>1625</v>
      </c>
      <c r="E256" s="1027">
        <v>15409</v>
      </c>
      <c r="F256" s="1028">
        <v>15708</v>
      </c>
      <c r="H256" s="988"/>
      <c r="I256" s="988"/>
      <c r="J256" s="989"/>
      <c r="K256" s="989"/>
    </row>
    <row r="257" spans="2:11">
      <c r="B257" s="165"/>
      <c r="C257" s="1026" t="s">
        <v>924</v>
      </c>
      <c r="D257" s="1020" t="s">
        <v>1626</v>
      </c>
      <c r="E257" s="1027">
        <v>9899</v>
      </c>
      <c r="F257" s="1028">
        <v>9923</v>
      </c>
      <c r="H257" s="988"/>
      <c r="I257" s="988"/>
      <c r="J257" s="989"/>
      <c r="K257" s="989"/>
    </row>
    <row r="258" spans="2:11">
      <c r="B258" s="165"/>
      <c r="C258" s="1026" t="s">
        <v>925</v>
      </c>
      <c r="D258" s="1020" t="s">
        <v>1627</v>
      </c>
      <c r="E258" s="1027">
        <v>25039</v>
      </c>
      <c r="F258" s="1028">
        <v>25595</v>
      </c>
      <c r="H258" s="988"/>
      <c r="I258" s="988"/>
      <c r="J258" s="989"/>
      <c r="K258" s="989"/>
    </row>
    <row r="259" spans="2:11">
      <c r="B259" s="165"/>
      <c r="C259" s="1026" t="s">
        <v>926</v>
      </c>
      <c r="D259" s="1020" t="s">
        <v>1628</v>
      </c>
      <c r="E259" s="1027">
        <v>15217</v>
      </c>
      <c r="F259" s="1028">
        <v>15961</v>
      </c>
      <c r="H259" s="988"/>
      <c r="I259" s="988"/>
      <c r="J259" s="989"/>
      <c r="K259" s="989"/>
    </row>
    <row r="260" spans="2:11">
      <c r="B260" s="165"/>
      <c r="C260" s="1026" t="s">
        <v>927</v>
      </c>
      <c r="D260" s="1020" t="s">
        <v>1629</v>
      </c>
      <c r="E260" s="1027">
        <v>12527</v>
      </c>
      <c r="F260" s="1028">
        <v>11798</v>
      </c>
      <c r="H260" s="988"/>
      <c r="I260" s="988"/>
      <c r="J260" s="989"/>
      <c r="K260" s="989"/>
    </row>
    <row r="261" spans="2:11">
      <c r="B261" s="165"/>
      <c r="C261" s="1026" t="s">
        <v>928</v>
      </c>
      <c r="D261" s="1020" t="s">
        <v>1630</v>
      </c>
      <c r="E261" s="1027">
        <v>22828</v>
      </c>
      <c r="F261" s="1028">
        <v>23686</v>
      </c>
      <c r="H261" s="988"/>
      <c r="I261" s="988"/>
      <c r="J261" s="989"/>
      <c r="K261" s="989"/>
    </row>
    <row r="262" spans="2:11">
      <c r="B262" s="165"/>
      <c r="C262" s="1026" t="s">
        <v>929</v>
      </c>
      <c r="D262" s="1020" t="s">
        <v>1631</v>
      </c>
      <c r="E262" s="1027">
        <v>18756</v>
      </c>
      <c r="F262" s="1028">
        <v>19302</v>
      </c>
      <c r="H262" s="988"/>
      <c r="I262" s="988"/>
      <c r="J262" s="989"/>
      <c r="K262" s="989"/>
    </row>
    <row r="263" spans="2:11">
      <c r="B263" s="165"/>
      <c r="C263" s="1026" t="s">
        <v>931</v>
      </c>
      <c r="D263" s="1020" t="s">
        <v>1632</v>
      </c>
      <c r="E263" s="1027">
        <v>22562</v>
      </c>
      <c r="F263" s="1028">
        <v>24505</v>
      </c>
      <c r="H263" s="988"/>
      <c r="I263" s="988"/>
      <c r="J263" s="989"/>
      <c r="K263" s="989"/>
    </row>
    <row r="264" spans="2:11">
      <c r="B264" s="165"/>
      <c r="C264" s="1026" t="s">
        <v>932</v>
      </c>
      <c r="D264" s="1020" t="s">
        <v>1633</v>
      </c>
      <c r="E264" s="1027">
        <v>19520</v>
      </c>
      <c r="F264" s="1028">
        <v>19996</v>
      </c>
      <c r="H264" s="988"/>
      <c r="I264" s="988"/>
      <c r="J264" s="989"/>
      <c r="K264" s="989"/>
    </row>
    <row r="265" spans="2:11">
      <c r="B265" s="165"/>
      <c r="C265" s="1026" t="s">
        <v>933</v>
      </c>
      <c r="D265" s="1020" t="s">
        <v>1634</v>
      </c>
      <c r="E265" s="1027">
        <v>11210</v>
      </c>
      <c r="F265" s="1028">
        <v>11537</v>
      </c>
      <c r="H265" s="988"/>
      <c r="I265" s="988"/>
      <c r="J265" s="989"/>
      <c r="K265" s="989"/>
    </row>
    <row r="266" spans="2:11">
      <c r="B266" s="165"/>
      <c r="C266" s="1026" t="s">
        <v>934</v>
      </c>
      <c r="D266" s="1020" t="s">
        <v>1635</v>
      </c>
      <c r="E266" s="1027">
        <v>14893</v>
      </c>
      <c r="F266" s="1028">
        <v>15303</v>
      </c>
      <c r="H266" s="988"/>
      <c r="I266" s="988"/>
      <c r="J266" s="989"/>
      <c r="K266" s="989"/>
    </row>
    <row r="267" spans="2:11">
      <c r="B267" s="165"/>
      <c r="C267" s="1026" t="s">
        <v>935</v>
      </c>
      <c r="D267" s="1020" t="s">
        <v>1636</v>
      </c>
      <c r="E267" s="1027">
        <v>18075</v>
      </c>
      <c r="F267" s="1028">
        <v>18373</v>
      </c>
      <c r="H267" s="988"/>
      <c r="I267" s="988"/>
      <c r="J267" s="989"/>
      <c r="K267" s="989"/>
    </row>
    <row r="268" spans="2:11">
      <c r="B268" s="165"/>
      <c r="C268" s="1026" t="s">
        <v>936</v>
      </c>
      <c r="D268" s="1020" t="s">
        <v>1637</v>
      </c>
      <c r="E268" s="1027">
        <v>11658</v>
      </c>
      <c r="F268" s="1028">
        <v>11482</v>
      </c>
      <c r="H268" s="988"/>
      <c r="I268" s="988"/>
      <c r="J268" s="989"/>
      <c r="K268" s="989"/>
    </row>
    <row r="269" spans="2:11">
      <c r="B269" s="165"/>
      <c r="C269" s="1026" t="s">
        <v>937</v>
      </c>
      <c r="D269" s="1020" t="s">
        <v>1638</v>
      </c>
      <c r="E269" s="1027">
        <v>24217</v>
      </c>
      <c r="F269" s="1028">
        <v>24389</v>
      </c>
      <c r="H269" s="988"/>
      <c r="I269" s="988"/>
      <c r="J269" s="989"/>
      <c r="K269" s="989"/>
    </row>
    <row r="270" spans="2:11">
      <c r="B270" s="165"/>
      <c r="C270" s="1026" t="s">
        <v>938</v>
      </c>
      <c r="D270" s="1020" t="s">
        <v>1639</v>
      </c>
      <c r="E270" s="1027">
        <v>16829</v>
      </c>
      <c r="F270" s="1028">
        <v>17554</v>
      </c>
      <c r="H270" s="988"/>
      <c r="I270" s="988"/>
      <c r="J270" s="989"/>
      <c r="K270" s="989"/>
    </row>
    <row r="271" spans="2:11">
      <c r="B271" s="165"/>
      <c r="C271" s="1026" t="s">
        <v>939</v>
      </c>
      <c r="D271" s="1020" t="s">
        <v>1640</v>
      </c>
      <c r="E271" s="1027">
        <v>14466</v>
      </c>
      <c r="F271" s="1028">
        <v>14955</v>
      </c>
      <c r="H271" s="988"/>
      <c r="I271" s="988"/>
      <c r="J271" s="989"/>
      <c r="K271" s="989"/>
    </row>
    <row r="272" spans="2:11">
      <c r="B272" s="165"/>
      <c r="C272" s="1026" t="s">
        <v>940</v>
      </c>
      <c r="D272" s="1020" t="s">
        <v>1641</v>
      </c>
      <c r="E272" s="1027">
        <v>16285</v>
      </c>
      <c r="F272" s="1028">
        <v>17287</v>
      </c>
      <c r="H272" s="988"/>
      <c r="I272" s="988"/>
      <c r="J272" s="989"/>
      <c r="K272" s="989"/>
    </row>
    <row r="273" spans="2:11">
      <c r="B273" s="165"/>
      <c r="C273" s="1026" t="s">
        <v>941</v>
      </c>
      <c r="D273" s="1020" t="s">
        <v>1642</v>
      </c>
      <c r="E273" s="1027">
        <v>11745</v>
      </c>
      <c r="F273" s="1028">
        <v>11931</v>
      </c>
      <c r="H273" s="988"/>
      <c r="I273" s="988"/>
      <c r="J273" s="989"/>
      <c r="K273" s="989"/>
    </row>
    <row r="274" spans="2:11">
      <c r="B274" s="165"/>
      <c r="C274" s="1026" t="s">
        <v>942</v>
      </c>
      <c r="D274" s="1020" t="s">
        <v>1643</v>
      </c>
      <c r="E274" s="1027">
        <v>11650</v>
      </c>
      <c r="F274" s="1028">
        <v>12139</v>
      </c>
      <c r="H274" s="988"/>
      <c r="I274" s="988"/>
      <c r="J274" s="989"/>
      <c r="K274" s="989"/>
    </row>
    <row r="275" spans="2:11">
      <c r="B275" s="165"/>
      <c r="C275" s="1026" t="s">
        <v>943</v>
      </c>
      <c r="D275" s="1020" t="s">
        <v>1644</v>
      </c>
      <c r="E275" s="1027">
        <v>12922</v>
      </c>
      <c r="F275" s="1028">
        <v>12704</v>
      </c>
      <c r="H275" s="988"/>
      <c r="I275" s="988"/>
      <c r="J275" s="989"/>
      <c r="K275" s="989"/>
    </row>
    <row r="276" spans="2:11">
      <c r="B276" s="165"/>
      <c r="C276" s="1026" t="s">
        <v>944</v>
      </c>
      <c r="D276" s="1020" t="s">
        <v>1645</v>
      </c>
      <c r="E276" s="1027">
        <v>12427</v>
      </c>
      <c r="F276" s="1028">
        <v>12922</v>
      </c>
      <c r="H276" s="988"/>
      <c r="I276" s="988"/>
      <c r="J276" s="989"/>
      <c r="K276" s="989"/>
    </row>
    <row r="277" spans="2:11">
      <c r="B277" s="165"/>
      <c r="C277" s="1026" t="s">
        <v>945</v>
      </c>
      <c r="D277" s="1020" t="s">
        <v>1646</v>
      </c>
      <c r="E277" s="1027">
        <v>10616</v>
      </c>
      <c r="F277" s="1028">
        <v>11011</v>
      </c>
      <c r="H277" s="988"/>
      <c r="I277" s="988"/>
      <c r="J277" s="989"/>
      <c r="K277" s="989"/>
    </row>
    <row r="278" spans="2:11">
      <c r="B278" s="165"/>
      <c r="C278" s="1026" t="s">
        <v>946</v>
      </c>
      <c r="D278" s="1020" t="s">
        <v>1647</v>
      </c>
      <c r="E278" s="1027">
        <v>12669</v>
      </c>
      <c r="F278" s="1028">
        <v>13115</v>
      </c>
      <c r="H278" s="988"/>
      <c r="I278" s="988"/>
      <c r="J278" s="989"/>
      <c r="K278" s="989"/>
    </row>
    <row r="279" spans="2:11">
      <c r="B279" s="165"/>
      <c r="C279" s="1026" t="s">
        <v>947</v>
      </c>
      <c r="D279" s="1020" t="s">
        <v>1648</v>
      </c>
      <c r="E279" s="1027">
        <v>13242</v>
      </c>
      <c r="F279" s="1028">
        <v>13434</v>
      </c>
      <c r="H279" s="988"/>
      <c r="I279" s="988"/>
      <c r="J279" s="989"/>
      <c r="K279" s="989"/>
    </row>
    <row r="280" spans="2:11">
      <c r="B280" s="165"/>
      <c r="C280" s="1026" t="s">
        <v>948</v>
      </c>
      <c r="D280" s="1020" t="s">
        <v>1649</v>
      </c>
      <c r="E280" s="1027">
        <v>11550</v>
      </c>
      <c r="F280" s="1028">
        <v>11879</v>
      </c>
      <c r="H280" s="988"/>
      <c r="I280" s="988"/>
      <c r="J280" s="989"/>
      <c r="K280" s="989"/>
    </row>
    <row r="281" spans="2:11">
      <c r="B281" s="165"/>
      <c r="C281" s="1026" t="s">
        <v>949</v>
      </c>
      <c r="D281" s="1020" t="s">
        <v>1650</v>
      </c>
      <c r="E281" s="1027">
        <v>11684</v>
      </c>
      <c r="F281" s="1028">
        <v>12453</v>
      </c>
      <c r="H281" s="988"/>
      <c r="I281" s="988"/>
      <c r="J281" s="989"/>
      <c r="K281" s="989"/>
    </row>
    <row r="282" spans="2:11">
      <c r="B282" s="165"/>
      <c r="C282" s="1026" t="s">
        <v>950</v>
      </c>
      <c r="D282" s="1020" t="s">
        <v>1651</v>
      </c>
      <c r="E282" s="1027">
        <v>13687</v>
      </c>
      <c r="F282" s="1028">
        <v>14425</v>
      </c>
      <c r="H282" s="988"/>
      <c r="I282" s="988"/>
      <c r="J282" s="989"/>
      <c r="K282" s="989"/>
    </row>
    <row r="283" spans="2:11">
      <c r="B283" s="165"/>
      <c r="C283" s="1026" t="s">
        <v>951</v>
      </c>
      <c r="D283" s="1020" t="s">
        <v>1652</v>
      </c>
      <c r="E283" s="1027">
        <v>10943</v>
      </c>
      <c r="F283" s="1028">
        <v>10107</v>
      </c>
      <c r="H283" s="988"/>
      <c r="I283" s="988"/>
      <c r="J283" s="989"/>
      <c r="K283" s="989"/>
    </row>
    <row r="284" spans="2:11">
      <c r="B284" s="165"/>
      <c r="C284" s="1026" t="s">
        <v>952</v>
      </c>
      <c r="D284" s="1020" t="s">
        <v>1653</v>
      </c>
      <c r="E284" s="1027">
        <v>12482</v>
      </c>
      <c r="F284" s="1028">
        <v>13016</v>
      </c>
      <c r="H284" s="988"/>
      <c r="I284" s="988"/>
      <c r="J284" s="989"/>
      <c r="K284" s="989"/>
    </row>
    <row r="285" spans="2:11">
      <c r="B285" s="165"/>
      <c r="C285" s="1026" t="s">
        <v>953</v>
      </c>
      <c r="D285" s="1020" t="s">
        <v>1654</v>
      </c>
      <c r="E285" s="1027">
        <v>15513</v>
      </c>
      <c r="F285" s="1028">
        <v>15882</v>
      </c>
      <c r="H285" s="988"/>
      <c r="I285" s="988"/>
      <c r="J285" s="989"/>
      <c r="K285" s="989"/>
    </row>
    <row r="286" spans="2:11">
      <c r="B286" s="165"/>
      <c r="C286" s="1026" t="s">
        <v>954</v>
      </c>
      <c r="D286" s="1020" t="s">
        <v>1655</v>
      </c>
      <c r="E286" s="1027">
        <v>10880</v>
      </c>
      <c r="F286" s="1028">
        <v>10969</v>
      </c>
      <c r="H286" s="988"/>
      <c r="I286" s="988"/>
      <c r="J286" s="989"/>
      <c r="K286" s="989"/>
    </row>
    <row r="287" spans="2:11">
      <c r="B287" s="165"/>
      <c r="C287" s="1026" t="s">
        <v>955</v>
      </c>
      <c r="D287" s="1020" t="s">
        <v>1656</v>
      </c>
      <c r="E287" s="1027">
        <v>17100</v>
      </c>
      <c r="F287" s="1028">
        <v>17254</v>
      </c>
      <c r="H287" s="988"/>
      <c r="I287" s="988"/>
      <c r="J287" s="989"/>
      <c r="K287" s="989"/>
    </row>
    <row r="288" spans="2:11">
      <c r="B288" s="165"/>
      <c r="C288" s="1026" t="s">
        <v>956</v>
      </c>
      <c r="D288" s="1020" t="s">
        <v>1657</v>
      </c>
      <c r="E288" s="1027">
        <v>18960</v>
      </c>
      <c r="F288" s="1028">
        <v>19495</v>
      </c>
      <c r="H288" s="988"/>
      <c r="I288" s="988"/>
      <c r="J288" s="989"/>
      <c r="K288" s="989"/>
    </row>
    <row r="289" spans="2:11">
      <c r="B289" s="165"/>
      <c r="C289" s="1026" t="s">
        <v>957</v>
      </c>
      <c r="D289" s="1020" t="s">
        <v>1658</v>
      </c>
      <c r="E289" s="1027">
        <v>13784</v>
      </c>
      <c r="F289" s="1028">
        <v>14300</v>
      </c>
      <c r="H289" s="988"/>
      <c r="I289" s="988"/>
      <c r="J289" s="989"/>
      <c r="K289" s="989"/>
    </row>
    <row r="290" spans="2:11">
      <c r="B290" s="165"/>
      <c r="C290" s="1026" t="s">
        <v>980</v>
      </c>
      <c r="D290" s="1020" t="s">
        <v>1659</v>
      </c>
      <c r="E290" s="1027">
        <v>12994</v>
      </c>
      <c r="F290" s="1028">
        <v>13076</v>
      </c>
      <c r="H290" s="988"/>
      <c r="I290" s="988"/>
      <c r="J290" s="989"/>
      <c r="K290" s="989"/>
    </row>
    <row r="291" spans="2:11">
      <c r="B291" s="165"/>
      <c r="C291" s="1026" t="s">
        <v>958</v>
      </c>
      <c r="D291" s="1020" t="s">
        <v>1660</v>
      </c>
      <c r="E291" s="1027">
        <v>23593</v>
      </c>
      <c r="F291" s="1028">
        <v>24475</v>
      </c>
      <c r="H291" s="988"/>
      <c r="I291" s="988"/>
      <c r="J291" s="989"/>
      <c r="K291" s="989"/>
    </row>
    <row r="292" spans="2:11">
      <c r="B292" s="165"/>
      <c r="C292" s="1026" t="s">
        <v>959</v>
      </c>
      <c r="D292" s="1020" t="s">
        <v>1661</v>
      </c>
      <c r="E292" s="1027">
        <v>8067</v>
      </c>
      <c r="F292" s="1028">
        <v>8425</v>
      </c>
      <c r="H292" s="988"/>
      <c r="I292" s="988"/>
      <c r="J292" s="989"/>
      <c r="K292" s="989"/>
    </row>
    <row r="293" spans="2:11">
      <c r="B293" s="165"/>
      <c r="C293" s="1026" t="s">
        <v>960</v>
      </c>
      <c r="D293" s="1020" t="s">
        <v>1662</v>
      </c>
      <c r="E293" s="1027">
        <v>0</v>
      </c>
      <c r="F293" s="1028">
        <v>0</v>
      </c>
      <c r="H293" s="988"/>
      <c r="I293" s="988"/>
      <c r="J293" s="989"/>
      <c r="K293" s="989"/>
    </row>
    <row r="294" spans="2:11">
      <c r="B294" s="165"/>
      <c r="C294" s="1026" t="s">
        <v>961</v>
      </c>
      <c r="D294" s="1020" t="s">
        <v>1663</v>
      </c>
      <c r="E294" s="1027">
        <v>13044</v>
      </c>
      <c r="F294" s="1028">
        <v>14012</v>
      </c>
      <c r="H294" s="988"/>
      <c r="I294" s="988"/>
      <c r="J294" s="989"/>
      <c r="K294" s="989"/>
    </row>
    <row r="295" spans="2:11">
      <c r="B295" s="165"/>
      <c r="C295" s="1026" t="s">
        <v>962</v>
      </c>
      <c r="D295" s="1020" t="s">
        <v>1664</v>
      </c>
      <c r="E295" s="1027">
        <v>22561</v>
      </c>
      <c r="F295" s="1028">
        <v>23064</v>
      </c>
      <c r="H295" s="988"/>
      <c r="I295" s="988"/>
      <c r="J295" s="989"/>
      <c r="K295" s="989"/>
    </row>
    <row r="296" spans="2:11">
      <c r="B296" s="165"/>
      <c r="C296" s="1026" t="s">
        <v>963</v>
      </c>
      <c r="D296" s="1020" t="s">
        <v>1665</v>
      </c>
      <c r="E296" s="1027">
        <v>30662</v>
      </c>
      <c r="F296" s="1028">
        <v>30496</v>
      </c>
      <c r="H296" s="988"/>
      <c r="I296" s="988"/>
      <c r="J296" s="989"/>
      <c r="K296" s="989"/>
    </row>
    <row r="297" spans="2:11">
      <c r="B297" s="165"/>
      <c r="C297" s="1026" t="s">
        <v>964</v>
      </c>
      <c r="D297" s="1020" t="s">
        <v>1666</v>
      </c>
      <c r="E297" s="1027">
        <v>16720</v>
      </c>
      <c r="F297" s="1028">
        <v>17031</v>
      </c>
      <c r="H297" s="988"/>
      <c r="I297" s="988"/>
      <c r="J297" s="989"/>
      <c r="K297" s="989"/>
    </row>
    <row r="298" spans="2:11">
      <c r="B298" s="165"/>
      <c r="C298" s="1026" t="s">
        <v>965</v>
      </c>
      <c r="D298" s="1020" t="s">
        <v>1667</v>
      </c>
      <c r="E298" s="1027">
        <v>16266</v>
      </c>
      <c r="F298" s="1028">
        <v>16621</v>
      </c>
      <c r="H298" s="988"/>
      <c r="I298" s="988"/>
      <c r="J298" s="989"/>
      <c r="K298" s="989"/>
    </row>
    <row r="299" spans="2:11">
      <c r="B299" s="165"/>
      <c r="C299" s="1026" t="s">
        <v>966</v>
      </c>
      <c r="D299" s="1020" t="s">
        <v>1668</v>
      </c>
      <c r="E299" s="1027">
        <v>15662</v>
      </c>
      <c r="F299" s="1028">
        <v>16086</v>
      </c>
      <c r="H299" s="988"/>
      <c r="I299" s="988"/>
      <c r="J299" s="989"/>
      <c r="K299" s="989"/>
    </row>
    <row r="300" spans="2:11">
      <c r="B300" s="165"/>
      <c r="C300" s="1026" t="s">
        <v>967</v>
      </c>
      <c r="D300" s="1020" t="s">
        <v>1669</v>
      </c>
      <c r="E300" s="1027">
        <v>11730</v>
      </c>
      <c r="F300" s="1028">
        <v>12240</v>
      </c>
      <c r="H300" s="988"/>
      <c r="I300" s="988"/>
      <c r="J300" s="989"/>
      <c r="K300" s="989"/>
    </row>
    <row r="301" spans="2:11">
      <c r="B301" s="165"/>
      <c r="C301" s="1026" t="s">
        <v>968</v>
      </c>
      <c r="D301" s="1020" t="s">
        <v>1670</v>
      </c>
      <c r="E301" s="1027">
        <v>12783</v>
      </c>
      <c r="F301" s="1028">
        <v>12986</v>
      </c>
      <c r="H301" s="988"/>
      <c r="I301" s="988"/>
      <c r="J301" s="989"/>
      <c r="K301" s="989"/>
    </row>
    <row r="302" spans="2:11">
      <c r="B302" s="165"/>
      <c r="C302" s="1026" t="s">
        <v>969</v>
      </c>
      <c r="D302" s="1020" t="s">
        <v>1671</v>
      </c>
      <c r="E302" s="1027">
        <v>11977</v>
      </c>
      <c r="F302" s="1028">
        <v>10673</v>
      </c>
      <c r="H302" s="988"/>
      <c r="I302" s="988"/>
      <c r="J302" s="989"/>
      <c r="K302" s="989"/>
    </row>
    <row r="303" spans="2:11">
      <c r="B303" s="165"/>
      <c r="C303" s="1026" t="s">
        <v>970</v>
      </c>
      <c r="D303" s="1020" t="s">
        <v>1672</v>
      </c>
      <c r="E303" s="1027">
        <v>14131</v>
      </c>
      <c r="F303" s="1028">
        <v>14299</v>
      </c>
      <c r="H303" s="988"/>
      <c r="I303" s="988"/>
      <c r="J303" s="989"/>
      <c r="K303" s="989"/>
    </row>
    <row r="304" spans="2:11">
      <c r="B304" s="165"/>
      <c r="C304" s="1026" t="s">
        <v>971</v>
      </c>
      <c r="D304" s="1020" t="s">
        <v>1673</v>
      </c>
      <c r="E304" s="1027">
        <v>25150</v>
      </c>
      <c r="F304" s="1028">
        <v>25613</v>
      </c>
      <c r="H304" s="988"/>
      <c r="I304" s="988"/>
      <c r="J304" s="989"/>
      <c r="K304" s="989"/>
    </row>
    <row r="305" spans="2:11">
      <c r="B305" s="165"/>
      <c r="C305" s="1026" t="s">
        <v>972</v>
      </c>
      <c r="D305" s="1020" t="s">
        <v>1674</v>
      </c>
      <c r="E305" s="1027">
        <v>18739</v>
      </c>
      <c r="F305" s="1028">
        <v>19097</v>
      </c>
      <c r="H305" s="988"/>
      <c r="I305" s="988"/>
      <c r="J305" s="989"/>
      <c r="K305" s="989"/>
    </row>
    <row r="306" spans="2:11">
      <c r="B306" s="165"/>
      <c r="C306" s="1026" t="s">
        <v>973</v>
      </c>
      <c r="D306" s="1020" t="s">
        <v>1675</v>
      </c>
      <c r="E306" s="1027">
        <v>13639</v>
      </c>
      <c r="F306" s="1028">
        <v>14170</v>
      </c>
      <c r="H306" s="988"/>
      <c r="I306" s="988"/>
      <c r="J306" s="989"/>
      <c r="K306" s="989"/>
    </row>
    <row r="307" spans="2:11">
      <c r="B307" s="165"/>
      <c r="C307" s="1026" t="s">
        <v>974</v>
      </c>
      <c r="D307" s="1020" t="s">
        <v>1676</v>
      </c>
      <c r="E307" s="1027">
        <v>10377</v>
      </c>
      <c r="F307" s="1028">
        <v>9678</v>
      </c>
      <c r="H307" s="988"/>
      <c r="I307" s="988"/>
      <c r="J307" s="989"/>
      <c r="K307" s="989"/>
    </row>
    <row r="308" spans="2:11">
      <c r="B308" s="165"/>
      <c r="C308" s="1026" t="s">
        <v>975</v>
      </c>
      <c r="D308" s="1020" t="s">
        <v>1677</v>
      </c>
      <c r="E308" s="1027">
        <v>13415</v>
      </c>
      <c r="F308" s="1028">
        <v>14484</v>
      </c>
      <c r="H308" s="988"/>
      <c r="I308" s="988"/>
      <c r="J308" s="989"/>
      <c r="K308" s="989"/>
    </row>
    <row r="309" spans="2:11">
      <c r="B309" s="165"/>
      <c r="C309" s="1026" t="s">
        <v>976</v>
      </c>
      <c r="D309" s="1020" t="s">
        <v>1678</v>
      </c>
      <c r="E309" s="1027">
        <v>20761</v>
      </c>
      <c r="F309" s="1028">
        <v>21199</v>
      </c>
      <c r="H309" s="988"/>
      <c r="I309" s="988"/>
      <c r="J309" s="989"/>
      <c r="K309" s="989"/>
    </row>
    <row r="310" spans="2:11">
      <c r="B310" s="165"/>
      <c r="C310" s="1026" t="s">
        <v>977</v>
      </c>
      <c r="D310" s="1020" t="s">
        <v>1679</v>
      </c>
      <c r="E310" s="1027">
        <v>22991</v>
      </c>
      <c r="F310" s="1028">
        <v>24890</v>
      </c>
      <c r="H310" s="988"/>
      <c r="I310" s="988"/>
      <c r="J310" s="989"/>
      <c r="K310" s="989"/>
    </row>
    <row r="311" spans="2:11">
      <c r="B311" s="165"/>
      <c r="C311" s="1026" t="s">
        <v>978</v>
      </c>
      <c r="D311" s="1020" t="s">
        <v>1680</v>
      </c>
      <c r="E311" s="1027">
        <v>13482</v>
      </c>
      <c r="F311" s="1028">
        <v>13656</v>
      </c>
      <c r="H311" s="988"/>
      <c r="I311" s="988"/>
      <c r="J311" s="989"/>
      <c r="K311" s="989"/>
    </row>
    <row r="312" spans="2:11">
      <c r="B312" s="165"/>
      <c r="C312" s="1026" t="s">
        <v>979</v>
      </c>
      <c r="D312" s="1020" t="s">
        <v>1681</v>
      </c>
      <c r="E312" s="1027">
        <v>10526</v>
      </c>
      <c r="F312" s="1028">
        <v>11143</v>
      </c>
      <c r="H312" s="988"/>
      <c r="I312" s="988"/>
      <c r="J312" s="989"/>
      <c r="K312" s="989"/>
    </row>
    <row r="313" spans="2:11">
      <c r="B313" s="165"/>
      <c r="C313" s="1026" t="s">
        <v>807</v>
      </c>
      <c r="D313" s="1020" t="s">
        <v>1682</v>
      </c>
      <c r="E313" s="1027">
        <v>13199</v>
      </c>
      <c r="F313" s="1028">
        <v>13501</v>
      </c>
      <c r="H313" s="988"/>
      <c r="I313" s="988"/>
      <c r="J313" s="989"/>
      <c r="K313" s="989"/>
    </row>
    <row r="314" spans="2:11">
      <c r="B314" s="165"/>
      <c r="C314" s="1026" t="s">
        <v>981</v>
      </c>
      <c r="D314" s="1020" t="s">
        <v>1683</v>
      </c>
      <c r="E314" s="1027">
        <v>15247</v>
      </c>
      <c r="F314" s="1028">
        <v>15314</v>
      </c>
      <c r="H314" s="988"/>
      <c r="I314" s="988"/>
      <c r="J314" s="989"/>
      <c r="K314" s="989"/>
    </row>
    <row r="315" spans="2:11">
      <c r="B315" s="165"/>
      <c r="C315" s="1026" t="s">
        <v>982</v>
      </c>
      <c r="D315" s="1020" t="s">
        <v>1684</v>
      </c>
      <c r="E315" s="1027">
        <v>17166</v>
      </c>
      <c r="F315" s="1028">
        <v>17811</v>
      </c>
      <c r="H315" s="988"/>
      <c r="I315" s="988"/>
      <c r="J315" s="989"/>
      <c r="K315" s="989"/>
    </row>
    <row r="316" spans="2:11">
      <c r="B316" s="165"/>
      <c r="C316" s="1026" t="s">
        <v>983</v>
      </c>
      <c r="D316" s="1020" t="s">
        <v>1685</v>
      </c>
      <c r="E316" s="1027">
        <v>46801</v>
      </c>
      <c r="F316" s="1028">
        <v>47592</v>
      </c>
      <c r="H316" s="988"/>
      <c r="I316" s="988"/>
      <c r="J316" s="989"/>
      <c r="K316" s="989"/>
    </row>
    <row r="317" spans="2:11">
      <c r="B317" s="165"/>
      <c r="C317" s="1026" t="s">
        <v>985</v>
      </c>
      <c r="D317" s="1020" t="s">
        <v>1686</v>
      </c>
      <c r="E317" s="1027">
        <v>13993</v>
      </c>
      <c r="F317" s="1028">
        <v>13355</v>
      </c>
      <c r="H317" s="988"/>
      <c r="I317" s="988"/>
      <c r="J317" s="989"/>
      <c r="K317" s="989"/>
    </row>
    <row r="318" spans="2:11">
      <c r="B318" s="165"/>
      <c r="C318" s="1026" t="s">
        <v>984</v>
      </c>
      <c r="D318" s="1020" t="s">
        <v>1687</v>
      </c>
      <c r="E318" s="1027">
        <v>11391</v>
      </c>
      <c r="F318" s="1028">
        <v>11679</v>
      </c>
      <c r="H318" s="988"/>
      <c r="I318" s="988"/>
      <c r="J318" s="989"/>
      <c r="K318" s="989"/>
    </row>
    <row r="319" spans="2:11">
      <c r="B319" s="165"/>
      <c r="C319" s="1026" t="s">
        <v>986</v>
      </c>
      <c r="D319" s="1020" t="s">
        <v>1688</v>
      </c>
      <c r="E319" s="1027">
        <v>19055</v>
      </c>
      <c r="F319" s="1028">
        <v>19604</v>
      </c>
      <c r="H319" s="988"/>
      <c r="I319" s="988"/>
      <c r="J319" s="989"/>
      <c r="K319" s="989"/>
    </row>
    <row r="320" spans="2:11">
      <c r="B320" s="165"/>
      <c r="C320" s="1026" t="s">
        <v>987</v>
      </c>
      <c r="D320" s="1020" t="s">
        <v>1689</v>
      </c>
      <c r="E320" s="1027">
        <v>14023</v>
      </c>
      <c r="F320" s="1028">
        <v>14107</v>
      </c>
      <c r="H320" s="988"/>
      <c r="I320" s="988"/>
      <c r="J320" s="989"/>
      <c r="K320" s="989"/>
    </row>
    <row r="321" spans="2:11">
      <c r="B321" s="165"/>
      <c r="C321" s="1026" t="s">
        <v>988</v>
      </c>
      <c r="D321" s="1020" t="s">
        <v>1690</v>
      </c>
      <c r="E321" s="1027">
        <v>16451</v>
      </c>
      <c r="F321" s="1028">
        <v>16551</v>
      </c>
      <c r="H321" s="988"/>
      <c r="I321" s="988"/>
      <c r="J321" s="989"/>
      <c r="K321" s="989"/>
    </row>
    <row r="322" spans="2:11">
      <c r="B322" s="165"/>
      <c r="C322" s="1026" t="s">
        <v>989</v>
      </c>
      <c r="D322" s="1020" t="s">
        <v>1691</v>
      </c>
      <c r="E322" s="1027">
        <v>28341</v>
      </c>
      <c r="F322" s="1028">
        <v>28865</v>
      </c>
      <c r="H322" s="988"/>
      <c r="I322" s="988"/>
      <c r="J322" s="989"/>
      <c r="K322" s="989"/>
    </row>
    <row r="323" spans="2:11">
      <c r="B323" s="165"/>
      <c r="C323" s="1026" t="s">
        <v>852</v>
      </c>
      <c r="D323" s="1020" t="s">
        <v>1692</v>
      </c>
      <c r="E323" s="1027">
        <v>12769</v>
      </c>
      <c r="F323" s="1028">
        <v>12946</v>
      </c>
      <c r="H323" s="988"/>
      <c r="I323" s="988"/>
      <c r="J323" s="989"/>
      <c r="K323" s="989"/>
    </row>
    <row r="324" spans="2:11">
      <c r="B324" s="165"/>
      <c r="C324" s="1026" t="s">
        <v>990</v>
      </c>
      <c r="D324" s="1020" t="s">
        <v>1693</v>
      </c>
      <c r="E324" s="1027">
        <v>15973</v>
      </c>
      <c r="F324" s="1028">
        <v>16385</v>
      </c>
      <c r="H324" s="988"/>
      <c r="I324" s="988"/>
      <c r="J324" s="989"/>
      <c r="K324" s="989"/>
    </row>
    <row r="325" spans="2:11">
      <c r="B325" s="165"/>
      <c r="C325" s="1026" t="s">
        <v>991</v>
      </c>
      <c r="D325" s="1020" t="s">
        <v>1694</v>
      </c>
      <c r="E325" s="1027">
        <v>10392</v>
      </c>
      <c r="F325" s="1028">
        <v>10740</v>
      </c>
      <c r="H325" s="988"/>
      <c r="I325" s="988"/>
      <c r="J325" s="989"/>
      <c r="K325" s="989"/>
    </row>
    <row r="326" spans="2:11">
      <c r="B326" s="165"/>
      <c r="C326" s="1026" t="s">
        <v>992</v>
      </c>
      <c r="D326" s="1020" t="s">
        <v>1695</v>
      </c>
      <c r="E326" s="1027">
        <v>13391</v>
      </c>
      <c r="F326" s="1028">
        <v>14058</v>
      </c>
      <c r="H326" s="988"/>
      <c r="I326" s="988"/>
      <c r="J326" s="989"/>
      <c r="K326" s="989"/>
    </row>
    <row r="327" spans="2:11">
      <c r="B327" s="165"/>
      <c r="C327" s="1026" t="s">
        <v>993</v>
      </c>
      <c r="D327" s="1020" t="s">
        <v>1696</v>
      </c>
      <c r="E327" s="1027">
        <v>11799</v>
      </c>
      <c r="F327" s="1028">
        <v>12613</v>
      </c>
      <c r="H327" s="988"/>
      <c r="I327" s="988"/>
      <c r="J327" s="989"/>
      <c r="K327" s="989"/>
    </row>
    <row r="328" spans="2:11">
      <c r="B328" s="165"/>
      <c r="C328" s="1026" t="s">
        <v>994</v>
      </c>
      <c r="D328" s="1020" t="s">
        <v>1697</v>
      </c>
      <c r="E328" s="1027">
        <v>11897</v>
      </c>
      <c r="F328" s="1028">
        <v>11871</v>
      </c>
      <c r="H328" s="988"/>
      <c r="I328" s="988"/>
      <c r="J328" s="989"/>
      <c r="K328" s="989"/>
    </row>
    <row r="329" spans="2:11">
      <c r="B329" s="165"/>
      <c r="C329" s="1026" t="s">
        <v>995</v>
      </c>
      <c r="D329" s="1020" t="s">
        <v>1698</v>
      </c>
      <c r="E329" s="1027">
        <v>20204</v>
      </c>
      <c r="F329" s="1028">
        <v>19566</v>
      </c>
      <c r="H329" s="988"/>
      <c r="I329" s="988"/>
      <c r="J329" s="989"/>
      <c r="K329" s="989"/>
    </row>
    <row r="330" spans="2:11">
      <c r="B330" s="165"/>
      <c r="C330" s="1026" t="s">
        <v>996</v>
      </c>
      <c r="D330" s="1020" t="s">
        <v>1699</v>
      </c>
      <c r="E330" s="1027">
        <v>12798</v>
      </c>
      <c r="F330" s="1028">
        <v>13123</v>
      </c>
      <c r="H330" s="988"/>
      <c r="I330" s="988"/>
      <c r="J330" s="989"/>
      <c r="K330" s="989"/>
    </row>
    <row r="331" spans="2:11">
      <c r="B331" s="165"/>
      <c r="C331" s="1026" t="s">
        <v>997</v>
      </c>
      <c r="D331" s="1020" t="s">
        <v>1700</v>
      </c>
      <c r="E331" s="1027">
        <v>12383</v>
      </c>
      <c r="F331" s="1028">
        <v>12475</v>
      </c>
      <c r="H331" s="988"/>
      <c r="I331" s="988"/>
      <c r="J331" s="989"/>
      <c r="K331" s="989"/>
    </row>
    <row r="332" spans="2:11">
      <c r="B332" s="165"/>
      <c r="C332" s="1026" t="s">
        <v>998</v>
      </c>
      <c r="D332" s="1020" t="s">
        <v>1701</v>
      </c>
      <c r="E332" s="1027">
        <v>18292</v>
      </c>
      <c r="F332" s="1028">
        <v>18400</v>
      </c>
      <c r="H332" s="988"/>
      <c r="I332" s="988"/>
      <c r="J332" s="989"/>
      <c r="K332" s="989"/>
    </row>
    <row r="333" spans="2:11">
      <c r="B333" s="165"/>
      <c r="C333" s="1026" t="s">
        <v>999</v>
      </c>
      <c r="D333" s="1020" t="s">
        <v>1702</v>
      </c>
      <c r="E333" s="1027">
        <v>13523</v>
      </c>
      <c r="F333" s="1028">
        <v>13842</v>
      </c>
      <c r="H333" s="988"/>
      <c r="I333" s="988"/>
      <c r="J333" s="989"/>
      <c r="K333" s="989"/>
    </row>
    <row r="334" spans="2:11">
      <c r="B334" s="165"/>
      <c r="C334" s="1026" t="s">
        <v>1000</v>
      </c>
      <c r="D334" s="1020" t="s">
        <v>1703</v>
      </c>
      <c r="E334" s="1027">
        <v>20082</v>
      </c>
      <c r="F334" s="1028">
        <v>20666</v>
      </c>
      <c r="H334" s="988"/>
      <c r="I334" s="988"/>
      <c r="J334" s="989"/>
      <c r="K334" s="989"/>
    </row>
    <row r="335" spans="2:11">
      <c r="B335" s="165"/>
      <c r="C335" s="1026" t="s">
        <v>1001</v>
      </c>
      <c r="D335" s="1020" t="s">
        <v>1704</v>
      </c>
      <c r="E335" s="1027">
        <v>15516</v>
      </c>
      <c r="F335" s="1028">
        <v>15691</v>
      </c>
      <c r="H335" s="988"/>
      <c r="I335" s="988"/>
      <c r="J335" s="989"/>
      <c r="K335" s="989"/>
    </row>
    <row r="336" spans="2:11">
      <c r="B336" s="165"/>
      <c r="C336" s="1026" t="s">
        <v>1002</v>
      </c>
      <c r="D336" s="1020" t="s">
        <v>1705</v>
      </c>
      <c r="E336" s="1027">
        <v>15637</v>
      </c>
      <c r="F336" s="1028">
        <v>16247</v>
      </c>
      <c r="H336" s="988"/>
      <c r="I336" s="988"/>
      <c r="J336" s="989"/>
      <c r="K336" s="989"/>
    </row>
    <row r="337" spans="2:11">
      <c r="B337" s="165"/>
      <c r="C337" s="1026" t="s">
        <v>1003</v>
      </c>
      <c r="D337" s="1020" t="s">
        <v>1706</v>
      </c>
      <c r="E337" s="1027">
        <v>13776</v>
      </c>
      <c r="F337" s="1028">
        <v>14527</v>
      </c>
      <c r="H337" s="988"/>
      <c r="I337" s="988"/>
      <c r="J337" s="989"/>
      <c r="K337" s="989"/>
    </row>
    <row r="338" spans="2:11">
      <c r="B338" s="165"/>
      <c r="C338" s="1026" t="s">
        <v>1004</v>
      </c>
      <c r="D338" s="1020" t="s">
        <v>1707</v>
      </c>
      <c r="E338" s="1027">
        <v>14449</v>
      </c>
      <c r="F338" s="1028">
        <v>14609</v>
      </c>
      <c r="H338" s="988"/>
      <c r="I338" s="988"/>
      <c r="J338" s="989"/>
      <c r="K338" s="989"/>
    </row>
    <row r="339" spans="2:11">
      <c r="B339" s="165"/>
      <c r="C339" s="1026" t="s">
        <v>1005</v>
      </c>
      <c r="D339" s="1020" t="s">
        <v>1708</v>
      </c>
      <c r="E339" s="1027">
        <v>18500</v>
      </c>
      <c r="F339" s="1028">
        <v>18772</v>
      </c>
      <c r="H339" s="988"/>
      <c r="I339" s="988"/>
      <c r="J339" s="989"/>
      <c r="K339" s="989"/>
    </row>
    <row r="340" spans="2:11">
      <c r="B340" s="165"/>
      <c r="C340" s="1026" t="s">
        <v>1006</v>
      </c>
      <c r="D340" s="1020" t="s">
        <v>1709</v>
      </c>
      <c r="E340" s="1027">
        <v>13019</v>
      </c>
      <c r="F340" s="1028">
        <v>13261</v>
      </c>
      <c r="H340" s="988"/>
      <c r="I340" s="988"/>
      <c r="J340" s="989"/>
      <c r="K340" s="989"/>
    </row>
    <row r="341" spans="2:11">
      <c r="B341" s="165"/>
      <c r="C341" s="1026" t="s">
        <v>1007</v>
      </c>
      <c r="D341" s="1020" t="s">
        <v>1710</v>
      </c>
      <c r="E341" s="1027">
        <v>11728</v>
      </c>
      <c r="F341" s="1028">
        <v>12352</v>
      </c>
      <c r="H341" s="988"/>
      <c r="I341" s="988"/>
      <c r="J341" s="989"/>
      <c r="K341" s="989"/>
    </row>
    <row r="342" spans="2:11">
      <c r="B342" s="165"/>
      <c r="C342" s="1026" t="s">
        <v>1008</v>
      </c>
      <c r="D342" s="1020" t="s">
        <v>1711</v>
      </c>
      <c r="E342" s="1027">
        <v>24667</v>
      </c>
      <c r="F342" s="1028">
        <v>25005</v>
      </c>
      <c r="H342" s="988"/>
      <c r="I342" s="988"/>
      <c r="J342" s="989"/>
      <c r="K342" s="989"/>
    </row>
    <row r="343" spans="2:11">
      <c r="B343" s="165"/>
      <c r="C343" s="1026" t="s">
        <v>1009</v>
      </c>
      <c r="D343" s="1020" t="s">
        <v>1712</v>
      </c>
      <c r="E343" s="1027">
        <v>23391</v>
      </c>
      <c r="F343" s="1028">
        <v>23742</v>
      </c>
      <c r="H343" s="988"/>
      <c r="I343" s="988"/>
      <c r="J343" s="989"/>
      <c r="K343" s="989"/>
    </row>
    <row r="344" spans="2:11">
      <c r="B344" s="165"/>
      <c r="C344" s="1026" t="s">
        <v>1010</v>
      </c>
      <c r="D344" s="1020" t="s">
        <v>1713</v>
      </c>
      <c r="E344" s="1027">
        <v>42512</v>
      </c>
      <c r="F344" s="1028">
        <v>43783</v>
      </c>
      <c r="H344" s="988"/>
      <c r="I344" s="988"/>
      <c r="J344" s="989"/>
      <c r="K344" s="989"/>
    </row>
    <row r="345" spans="2:11">
      <c r="B345" s="165"/>
      <c r="C345" s="1026" t="s">
        <v>1011</v>
      </c>
      <c r="D345" s="1020" t="s">
        <v>1714</v>
      </c>
      <c r="E345" s="1027">
        <v>16197</v>
      </c>
      <c r="F345" s="1028">
        <v>16613</v>
      </c>
      <c r="H345" s="988"/>
      <c r="I345" s="988"/>
      <c r="J345" s="989"/>
      <c r="K345" s="989"/>
    </row>
    <row r="346" spans="2:11">
      <c r="B346" s="165"/>
      <c r="C346" s="1026" t="s">
        <v>1012</v>
      </c>
      <c r="D346" s="1020" t="s">
        <v>1715</v>
      </c>
      <c r="E346" s="1027">
        <v>11107</v>
      </c>
      <c r="F346" s="1028">
        <v>11100</v>
      </c>
      <c r="H346" s="988"/>
      <c r="I346" s="988"/>
      <c r="J346" s="989"/>
      <c r="K346" s="989"/>
    </row>
    <row r="347" spans="2:11">
      <c r="B347" s="165"/>
      <c r="C347" s="1026" t="s">
        <v>1013</v>
      </c>
      <c r="D347" s="1020" t="s">
        <v>1716</v>
      </c>
      <c r="E347" s="1027">
        <v>14542</v>
      </c>
      <c r="F347" s="1028">
        <v>15605</v>
      </c>
      <c r="H347" s="988"/>
      <c r="I347" s="988"/>
      <c r="J347" s="989"/>
      <c r="K347" s="989"/>
    </row>
    <row r="348" spans="2:11">
      <c r="B348" s="165"/>
      <c r="C348" s="1026" t="s">
        <v>1014</v>
      </c>
      <c r="D348" s="1020" t="s">
        <v>1717</v>
      </c>
      <c r="E348" s="1027">
        <v>19380</v>
      </c>
      <c r="F348" s="1028">
        <v>19673</v>
      </c>
      <c r="H348" s="988"/>
      <c r="I348" s="988"/>
      <c r="J348" s="989"/>
      <c r="K348" s="989"/>
    </row>
    <row r="349" spans="2:11">
      <c r="B349" s="165"/>
      <c r="C349" s="1026" t="s">
        <v>1015</v>
      </c>
      <c r="D349" s="1020" t="s">
        <v>1718</v>
      </c>
      <c r="E349" s="1027">
        <v>19402</v>
      </c>
      <c r="F349" s="1028">
        <v>20816</v>
      </c>
      <c r="H349" s="988"/>
      <c r="I349" s="988"/>
      <c r="J349" s="989"/>
      <c r="K349" s="989"/>
    </row>
    <row r="350" spans="2:11">
      <c r="B350" s="165"/>
      <c r="C350" s="1026" t="s">
        <v>1016</v>
      </c>
      <c r="D350" s="1020" t="s">
        <v>1719</v>
      </c>
      <c r="E350" s="1027">
        <v>12401</v>
      </c>
      <c r="F350" s="1028">
        <v>12897</v>
      </c>
      <c r="H350" s="988"/>
      <c r="I350" s="988"/>
      <c r="J350" s="989"/>
      <c r="K350" s="989"/>
    </row>
    <row r="351" spans="2:11">
      <c r="B351" s="165"/>
      <c r="C351" s="1026" t="s">
        <v>1017</v>
      </c>
      <c r="D351" s="1020" t="s">
        <v>1720</v>
      </c>
      <c r="E351" s="1027">
        <v>12939</v>
      </c>
      <c r="F351" s="1028">
        <v>13774</v>
      </c>
      <c r="H351" s="988"/>
      <c r="I351" s="988"/>
      <c r="J351" s="989"/>
      <c r="K351" s="989"/>
    </row>
    <row r="352" spans="2:11">
      <c r="B352" s="165"/>
      <c r="C352" s="1026" t="s">
        <v>1018</v>
      </c>
      <c r="D352" s="1020" t="s">
        <v>1721</v>
      </c>
      <c r="E352" s="1027">
        <v>12396</v>
      </c>
      <c r="F352" s="1028">
        <v>13036</v>
      </c>
      <c r="H352" s="988"/>
      <c r="I352" s="988"/>
      <c r="J352" s="989"/>
      <c r="K352" s="989"/>
    </row>
    <row r="353" spans="2:11">
      <c r="B353" s="165"/>
      <c r="C353" s="1026" t="s">
        <v>1019</v>
      </c>
      <c r="D353" s="1020" t="s">
        <v>1722</v>
      </c>
      <c r="E353" s="1027">
        <v>12867</v>
      </c>
      <c r="F353" s="1028">
        <v>13666</v>
      </c>
      <c r="H353" s="988"/>
      <c r="I353" s="988"/>
      <c r="J353" s="989"/>
      <c r="K353" s="989"/>
    </row>
    <row r="354" spans="2:11">
      <c r="B354" s="165"/>
      <c r="C354" s="1026" t="s">
        <v>1020</v>
      </c>
      <c r="D354" s="1020" t="s">
        <v>1723</v>
      </c>
      <c r="E354" s="1027">
        <v>15217</v>
      </c>
      <c r="F354" s="1028">
        <v>15429</v>
      </c>
      <c r="H354" s="988"/>
      <c r="I354" s="988"/>
      <c r="J354" s="989"/>
      <c r="K354" s="989"/>
    </row>
    <row r="355" spans="2:11">
      <c r="B355" s="165"/>
      <c r="C355" s="1026" t="s">
        <v>1021</v>
      </c>
      <c r="D355" s="1020" t="s">
        <v>1724</v>
      </c>
      <c r="E355" s="1027">
        <v>12324</v>
      </c>
      <c r="F355" s="1028">
        <v>12307</v>
      </c>
      <c r="H355" s="988"/>
      <c r="I355" s="988"/>
      <c r="J355" s="989"/>
      <c r="K355" s="989"/>
    </row>
    <row r="356" spans="2:11">
      <c r="B356" s="165"/>
      <c r="C356" s="1026" t="s">
        <v>1022</v>
      </c>
      <c r="D356" s="1020" t="s">
        <v>1725</v>
      </c>
      <c r="E356" s="1027">
        <v>11905</v>
      </c>
      <c r="F356" s="1028">
        <v>12835</v>
      </c>
      <c r="H356" s="988"/>
      <c r="I356" s="988"/>
      <c r="J356" s="989"/>
      <c r="K356" s="989"/>
    </row>
    <row r="357" spans="2:11">
      <c r="B357" s="165"/>
      <c r="C357" s="1026" t="s">
        <v>1023</v>
      </c>
      <c r="D357" s="1020" t="s">
        <v>1726</v>
      </c>
      <c r="E357" s="1027">
        <v>21827</v>
      </c>
      <c r="F357" s="1028">
        <v>22087</v>
      </c>
      <c r="H357" s="988"/>
      <c r="I357" s="988"/>
      <c r="J357" s="989"/>
      <c r="K357" s="989"/>
    </row>
    <row r="358" spans="2:11">
      <c r="B358" s="165"/>
      <c r="C358" s="1026" t="s">
        <v>1024</v>
      </c>
      <c r="D358" s="1020" t="s">
        <v>1727</v>
      </c>
      <c r="E358" s="1027">
        <v>19777</v>
      </c>
      <c r="F358" s="1028">
        <v>20436</v>
      </c>
      <c r="H358" s="988"/>
      <c r="I358" s="988"/>
      <c r="J358" s="989"/>
      <c r="K358" s="989"/>
    </row>
    <row r="359" spans="2:11">
      <c r="B359" s="165"/>
      <c r="C359" s="1026" t="s">
        <v>1025</v>
      </c>
      <c r="D359" s="1020" t="s">
        <v>1728</v>
      </c>
      <c r="E359" s="1027">
        <v>12953</v>
      </c>
      <c r="F359" s="1028">
        <v>13329</v>
      </c>
      <c r="H359" s="988"/>
      <c r="I359" s="988"/>
      <c r="J359" s="989"/>
      <c r="K359" s="989"/>
    </row>
    <row r="360" spans="2:11">
      <c r="B360" s="165"/>
      <c r="C360" s="1026" t="s">
        <v>1026</v>
      </c>
      <c r="D360" s="1020" t="s">
        <v>1729</v>
      </c>
      <c r="E360" s="1027">
        <v>22034</v>
      </c>
      <c r="F360" s="1028">
        <v>22228</v>
      </c>
      <c r="H360" s="988"/>
      <c r="I360" s="988"/>
      <c r="J360" s="989"/>
      <c r="K360" s="989"/>
    </row>
    <row r="361" spans="2:11">
      <c r="B361" s="165"/>
      <c r="C361" s="1026" t="s">
        <v>1027</v>
      </c>
      <c r="D361" s="1020" t="s">
        <v>1730</v>
      </c>
      <c r="E361" s="1027">
        <v>14378</v>
      </c>
      <c r="F361" s="1028">
        <v>14538</v>
      </c>
      <c r="H361" s="988"/>
      <c r="I361" s="988"/>
      <c r="J361" s="989"/>
      <c r="K361" s="989"/>
    </row>
    <row r="362" spans="2:11">
      <c r="B362" s="165"/>
      <c r="C362" s="1026" t="s">
        <v>1028</v>
      </c>
      <c r="D362" s="1020" t="s">
        <v>1731</v>
      </c>
      <c r="E362" s="1027">
        <v>11820</v>
      </c>
      <c r="F362" s="1028">
        <v>12176</v>
      </c>
      <c r="H362" s="988"/>
      <c r="I362" s="988"/>
      <c r="J362" s="989"/>
      <c r="K362" s="989"/>
    </row>
    <row r="363" spans="2:11">
      <c r="B363" s="165"/>
      <c r="C363" s="1026" t="s">
        <v>896</v>
      </c>
      <c r="D363" s="1020" t="s">
        <v>1732</v>
      </c>
      <c r="E363" s="1027">
        <v>14240</v>
      </c>
      <c r="F363" s="1028">
        <v>14696</v>
      </c>
      <c r="H363" s="988"/>
      <c r="I363" s="988"/>
      <c r="J363" s="989"/>
      <c r="K363" s="989"/>
    </row>
    <row r="364" spans="2:11">
      <c r="B364" s="165"/>
      <c r="C364" s="1026" t="s">
        <v>1029</v>
      </c>
      <c r="D364" s="1020" t="s">
        <v>1733</v>
      </c>
      <c r="E364" s="1027">
        <v>16037</v>
      </c>
      <c r="F364" s="1028">
        <v>16719</v>
      </c>
      <c r="H364" s="988"/>
      <c r="I364" s="988"/>
      <c r="J364" s="989"/>
      <c r="K364" s="989"/>
    </row>
    <row r="365" spans="2:11">
      <c r="B365" s="165"/>
      <c r="C365" s="1026" t="s">
        <v>1030</v>
      </c>
      <c r="D365" s="1020" t="s">
        <v>1734</v>
      </c>
      <c r="E365" s="1027">
        <v>12747</v>
      </c>
      <c r="F365" s="1028">
        <v>13409</v>
      </c>
      <c r="H365" s="988"/>
      <c r="I365" s="988"/>
      <c r="J365" s="989"/>
      <c r="K365" s="989"/>
    </row>
    <row r="366" spans="2:11">
      <c r="B366" s="165"/>
      <c r="C366" s="1026" t="s">
        <v>1031</v>
      </c>
      <c r="D366" s="1020" t="s">
        <v>1735</v>
      </c>
      <c r="E366" s="1027">
        <v>17675</v>
      </c>
      <c r="F366" s="1028">
        <v>18368</v>
      </c>
      <c r="H366" s="988"/>
      <c r="I366" s="988"/>
      <c r="J366" s="989"/>
      <c r="K366" s="989"/>
    </row>
    <row r="367" spans="2:11">
      <c r="B367" s="165"/>
      <c r="C367" s="1026" t="s">
        <v>774</v>
      </c>
      <c r="D367" s="1020" t="s">
        <v>1736</v>
      </c>
      <c r="E367" s="1027">
        <v>12516</v>
      </c>
      <c r="F367" s="1028">
        <v>12863</v>
      </c>
      <c r="H367" s="988"/>
      <c r="I367" s="988"/>
      <c r="J367" s="989"/>
      <c r="K367" s="989"/>
    </row>
    <row r="368" spans="2:11">
      <c r="B368" s="165"/>
      <c r="C368" s="1026" t="s">
        <v>1032</v>
      </c>
      <c r="D368" s="1020" t="s">
        <v>1737</v>
      </c>
      <c r="E368" s="1027">
        <v>17834</v>
      </c>
      <c r="F368" s="1028">
        <v>17941</v>
      </c>
      <c r="H368" s="988"/>
      <c r="I368" s="988"/>
      <c r="J368" s="989"/>
      <c r="K368" s="989"/>
    </row>
    <row r="369" spans="2:11">
      <c r="B369" s="165"/>
      <c r="C369" s="1026" t="s">
        <v>1033</v>
      </c>
      <c r="D369" s="1020" t="s">
        <v>1738</v>
      </c>
      <c r="E369" s="1027">
        <v>11674</v>
      </c>
      <c r="F369" s="1028">
        <v>11605</v>
      </c>
      <c r="H369" s="988"/>
      <c r="I369" s="988"/>
      <c r="J369" s="989"/>
      <c r="K369" s="989"/>
    </row>
    <row r="370" spans="2:11">
      <c r="B370" s="165"/>
      <c r="C370" s="1026" t="s">
        <v>1034</v>
      </c>
      <c r="D370" s="1020" t="s">
        <v>1739</v>
      </c>
      <c r="E370" s="1027">
        <v>17357</v>
      </c>
      <c r="F370" s="1028">
        <v>17381</v>
      </c>
      <c r="H370" s="988"/>
      <c r="I370" s="988"/>
      <c r="J370" s="989"/>
      <c r="K370" s="989"/>
    </row>
    <row r="371" spans="2:11">
      <c r="B371" s="165"/>
      <c r="C371" s="1026" t="s">
        <v>1035</v>
      </c>
      <c r="D371" s="1020" t="s">
        <v>1740</v>
      </c>
      <c r="E371" s="1027">
        <v>11630</v>
      </c>
      <c r="F371" s="1028">
        <v>11633</v>
      </c>
      <c r="H371" s="988"/>
      <c r="I371" s="988"/>
      <c r="J371" s="989"/>
      <c r="K371" s="989"/>
    </row>
    <row r="372" spans="2:11">
      <c r="B372" s="165"/>
      <c r="C372" s="1026" t="s">
        <v>1036</v>
      </c>
      <c r="D372" s="1020" t="s">
        <v>1741</v>
      </c>
      <c r="E372" s="1027">
        <v>13705</v>
      </c>
      <c r="F372" s="1028">
        <v>15873</v>
      </c>
      <c r="H372" s="988"/>
      <c r="I372" s="988"/>
      <c r="J372" s="989"/>
      <c r="K372" s="989"/>
    </row>
    <row r="373" spans="2:11">
      <c r="B373" s="165"/>
      <c r="C373" s="1026" t="s">
        <v>1037</v>
      </c>
      <c r="D373" s="1020" t="s">
        <v>1742</v>
      </c>
      <c r="E373" s="1027">
        <v>13015</v>
      </c>
      <c r="F373" s="1028">
        <v>14005</v>
      </c>
      <c r="H373" s="988"/>
      <c r="I373" s="988"/>
      <c r="J373" s="989"/>
      <c r="K373" s="989"/>
    </row>
    <row r="374" spans="2:11">
      <c r="B374" s="165"/>
      <c r="C374" s="1026" t="s">
        <v>1038</v>
      </c>
      <c r="D374" s="1020" t="s">
        <v>1743</v>
      </c>
      <c r="E374" s="1027">
        <v>11836</v>
      </c>
      <c r="F374" s="1028">
        <v>11829</v>
      </c>
      <c r="H374" s="988"/>
      <c r="I374" s="988"/>
      <c r="J374" s="989"/>
      <c r="K374" s="989"/>
    </row>
    <row r="375" spans="2:11">
      <c r="B375" s="165"/>
      <c r="C375" s="1026" t="s">
        <v>1039</v>
      </c>
      <c r="D375" s="1020" t="s">
        <v>1744</v>
      </c>
      <c r="E375" s="1027">
        <v>16781</v>
      </c>
      <c r="F375" s="1028">
        <v>16935</v>
      </c>
      <c r="H375" s="988"/>
      <c r="I375" s="988"/>
      <c r="J375" s="989"/>
      <c r="K375" s="989"/>
    </row>
    <row r="376" spans="2:11">
      <c r="B376" s="165"/>
      <c r="C376" s="1026" t="s">
        <v>1040</v>
      </c>
      <c r="D376" s="1020" t="s">
        <v>1745</v>
      </c>
      <c r="E376" s="1027">
        <v>19677</v>
      </c>
      <c r="F376" s="1028">
        <v>19860</v>
      </c>
      <c r="H376" s="988"/>
      <c r="I376" s="988"/>
      <c r="J376" s="989"/>
      <c r="K376" s="989"/>
    </row>
    <row r="377" spans="2:11">
      <c r="B377" s="165"/>
      <c r="C377" s="1026" t="s">
        <v>1041</v>
      </c>
      <c r="D377" s="1020" t="s">
        <v>1746</v>
      </c>
      <c r="E377" s="1027">
        <v>13291</v>
      </c>
      <c r="F377" s="1028">
        <v>13841</v>
      </c>
      <c r="H377" s="988"/>
      <c r="I377" s="988"/>
      <c r="J377" s="989"/>
      <c r="K377" s="989"/>
    </row>
    <row r="378" spans="2:11">
      <c r="B378" s="165"/>
      <c r="C378" s="1026" t="s">
        <v>1042</v>
      </c>
      <c r="D378" s="1020" t="s">
        <v>1747</v>
      </c>
      <c r="E378" s="1027">
        <v>15341</v>
      </c>
      <c r="F378" s="1028">
        <v>15728</v>
      </c>
      <c r="H378" s="988"/>
      <c r="I378" s="988"/>
      <c r="J378" s="989"/>
      <c r="K378" s="989"/>
    </row>
    <row r="379" spans="2:11">
      <c r="B379" s="165"/>
      <c r="C379" s="1026" t="s">
        <v>1043</v>
      </c>
      <c r="D379" s="1020" t="s">
        <v>1748</v>
      </c>
      <c r="E379" s="1027">
        <v>13626</v>
      </c>
      <c r="F379" s="1028">
        <v>13755</v>
      </c>
      <c r="H379" s="988"/>
      <c r="I379" s="988"/>
      <c r="J379" s="989"/>
      <c r="K379" s="989"/>
    </row>
    <row r="380" spans="2:11">
      <c r="B380" s="165"/>
      <c r="C380" s="1026" t="s">
        <v>1044</v>
      </c>
      <c r="D380" s="1020" t="s">
        <v>1749</v>
      </c>
      <c r="E380" s="1027">
        <v>15775</v>
      </c>
      <c r="F380" s="1028">
        <v>16816</v>
      </c>
      <c r="H380" s="988"/>
      <c r="I380" s="988"/>
      <c r="J380" s="989"/>
      <c r="K380" s="989"/>
    </row>
    <row r="381" spans="2:11">
      <c r="B381" s="165"/>
      <c r="C381" s="1026" t="s">
        <v>1045</v>
      </c>
      <c r="D381" s="1020" t="s">
        <v>1750</v>
      </c>
      <c r="E381" s="1027">
        <v>14570</v>
      </c>
      <c r="F381" s="1028">
        <v>15303</v>
      </c>
      <c r="H381" s="988"/>
      <c r="I381" s="988"/>
      <c r="J381" s="989"/>
      <c r="K381" s="989"/>
    </row>
    <row r="382" spans="2:11">
      <c r="B382" s="165"/>
      <c r="C382" s="1026" t="s">
        <v>1046</v>
      </c>
      <c r="D382" s="1020" t="s">
        <v>1751</v>
      </c>
      <c r="E382" s="1027">
        <v>13485</v>
      </c>
      <c r="F382" s="1028">
        <v>14088</v>
      </c>
      <c r="H382" s="988"/>
      <c r="I382" s="988"/>
      <c r="J382" s="989"/>
      <c r="K382" s="989"/>
    </row>
    <row r="383" spans="2:11">
      <c r="B383" s="165"/>
      <c r="C383" s="1026" t="s">
        <v>1047</v>
      </c>
      <c r="D383" s="1020" t="s">
        <v>1752</v>
      </c>
      <c r="E383" s="1027">
        <v>14404</v>
      </c>
      <c r="F383" s="1028">
        <v>14280</v>
      </c>
      <c r="H383" s="988"/>
      <c r="I383" s="988"/>
      <c r="J383" s="989"/>
      <c r="K383" s="989"/>
    </row>
    <row r="384" spans="2:11">
      <c r="B384" s="165"/>
      <c r="C384" s="1026" t="s">
        <v>1048</v>
      </c>
      <c r="D384" s="1020" t="s">
        <v>1753</v>
      </c>
      <c r="E384" s="1027">
        <v>24839</v>
      </c>
      <c r="F384" s="1028">
        <v>27241</v>
      </c>
      <c r="H384" s="988"/>
      <c r="I384" s="988"/>
      <c r="J384" s="989"/>
      <c r="K384" s="989"/>
    </row>
    <row r="385" spans="2:11">
      <c r="B385" s="165"/>
      <c r="C385" s="1026" t="s">
        <v>1049</v>
      </c>
      <c r="D385" s="1020" t="s">
        <v>1754</v>
      </c>
      <c r="E385" s="1027">
        <v>26057</v>
      </c>
      <c r="F385" s="1028">
        <v>26331</v>
      </c>
      <c r="H385" s="988"/>
      <c r="I385" s="988"/>
      <c r="J385" s="989"/>
      <c r="K385" s="989"/>
    </row>
    <row r="386" spans="2:11">
      <c r="B386" s="165"/>
      <c r="C386" s="1026" t="s">
        <v>1050</v>
      </c>
      <c r="D386" s="1020" t="s">
        <v>1755</v>
      </c>
      <c r="E386" s="1027">
        <v>13210</v>
      </c>
      <c r="F386" s="1028">
        <v>13395</v>
      </c>
      <c r="H386" s="988"/>
      <c r="I386" s="988"/>
      <c r="J386" s="989"/>
      <c r="K386" s="989"/>
    </row>
    <row r="387" spans="2:11">
      <c r="B387" s="165"/>
      <c r="C387" s="1026" t="s">
        <v>1183</v>
      </c>
      <c r="D387" s="1020" t="s">
        <v>1756</v>
      </c>
      <c r="E387" s="1027">
        <v>10866</v>
      </c>
      <c r="F387" s="1028">
        <v>10995</v>
      </c>
      <c r="H387" s="988"/>
      <c r="I387" s="988"/>
      <c r="J387" s="989"/>
      <c r="K387" s="989"/>
    </row>
    <row r="388" spans="2:11">
      <c r="B388" s="165"/>
      <c r="C388" s="1026" t="s">
        <v>1051</v>
      </c>
      <c r="D388" s="1020" t="s">
        <v>1757</v>
      </c>
      <c r="E388" s="1027">
        <v>15512</v>
      </c>
      <c r="F388" s="1028">
        <v>16117</v>
      </c>
      <c r="H388" s="988"/>
      <c r="I388" s="988"/>
      <c r="J388" s="989"/>
      <c r="K388" s="989"/>
    </row>
    <row r="389" spans="2:11">
      <c r="B389" s="165"/>
      <c r="C389" s="1026" t="s">
        <v>1052</v>
      </c>
      <c r="D389" s="1020" t="s">
        <v>1758</v>
      </c>
      <c r="E389" s="1027">
        <v>31123</v>
      </c>
      <c r="F389" s="1028">
        <v>35371</v>
      </c>
      <c r="H389" s="988"/>
      <c r="I389" s="988"/>
      <c r="J389" s="989"/>
      <c r="K389" s="989"/>
    </row>
    <row r="390" spans="2:11">
      <c r="B390" s="165"/>
      <c r="C390" s="1026" t="s">
        <v>1053</v>
      </c>
      <c r="D390" s="1020" t="s">
        <v>1759</v>
      </c>
      <c r="E390" s="1027">
        <v>16023</v>
      </c>
      <c r="F390" s="1028">
        <v>16694</v>
      </c>
      <c r="H390" s="988"/>
      <c r="I390" s="988"/>
      <c r="J390" s="989"/>
      <c r="K390" s="989"/>
    </row>
    <row r="391" spans="2:11">
      <c r="B391" s="165"/>
      <c r="C391" s="1026" t="s">
        <v>1054</v>
      </c>
      <c r="D391" s="1020" t="s">
        <v>1760</v>
      </c>
      <c r="E391" s="1027">
        <v>11805</v>
      </c>
      <c r="F391" s="1028">
        <v>12255</v>
      </c>
      <c r="H391" s="988"/>
      <c r="I391" s="988"/>
      <c r="J391" s="989"/>
      <c r="K391" s="989"/>
    </row>
    <row r="392" spans="2:11">
      <c r="B392" s="165"/>
      <c r="C392" s="1026" t="s">
        <v>1055</v>
      </c>
      <c r="D392" s="1020" t="s">
        <v>1761</v>
      </c>
      <c r="E392" s="1027">
        <v>14186</v>
      </c>
      <c r="F392" s="1028">
        <v>14528</v>
      </c>
      <c r="H392" s="988"/>
      <c r="I392" s="988"/>
      <c r="J392" s="989"/>
      <c r="K392" s="989"/>
    </row>
    <row r="393" spans="2:11">
      <c r="B393" s="165"/>
      <c r="C393" s="1026" t="s">
        <v>1056</v>
      </c>
      <c r="D393" s="1020" t="s">
        <v>1762</v>
      </c>
      <c r="E393" s="1027">
        <v>11664</v>
      </c>
      <c r="F393" s="1028">
        <v>11798</v>
      </c>
      <c r="H393" s="988"/>
      <c r="I393" s="988"/>
      <c r="J393" s="989"/>
      <c r="K393" s="989"/>
    </row>
    <row r="394" spans="2:11">
      <c r="B394" s="165"/>
      <c r="C394" s="1026" t="s">
        <v>1057</v>
      </c>
      <c r="D394" s="1020" t="s">
        <v>1763</v>
      </c>
      <c r="E394" s="1027">
        <v>14639</v>
      </c>
      <c r="F394" s="1028">
        <v>14307</v>
      </c>
      <c r="H394" s="988"/>
      <c r="I394" s="988"/>
      <c r="J394" s="989"/>
      <c r="K394" s="989"/>
    </row>
    <row r="395" spans="2:11">
      <c r="B395" s="165"/>
      <c r="C395" s="1026" t="s">
        <v>1058</v>
      </c>
      <c r="D395" s="1020" t="s">
        <v>1764</v>
      </c>
      <c r="E395" s="1027">
        <v>13830</v>
      </c>
      <c r="F395" s="1028">
        <v>14097</v>
      </c>
      <c r="H395" s="988"/>
      <c r="I395" s="988"/>
      <c r="J395" s="989"/>
      <c r="K395" s="989"/>
    </row>
    <row r="396" spans="2:11">
      <c r="B396" s="165"/>
      <c r="C396" s="1026" t="s">
        <v>1059</v>
      </c>
      <c r="D396" s="1020" t="s">
        <v>1765</v>
      </c>
      <c r="E396" s="1027">
        <v>12893</v>
      </c>
      <c r="F396" s="1028">
        <v>13231</v>
      </c>
      <c r="H396" s="988"/>
      <c r="I396" s="988"/>
      <c r="J396" s="989"/>
      <c r="K396" s="989"/>
    </row>
    <row r="397" spans="2:11">
      <c r="B397" s="165"/>
      <c r="C397" s="1026" t="s">
        <v>1060</v>
      </c>
      <c r="D397" s="1020" t="s">
        <v>1766</v>
      </c>
      <c r="E397" s="1027">
        <v>14859</v>
      </c>
      <c r="F397" s="1028">
        <v>15520</v>
      </c>
      <c r="H397" s="988"/>
      <c r="I397" s="988"/>
      <c r="J397" s="989"/>
      <c r="K397" s="989"/>
    </row>
    <row r="398" spans="2:11">
      <c r="B398" s="165"/>
      <c r="C398" s="1026" t="s">
        <v>1061</v>
      </c>
      <c r="D398" s="1020" t="s">
        <v>1767</v>
      </c>
      <c r="E398" s="1027">
        <v>19716</v>
      </c>
      <c r="F398" s="1028">
        <v>20270</v>
      </c>
      <c r="H398" s="988"/>
      <c r="I398" s="988"/>
      <c r="J398" s="989"/>
      <c r="K398" s="989"/>
    </row>
    <row r="399" spans="2:11">
      <c r="B399" s="165"/>
      <c r="C399" s="1026" t="s">
        <v>1062</v>
      </c>
      <c r="D399" s="1020" t="s">
        <v>1768</v>
      </c>
      <c r="E399" s="1027">
        <v>16415</v>
      </c>
      <c r="F399" s="1028">
        <v>16701</v>
      </c>
      <c r="H399" s="988"/>
      <c r="I399" s="988"/>
      <c r="J399" s="989"/>
      <c r="K399" s="989"/>
    </row>
    <row r="400" spans="2:11">
      <c r="B400" s="165"/>
      <c r="C400" s="1026" t="s">
        <v>1063</v>
      </c>
      <c r="D400" s="1020" t="s">
        <v>1769</v>
      </c>
      <c r="E400" s="1027">
        <v>18476</v>
      </c>
      <c r="F400" s="1028">
        <v>18589</v>
      </c>
      <c r="H400" s="988"/>
      <c r="I400" s="988"/>
      <c r="J400" s="989"/>
      <c r="K400" s="989"/>
    </row>
    <row r="401" spans="2:11">
      <c r="B401" s="165"/>
      <c r="C401" s="1026" t="s">
        <v>1064</v>
      </c>
      <c r="D401" s="1020" t="s">
        <v>1770</v>
      </c>
      <c r="E401" s="1027">
        <v>18428</v>
      </c>
      <c r="F401" s="1028">
        <v>19154</v>
      </c>
      <c r="H401" s="988"/>
      <c r="I401" s="988"/>
      <c r="J401" s="989"/>
      <c r="K401" s="989"/>
    </row>
    <row r="402" spans="2:11">
      <c r="B402" s="165"/>
      <c r="C402" s="1026" t="s">
        <v>1065</v>
      </c>
      <c r="D402" s="1020" t="s">
        <v>1771</v>
      </c>
      <c r="E402" s="1027">
        <v>14445</v>
      </c>
      <c r="F402" s="1028">
        <v>14923</v>
      </c>
      <c r="H402" s="988"/>
      <c r="I402" s="988"/>
      <c r="J402" s="989"/>
      <c r="K402" s="989"/>
    </row>
    <row r="403" spans="2:11">
      <c r="B403" s="165"/>
      <c r="C403" s="1026" t="s">
        <v>1066</v>
      </c>
      <c r="D403" s="1020" t="s">
        <v>1772</v>
      </c>
      <c r="E403" s="1027">
        <v>12271</v>
      </c>
      <c r="F403" s="1028">
        <v>12563</v>
      </c>
      <c r="H403" s="988"/>
      <c r="I403" s="988"/>
      <c r="J403" s="989"/>
      <c r="K403" s="989"/>
    </row>
    <row r="404" spans="2:11">
      <c r="B404" s="165"/>
      <c r="C404" s="1026" t="s">
        <v>1067</v>
      </c>
      <c r="D404" s="1020" t="s">
        <v>1773</v>
      </c>
      <c r="E404" s="1027">
        <v>16067</v>
      </c>
      <c r="F404" s="1028">
        <v>16763</v>
      </c>
      <c r="H404" s="988"/>
      <c r="I404" s="988"/>
      <c r="J404" s="989"/>
      <c r="K404" s="989"/>
    </row>
    <row r="405" spans="2:11">
      <c r="B405" s="165"/>
      <c r="C405" s="1026" t="s">
        <v>1068</v>
      </c>
      <c r="D405" s="1020" t="s">
        <v>1774</v>
      </c>
      <c r="E405" s="1027">
        <v>16565</v>
      </c>
      <c r="F405" s="1028">
        <v>17118</v>
      </c>
      <c r="H405" s="988"/>
      <c r="I405" s="988"/>
      <c r="J405" s="989"/>
      <c r="K405" s="989"/>
    </row>
    <row r="406" spans="2:11">
      <c r="B406" s="165"/>
      <c r="C406" s="1026" t="s">
        <v>1069</v>
      </c>
      <c r="D406" s="1020" t="s">
        <v>1775</v>
      </c>
      <c r="E406" s="1027">
        <v>16125</v>
      </c>
      <c r="F406" s="1028">
        <v>17004</v>
      </c>
      <c r="H406" s="988"/>
      <c r="I406" s="988"/>
      <c r="J406" s="989"/>
      <c r="K406" s="989"/>
    </row>
    <row r="407" spans="2:11">
      <c r="B407" s="165"/>
      <c r="C407" s="1026" t="s">
        <v>1070</v>
      </c>
      <c r="D407" s="1020" t="s">
        <v>1776</v>
      </c>
      <c r="E407" s="1027">
        <v>18053</v>
      </c>
      <c r="F407" s="1028">
        <v>18595</v>
      </c>
      <c r="H407" s="988"/>
      <c r="I407" s="988"/>
      <c r="J407" s="989"/>
      <c r="K407" s="989"/>
    </row>
    <row r="408" spans="2:11">
      <c r="B408" s="165"/>
      <c r="C408" s="1026" t="s">
        <v>1071</v>
      </c>
      <c r="D408" s="1020" t="s">
        <v>1777</v>
      </c>
      <c r="E408" s="1027">
        <v>19758</v>
      </c>
      <c r="F408" s="1028">
        <v>18495</v>
      </c>
      <c r="H408" s="988"/>
      <c r="I408" s="988"/>
      <c r="J408" s="989"/>
      <c r="K408" s="989"/>
    </row>
    <row r="409" spans="2:11">
      <c r="B409" s="165"/>
      <c r="C409" s="1026" t="s">
        <v>1102</v>
      </c>
      <c r="D409" s="1020" t="s">
        <v>1778</v>
      </c>
      <c r="E409" s="1027">
        <v>17626</v>
      </c>
      <c r="F409" s="1028">
        <v>18340</v>
      </c>
      <c r="H409" s="988"/>
      <c r="I409" s="988"/>
      <c r="J409" s="989"/>
      <c r="K409" s="989"/>
    </row>
    <row r="410" spans="2:11">
      <c r="B410" s="165"/>
      <c r="C410" s="1026" t="s">
        <v>1100</v>
      </c>
      <c r="D410" s="1020" t="s">
        <v>1779</v>
      </c>
      <c r="E410" s="1027">
        <v>13439</v>
      </c>
      <c r="F410" s="1028">
        <v>14057</v>
      </c>
      <c r="H410" s="988"/>
      <c r="I410" s="988"/>
      <c r="J410" s="989"/>
      <c r="K410" s="989"/>
    </row>
    <row r="411" spans="2:11">
      <c r="B411" s="165"/>
      <c r="C411" s="1026" t="s">
        <v>1072</v>
      </c>
      <c r="D411" s="1020" t="s">
        <v>1780</v>
      </c>
      <c r="E411" s="1027">
        <v>12719</v>
      </c>
      <c r="F411" s="1028">
        <v>13312</v>
      </c>
      <c r="H411" s="988"/>
      <c r="I411" s="988"/>
      <c r="J411" s="989"/>
      <c r="K411" s="989"/>
    </row>
    <row r="412" spans="2:11">
      <c r="B412" s="165"/>
      <c r="C412" s="1026" t="s">
        <v>1073</v>
      </c>
      <c r="D412" s="1020" t="s">
        <v>1781</v>
      </c>
      <c r="E412" s="1027">
        <v>11689</v>
      </c>
      <c r="F412" s="1028">
        <v>12060</v>
      </c>
      <c r="H412" s="988"/>
      <c r="I412" s="988"/>
      <c r="J412" s="989"/>
      <c r="K412" s="989"/>
    </row>
    <row r="413" spans="2:11">
      <c r="B413" s="165"/>
      <c r="C413" s="1026" t="s">
        <v>1074</v>
      </c>
      <c r="D413" s="1020" t="s">
        <v>1782</v>
      </c>
      <c r="E413" s="1027">
        <v>17391</v>
      </c>
      <c r="F413" s="1028">
        <v>18149</v>
      </c>
      <c r="H413" s="988"/>
      <c r="I413" s="988"/>
      <c r="J413" s="989"/>
      <c r="K413" s="989"/>
    </row>
    <row r="414" spans="2:11">
      <c r="B414" s="165"/>
      <c r="C414" s="1026" t="s">
        <v>1075</v>
      </c>
      <c r="D414" s="1020" t="s">
        <v>1783</v>
      </c>
      <c r="E414" s="1027">
        <v>44732</v>
      </c>
      <c r="F414" s="1028">
        <v>44320</v>
      </c>
      <c r="H414" s="988"/>
      <c r="I414" s="988"/>
      <c r="J414" s="989"/>
      <c r="K414" s="989"/>
    </row>
    <row r="415" spans="2:11">
      <c r="B415" s="165"/>
      <c r="C415" s="1026" t="s">
        <v>1076</v>
      </c>
      <c r="D415" s="1020" t="s">
        <v>1784</v>
      </c>
      <c r="E415" s="1027">
        <v>11753</v>
      </c>
      <c r="F415" s="1028">
        <v>11787</v>
      </c>
      <c r="H415" s="988"/>
      <c r="I415" s="988"/>
      <c r="J415" s="989"/>
      <c r="K415" s="989"/>
    </row>
    <row r="416" spans="2:11">
      <c r="B416" s="165"/>
      <c r="C416" s="1026" t="s">
        <v>1077</v>
      </c>
      <c r="D416" s="1020" t="s">
        <v>1785</v>
      </c>
      <c r="E416" s="1027">
        <v>12561</v>
      </c>
      <c r="F416" s="1028">
        <v>12782</v>
      </c>
      <c r="H416" s="988"/>
      <c r="I416" s="988"/>
      <c r="J416" s="989"/>
      <c r="K416" s="989"/>
    </row>
    <row r="417" spans="2:11">
      <c r="B417" s="165"/>
      <c r="C417" s="1026" t="s">
        <v>1078</v>
      </c>
      <c r="D417" s="1020" t="s">
        <v>1786</v>
      </c>
      <c r="E417" s="1027">
        <v>12531</v>
      </c>
      <c r="F417" s="1028">
        <v>12691</v>
      </c>
      <c r="H417" s="988"/>
      <c r="I417" s="988"/>
      <c r="J417" s="989"/>
      <c r="K417" s="989"/>
    </row>
    <row r="418" spans="2:11">
      <c r="B418" s="165"/>
      <c r="C418" s="1026" t="s">
        <v>1079</v>
      </c>
      <c r="D418" s="1020" t="s">
        <v>1787</v>
      </c>
      <c r="E418" s="1027">
        <v>11757</v>
      </c>
      <c r="F418" s="1028">
        <v>12059</v>
      </c>
      <c r="H418" s="988"/>
      <c r="I418" s="988"/>
      <c r="J418" s="989"/>
      <c r="K418" s="989"/>
    </row>
    <row r="419" spans="2:11">
      <c r="B419" s="165"/>
      <c r="C419" s="1026" t="s">
        <v>1080</v>
      </c>
      <c r="D419" s="1020" t="s">
        <v>1788</v>
      </c>
      <c r="E419" s="1027">
        <v>13311</v>
      </c>
      <c r="F419" s="1028">
        <v>13877</v>
      </c>
      <c r="H419" s="988"/>
      <c r="I419" s="988"/>
      <c r="J419" s="989"/>
      <c r="K419" s="989"/>
    </row>
    <row r="420" spans="2:11">
      <c r="B420" s="165"/>
      <c r="C420" s="1026" t="s">
        <v>1081</v>
      </c>
      <c r="D420" s="1020" t="s">
        <v>1789</v>
      </c>
      <c r="E420" s="1027">
        <v>16445</v>
      </c>
      <c r="F420" s="1028">
        <v>16899</v>
      </c>
      <c r="H420" s="988"/>
      <c r="I420" s="988"/>
      <c r="J420" s="989"/>
      <c r="K420" s="989"/>
    </row>
    <row r="421" spans="2:11">
      <c r="B421" s="165"/>
      <c r="C421" s="1026" t="s">
        <v>1082</v>
      </c>
      <c r="D421" s="1020" t="s">
        <v>1790</v>
      </c>
      <c r="E421" s="1027">
        <v>17474</v>
      </c>
      <c r="F421" s="1028">
        <v>17416</v>
      </c>
      <c r="H421" s="988"/>
      <c r="I421" s="988"/>
      <c r="J421" s="989"/>
      <c r="K421" s="989"/>
    </row>
    <row r="422" spans="2:11">
      <c r="B422" s="165"/>
      <c r="C422" s="1026" t="s">
        <v>1083</v>
      </c>
      <c r="D422" s="1020" t="s">
        <v>1791</v>
      </c>
      <c r="E422" s="1027">
        <v>14856</v>
      </c>
      <c r="F422" s="1028">
        <v>15290</v>
      </c>
      <c r="H422" s="988"/>
      <c r="I422" s="988"/>
      <c r="J422" s="989"/>
      <c r="K422" s="989"/>
    </row>
    <row r="423" spans="2:11">
      <c r="B423" s="165"/>
      <c r="C423" s="1026" t="s">
        <v>1084</v>
      </c>
      <c r="D423" s="1020" t="s">
        <v>1792</v>
      </c>
      <c r="E423" s="1027">
        <v>12686</v>
      </c>
      <c r="F423" s="1028">
        <v>13235</v>
      </c>
      <c r="H423" s="988"/>
      <c r="I423" s="988"/>
      <c r="J423" s="989"/>
      <c r="K423" s="989"/>
    </row>
    <row r="424" spans="2:11">
      <c r="B424" s="165"/>
      <c r="C424" s="1026" t="s">
        <v>1085</v>
      </c>
      <c r="D424" s="1020" t="s">
        <v>1793</v>
      </c>
      <c r="E424" s="1027">
        <v>14056</v>
      </c>
      <c r="F424" s="1028">
        <v>17451</v>
      </c>
      <c r="H424" s="988"/>
      <c r="I424" s="988"/>
      <c r="J424" s="989"/>
      <c r="K424" s="989"/>
    </row>
    <row r="425" spans="2:11">
      <c r="B425" s="165"/>
      <c r="C425" s="1026" t="s">
        <v>1086</v>
      </c>
      <c r="D425" s="1020" t="s">
        <v>1794</v>
      </c>
      <c r="E425" s="1027">
        <v>19673</v>
      </c>
      <c r="F425" s="1028">
        <v>19801</v>
      </c>
      <c r="H425" s="988"/>
      <c r="I425" s="988"/>
      <c r="J425" s="989"/>
      <c r="K425" s="989"/>
    </row>
    <row r="426" spans="2:11">
      <c r="B426" s="165"/>
      <c r="C426" s="1026" t="s">
        <v>930</v>
      </c>
      <c r="D426" s="1020" t="s">
        <v>1795</v>
      </c>
      <c r="E426" s="1027">
        <v>18654</v>
      </c>
      <c r="F426" s="1028">
        <v>18645</v>
      </c>
      <c r="H426" s="988"/>
      <c r="I426" s="988"/>
      <c r="J426" s="989"/>
      <c r="K426" s="989"/>
    </row>
    <row r="427" spans="2:11">
      <c r="B427" s="165"/>
      <c r="C427" s="1026" t="s">
        <v>1087</v>
      </c>
      <c r="D427" s="1020" t="s">
        <v>1796</v>
      </c>
      <c r="E427" s="1027">
        <v>13722</v>
      </c>
      <c r="F427" s="1028">
        <v>14020</v>
      </c>
      <c r="H427" s="988"/>
      <c r="I427" s="988"/>
      <c r="J427" s="989"/>
      <c r="K427" s="989"/>
    </row>
    <row r="428" spans="2:11">
      <c r="B428" s="165"/>
      <c r="C428" s="1026" t="s">
        <v>1088</v>
      </c>
      <c r="D428" s="1020" t="s">
        <v>1797</v>
      </c>
      <c r="E428" s="1027">
        <v>21652</v>
      </c>
      <c r="F428" s="1028">
        <v>22007</v>
      </c>
      <c r="H428" s="988"/>
      <c r="I428" s="988"/>
      <c r="J428" s="989"/>
      <c r="K428" s="989"/>
    </row>
    <row r="429" spans="2:11">
      <c r="B429" s="165"/>
      <c r="C429" s="1026" t="s">
        <v>1089</v>
      </c>
      <c r="D429" s="1020" t="s">
        <v>1798</v>
      </c>
      <c r="E429" s="1027">
        <v>26157</v>
      </c>
      <c r="F429" s="1028">
        <v>26500</v>
      </c>
      <c r="H429" s="988"/>
      <c r="I429" s="988"/>
      <c r="J429" s="989"/>
      <c r="K429" s="989"/>
    </row>
    <row r="430" spans="2:11">
      <c r="B430" s="165"/>
      <c r="C430" s="1026" t="s">
        <v>1090</v>
      </c>
      <c r="D430" s="1020" t="s">
        <v>1799</v>
      </c>
      <c r="E430" s="1027">
        <v>12806</v>
      </c>
      <c r="F430" s="1028">
        <v>13189</v>
      </c>
      <c r="H430" s="988"/>
      <c r="I430" s="988"/>
      <c r="J430" s="989"/>
      <c r="K430" s="989"/>
    </row>
    <row r="431" spans="2:11">
      <c r="B431" s="165"/>
      <c r="C431" s="1026" t="s">
        <v>1091</v>
      </c>
      <c r="D431" s="1020" t="s">
        <v>1800</v>
      </c>
      <c r="E431" s="1027">
        <v>12127</v>
      </c>
      <c r="F431" s="1028">
        <v>12142</v>
      </c>
      <c r="H431" s="988"/>
      <c r="I431" s="988"/>
      <c r="J431" s="989"/>
      <c r="K431" s="989"/>
    </row>
    <row r="432" spans="2:11">
      <c r="B432" s="165"/>
      <c r="C432" s="1026" t="s">
        <v>1092</v>
      </c>
      <c r="D432" s="1020" t="s">
        <v>1801</v>
      </c>
      <c r="E432" s="1027">
        <v>16115</v>
      </c>
      <c r="F432" s="1028">
        <v>16566</v>
      </c>
      <c r="H432" s="988"/>
      <c r="I432" s="988"/>
      <c r="J432" s="989"/>
      <c r="K432" s="989"/>
    </row>
    <row r="433" spans="2:11">
      <c r="B433" s="165"/>
      <c r="C433" s="1026" t="s">
        <v>1094</v>
      </c>
      <c r="D433" s="1020" t="s">
        <v>1802</v>
      </c>
      <c r="E433" s="1027">
        <v>13307</v>
      </c>
      <c r="F433" s="1028">
        <v>13658</v>
      </c>
      <c r="H433" s="988"/>
      <c r="I433" s="988"/>
      <c r="J433" s="989"/>
      <c r="K433" s="989"/>
    </row>
    <row r="434" spans="2:11">
      <c r="B434" s="165"/>
      <c r="C434" s="1026" t="s">
        <v>1095</v>
      </c>
      <c r="D434" s="1020" t="s">
        <v>1803</v>
      </c>
      <c r="E434" s="1027">
        <v>14361</v>
      </c>
      <c r="F434" s="1028">
        <v>14780</v>
      </c>
      <c r="H434" s="988"/>
      <c r="I434" s="988"/>
      <c r="J434" s="989"/>
      <c r="K434" s="989"/>
    </row>
    <row r="435" spans="2:11">
      <c r="B435" s="165"/>
      <c r="C435" s="1026" t="s">
        <v>1096</v>
      </c>
      <c r="D435" s="1020" t="s">
        <v>1804</v>
      </c>
      <c r="E435" s="1027">
        <v>19424</v>
      </c>
      <c r="F435" s="1028">
        <v>19576</v>
      </c>
      <c r="H435" s="988"/>
      <c r="I435" s="988"/>
      <c r="J435" s="989"/>
      <c r="K435" s="989"/>
    </row>
    <row r="436" spans="2:11">
      <c r="B436" s="165"/>
      <c r="C436" s="1026" t="s">
        <v>1097</v>
      </c>
      <c r="D436" s="1020" t="s">
        <v>1805</v>
      </c>
      <c r="E436" s="1027">
        <v>16098</v>
      </c>
      <c r="F436" s="1028">
        <v>16742</v>
      </c>
      <c r="H436" s="988"/>
      <c r="I436" s="988"/>
      <c r="J436" s="989"/>
      <c r="K436" s="989"/>
    </row>
    <row r="437" spans="2:11">
      <c r="B437" s="165"/>
      <c r="C437" s="1026" t="s">
        <v>1098</v>
      </c>
      <c r="D437" s="1020" t="s">
        <v>1806</v>
      </c>
      <c r="E437" s="1027">
        <v>11080</v>
      </c>
      <c r="F437" s="1028">
        <v>11315</v>
      </c>
      <c r="H437" s="988"/>
      <c r="I437" s="988"/>
      <c r="J437" s="989"/>
      <c r="K437" s="989"/>
    </row>
    <row r="438" spans="2:11">
      <c r="B438" s="165"/>
      <c r="C438" s="1026" t="s">
        <v>1099</v>
      </c>
      <c r="D438" s="1020" t="s">
        <v>1807</v>
      </c>
      <c r="E438" s="1027">
        <v>12793</v>
      </c>
      <c r="F438" s="1028">
        <v>13121</v>
      </c>
      <c r="H438" s="988"/>
      <c r="I438" s="988"/>
      <c r="J438" s="989"/>
      <c r="K438" s="989"/>
    </row>
    <row r="439" spans="2:11">
      <c r="B439" s="165"/>
      <c r="C439" s="1026" t="s">
        <v>1101</v>
      </c>
      <c r="D439" s="1020" t="s">
        <v>1808</v>
      </c>
      <c r="E439" s="1027">
        <v>20238</v>
      </c>
      <c r="F439" s="1028">
        <v>20548</v>
      </c>
      <c r="H439" s="988"/>
      <c r="I439" s="988"/>
      <c r="J439" s="989"/>
      <c r="K439" s="989"/>
    </row>
    <row r="440" spans="2:11">
      <c r="B440" s="165"/>
      <c r="C440" s="1026" t="s">
        <v>1103</v>
      </c>
      <c r="D440" s="1020" t="s">
        <v>1809</v>
      </c>
      <c r="E440" s="1027">
        <v>12989</v>
      </c>
      <c r="F440" s="1028">
        <v>13727</v>
      </c>
      <c r="H440" s="988"/>
      <c r="I440" s="988"/>
      <c r="J440" s="989"/>
      <c r="K440" s="989"/>
    </row>
    <row r="441" spans="2:11">
      <c r="B441" s="165"/>
      <c r="C441" s="1026" t="s">
        <v>1104</v>
      </c>
      <c r="D441" s="1020" t="s">
        <v>1810</v>
      </c>
      <c r="E441" s="1027">
        <v>16174</v>
      </c>
      <c r="F441" s="1028">
        <v>16329</v>
      </c>
      <c r="H441" s="988"/>
      <c r="I441" s="988"/>
      <c r="J441" s="989"/>
      <c r="K441" s="989"/>
    </row>
    <row r="442" spans="2:11">
      <c r="B442" s="165"/>
      <c r="C442" s="1026" t="s">
        <v>1105</v>
      </c>
      <c r="D442" s="1020" t="s">
        <v>1811</v>
      </c>
      <c r="E442" s="1027">
        <v>12442</v>
      </c>
      <c r="F442" s="1028">
        <v>11644</v>
      </c>
      <c r="H442" s="988"/>
      <c r="I442" s="988"/>
      <c r="J442" s="989"/>
      <c r="K442" s="989"/>
    </row>
    <row r="443" spans="2:11">
      <c r="B443" s="165"/>
      <c r="C443" s="1026" t="s">
        <v>1106</v>
      </c>
      <c r="D443" s="1020" t="s">
        <v>1812</v>
      </c>
      <c r="E443" s="1027">
        <v>14559</v>
      </c>
      <c r="F443" s="1028">
        <v>14939</v>
      </c>
      <c r="H443" s="988"/>
      <c r="I443" s="988"/>
      <c r="J443" s="989"/>
      <c r="K443" s="989"/>
    </row>
    <row r="444" spans="2:11">
      <c r="B444" s="165"/>
      <c r="C444" s="1026" t="s">
        <v>1107</v>
      </c>
      <c r="D444" s="1020" t="s">
        <v>1813</v>
      </c>
      <c r="E444" s="1027">
        <v>12650</v>
      </c>
      <c r="F444" s="1028">
        <v>13076</v>
      </c>
      <c r="H444" s="988"/>
      <c r="I444" s="988"/>
      <c r="J444" s="989"/>
      <c r="K444" s="989"/>
    </row>
    <row r="445" spans="2:11">
      <c r="B445" s="165"/>
      <c r="C445" s="1026" t="s">
        <v>1108</v>
      </c>
      <c r="D445" s="1020" t="s">
        <v>1814</v>
      </c>
      <c r="E445" s="1027">
        <v>12898</v>
      </c>
      <c r="F445" s="1028">
        <v>13312</v>
      </c>
      <c r="H445" s="988"/>
      <c r="I445" s="988"/>
      <c r="J445" s="989"/>
      <c r="K445" s="989"/>
    </row>
    <row r="446" spans="2:11">
      <c r="B446" s="165"/>
      <c r="C446" s="1026" t="s">
        <v>1109</v>
      </c>
      <c r="D446" s="1020" t="s">
        <v>1815</v>
      </c>
      <c r="E446" s="1027">
        <v>13844</v>
      </c>
      <c r="F446" s="1028">
        <v>14182</v>
      </c>
      <c r="H446" s="988"/>
      <c r="I446" s="988"/>
      <c r="J446" s="989"/>
      <c r="K446" s="989"/>
    </row>
    <row r="447" spans="2:11">
      <c r="B447" s="165"/>
      <c r="C447" s="1026" t="s">
        <v>1110</v>
      </c>
      <c r="D447" s="1020" t="s">
        <v>1816</v>
      </c>
      <c r="E447" s="1027">
        <v>14296</v>
      </c>
      <c r="F447" s="1028">
        <v>14786</v>
      </c>
      <c r="H447" s="988"/>
      <c r="I447" s="988"/>
      <c r="J447" s="989"/>
      <c r="K447" s="989"/>
    </row>
    <row r="448" spans="2:11">
      <c r="B448" s="165"/>
      <c r="C448" s="1026" t="s">
        <v>1111</v>
      </c>
      <c r="D448" s="1020" t="s">
        <v>1817</v>
      </c>
      <c r="E448" s="1027">
        <v>20264</v>
      </c>
      <c r="F448" s="1028">
        <v>20596</v>
      </c>
      <c r="H448" s="988"/>
      <c r="I448" s="988"/>
      <c r="J448" s="989"/>
      <c r="K448" s="989"/>
    </row>
    <row r="449" spans="2:11">
      <c r="B449" s="165"/>
      <c r="C449" s="1026" t="s">
        <v>1112</v>
      </c>
      <c r="D449" s="1020" t="s">
        <v>1818</v>
      </c>
      <c r="E449" s="1027">
        <v>12957</v>
      </c>
      <c r="F449" s="1028">
        <v>13185</v>
      </c>
      <c r="H449" s="988"/>
      <c r="I449" s="988"/>
      <c r="J449" s="989"/>
      <c r="K449" s="989"/>
    </row>
    <row r="450" spans="2:11">
      <c r="B450" s="165"/>
      <c r="C450" s="1026" t="s">
        <v>1113</v>
      </c>
      <c r="D450" s="1020" t="s">
        <v>1819</v>
      </c>
      <c r="E450" s="1027">
        <v>12454</v>
      </c>
      <c r="F450" s="1028">
        <v>12567</v>
      </c>
      <c r="H450" s="988"/>
      <c r="I450" s="988"/>
      <c r="J450" s="989"/>
      <c r="K450" s="989"/>
    </row>
    <row r="451" spans="2:11">
      <c r="B451" s="165"/>
      <c r="C451" s="1026" t="s">
        <v>1114</v>
      </c>
      <c r="D451" s="1020" t="s">
        <v>1820</v>
      </c>
      <c r="E451" s="1027">
        <v>12727</v>
      </c>
      <c r="F451" s="1028">
        <v>13279</v>
      </c>
      <c r="H451" s="988"/>
      <c r="I451" s="988"/>
      <c r="J451" s="989"/>
      <c r="K451" s="989"/>
    </row>
    <row r="452" spans="2:11">
      <c r="B452" s="165"/>
      <c r="C452" s="1026" t="s">
        <v>1115</v>
      </c>
      <c r="D452" s="1020" t="s">
        <v>1821</v>
      </c>
      <c r="E452" s="1027">
        <v>20347</v>
      </c>
      <c r="F452" s="1028">
        <v>21185</v>
      </c>
      <c r="H452" s="988"/>
      <c r="I452" s="988"/>
      <c r="J452" s="989"/>
      <c r="K452" s="989"/>
    </row>
    <row r="453" spans="2:11">
      <c r="B453" s="165"/>
      <c r="C453" s="1026" t="s">
        <v>1116</v>
      </c>
      <c r="D453" s="1020" t="s">
        <v>1822</v>
      </c>
      <c r="E453" s="1027">
        <v>12916</v>
      </c>
      <c r="F453" s="1028">
        <v>13558</v>
      </c>
      <c r="H453" s="988"/>
      <c r="I453" s="988"/>
      <c r="J453" s="989"/>
      <c r="K453" s="989"/>
    </row>
    <row r="454" spans="2:11">
      <c r="B454" s="165"/>
      <c r="C454" s="1026" t="s">
        <v>888</v>
      </c>
      <c r="D454" s="1020" t="s">
        <v>1823</v>
      </c>
      <c r="E454" s="1027">
        <v>15575</v>
      </c>
      <c r="F454" s="1028">
        <v>16062</v>
      </c>
      <c r="H454" s="988"/>
      <c r="I454" s="988"/>
      <c r="J454" s="989"/>
      <c r="K454" s="989"/>
    </row>
    <row r="455" spans="2:11">
      <c r="B455" s="165"/>
      <c r="C455" s="1026" t="s">
        <v>1118</v>
      </c>
      <c r="D455" s="1020" t="s">
        <v>1824</v>
      </c>
      <c r="E455" s="1027">
        <v>13172</v>
      </c>
      <c r="F455" s="1028">
        <v>13864</v>
      </c>
      <c r="H455" s="988"/>
      <c r="I455" s="988"/>
      <c r="J455" s="989"/>
      <c r="K455" s="989"/>
    </row>
    <row r="456" spans="2:11">
      <c r="B456" s="165"/>
      <c r="C456" s="1026" t="s">
        <v>1285</v>
      </c>
      <c r="D456" s="1020" t="s">
        <v>1825</v>
      </c>
      <c r="E456" s="1027">
        <v>13199</v>
      </c>
      <c r="F456" s="1028">
        <v>13599</v>
      </c>
      <c r="H456" s="988"/>
      <c r="I456" s="988"/>
      <c r="J456" s="989"/>
      <c r="K456" s="989"/>
    </row>
    <row r="457" spans="2:11">
      <c r="B457" s="165"/>
      <c r="C457" s="1026" t="s">
        <v>1119</v>
      </c>
      <c r="D457" s="1020" t="s">
        <v>1826</v>
      </c>
      <c r="E457" s="1027">
        <v>13445</v>
      </c>
      <c r="F457" s="1028">
        <v>13670</v>
      </c>
      <c r="H457" s="988"/>
      <c r="I457" s="988"/>
      <c r="J457" s="989"/>
      <c r="K457" s="989"/>
    </row>
    <row r="458" spans="2:11">
      <c r="B458" s="165"/>
      <c r="C458" s="1026" t="s">
        <v>1120</v>
      </c>
      <c r="D458" s="1020" t="s">
        <v>1827</v>
      </c>
      <c r="E458" s="1027">
        <v>24755</v>
      </c>
      <c r="F458" s="1028">
        <v>25087</v>
      </c>
      <c r="H458" s="988"/>
      <c r="I458" s="988"/>
      <c r="J458" s="989"/>
      <c r="K458" s="989"/>
    </row>
    <row r="459" spans="2:11">
      <c r="B459" s="165"/>
      <c r="C459" s="1026" t="s">
        <v>1121</v>
      </c>
      <c r="D459" s="1020" t="s">
        <v>1828</v>
      </c>
      <c r="E459" s="1027">
        <v>34704</v>
      </c>
      <c r="F459" s="1028">
        <v>36838</v>
      </c>
      <c r="H459" s="988"/>
      <c r="I459" s="988"/>
      <c r="J459" s="989"/>
      <c r="K459" s="989"/>
    </row>
    <row r="460" spans="2:11">
      <c r="B460" s="165"/>
      <c r="C460" s="1026" t="s">
        <v>1122</v>
      </c>
      <c r="D460" s="1020" t="s">
        <v>1829</v>
      </c>
      <c r="E460" s="1027">
        <v>11864</v>
      </c>
      <c r="F460" s="1028">
        <v>11844</v>
      </c>
      <c r="H460" s="988"/>
      <c r="I460" s="988"/>
      <c r="J460" s="989"/>
      <c r="K460" s="989"/>
    </row>
    <row r="461" spans="2:11">
      <c r="B461" s="165"/>
      <c r="C461" s="1026" t="s">
        <v>1123</v>
      </c>
      <c r="D461" s="1020" t="s">
        <v>1830</v>
      </c>
      <c r="E461" s="1027">
        <v>13146</v>
      </c>
      <c r="F461" s="1028">
        <v>13050</v>
      </c>
      <c r="H461" s="988"/>
      <c r="I461" s="988"/>
      <c r="J461" s="989"/>
      <c r="K461" s="989"/>
    </row>
    <row r="462" spans="2:11">
      <c r="B462" s="165"/>
      <c r="C462" s="1026" t="s">
        <v>1124</v>
      </c>
      <c r="D462" s="1020" t="s">
        <v>1831</v>
      </c>
      <c r="E462" s="1027">
        <v>12727</v>
      </c>
      <c r="F462" s="1028">
        <v>13015</v>
      </c>
      <c r="H462" s="988"/>
      <c r="I462" s="988"/>
      <c r="J462" s="989"/>
      <c r="K462" s="989"/>
    </row>
    <row r="463" spans="2:11">
      <c r="B463" s="165"/>
      <c r="C463" s="1026" t="s">
        <v>1125</v>
      </c>
      <c r="D463" s="1020" t="s">
        <v>1832</v>
      </c>
      <c r="E463" s="1027">
        <v>15053</v>
      </c>
      <c r="F463" s="1028">
        <v>15532</v>
      </c>
      <c r="H463" s="988"/>
      <c r="I463" s="988"/>
      <c r="J463" s="989"/>
      <c r="K463" s="989"/>
    </row>
    <row r="464" spans="2:11">
      <c r="B464" s="165"/>
      <c r="C464" s="1026" t="s">
        <v>1126</v>
      </c>
      <c r="D464" s="1020" t="s">
        <v>1833</v>
      </c>
      <c r="E464" s="1027">
        <v>13079</v>
      </c>
      <c r="F464" s="1028">
        <v>13338</v>
      </c>
      <c r="H464" s="988"/>
      <c r="I464" s="988"/>
      <c r="J464" s="989"/>
      <c r="K464" s="989"/>
    </row>
    <row r="465" spans="2:11">
      <c r="B465" s="165"/>
      <c r="C465" s="1026" t="s">
        <v>1127</v>
      </c>
      <c r="D465" s="1020" t="s">
        <v>1834</v>
      </c>
      <c r="E465" s="1027">
        <v>16767</v>
      </c>
      <c r="F465" s="1028">
        <v>17315</v>
      </c>
      <c r="H465" s="988"/>
      <c r="I465" s="988"/>
      <c r="J465" s="989"/>
      <c r="K465" s="989"/>
    </row>
    <row r="466" spans="2:11">
      <c r="B466" s="165"/>
      <c r="C466" s="1026" t="s">
        <v>1128</v>
      </c>
      <c r="D466" s="1020" t="s">
        <v>1835</v>
      </c>
      <c r="E466" s="1027">
        <v>16958</v>
      </c>
      <c r="F466" s="1028">
        <v>17457</v>
      </c>
      <c r="H466" s="988"/>
      <c r="I466" s="988"/>
      <c r="J466" s="989"/>
      <c r="K466" s="989"/>
    </row>
    <row r="467" spans="2:11">
      <c r="B467" s="165"/>
      <c r="C467" s="1026" t="s">
        <v>1129</v>
      </c>
      <c r="D467" s="1020" t="s">
        <v>1836</v>
      </c>
      <c r="E467" s="1027">
        <v>18507</v>
      </c>
      <c r="F467" s="1028">
        <v>19292</v>
      </c>
      <c r="H467" s="988"/>
      <c r="I467" s="988"/>
      <c r="J467" s="989"/>
      <c r="K467" s="989"/>
    </row>
    <row r="468" spans="2:11">
      <c r="B468" s="165"/>
      <c r="C468" s="1026" t="s">
        <v>1130</v>
      </c>
      <c r="D468" s="1020" t="s">
        <v>1837</v>
      </c>
      <c r="E468" s="1027">
        <v>17291</v>
      </c>
      <c r="F468" s="1028">
        <v>17441</v>
      </c>
      <c r="H468" s="988"/>
      <c r="I468" s="988"/>
      <c r="J468" s="989"/>
      <c r="K468" s="989"/>
    </row>
    <row r="469" spans="2:11">
      <c r="B469" s="165"/>
      <c r="C469" s="1026" t="s">
        <v>1131</v>
      </c>
      <c r="D469" s="1020" t="s">
        <v>1838</v>
      </c>
      <c r="E469" s="1027">
        <v>13845</v>
      </c>
      <c r="F469" s="1028">
        <v>14292</v>
      </c>
      <c r="H469" s="988"/>
      <c r="I469" s="988"/>
      <c r="J469" s="989"/>
      <c r="K469" s="989"/>
    </row>
    <row r="470" spans="2:11">
      <c r="B470" s="165"/>
      <c r="C470" s="1026" t="s">
        <v>1132</v>
      </c>
      <c r="D470" s="1020" t="s">
        <v>1839</v>
      </c>
      <c r="E470" s="1027">
        <v>13844</v>
      </c>
      <c r="F470" s="1028">
        <v>14208</v>
      </c>
      <c r="H470" s="988"/>
      <c r="I470" s="988"/>
      <c r="J470" s="989"/>
      <c r="K470" s="989"/>
    </row>
    <row r="471" spans="2:11">
      <c r="B471" s="165"/>
      <c r="C471" s="1026" t="s">
        <v>1133</v>
      </c>
      <c r="D471" s="1020" t="s">
        <v>1840</v>
      </c>
      <c r="E471" s="1027">
        <v>12678</v>
      </c>
      <c r="F471" s="1028">
        <v>12888</v>
      </c>
      <c r="H471" s="988"/>
      <c r="I471" s="988"/>
      <c r="J471" s="989"/>
      <c r="K471" s="989"/>
    </row>
    <row r="472" spans="2:11">
      <c r="B472" s="165"/>
      <c r="C472" s="1026" t="s">
        <v>1134</v>
      </c>
      <c r="D472" s="1020" t="s">
        <v>1841</v>
      </c>
      <c r="E472" s="1027">
        <v>13121</v>
      </c>
      <c r="F472" s="1028">
        <v>13883</v>
      </c>
      <c r="H472" s="988"/>
      <c r="I472" s="988"/>
      <c r="J472" s="989"/>
      <c r="K472" s="989"/>
    </row>
    <row r="473" spans="2:11">
      <c r="B473" s="165"/>
      <c r="C473" s="1026" t="s">
        <v>1135</v>
      </c>
      <c r="D473" s="1020" t="s">
        <v>1842</v>
      </c>
      <c r="E473" s="1027">
        <v>14262</v>
      </c>
      <c r="F473" s="1028">
        <v>14333</v>
      </c>
      <c r="H473" s="988"/>
      <c r="I473" s="988"/>
      <c r="J473" s="989"/>
      <c r="K473" s="989"/>
    </row>
    <row r="474" spans="2:11">
      <c r="B474" s="165"/>
      <c r="C474" s="1026" t="s">
        <v>1136</v>
      </c>
      <c r="D474" s="1020" t="s">
        <v>1843</v>
      </c>
      <c r="E474" s="1027">
        <v>13402</v>
      </c>
      <c r="F474" s="1028">
        <v>13460</v>
      </c>
      <c r="H474" s="988"/>
      <c r="I474" s="988"/>
      <c r="J474" s="989"/>
      <c r="K474" s="989"/>
    </row>
    <row r="475" spans="2:11">
      <c r="B475" s="165"/>
      <c r="C475" s="1026" t="s">
        <v>1137</v>
      </c>
      <c r="D475" s="1020" t="s">
        <v>1844</v>
      </c>
      <c r="E475" s="1027">
        <v>13005</v>
      </c>
      <c r="F475" s="1028">
        <v>13230</v>
      </c>
      <c r="H475" s="988"/>
      <c r="I475" s="988"/>
      <c r="J475" s="989"/>
      <c r="K475" s="989"/>
    </row>
    <row r="476" spans="2:11">
      <c r="B476" s="165"/>
      <c r="C476" s="1026" t="s">
        <v>1138</v>
      </c>
      <c r="D476" s="1020" t="s">
        <v>1845</v>
      </c>
      <c r="E476" s="1027">
        <v>13169</v>
      </c>
      <c r="F476" s="1028">
        <v>13392</v>
      </c>
      <c r="H476" s="988"/>
      <c r="I476" s="988"/>
      <c r="J476" s="989"/>
      <c r="K476" s="989"/>
    </row>
    <row r="477" spans="2:11">
      <c r="B477" s="165"/>
      <c r="C477" s="1026" t="s">
        <v>1139</v>
      </c>
      <c r="D477" s="1020" t="s">
        <v>1846</v>
      </c>
      <c r="E477" s="1027">
        <v>16657</v>
      </c>
      <c r="F477" s="1028">
        <v>16980</v>
      </c>
      <c r="H477" s="988"/>
      <c r="I477" s="988"/>
      <c r="J477" s="989"/>
      <c r="K477" s="989"/>
    </row>
    <row r="478" spans="2:11">
      <c r="B478" s="165"/>
      <c r="C478" s="1026" t="s">
        <v>1140</v>
      </c>
      <c r="D478" s="1020" t="s">
        <v>1847</v>
      </c>
      <c r="E478" s="1027">
        <v>16216</v>
      </c>
      <c r="F478" s="1028">
        <v>18916</v>
      </c>
      <c r="H478" s="988"/>
      <c r="I478" s="988"/>
      <c r="J478" s="989"/>
      <c r="K478" s="989"/>
    </row>
    <row r="479" spans="2:11">
      <c r="B479" s="165"/>
      <c r="C479" s="1026" t="s">
        <v>1344</v>
      </c>
      <c r="D479" s="1020" t="s">
        <v>1848</v>
      </c>
      <c r="E479" s="1027">
        <v>11734</v>
      </c>
      <c r="F479" s="1028">
        <v>11715</v>
      </c>
      <c r="H479" s="988"/>
      <c r="I479" s="988"/>
      <c r="J479" s="989"/>
      <c r="K479" s="989"/>
    </row>
    <row r="480" spans="2:11">
      <c r="B480" s="165"/>
      <c r="C480" s="1026" t="s">
        <v>1141</v>
      </c>
      <c r="D480" s="1020" t="s">
        <v>1849</v>
      </c>
      <c r="E480" s="1027">
        <v>14642</v>
      </c>
      <c r="F480" s="1028">
        <v>15137</v>
      </c>
      <c r="H480" s="988"/>
      <c r="I480" s="988"/>
      <c r="J480" s="989"/>
      <c r="K480" s="989"/>
    </row>
    <row r="481" spans="2:11">
      <c r="B481" s="165"/>
      <c r="C481" s="1026" t="s">
        <v>1142</v>
      </c>
      <c r="D481" s="1020" t="s">
        <v>1850</v>
      </c>
      <c r="E481" s="1027">
        <v>16842</v>
      </c>
      <c r="F481" s="1028">
        <v>17041</v>
      </c>
      <c r="H481" s="988"/>
      <c r="I481" s="988"/>
      <c r="J481" s="989"/>
      <c r="K481" s="989"/>
    </row>
    <row r="482" spans="2:11">
      <c r="B482" s="165"/>
      <c r="C482" s="1026" t="s">
        <v>1143</v>
      </c>
      <c r="D482" s="1020" t="s">
        <v>1851</v>
      </c>
      <c r="E482" s="1027">
        <v>19313</v>
      </c>
      <c r="F482" s="1028">
        <v>19684</v>
      </c>
      <c r="H482" s="988"/>
      <c r="I482" s="988"/>
      <c r="J482" s="989"/>
      <c r="K482" s="989"/>
    </row>
    <row r="483" spans="2:11">
      <c r="B483" s="165"/>
      <c r="C483" s="1026" t="s">
        <v>1144</v>
      </c>
      <c r="D483" s="1020" t="s">
        <v>1852</v>
      </c>
      <c r="E483" s="1027">
        <v>15141</v>
      </c>
      <c r="F483" s="1028">
        <v>15604</v>
      </c>
      <c r="H483" s="988"/>
      <c r="I483" s="988"/>
      <c r="J483" s="989"/>
      <c r="K483" s="989"/>
    </row>
    <row r="484" spans="2:11">
      <c r="B484" s="165"/>
      <c r="C484" s="1026" t="s">
        <v>1145</v>
      </c>
      <c r="D484" s="1020" t="s">
        <v>1853</v>
      </c>
      <c r="E484" s="1027">
        <v>17373</v>
      </c>
      <c r="F484" s="1028">
        <v>17595</v>
      </c>
      <c r="H484" s="988"/>
      <c r="I484" s="988"/>
      <c r="J484" s="989"/>
      <c r="K484" s="989"/>
    </row>
    <row r="485" spans="2:11">
      <c r="B485" s="165"/>
      <c r="C485" s="1026" t="s">
        <v>1146</v>
      </c>
      <c r="D485" s="1020" t="s">
        <v>1854</v>
      </c>
      <c r="E485" s="1027">
        <v>40041</v>
      </c>
      <c r="F485" s="1028">
        <v>41070</v>
      </c>
      <c r="H485" s="988"/>
      <c r="I485" s="988"/>
      <c r="J485" s="989"/>
      <c r="K485" s="989"/>
    </row>
    <row r="486" spans="2:11">
      <c r="B486" s="165"/>
      <c r="C486" s="1026" t="s">
        <v>1147</v>
      </c>
      <c r="D486" s="1020" t="s">
        <v>1855</v>
      </c>
      <c r="E486" s="1027">
        <v>13003</v>
      </c>
      <c r="F486" s="1028">
        <v>13082</v>
      </c>
      <c r="H486" s="988"/>
      <c r="I486" s="988"/>
      <c r="J486" s="989"/>
      <c r="K486" s="989"/>
    </row>
    <row r="487" spans="2:11">
      <c r="B487" s="165"/>
      <c r="C487" s="1026" t="s">
        <v>1148</v>
      </c>
      <c r="D487" s="1020" t="s">
        <v>1856</v>
      </c>
      <c r="E487" s="1027">
        <v>11948</v>
      </c>
      <c r="F487" s="1028">
        <v>12392</v>
      </c>
      <c r="H487" s="988"/>
      <c r="I487" s="988"/>
      <c r="J487" s="989"/>
      <c r="K487" s="989"/>
    </row>
    <row r="488" spans="2:11">
      <c r="B488" s="165"/>
      <c r="C488" s="1026" t="s">
        <v>1149</v>
      </c>
      <c r="D488" s="1020" t="s">
        <v>1857</v>
      </c>
      <c r="E488" s="1027">
        <v>15776</v>
      </c>
      <c r="F488" s="1028">
        <v>16661</v>
      </c>
      <c r="H488" s="988"/>
      <c r="I488" s="988"/>
      <c r="J488" s="989"/>
      <c r="K488" s="989"/>
    </row>
    <row r="489" spans="2:11">
      <c r="B489" s="165"/>
      <c r="C489" s="1026" t="s">
        <v>1150</v>
      </c>
      <c r="D489" s="1020" t="s">
        <v>1858</v>
      </c>
      <c r="E489" s="1027">
        <v>23461</v>
      </c>
      <c r="F489" s="1028">
        <v>23536</v>
      </c>
      <c r="H489" s="988"/>
      <c r="I489" s="988"/>
      <c r="J489" s="989"/>
      <c r="K489" s="989"/>
    </row>
    <row r="490" spans="2:11">
      <c r="B490" s="165"/>
      <c r="C490" s="1026" t="s">
        <v>1151</v>
      </c>
      <c r="D490" s="1020" t="s">
        <v>1859</v>
      </c>
      <c r="E490" s="1027">
        <v>13492</v>
      </c>
      <c r="F490" s="1028">
        <v>13564</v>
      </c>
      <c r="H490" s="988"/>
      <c r="I490" s="988"/>
      <c r="J490" s="989"/>
      <c r="K490" s="989"/>
    </row>
    <row r="491" spans="2:11">
      <c r="B491" s="165"/>
      <c r="C491" s="1026" t="s">
        <v>1152</v>
      </c>
      <c r="D491" s="1020" t="s">
        <v>1860</v>
      </c>
      <c r="E491" s="1027">
        <v>23170</v>
      </c>
      <c r="F491" s="1028">
        <v>23895</v>
      </c>
      <c r="H491" s="988"/>
      <c r="I491" s="988"/>
      <c r="J491" s="989"/>
      <c r="K491" s="989"/>
    </row>
    <row r="492" spans="2:11">
      <c r="B492" s="165"/>
      <c r="C492" s="1026" t="s">
        <v>1153</v>
      </c>
      <c r="D492" s="1020" t="s">
        <v>1861</v>
      </c>
      <c r="E492" s="1027">
        <v>11870</v>
      </c>
      <c r="F492" s="1028">
        <v>12327</v>
      </c>
      <c r="H492" s="988"/>
      <c r="I492" s="988"/>
      <c r="J492" s="989"/>
      <c r="K492" s="989"/>
    </row>
    <row r="493" spans="2:11">
      <c r="B493" s="165"/>
      <c r="C493" s="1026" t="s">
        <v>1154</v>
      </c>
      <c r="D493" s="1020" t="s">
        <v>1862</v>
      </c>
      <c r="E493" s="1027">
        <v>13691</v>
      </c>
      <c r="F493" s="1028">
        <v>14232</v>
      </c>
      <c r="H493" s="988"/>
      <c r="I493" s="988"/>
      <c r="J493" s="989"/>
      <c r="K493" s="989"/>
    </row>
    <row r="494" spans="2:11">
      <c r="B494" s="165"/>
      <c r="C494" s="1026" t="s">
        <v>1155</v>
      </c>
      <c r="D494" s="1020" t="s">
        <v>1863</v>
      </c>
      <c r="E494" s="1027">
        <v>15030</v>
      </c>
      <c r="F494" s="1028">
        <v>15993</v>
      </c>
      <c r="H494" s="988"/>
      <c r="I494" s="988"/>
      <c r="J494" s="989"/>
      <c r="K494" s="989"/>
    </row>
    <row r="495" spans="2:11">
      <c r="B495" s="165"/>
      <c r="C495" s="1026" t="s">
        <v>1156</v>
      </c>
      <c r="D495" s="1020" t="s">
        <v>1864</v>
      </c>
      <c r="E495" s="1027">
        <v>11977</v>
      </c>
      <c r="F495" s="1028">
        <v>12965</v>
      </c>
      <c r="H495" s="988"/>
      <c r="I495" s="988"/>
      <c r="J495" s="989"/>
      <c r="K495" s="989"/>
    </row>
    <row r="496" spans="2:11">
      <c r="B496" s="165"/>
      <c r="C496" s="1026" t="s">
        <v>1157</v>
      </c>
      <c r="D496" s="1020" t="s">
        <v>1865</v>
      </c>
      <c r="E496" s="1027">
        <v>13821</v>
      </c>
      <c r="F496" s="1028">
        <v>14245</v>
      </c>
      <c r="H496" s="988"/>
      <c r="I496" s="988"/>
      <c r="J496" s="989"/>
      <c r="K496" s="989"/>
    </row>
    <row r="497" spans="2:11">
      <c r="B497" s="165"/>
      <c r="C497" s="1026" t="s">
        <v>1158</v>
      </c>
      <c r="D497" s="1020" t="s">
        <v>1866</v>
      </c>
      <c r="E497" s="1027">
        <v>24626</v>
      </c>
      <c r="F497" s="1028">
        <v>24562</v>
      </c>
      <c r="H497" s="988"/>
      <c r="I497" s="988"/>
      <c r="J497" s="989"/>
      <c r="K497" s="989"/>
    </row>
    <row r="498" spans="2:11">
      <c r="B498" s="165"/>
      <c r="C498" s="1026" t="s">
        <v>1159</v>
      </c>
      <c r="D498" s="1020" t="s">
        <v>1867</v>
      </c>
      <c r="E498" s="1027">
        <v>18456</v>
      </c>
      <c r="F498" s="1028">
        <v>18487</v>
      </c>
      <c r="H498" s="988"/>
      <c r="I498" s="988"/>
      <c r="J498" s="989"/>
      <c r="K498" s="989"/>
    </row>
    <row r="499" spans="2:11">
      <c r="B499" s="165"/>
      <c r="C499" s="1026" t="s">
        <v>1160</v>
      </c>
      <c r="D499" s="1020" t="s">
        <v>1868</v>
      </c>
      <c r="E499" s="1027">
        <v>10724</v>
      </c>
      <c r="F499" s="1028">
        <v>10905</v>
      </c>
      <c r="H499" s="988"/>
      <c r="I499" s="988"/>
      <c r="J499" s="989"/>
      <c r="K499" s="989"/>
    </row>
    <row r="500" spans="2:11">
      <c r="B500" s="165"/>
      <c r="C500" s="1026" t="s">
        <v>1161</v>
      </c>
      <c r="D500" s="1020" t="s">
        <v>1869</v>
      </c>
      <c r="E500" s="1027">
        <v>52389</v>
      </c>
      <c r="F500" s="1028">
        <v>52520</v>
      </c>
      <c r="H500" s="988"/>
      <c r="I500" s="988"/>
      <c r="J500" s="989"/>
      <c r="K500" s="989"/>
    </row>
    <row r="501" spans="2:11">
      <c r="B501" s="165"/>
      <c r="C501" s="1026" t="s">
        <v>1163</v>
      </c>
      <c r="D501" s="1020" t="s">
        <v>1870</v>
      </c>
      <c r="E501" s="1027">
        <v>13557</v>
      </c>
      <c r="F501" s="1028">
        <v>13591</v>
      </c>
      <c r="H501" s="988"/>
      <c r="I501" s="988"/>
      <c r="J501" s="989"/>
      <c r="K501" s="989"/>
    </row>
    <row r="502" spans="2:11">
      <c r="B502" s="165"/>
      <c r="C502" s="1026" t="s">
        <v>1164</v>
      </c>
      <c r="D502" s="1020" t="s">
        <v>1871</v>
      </c>
      <c r="E502" s="1027">
        <v>14188</v>
      </c>
      <c r="F502" s="1028">
        <v>14284</v>
      </c>
      <c r="H502" s="988"/>
      <c r="I502" s="988"/>
      <c r="J502" s="989"/>
      <c r="K502" s="989"/>
    </row>
    <row r="503" spans="2:11">
      <c r="B503" s="165"/>
      <c r="C503" s="1026" t="s">
        <v>1165</v>
      </c>
      <c r="D503" s="1020" t="s">
        <v>1872</v>
      </c>
      <c r="E503" s="1027">
        <v>12738</v>
      </c>
      <c r="F503" s="1028">
        <v>12958</v>
      </c>
      <c r="H503" s="988"/>
      <c r="I503" s="988"/>
      <c r="J503" s="989"/>
      <c r="K503" s="989"/>
    </row>
    <row r="504" spans="2:11">
      <c r="B504" s="165"/>
      <c r="C504" s="1026" t="s">
        <v>1166</v>
      </c>
      <c r="D504" s="1020" t="s">
        <v>1873</v>
      </c>
      <c r="E504" s="1027">
        <v>15165</v>
      </c>
      <c r="F504" s="1028">
        <v>15490</v>
      </c>
      <c r="H504" s="988"/>
      <c r="I504" s="988"/>
      <c r="J504" s="989"/>
      <c r="K504" s="989"/>
    </row>
    <row r="505" spans="2:11">
      <c r="B505" s="165"/>
      <c r="C505" s="1026" t="s">
        <v>1167</v>
      </c>
      <c r="D505" s="1020" t="s">
        <v>1874</v>
      </c>
      <c r="E505" s="1027">
        <v>17841</v>
      </c>
      <c r="F505" s="1028">
        <v>19024</v>
      </c>
      <c r="H505" s="988"/>
      <c r="I505" s="988"/>
      <c r="J505" s="989"/>
      <c r="K505" s="989"/>
    </row>
    <row r="506" spans="2:11">
      <c r="B506" s="165"/>
      <c r="C506" s="1026" t="s">
        <v>1168</v>
      </c>
      <c r="D506" s="1020" t="s">
        <v>1875</v>
      </c>
      <c r="E506" s="1027">
        <v>39468</v>
      </c>
      <c r="F506" s="1028">
        <v>40932</v>
      </c>
      <c r="H506" s="988"/>
      <c r="I506" s="988"/>
      <c r="J506" s="989"/>
      <c r="K506" s="989"/>
    </row>
    <row r="507" spans="2:11">
      <c r="B507" s="165"/>
      <c r="C507" s="1026" t="s">
        <v>1169</v>
      </c>
      <c r="D507" s="1020" t="s">
        <v>1876</v>
      </c>
      <c r="E507" s="1027">
        <v>11075</v>
      </c>
      <c r="F507" s="1028">
        <v>11361</v>
      </c>
      <c r="H507" s="988"/>
      <c r="I507" s="988"/>
      <c r="J507" s="989"/>
      <c r="K507" s="989"/>
    </row>
    <row r="508" spans="2:11">
      <c r="B508" s="165"/>
      <c r="C508" s="1026" t="s">
        <v>1170</v>
      </c>
      <c r="D508" s="1020" t="s">
        <v>1877</v>
      </c>
      <c r="E508" s="1027">
        <v>18339</v>
      </c>
      <c r="F508" s="1028">
        <v>18618</v>
      </c>
      <c r="H508" s="988"/>
      <c r="I508" s="988"/>
      <c r="J508" s="989"/>
      <c r="K508" s="989"/>
    </row>
    <row r="509" spans="2:11">
      <c r="B509" s="165"/>
      <c r="C509" s="1026" t="s">
        <v>1171</v>
      </c>
      <c r="D509" s="1020" t="s">
        <v>1878</v>
      </c>
      <c r="E509" s="1027">
        <v>11983</v>
      </c>
      <c r="F509" s="1028">
        <v>12377</v>
      </c>
      <c r="H509" s="988"/>
      <c r="I509" s="988"/>
      <c r="J509" s="989"/>
      <c r="K509" s="989"/>
    </row>
    <row r="510" spans="2:11">
      <c r="B510" s="165"/>
      <c r="C510" s="1026" t="s">
        <v>1172</v>
      </c>
      <c r="D510" s="1020" t="s">
        <v>1879</v>
      </c>
      <c r="E510" s="1027">
        <v>14359</v>
      </c>
      <c r="F510" s="1028">
        <v>14040</v>
      </c>
      <c r="H510" s="988"/>
      <c r="I510" s="988"/>
      <c r="J510" s="989"/>
      <c r="K510" s="989"/>
    </row>
    <row r="511" spans="2:11">
      <c r="B511" s="165"/>
      <c r="C511" s="1026" t="s">
        <v>1173</v>
      </c>
      <c r="D511" s="1020" t="s">
        <v>1880</v>
      </c>
      <c r="E511" s="1027">
        <v>18922</v>
      </c>
      <c r="F511" s="1028">
        <v>20107</v>
      </c>
      <c r="H511" s="988"/>
      <c r="I511" s="988"/>
      <c r="J511" s="989"/>
      <c r="K511" s="989"/>
    </row>
    <row r="512" spans="2:11">
      <c r="B512" s="165"/>
      <c r="C512" s="1026" t="s">
        <v>1174</v>
      </c>
      <c r="D512" s="1020" t="s">
        <v>1881</v>
      </c>
      <c r="E512" s="1027">
        <v>14216</v>
      </c>
      <c r="F512" s="1028">
        <v>14316</v>
      </c>
      <c r="H512" s="988"/>
      <c r="I512" s="988"/>
      <c r="J512" s="989"/>
      <c r="K512" s="989"/>
    </row>
    <row r="513" spans="2:11">
      <c r="B513" s="165"/>
      <c r="C513" s="1026" t="s">
        <v>1175</v>
      </c>
      <c r="D513" s="1020" t="s">
        <v>1882</v>
      </c>
      <c r="E513" s="1027">
        <v>20561</v>
      </c>
      <c r="F513" s="1028">
        <v>21044</v>
      </c>
      <c r="H513" s="988"/>
      <c r="I513" s="988"/>
      <c r="J513" s="989"/>
      <c r="K513" s="989"/>
    </row>
    <row r="514" spans="2:11">
      <c r="B514" s="165"/>
      <c r="C514" s="1026" t="s">
        <v>1176</v>
      </c>
      <c r="D514" s="1020" t="s">
        <v>1883</v>
      </c>
      <c r="E514" s="1027">
        <v>15108</v>
      </c>
      <c r="F514" s="1028">
        <v>15495</v>
      </c>
      <c r="H514" s="988"/>
      <c r="I514" s="988"/>
      <c r="J514" s="989"/>
      <c r="K514" s="989"/>
    </row>
    <row r="515" spans="2:11">
      <c r="B515" s="165"/>
      <c r="C515" s="1026" t="s">
        <v>1177</v>
      </c>
      <c r="D515" s="1020" t="s">
        <v>1884</v>
      </c>
      <c r="E515" s="1027">
        <v>13978</v>
      </c>
      <c r="F515" s="1028">
        <v>14583</v>
      </c>
      <c r="H515" s="988"/>
      <c r="I515" s="988"/>
      <c r="J515" s="989"/>
      <c r="K515" s="989"/>
    </row>
    <row r="516" spans="2:11">
      <c r="B516" s="165"/>
      <c r="C516" s="1026" t="s">
        <v>1178</v>
      </c>
      <c r="D516" s="1020" t="s">
        <v>1885</v>
      </c>
      <c r="E516" s="1027">
        <v>16985</v>
      </c>
      <c r="F516" s="1028">
        <v>17119</v>
      </c>
      <c r="H516" s="988"/>
      <c r="I516" s="988"/>
      <c r="J516" s="989"/>
      <c r="K516" s="989"/>
    </row>
    <row r="517" spans="2:11">
      <c r="B517" s="165"/>
      <c r="C517" s="1026" t="s">
        <v>1179</v>
      </c>
      <c r="D517" s="1020" t="s">
        <v>1886</v>
      </c>
      <c r="E517" s="1027">
        <v>18795</v>
      </c>
      <c r="F517" s="1028">
        <v>19344</v>
      </c>
      <c r="H517" s="988"/>
      <c r="I517" s="988"/>
      <c r="J517" s="989"/>
      <c r="K517" s="989"/>
    </row>
    <row r="518" spans="2:11">
      <c r="B518" s="165"/>
      <c r="C518" s="1026" t="s">
        <v>1180</v>
      </c>
      <c r="D518" s="1020" t="s">
        <v>1887</v>
      </c>
      <c r="E518" s="1027">
        <v>18572</v>
      </c>
      <c r="F518" s="1028">
        <v>18964</v>
      </c>
      <c r="H518" s="988"/>
      <c r="I518" s="988"/>
      <c r="J518" s="989"/>
      <c r="K518" s="989"/>
    </row>
    <row r="519" spans="2:11">
      <c r="B519" s="165"/>
      <c r="C519" s="1026" t="s">
        <v>1181</v>
      </c>
      <c r="D519" s="1020" t="s">
        <v>1888</v>
      </c>
      <c r="E519" s="1027">
        <v>19043</v>
      </c>
      <c r="F519" s="1028">
        <v>19803</v>
      </c>
      <c r="H519" s="988"/>
      <c r="I519" s="988"/>
      <c r="J519" s="989"/>
      <c r="K519" s="989"/>
    </row>
    <row r="520" spans="2:11">
      <c r="B520" s="165"/>
      <c r="C520" s="1026" t="s">
        <v>1182</v>
      </c>
      <c r="D520" s="1020" t="s">
        <v>1889</v>
      </c>
      <c r="E520" s="1027">
        <v>22495</v>
      </c>
      <c r="F520" s="1028">
        <v>22785</v>
      </c>
      <c r="H520" s="988"/>
      <c r="I520" s="988"/>
      <c r="J520" s="989"/>
      <c r="K520" s="989"/>
    </row>
    <row r="521" spans="2:11">
      <c r="B521" s="165"/>
      <c r="C521" s="1026" t="s">
        <v>1184</v>
      </c>
      <c r="D521" s="1020" t="s">
        <v>1890</v>
      </c>
      <c r="E521" s="1027">
        <v>18704</v>
      </c>
      <c r="F521" s="1028">
        <v>19551</v>
      </c>
      <c r="H521" s="988"/>
      <c r="I521" s="988"/>
      <c r="J521" s="989"/>
      <c r="K521" s="989"/>
    </row>
    <row r="522" spans="2:11">
      <c r="B522" s="165"/>
      <c r="C522" s="1026" t="s">
        <v>1185</v>
      </c>
      <c r="D522" s="1020" t="s">
        <v>1891</v>
      </c>
      <c r="E522" s="1027">
        <v>11302</v>
      </c>
      <c r="F522" s="1028">
        <v>11206</v>
      </c>
      <c r="H522" s="988"/>
      <c r="I522" s="988"/>
      <c r="J522" s="989"/>
      <c r="K522" s="989"/>
    </row>
    <row r="523" spans="2:11">
      <c r="B523" s="165"/>
      <c r="C523" s="1026" t="s">
        <v>1186</v>
      </c>
      <c r="D523" s="1020" t="s">
        <v>1892</v>
      </c>
      <c r="E523" s="1027">
        <v>14077</v>
      </c>
      <c r="F523" s="1028">
        <v>14589</v>
      </c>
      <c r="H523" s="988"/>
      <c r="I523" s="988"/>
      <c r="J523" s="989"/>
      <c r="K523" s="989"/>
    </row>
    <row r="524" spans="2:11">
      <c r="B524" s="165"/>
      <c r="C524" s="1026" t="s">
        <v>1187</v>
      </c>
      <c r="D524" s="1020" t="s">
        <v>1893</v>
      </c>
      <c r="E524" s="1027">
        <v>21910</v>
      </c>
      <c r="F524" s="1028">
        <v>22644</v>
      </c>
      <c r="H524" s="988"/>
      <c r="I524" s="988"/>
      <c r="J524" s="989"/>
      <c r="K524" s="989"/>
    </row>
    <row r="525" spans="2:11">
      <c r="B525" s="165"/>
      <c r="C525" s="1026" t="s">
        <v>1188</v>
      </c>
      <c r="D525" s="1020" t="s">
        <v>1894</v>
      </c>
      <c r="E525" s="1027">
        <v>19532</v>
      </c>
      <c r="F525" s="1028">
        <v>19848</v>
      </c>
      <c r="H525" s="988"/>
      <c r="I525" s="988"/>
      <c r="J525" s="989"/>
      <c r="K525" s="989"/>
    </row>
    <row r="526" spans="2:11">
      <c r="B526" s="165"/>
      <c r="C526" s="1026" t="s">
        <v>1189</v>
      </c>
      <c r="D526" s="1020" t="s">
        <v>1895</v>
      </c>
      <c r="E526" s="1027">
        <v>14661</v>
      </c>
      <c r="F526" s="1028">
        <v>15181</v>
      </c>
      <c r="H526" s="988"/>
      <c r="I526" s="988"/>
      <c r="J526" s="989"/>
      <c r="K526" s="989"/>
    </row>
    <row r="527" spans="2:11">
      <c r="B527" s="165"/>
      <c r="C527" s="1026" t="s">
        <v>1190</v>
      </c>
      <c r="D527" s="1020" t="s">
        <v>1896</v>
      </c>
      <c r="E527" s="1027">
        <v>11392</v>
      </c>
      <c r="F527" s="1028">
        <v>11892</v>
      </c>
      <c r="H527" s="988"/>
      <c r="I527" s="988"/>
      <c r="J527" s="989"/>
      <c r="K527" s="989"/>
    </row>
    <row r="528" spans="2:11">
      <c r="B528" s="165"/>
      <c r="C528" s="1026" t="s">
        <v>1191</v>
      </c>
      <c r="D528" s="1020" t="s">
        <v>1897</v>
      </c>
      <c r="E528" s="1027">
        <v>29846</v>
      </c>
      <c r="F528" s="1028">
        <v>31073</v>
      </c>
      <c r="H528" s="988"/>
      <c r="I528" s="988"/>
      <c r="J528" s="989"/>
      <c r="K528" s="989"/>
    </row>
    <row r="529" spans="2:11">
      <c r="B529" s="165"/>
      <c r="C529" s="1026" t="s">
        <v>1192</v>
      </c>
      <c r="D529" s="1020" t="s">
        <v>1898</v>
      </c>
      <c r="E529" s="1027">
        <v>17341</v>
      </c>
      <c r="F529" s="1028">
        <v>17336</v>
      </c>
      <c r="H529" s="988"/>
      <c r="I529" s="988"/>
      <c r="J529" s="989"/>
      <c r="K529" s="989"/>
    </row>
    <row r="530" spans="2:11">
      <c r="B530" s="165"/>
      <c r="C530" s="1026" t="s">
        <v>1248</v>
      </c>
      <c r="D530" s="1020" t="s">
        <v>1899</v>
      </c>
      <c r="E530" s="1027">
        <v>16415</v>
      </c>
      <c r="F530" s="1028">
        <v>17247</v>
      </c>
      <c r="H530" s="988"/>
      <c r="I530" s="988"/>
      <c r="J530" s="989"/>
      <c r="K530" s="989"/>
    </row>
    <row r="531" spans="2:11">
      <c r="B531" s="165"/>
      <c r="C531" s="1026" t="s">
        <v>1193</v>
      </c>
      <c r="D531" s="1020" t="s">
        <v>1900</v>
      </c>
      <c r="E531" s="1027">
        <v>3033</v>
      </c>
      <c r="F531" s="1028">
        <v>3150</v>
      </c>
      <c r="H531" s="988"/>
      <c r="I531" s="988"/>
      <c r="J531" s="989"/>
      <c r="K531" s="989"/>
    </row>
    <row r="532" spans="2:11">
      <c r="B532" s="165"/>
      <c r="C532" s="1026" t="s">
        <v>1194</v>
      </c>
      <c r="D532" s="1020" t="s">
        <v>1901</v>
      </c>
      <c r="E532" s="1027">
        <v>15517</v>
      </c>
      <c r="F532" s="1028">
        <v>16437</v>
      </c>
      <c r="H532" s="988"/>
      <c r="I532" s="988"/>
      <c r="J532" s="989"/>
      <c r="K532" s="989"/>
    </row>
    <row r="533" spans="2:11">
      <c r="B533" s="165"/>
      <c r="C533" s="1026" t="s">
        <v>1195</v>
      </c>
      <c r="D533" s="1020" t="s">
        <v>1902</v>
      </c>
      <c r="E533" s="1027">
        <v>15545</v>
      </c>
      <c r="F533" s="1028">
        <v>16080</v>
      </c>
      <c r="H533" s="988"/>
      <c r="I533" s="988"/>
      <c r="J533" s="989"/>
      <c r="K533" s="989"/>
    </row>
    <row r="534" spans="2:11">
      <c r="B534" s="165"/>
      <c r="C534" s="1026" t="s">
        <v>1196</v>
      </c>
      <c r="D534" s="1020" t="s">
        <v>1903</v>
      </c>
      <c r="E534" s="1027">
        <v>14667</v>
      </c>
      <c r="F534" s="1028">
        <v>15304</v>
      </c>
      <c r="H534" s="988"/>
      <c r="I534" s="988"/>
      <c r="J534" s="989"/>
      <c r="K534" s="989"/>
    </row>
    <row r="535" spans="2:11">
      <c r="B535" s="165"/>
      <c r="C535" s="1026" t="s">
        <v>1197</v>
      </c>
      <c r="D535" s="1020" t="s">
        <v>1904</v>
      </c>
      <c r="E535" s="1027">
        <v>13417</v>
      </c>
      <c r="F535" s="1028">
        <v>13923</v>
      </c>
      <c r="H535" s="988"/>
      <c r="I535" s="988"/>
      <c r="J535" s="989"/>
      <c r="K535" s="989"/>
    </row>
    <row r="536" spans="2:11">
      <c r="B536" s="165"/>
      <c r="C536" s="1026" t="s">
        <v>1198</v>
      </c>
      <c r="D536" s="1020" t="s">
        <v>1905</v>
      </c>
      <c r="E536" s="1027">
        <v>16032</v>
      </c>
      <c r="F536" s="1028">
        <v>16404</v>
      </c>
      <c r="H536" s="988"/>
      <c r="I536" s="988"/>
      <c r="J536" s="989"/>
      <c r="K536" s="989"/>
    </row>
    <row r="537" spans="2:11">
      <c r="B537" s="165"/>
      <c r="C537" s="1026" t="s">
        <v>1199</v>
      </c>
      <c r="D537" s="1020" t="s">
        <v>1906</v>
      </c>
      <c r="E537" s="1027">
        <v>12297</v>
      </c>
      <c r="F537" s="1028">
        <v>12472</v>
      </c>
      <c r="H537" s="988"/>
      <c r="I537" s="988"/>
      <c r="J537" s="989"/>
      <c r="K537" s="989"/>
    </row>
    <row r="538" spans="2:11">
      <c r="B538" s="165"/>
      <c r="C538" s="1026" t="s">
        <v>1200</v>
      </c>
      <c r="D538" s="1020" t="s">
        <v>1907</v>
      </c>
      <c r="E538" s="1027">
        <v>13981</v>
      </c>
      <c r="F538" s="1028">
        <v>14479</v>
      </c>
      <c r="H538" s="988"/>
      <c r="I538" s="988"/>
      <c r="J538" s="989"/>
      <c r="K538" s="989"/>
    </row>
    <row r="539" spans="2:11">
      <c r="B539" s="165"/>
      <c r="C539" s="1026" t="s">
        <v>1201</v>
      </c>
      <c r="D539" s="1020" t="s">
        <v>1908</v>
      </c>
      <c r="E539" s="1027">
        <v>13672</v>
      </c>
      <c r="F539" s="1028">
        <v>14129</v>
      </c>
      <c r="H539" s="988"/>
      <c r="I539" s="988"/>
      <c r="J539" s="989"/>
      <c r="K539" s="989"/>
    </row>
    <row r="540" spans="2:11">
      <c r="B540" s="165"/>
      <c r="C540" s="1026" t="s">
        <v>1202</v>
      </c>
      <c r="D540" s="1020" t="s">
        <v>1909</v>
      </c>
      <c r="E540" s="1027">
        <v>17737</v>
      </c>
      <c r="F540" s="1028">
        <v>18007</v>
      </c>
      <c r="H540" s="988"/>
      <c r="I540" s="988"/>
      <c r="J540" s="989"/>
      <c r="K540" s="989"/>
    </row>
    <row r="541" spans="2:11">
      <c r="B541" s="165"/>
      <c r="C541" s="1026" t="s">
        <v>1203</v>
      </c>
      <c r="D541" s="1020" t="s">
        <v>1910</v>
      </c>
      <c r="E541" s="1027">
        <v>24450</v>
      </c>
      <c r="F541" s="1028">
        <v>24704</v>
      </c>
      <c r="H541" s="988"/>
      <c r="I541" s="988"/>
      <c r="J541" s="989"/>
      <c r="K541" s="989"/>
    </row>
    <row r="542" spans="2:11">
      <c r="B542" s="165"/>
      <c r="C542" s="1026" t="s">
        <v>1204</v>
      </c>
      <c r="D542" s="1020" t="s">
        <v>1911</v>
      </c>
      <c r="E542" s="1027">
        <v>14840</v>
      </c>
      <c r="F542" s="1028">
        <v>14896</v>
      </c>
      <c r="H542" s="988"/>
      <c r="I542" s="988"/>
      <c r="J542" s="989"/>
      <c r="K542" s="989"/>
    </row>
    <row r="543" spans="2:11">
      <c r="B543" s="165"/>
      <c r="C543" s="1026" t="s">
        <v>1205</v>
      </c>
      <c r="D543" s="1020" t="s">
        <v>1912</v>
      </c>
      <c r="E543" s="1027">
        <v>13614</v>
      </c>
      <c r="F543" s="1028">
        <v>14302</v>
      </c>
      <c r="H543" s="988"/>
      <c r="I543" s="988"/>
      <c r="J543" s="989"/>
      <c r="K543" s="989"/>
    </row>
    <row r="544" spans="2:11">
      <c r="B544" s="165"/>
      <c r="C544" s="1026" t="s">
        <v>1206</v>
      </c>
      <c r="D544" s="1020" t="s">
        <v>1913</v>
      </c>
      <c r="E544" s="1027">
        <v>14074</v>
      </c>
      <c r="F544" s="1028">
        <v>14505</v>
      </c>
      <c r="H544" s="988"/>
      <c r="I544" s="988"/>
      <c r="J544" s="989"/>
      <c r="K544" s="989"/>
    </row>
    <row r="545" spans="2:11">
      <c r="B545" s="165"/>
      <c r="C545" s="1026" t="s">
        <v>1207</v>
      </c>
      <c r="D545" s="1020" t="s">
        <v>1914</v>
      </c>
      <c r="E545" s="1027">
        <v>14120</v>
      </c>
      <c r="F545" s="1028">
        <v>14750</v>
      </c>
      <c r="H545" s="988"/>
      <c r="I545" s="988"/>
      <c r="J545" s="989"/>
      <c r="K545" s="989"/>
    </row>
    <row r="546" spans="2:11">
      <c r="B546" s="165"/>
      <c r="C546" s="1026" t="s">
        <v>1208</v>
      </c>
      <c r="D546" s="1020" t="s">
        <v>1915</v>
      </c>
      <c r="E546" s="1027">
        <v>13782</v>
      </c>
      <c r="F546" s="1028">
        <v>13931</v>
      </c>
      <c r="H546" s="988"/>
      <c r="I546" s="988"/>
      <c r="J546" s="989"/>
      <c r="K546" s="989"/>
    </row>
    <row r="547" spans="2:11">
      <c r="B547" s="165"/>
      <c r="C547" s="1026" t="s">
        <v>1209</v>
      </c>
      <c r="D547" s="1020" t="s">
        <v>1916</v>
      </c>
      <c r="E547" s="1027">
        <v>19487</v>
      </c>
      <c r="F547" s="1028">
        <v>20697</v>
      </c>
      <c r="H547" s="988"/>
      <c r="I547" s="988"/>
      <c r="J547" s="989"/>
      <c r="K547" s="989"/>
    </row>
    <row r="548" spans="2:11">
      <c r="B548" s="165"/>
      <c r="C548" s="1026" t="s">
        <v>1210</v>
      </c>
      <c r="D548" s="1020" t="s">
        <v>1917</v>
      </c>
      <c r="E548" s="1027">
        <v>12585</v>
      </c>
      <c r="F548" s="1028">
        <v>12786</v>
      </c>
      <c r="H548" s="988"/>
      <c r="I548" s="988"/>
      <c r="J548" s="989"/>
      <c r="K548" s="989"/>
    </row>
    <row r="549" spans="2:11">
      <c r="B549" s="165"/>
      <c r="C549" s="1026" t="s">
        <v>1211</v>
      </c>
      <c r="D549" s="1020" t="s">
        <v>1918</v>
      </c>
      <c r="E549" s="1027">
        <v>12278</v>
      </c>
      <c r="F549" s="1028">
        <v>12218</v>
      </c>
      <c r="H549" s="988"/>
      <c r="I549" s="988"/>
      <c r="J549" s="989"/>
      <c r="K549" s="989"/>
    </row>
    <row r="550" spans="2:11">
      <c r="B550" s="165"/>
      <c r="C550" s="1026" t="s">
        <v>1212</v>
      </c>
      <c r="D550" s="1020" t="s">
        <v>1919</v>
      </c>
      <c r="E550" s="1027">
        <v>13312</v>
      </c>
      <c r="F550" s="1028">
        <v>13540</v>
      </c>
      <c r="H550" s="988"/>
      <c r="I550" s="988"/>
      <c r="J550" s="989"/>
      <c r="K550" s="989"/>
    </row>
    <row r="551" spans="2:11">
      <c r="B551" s="165"/>
      <c r="C551" s="1026" t="s">
        <v>1213</v>
      </c>
      <c r="D551" s="1020" t="s">
        <v>1920</v>
      </c>
      <c r="E551" s="1027">
        <v>17477</v>
      </c>
      <c r="F551" s="1028">
        <v>17804</v>
      </c>
      <c r="H551" s="988"/>
      <c r="I551" s="988"/>
      <c r="J551" s="989"/>
      <c r="K551" s="989"/>
    </row>
    <row r="552" spans="2:11">
      <c r="B552" s="165"/>
      <c r="C552" s="1026" t="s">
        <v>1214</v>
      </c>
      <c r="D552" s="1020" t="s">
        <v>1921</v>
      </c>
      <c r="E552" s="1027">
        <v>12356</v>
      </c>
      <c r="F552" s="1028">
        <v>12802</v>
      </c>
      <c r="H552" s="988"/>
      <c r="I552" s="988"/>
      <c r="J552" s="989"/>
      <c r="K552" s="989"/>
    </row>
    <row r="553" spans="2:11">
      <c r="B553" s="165"/>
      <c r="C553" s="1026" t="s">
        <v>1215</v>
      </c>
      <c r="D553" s="1020" t="s">
        <v>1922</v>
      </c>
      <c r="E553" s="1027">
        <v>14080</v>
      </c>
      <c r="F553" s="1028">
        <v>14545</v>
      </c>
      <c r="H553" s="988"/>
      <c r="I553" s="988"/>
      <c r="J553" s="989"/>
      <c r="K553" s="989"/>
    </row>
    <row r="554" spans="2:11">
      <c r="B554" s="165"/>
      <c r="C554" s="1026" t="s">
        <v>1216</v>
      </c>
      <c r="D554" s="1020" t="s">
        <v>1923</v>
      </c>
      <c r="E554" s="1027">
        <v>15959</v>
      </c>
      <c r="F554" s="1028">
        <v>16703</v>
      </c>
      <c r="H554" s="988"/>
      <c r="I554" s="988"/>
      <c r="J554" s="989"/>
      <c r="K554" s="989"/>
    </row>
    <row r="555" spans="2:11">
      <c r="B555" s="165"/>
      <c r="C555" s="1026" t="s">
        <v>1217</v>
      </c>
      <c r="D555" s="1020" t="s">
        <v>1924</v>
      </c>
      <c r="E555" s="1027">
        <v>28919</v>
      </c>
      <c r="F555" s="1028">
        <v>29390</v>
      </c>
      <c r="H555" s="988"/>
      <c r="I555" s="988"/>
      <c r="J555" s="989"/>
      <c r="K555" s="989"/>
    </row>
    <row r="556" spans="2:11">
      <c r="B556" s="165"/>
      <c r="C556" s="1026" t="s">
        <v>1218</v>
      </c>
      <c r="D556" s="1020" t="s">
        <v>1925</v>
      </c>
      <c r="E556" s="1027">
        <v>12939</v>
      </c>
      <c r="F556" s="1028">
        <v>13387</v>
      </c>
      <c r="H556" s="988"/>
      <c r="I556" s="988"/>
      <c r="J556" s="989"/>
      <c r="K556" s="989"/>
    </row>
    <row r="557" spans="2:11">
      <c r="B557" s="165"/>
      <c r="C557" s="1026" t="s">
        <v>1219</v>
      </c>
      <c r="D557" s="1020" t="s">
        <v>1926</v>
      </c>
      <c r="E557" s="1027">
        <v>12222</v>
      </c>
      <c r="F557" s="1028">
        <v>12490</v>
      </c>
      <c r="H557" s="988"/>
      <c r="I557" s="988"/>
      <c r="J557" s="989"/>
      <c r="K557" s="989"/>
    </row>
    <row r="558" spans="2:11">
      <c r="B558" s="165"/>
      <c r="C558" s="1026" t="s">
        <v>1220</v>
      </c>
      <c r="D558" s="1020" t="s">
        <v>1927</v>
      </c>
      <c r="E558" s="1027">
        <v>11996</v>
      </c>
      <c r="F558" s="1028">
        <v>12554</v>
      </c>
      <c r="H558" s="988"/>
      <c r="I558" s="988"/>
      <c r="J558" s="989"/>
      <c r="K558" s="989"/>
    </row>
    <row r="559" spans="2:11">
      <c r="B559" s="165"/>
      <c r="C559" s="1026" t="s">
        <v>1222</v>
      </c>
      <c r="D559" s="1020" t="s">
        <v>1928</v>
      </c>
      <c r="E559" s="1027">
        <v>17650</v>
      </c>
      <c r="F559" s="1028">
        <v>18075</v>
      </c>
      <c r="H559" s="988"/>
      <c r="I559" s="988"/>
      <c r="J559" s="989"/>
      <c r="K559" s="989"/>
    </row>
    <row r="560" spans="2:11">
      <c r="B560" s="165"/>
      <c r="C560" s="1026" t="s">
        <v>1223</v>
      </c>
      <c r="D560" s="1020" t="s">
        <v>1929</v>
      </c>
      <c r="E560" s="1027">
        <v>12790</v>
      </c>
      <c r="F560" s="1028">
        <v>12367</v>
      </c>
      <c r="H560" s="988"/>
      <c r="I560" s="988"/>
      <c r="J560" s="989"/>
      <c r="K560" s="989"/>
    </row>
    <row r="561" spans="2:11">
      <c r="B561" s="165"/>
      <c r="C561" s="1026" t="s">
        <v>1224</v>
      </c>
      <c r="D561" s="1020" t="s">
        <v>1930</v>
      </c>
      <c r="E561" s="1027">
        <v>14073</v>
      </c>
      <c r="F561" s="1028">
        <v>14689</v>
      </c>
      <c r="H561" s="988"/>
      <c r="I561" s="988"/>
      <c r="J561" s="989"/>
      <c r="K561" s="989"/>
    </row>
    <row r="562" spans="2:11">
      <c r="B562" s="165"/>
      <c r="C562" s="1026" t="s">
        <v>1225</v>
      </c>
      <c r="D562" s="1020" t="s">
        <v>1931</v>
      </c>
      <c r="E562" s="1027">
        <v>13301</v>
      </c>
      <c r="F562" s="1028">
        <v>13635</v>
      </c>
      <c r="H562" s="988"/>
      <c r="I562" s="988"/>
      <c r="J562" s="989"/>
      <c r="K562" s="989"/>
    </row>
    <row r="563" spans="2:11">
      <c r="B563" s="165"/>
      <c r="C563" s="1026" t="s">
        <v>1226</v>
      </c>
      <c r="D563" s="1020" t="s">
        <v>1932</v>
      </c>
      <c r="E563" s="1027">
        <v>15736</v>
      </c>
      <c r="F563" s="1028">
        <v>16162</v>
      </c>
      <c r="H563" s="988"/>
      <c r="I563" s="988"/>
      <c r="J563" s="989"/>
      <c r="K563" s="989"/>
    </row>
    <row r="564" spans="2:11">
      <c r="B564" s="165"/>
      <c r="C564" s="1026" t="s">
        <v>1227</v>
      </c>
      <c r="D564" s="1020" t="s">
        <v>1933</v>
      </c>
      <c r="E564" s="1027">
        <v>13394</v>
      </c>
      <c r="F564" s="1028">
        <v>13390</v>
      </c>
      <c r="H564" s="988"/>
      <c r="I564" s="988"/>
      <c r="J564" s="989"/>
      <c r="K564" s="989"/>
    </row>
    <row r="565" spans="2:11">
      <c r="B565" s="165"/>
      <c r="C565" s="1026" t="s">
        <v>1228</v>
      </c>
      <c r="D565" s="1020" t="s">
        <v>1934</v>
      </c>
      <c r="E565" s="1027">
        <v>12918</v>
      </c>
      <c r="F565" s="1028">
        <v>13196</v>
      </c>
      <c r="H565" s="988"/>
      <c r="I565" s="988"/>
      <c r="J565" s="989"/>
      <c r="K565" s="989"/>
    </row>
    <row r="566" spans="2:11">
      <c r="B566" s="165"/>
      <c r="C566" s="1026" t="s">
        <v>1229</v>
      </c>
      <c r="D566" s="1020" t="s">
        <v>1935</v>
      </c>
      <c r="E566" s="1027">
        <v>18748</v>
      </c>
      <c r="F566" s="1028">
        <v>19134</v>
      </c>
      <c r="H566" s="988"/>
      <c r="I566" s="988"/>
      <c r="J566" s="989"/>
      <c r="K566" s="989"/>
    </row>
    <row r="567" spans="2:11">
      <c r="B567" s="165"/>
      <c r="C567" s="1026" t="s">
        <v>1230</v>
      </c>
      <c r="D567" s="1020" t="s">
        <v>1936</v>
      </c>
      <c r="E567" s="1027">
        <v>13910</v>
      </c>
      <c r="F567" s="1028">
        <v>14280</v>
      </c>
      <c r="H567" s="988"/>
      <c r="I567" s="988"/>
      <c r="J567" s="989"/>
      <c r="K567" s="989"/>
    </row>
    <row r="568" spans="2:11">
      <c r="B568" s="165"/>
      <c r="C568" s="1026" t="s">
        <v>1231</v>
      </c>
      <c r="D568" s="1020" t="s">
        <v>1937</v>
      </c>
      <c r="E568" s="1027">
        <v>18366</v>
      </c>
      <c r="F568" s="1028">
        <v>18715</v>
      </c>
      <c r="H568" s="988"/>
      <c r="I568" s="988"/>
      <c r="J568" s="989"/>
      <c r="K568" s="989"/>
    </row>
    <row r="569" spans="2:11">
      <c r="B569" s="165"/>
      <c r="C569" s="1026" t="s">
        <v>1232</v>
      </c>
      <c r="D569" s="1020" t="s">
        <v>1938</v>
      </c>
      <c r="E569" s="1027">
        <v>11859</v>
      </c>
      <c r="F569" s="1028">
        <v>12249</v>
      </c>
      <c r="H569" s="988"/>
      <c r="I569" s="988"/>
      <c r="J569" s="989"/>
      <c r="K569" s="989"/>
    </row>
    <row r="570" spans="2:11">
      <c r="B570" s="165"/>
      <c r="C570" s="1026" t="s">
        <v>1233</v>
      </c>
      <c r="D570" s="1020" t="s">
        <v>1939</v>
      </c>
      <c r="E570" s="1027">
        <v>18010</v>
      </c>
      <c r="F570" s="1028">
        <v>18705</v>
      </c>
      <c r="H570" s="988"/>
      <c r="I570" s="988"/>
      <c r="J570" s="989"/>
      <c r="K570" s="989"/>
    </row>
    <row r="571" spans="2:11">
      <c r="B571" s="165"/>
      <c r="C571" s="1026" t="s">
        <v>1234</v>
      </c>
      <c r="D571" s="1020" t="s">
        <v>1940</v>
      </c>
      <c r="E571" s="1027">
        <v>10964</v>
      </c>
      <c r="F571" s="1028">
        <v>11296</v>
      </c>
      <c r="H571" s="988"/>
      <c r="I571" s="988"/>
      <c r="J571" s="989"/>
      <c r="K571" s="989"/>
    </row>
    <row r="572" spans="2:11">
      <c r="B572" s="165"/>
      <c r="C572" s="1026" t="s">
        <v>1235</v>
      </c>
      <c r="D572" s="1020" t="s">
        <v>1941</v>
      </c>
      <c r="E572" s="1027">
        <v>14206</v>
      </c>
      <c r="F572" s="1028">
        <v>14111</v>
      </c>
      <c r="H572" s="988"/>
      <c r="I572" s="988"/>
      <c r="J572" s="989"/>
      <c r="K572" s="989"/>
    </row>
    <row r="573" spans="2:11">
      <c r="B573" s="165"/>
      <c r="C573" s="1026" t="s">
        <v>1236</v>
      </c>
      <c r="D573" s="1020" t="s">
        <v>1942</v>
      </c>
      <c r="E573" s="1027">
        <v>14633</v>
      </c>
      <c r="F573" s="1028">
        <v>14885</v>
      </c>
      <c r="H573" s="988"/>
      <c r="I573" s="988"/>
      <c r="J573" s="989"/>
      <c r="K573" s="989"/>
    </row>
    <row r="574" spans="2:11">
      <c r="B574" s="165"/>
      <c r="C574" s="1026" t="s">
        <v>1237</v>
      </c>
      <c r="D574" s="1020" t="s">
        <v>1943</v>
      </c>
      <c r="E574" s="1027">
        <v>17210</v>
      </c>
      <c r="F574" s="1028">
        <v>17609</v>
      </c>
      <c r="H574" s="988"/>
      <c r="I574" s="988"/>
      <c r="J574" s="989"/>
      <c r="K574" s="989"/>
    </row>
    <row r="575" spans="2:11">
      <c r="B575" s="165"/>
      <c r="C575" s="1026" t="s">
        <v>1238</v>
      </c>
      <c r="D575" s="1020" t="s">
        <v>1944</v>
      </c>
      <c r="E575" s="1027">
        <v>14868</v>
      </c>
      <c r="F575" s="1028">
        <v>15265</v>
      </c>
      <c r="H575" s="988"/>
      <c r="I575" s="988"/>
      <c r="J575" s="989"/>
      <c r="K575" s="989"/>
    </row>
    <row r="576" spans="2:11">
      <c r="B576" s="165"/>
      <c r="C576" s="1026" t="s">
        <v>1239</v>
      </c>
      <c r="D576" s="1020" t="s">
        <v>1945</v>
      </c>
      <c r="E576" s="1027">
        <v>26279</v>
      </c>
      <c r="F576" s="1028">
        <v>26429</v>
      </c>
      <c r="H576" s="988"/>
      <c r="I576" s="988"/>
      <c r="J576" s="989"/>
      <c r="K576" s="989"/>
    </row>
    <row r="577" spans="2:11">
      <c r="B577" s="165"/>
      <c r="C577" s="1026" t="s">
        <v>1240</v>
      </c>
      <c r="D577" s="1020" t="s">
        <v>1946</v>
      </c>
      <c r="E577" s="1027">
        <v>14585</v>
      </c>
      <c r="F577" s="1028">
        <v>15112</v>
      </c>
      <c r="H577" s="988"/>
      <c r="I577" s="988"/>
      <c r="J577" s="989"/>
      <c r="K577" s="989"/>
    </row>
    <row r="578" spans="2:11">
      <c r="B578" s="165"/>
      <c r="C578" s="1026" t="s">
        <v>1241</v>
      </c>
      <c r="D578" s="1020" t="s">
        <v>1947</v>
      </c>
      <c r="E578" s="1027">
        <v>19364</v>
      </c>
      <c r="F578" s="1028">
        <v>19972</v>
      </c>
      <c r="H578" s="988"/>
      <c r="I578" s="988"/>
      <c r="J578" s="989"/>
      <c r="K578" s="989"/>
    </row>
    <row r="579" spans="2:11">
      <c r="B579" s="165"/>
      <c r="C579" s="1026" t="s">
        <v>1242</v>
      </c>
      <c r="D579" s="1020" t="s">
        <v>1948</v>
      </c>
      <c r="E579" s="1027">
        <v>12877</v>
      </c>
      <c r="F579" s="1028">
        <v>13463</v>
      </c>
      <c r="H579" s="988"/>
      <c r="I579" s="988"/>
      <c r="J579" s="989"/>
      <c r="K579" s="989"/>
    </row>
    <row r="580" spans="2:11">
      <c r="B580" s="165"/>
      <c r="C580" s="1026" t="s">
        <v>1243</v>
      </c>
      <c r="D580" s="1020" t="s">
        <v>1949</v>
      </c>
      <c r="E580" s="1027">
        <v>18189</v>
      </c>
      <c r="F580" s="1028">
        <v>18647</v>
      </c>
      <c r="H580" s="988"/>
      <c r="I580" s="988"/>
      <c r="J580" s="989"/>
      <c r="K580" s="989"/>
    </row>
    <row r="581" spans="2:11">
      <c r="B581" s="165"/>
      <c r="C581" s="1026" t="s">
        <v>1244</v>
      </c>
      <c r="D581" s="1020" t="s">
        <v>1950</v>
      </c>
      <c r="E581" s="1027">
        <v>12606</v>
      </c>
      <c r="F581" s="1028">
        <v>12882</v>
      </c>
      <c r="H581" s="988"/>
      <c r="I581" s="988"/>
      <c r="J581" s="989"/>
      <c r="K581" s="989"/>
    </row>
    <row r="582" spans="2:11">
      <c r="B582" s="165"/>
      <c r="C582" s="1026" t="s">
        <v>1245</v>
      </c>
      <c r="D582" s="1020" t="s">
        <v>1951</v>
      </c>
      <c r="E582" s="1027">
        <v>13081</v>
      </c>
      <c r="F582" s="1028">
        <v>13450</v>
      </c>
      <c r="H582" s="988"/>
      <c r="I582" s="988"/>
      <c r="J582" s="989"/>
      <c r="K582" s="989"/>
    </row>
    <row r="583" spans="2:11">
      <c r="B583" s="165"/>
      <c r="C583" s="1026" t="s">
        <v>1246</v>
      </c>
      <c r="D583" s="1020" t="s">
        <v>1952</v>
      </c>
      <c r="E583" s="1027">
        <v>25129</v>
      </c>
      <c r="F583" s="1028">
        <v>25307</v>
      </c>
      <c r="H583" s="988"/>
      <c r="I583" s="988"/>
      <c r="J583" s="989"/>
      <c r="K583" s="989"/>
    </row>
    <row r="584" spans="2:11">
      <c r="B584" s="165"/>
      <c r="C584" s="1026" t="s">
        <v>1247</v>
      </c>
      <c r="D584" s="1020" t="s">
        <v>1953</v>
      </c>
      <c r="E584" s="1027">
        <v>13047</v>
      </c>
      <c r="F584" s="1028">
        <v>13373</v>
      </c>
      <c r="H584" s="988"/>
      <c r="I584" s="988"/>
      <c r="J584" s="989"/>
      <c r="K584" s="989"/>
    </row>
    <row r="585" spans="2:11">
      <c r="B585" s="165"/>
      <c r="C585" s="1026" t="s">
        <v>1249</v>
      </c>
      <c r="D585" s="1020" t="s">
        <v>1954</v>
      </c>
      <c r="E585" s="1027">
        <v>14302</v>
      </c>
      <c r="F585" s="1028">
        <v>14495</v>
      </c>
      <c r="H585" s="988"/>
      <c r="I585" s="988"/>
      <c r="J585" s="989"/>
      <c r="K585" s="989"/>
    </row>
    <row r="586" spans="2:11">
      <c r="B586" s="165"/>
      <c r="C586" s="1026" t="s">
        <v>1250</v>
      </c>
      <c r="D586" s="1020" t="s">
        <v>1955</v>
      </c>
      <c r="E586" s="1027">
        <v>11634</v>
      </c>
      <c r="F586" s="1028">
        <v>12030</v>
      </c>
      <c r="H586" s="988"/>
      <c r="I586" s="988"/>
      <c r="J586" s="989"/>
      <c r="K586" s="989"/>
    </row>
    <row r="587" spans="2:11">
      <c r="B587" s="165"/>
      <c r="C587" s="1026" t="s">
        <v>1251</v>
      </c>
      <c r="D587" s="1020" t="s">
        <v>1956</v>
      </c>
      <c r="E587" s="1027">
        <v>10345</v>
      </c>
      <c r="F587" s="1028">
        <v>10709</v>
      </c>
      <c r="H587" s="988"/>
      <c r="I587" s="988"/>
      <c r="J587" s="989"/>
      <c r="K587" s="989"/>
    </row>
    <row r="588" spans="2:11">
      <c r="B588" s="165"/>
      <c r="C588" s="1026" t="s">
        <v>1252</v>
      </c>
      <c r="D588" s="1020" t="s">
        <v>1957</v>
      </c>
      <c r="E588" s="1027">
        <v>11757</v>
      </c>
      <c r="F588" s="1028">
        <v>11879</v>
      </c>
      <c r="H588" s="988"/>
      <c r="I588" s="988"/>
      <c r="J588" s="989"/>
      <c r="K588" s="989"/>
    </row>
    <row r="589" spans="2:11">
      <c r="B589" s="165"/>
      <c r="C589" s="1026" t="s">
        <v>1162</v>
      </c>
      <c r="D589" s="1020" t="s">
        <v>1958</v>
      </c>
      <c r="E589" s="1027">
        <v>18153</v>
      </c>
      <c r="F589" s="1028">
        <v>18349</v>
      </c>
      <c r="H589" s="988"/>
      <c r="I589" s="988"/>
      <c r="J589" s="989"/>
      <c r="K589" s="989"/>
    </row>
    <row r="590" spans="2:11">
      <c r="B590" s="165"/>
      <c r="C590" s="1026" t="s">
        <v>1253</v>
      </c>
      <c r="D590" s="1020" t="s">
        <v>1959</v>
      </c>
      <c r="E590" s="1027">
        <v>16608</v>
      </c>
      <c r="F590" s="1028">
        <v>16052</v>
      </c>
      <c r="H590" s="988"/>
      <c r="I590" s="988"/>
      <c r="J590" s="989"/>
      <c r="K590" s="989"/>
    </row>
    <row r="591" spans="2:11">
      <c r="B591" s="165"/>
      <c r="C591" s="1026" t="s">
        <v>1254</v>
      </c>
      <c r="D591" s="1020" t="s">
        <v>1960</v>
      </c>
      <c r="E591" s="1027">
        <v>14327</v>
      </c>
      <c r="F591" s="1028">
        <v>14849</v>
      </c>
      <c r="H591" s="988"/>
      <c r="I591" s="988"/>
      <c r="J591" s="989"/>
      <c r="K591" s="989"/>
    </row>
    <row r="592" spans="2:11">
      <c r="B592" s="165"/>
      <c r="C592" s="1026" t="s">
        <v>1255</v>
      </c>
      <c r="D592" s="1020" t="s">
        <v>1961</v>
      </c>
      <c r="E592" s="1027">
        <v>14066</v>
      </c>
      <c r="F592" s="1028">
        <v>14494</v>
      </c>
      <c r="H592" s="988"/>
      <c r="I592" s="988"/>
      <c r="J592" s="989"/>
      <c r="K592" s="989"/>
    </row>
    <row r="593" spans="2:11">
      <c r="B593" s="165"/>
      <c r="C593" s="1026" t="s">
        <v>1256</v>
      </c>
      <c r="D593" s="1020" t="s">
        <v>1962</v>
      </c>
      <c r="E593" s="1027">
        <v>21661</v>
      </c>
      <c r="F593" s="1028">
        <v>22190</v>
      </c>
      <c r="H593" s="988"/>
      <c r="I593" s="988"/>
      <c r="J593" s="989"/>
      <c r="K593" s="989"/>
    </row>
    <row r="594" spans="2:11">
      <c r="B594" s="165"/>
      <c r="C594" s="1026" t="s">
        <v>1257</v>
      </c>
      <c r="D594" s="1020" t="s">
        <v>1963</v>
      </c>
      <c r="E594" s="1027">
        <v>13769</v>
      </c>
      <c r="F594" s="1028">
        <v>14128</v>
      </c>
      <c r="H594" s="988"/>
      <c r="I594" s="988"/>
      <c r="J594" s="989"/>
      <c r="K594" s="989"/>
    </row>
    <row r="595" spans="2:11">
      <c r="B595" s="165"/>
      <c r="C595" s="1026" t="s">
        <v>1258</v>
      </c>
      <c r="D595" s="1020" t="s">
        <v>1964</v>
      </c>
      <c r="E595" s="1027">
        <v>14790</v>
      </c>
      <c r="F595" s="1028">
        <v>16791</v>
      </c>
      <c r="H595" s="988"/>
      <c r="I595" s="988"/>
      <c r="J595" s="989"/>
      <c r="K595" s="989"/>
    </row>
    <row r="596" spans="2:11">
      <c r="B596" s="165"/>
      <c r="C596" s="1026" t="s">
        <v>1273</v>
      </c>
      <c r="D596" s="1020" t="s">
        <v>1965</v>
      </c>
      <c r="E596" s="1027">
        <v>18601</v>
      </c>
      <c r="F596" s="1028">
        <v>18993</v>
      </c>
      <c r="H596" s="988"/>
      <c r="I596" s="988"/>
      <c r="J596" s="989"/>
      <c r="K596" s="989"/>
    </row>
    <row r="597" spans="2:11">
      <c r="B597" s="165"/>
      <c r="C597" s="1026" t="s">
        <v>1259</v>
      </c>
      <c r="D597" s="1020" t="s">
        <v>1966</v>
      </c>
      <c r="E597" s="1027">
        <v>12862</v>
      </c>
      <c r="F597" s="1028">
        <v>12947</v>
      </c>
      <c r="H597" s="988"/>
      <c r="I597" s="988"/>
      <c r="J597" s="989"/>
      <c r="K597" s="989"/>
    </row>
    <row r="598" spans="2:11">
      <c r="B598" s="165"/>
      <c r="C598" s="1026" t="s">
        <v>1260</v>
      </c>
      <c r="D598" s="1020" t="s">
        <v>1967</v>
      </c>
      <c r="E598" s="1027">
        <v>18149</v>
      </c>
      <c r="F598" s="1028">
        <v>18646</v>
      </c>
      <c r="H598" s="988"/>
      <c r="I598" s="988"/>
      <c r="J598" s="989"/>
      <c r="K598" s="989"/>
    </row>
    <row r="599" spans="2:11">
      <c r="B599" s="165"/>
      <c r="C599" s="1026" t="s">
        <v>1261</v>
      </c>
      <c r="D599" s="1020" t="s">
        <v>1968</v>
      </c>
      <c r="E599" s="1027">
        <v>15780</v>
      </c>
      <c r="F599" s="1028">
        <v>16159</v>
      </c>
      <c r="H599" s="988"/>
      <c r="I599" s="988"/>
      <c r="J599" s="989"/>
      <c r="K599" s="989"/>
    </row>
    <row r="600" spans="2:11">
      <c r="B600" s="165"/>
      <c r="C600" s="1026" t="s">
        <v>1262</v>
      </c>
      <c r="D600" s="1020" t="s">
        <v>1969</v>
      </c>
      <c r="E600" s="1027">
        <v>11480</v>
      </c>
      <c r="F600" s="1028">
        <v>12137</v>
      </c>
      <c r="H600" s="988"/>
      <c r="I600" s="988"/>
      <c r="J600" s="989"/>
      <c r="K600" s="989"/>
    </row>
    <row r="601" spans="2:11">
      <c r="B601" s="165"/>
      <c r="C601" s="1026" t="s">
        <v>1263</v>
      </c>
      <c r="D601" s="1020" t="s">
        <v>1970</v>
      </c>
      <c r="E601" s="1027">
        <v>11565</v>
      </c>
      <c r="F601" s="1028">
        <v>11825</v>
      </c>
      <c r="H601" s="988"/>
      <c r="I601" s="988"/>
      <c r="J601" s="989"/>
      <c r="K601" s="989"/>
    </row>
    <row r="602" spans="2:11">
      <c r="B602" s="165"/>
      <c r="C602" s="1026" t="s">
        <v>1264</v>
      </c>
      <c r="D602" s="1020" t="s">
        <v>1971</v>
      </c>
      <c r="E602" s="1027">
        <v>20932</v>
      </c>
      <c r="F602" s="1028">
        <v>22219</v>
      </c>
      <c r="H602" s="988"/>
      <c r="I602" s="988"/>
      <c r="J602" s="989"/>
      <c r="K602" s="989"/>
    </row>
    <row r="603" spans="2:11">
      <c r="B603" s="165"/>
      <c r="C603" s="1026" t="s">
        <v>1265</v>
      </c>
      <c r="D603" s="1020" t="s">
        <v>1972</v>
      </c>
      <c r="E603" s="1027">
        <v>21070</v>
      </c>
      <c r="F603" s="1028">
        <v>21869</v>
      </c>
      <c r="H603" s="988"/>
      <c r="I603" s="988"/>
      <c r="J603" s="989"/>
      <c r="K603" s="989"/>
    </row>
    <row r="604" spans="2:11">
      <c r="B604" s="165"/>
      <c r="C604" s="1026" t="s">
        <v>1266</v>
      </c>
      <c r="D604" s="1020" t="s">
        <v>1973</v>
      </c>
      <c r="E604" s="1027">
        <v>17237</v>
      </c>
      <c r="F604" s="1028">
        <v>17346</v>
      </c>
      <c r="H604" s="988"/>
      <c r="I604" s="988"/>
      <c r="J604" s="989"/>
      <c r="K604" s="989"/>
    </row>
    <row r="605" spans="2:11">
      <c r="B605" s="165"/>
      <c r="C605" s="1026" t="s">
        <v>1267</v>
      </c>
      <c r="D605" s="1020" t="s">
        <v>1974</v>
      </c>
      <c r="E605" s="1027">
        <v>12654</v>
      </c>
      <c r="F605" s="1028">
        <v>13146</v>
      </c>
      <c r="H605" s="988"/>
      <c r="I605" s="988"/>
      <c r="J605" s="989"/>
      <c r="K605" s="989"/>
    </row>
    <row r="606" spans="2:11">
      <c r="B606" s="165"/>
      <c r="C606" s="1026" t="s">
        <v>1268</v>
      </c>
      <c r="D606" s="1020" t="s">
        <v>1975</v>
      </c>
      <c r="E606" s="1027">
        <v>33354</v>
      </c>
      <c r="F606" s="1028">
        <v>33661</v>
      </c>
      <c r="H606" s="988"/>
      <c r="I606" s="988"/>
      <c r="J606" s="989"/>
      <c r="K606" s="989"/>
    </row>
    <row r="607" spans="2:11">
      <c r="B607" s="165"/>
      <c r="C607" s="1026" t="s">
        <v>1269</v>
      </c>
      <c r="D607" s="1020" t="s">
        <v>1976</v>
      </c>
      <c r="E607" s="1027">
        <v>22676</v>
      </c>
      <c r="F607" s="1028">
        <v>23628</v>
      </c>
      <c r="H607" s="988"/>
      <c r="I607" s="988"/>
      <c r="J607" s="989"/>
      <c r="K607" s="989"/>
    </row>
    <row r="608" spans="2:11">
      <c r="B608" s="165"/>
      <c r="C608" s="1026" t="s">
        <v>1270</v>
      </c>
      <c r="D608" s="1020" t="s">
        <v>1977</v>
      </c>
      <c r="E608" s="1027">
        <v>11291</v>
      </c>
      <c r="F608" s="1028">
        <v>11413</v>
      </c>
      <c r="H608" s="988"/>
      <c r="I608" s="988"/>
      <c r="J608" s="989"/>
      <c r="K608" s="989"/>
    </row>
    <row r="609" spans="2:11">
      <c r="B609" s="165"/>
      <c r="C609" s="1026" t="s">
        <v>1271</v>
      </c>
      <c r="D609" s="1020" t="s">
        <v>1978</v>
      </c>
      <c r="E609" s="1027">
        <v>13458</v>
      </c>
      <c r="F609" s="1028">
        <v>13700</v>
      </c>
      <c r="H609" s="988"/>
      <c r="I609" s="988"/>
      <c r="J609" s="989"/>
      <c r="K609" s="989"/>
    </row>
    <row r="610" spans="2:11">
      <c r="B610" s="165"/>
      <c r="C610" s="1026" t="s">
        <v>1272</v>
      </c>
      <c r="D610" s="1020" t="s">
        <v>1979</v>
      </c>
      <c r="E610" s="1027">
        <v>16501</v>
      </c>
      <c r="F610" s="1028">
        <v>16975</v>
      </c>
      <c r="H610" s="988"/>
      <c r="I610" s="988"/>
      <c r="J610" s="989"/>
      <c r="K610" s="989"/>
    </row>
    <row r="611" spans="2:11">
      <c r="B611" s="165"/>
      <c r="C611" s="1026" t="s">
        <v>1274</v>
      </c>
      <c r="D611" s="1020" t="s">
        <v>1980</v>
      </c>
      <c r="E611" s="1027">
        <v>13646</v>
      </c>
      <c r="F611" s="1028">
        <v>14463</v>
      </c>
      <c r="H611" s="988"/>
      <c r="I611" s="988"/>
      <c r="J611" s="989"/>
      <c r="K611" s="989"/>
    </row>
    <row r="612" spans="2:11">
      <c r="B612" s="165"/>
      <c r="C612" s="1026" t="s">
        <v>1117</v>
      </c>
      <c r="D612" s="1020" t="s">
        <v>1981</v>
      </c>
      <c r="E612" s="1027">
        <v>12300</v>
      </c>
      <c r="F612" s="1028">
        <v>12799</v>
      </c>
      <c r="H612" s="988"/>
      <c r="I612" s="988"/>
      <c r="J612" s="989"/>
      <c r="K612" s="989"/>
    </row>
    <row r="613" spans="2:11">
      <c r="B613" s="165"/>
      <c r="C613" s="1026" t="s">
        <v>1275</v>
      </c>
      <c r="D613" s="1020" t="s">
        <v>1982</v>
      </c>
      <c r="E613" s="1027">
        <v>12862</v>
      </c>
      <c r="F613" s="1028">
        <v>13169</v>
      </c>
      <c r="H613" s="988"/>
      <c r="I613" s="988"/>
      <c r="J613" s="989"/>
      <c r="K613" s="989"/>
    </row>
    <row r="614" spans="2:11">
      <c r="B614" s="165"/>
      <c r="C614" s="1026" t="s">
        <v>1276</v>
      </c>
      <c r="D614" s="1020" t="s">
        <v>1983</v>
      </c>
      <c r="E614" s="1027">
        <v>23045</v>
      </c>
      <c r="F614" s="1028">
        <v>23868</v>
      </c>
      <c r="H614" s="988"/>
      <c r="I614" s="988"/>
      <c r="J614" s="989"/>
      <c r="K614" s="989"/>
    </row>
    <row r="615" spans="2:11">
      <c r="B615" s="165"/>
      <c r="C615" s="1026" t="s">
        <v>1277</v>
      </c>
      <c r="D615" s="1020" t="s">
        <v>1984</v>
      </c>
      <c r="E615" s="1027">
        <v>12895</v>
      </c>
      <c r="F615" s="1028">
        <v>13137</v>
      </c>
      <c r="H615" s="988"/>
      <c r="I615" s="988"/>
      <c r="J615" s="989"/>
      <c r="K615" s="989"/>
    </row>
    <row r="616" spans="2:11">
      <c r="B616" s="165"/>
      <c r="C616" s="1026" t="s">
        <v>1278</v>
      </c>
      <c r="D616" s="1020" t="s">
        <v>1985</v>
      </c>
      <c r="E616" s="1027">
        <v>11330</v>
      </c>
      <c r="F616" s="1028">
        <v>11883</v>
      </c>
      <c r="H616" s="988"/>
      <c r="I616" s="988"/>
      <c r="J616" s="989"/>
      <c r="K616" s="989"/>
    </row>
    <row r="617" spans="2:11">
      <c r="B617" s="165"/>
      <c r="C617" s="1026" t="s">
        <v>1279</v>
      </c>
      <c r="D617" s="1020" t="s">
        <v>1986</v>
      </c>
      <c r="E617" s="1027">
        <v>22099</v>
      </c>
      <c r="F617" s="1028">
        <v>22037</v>
      </c>
      <c r="H617" s="988"/>
      <c r="I617" s="988"/>
      <c r="J617" s="989"/>
      <c r="K617" s="989"/>
    </row>
    <row r="618" spans="2:11">
      <c r="B618" s="165"/>
      <c r="C618" s="1026" t="s">
        <v>1280</v>
      </c>
      <c r="D618" s="1020" t="s">
        <v>1987</v>
      </c>
      <c r="E618" s="1027">
        <v>13423</v>
      </c>
      <c r="F618" s="1028">
        <v>13787</v>
      </c>
      <c r="H618" s="988"/>
      <c r="I618" s="988"/>
      <c r="J618" s="989"/>
      <c r="K618" s="989"/>
    </row>
    <row r="619" spans="2:11">
      <c r="B619" s="165"/>
      <c r="C619" s="1026" t="s">
        <v>1281</v>
      </c>
      <c r="D619" s="1020" t="s">
        <v>1988</v>
      </c>
      <c r="E619" s="1027">
        <v>17017</v>
      </c>
      <c r="F619" s="1028">
        <v>17344</v>
      </c>
      <c r="H619" s="988"/>
      <c r="I619" s="988"/>
      <c r="J619" s="989"/>
      <c r="K619" s="989"/>
    </row>
    <row r="620" spans="2:11">
      <c r="B620" s="165"/>
      <c r="C620" s="1026" t="s">
        <v>1282</v>
      </c>
      <c r="D620" s="1020" t="s">
        <v>1989</v>
      </c>
      <c r="E620" s="1027">
        <v>21383</v>
      </c>
      <c r="F620" s="1028">
        <v>22627</v>
      </c>
      <c r="H620" s="988"/>
      <c r="I620" s="988"/>
      <c r="J620" s="989"/>
      <c r="K620" s="989"/>
    </row>
    <row r="621" spans="2:11">
      <c r="B621" s="165"/>
      <c r="C621" s="1026" t="s">
        <v>1283</v>
      </c>
      <c r="D621" s="1020" t="s">
        <v>1990</v>
      </c>
      <c r="E621" s="1027">
        <v>19145</v>
      </c>
      <c r="F621" s="1028">
        <v>19798</v>
      </c>
      <c r="H621" s="988"/>
      <c r="I621" s="988"/>
      <c r="J621" s="989"/>
      <c r="K621" s="989"/>
    </row>
    <row r="622" spans="2:11">
      <c r="B622" s="165"/>
      <c r="C622" s="1026" t="s">
        <v>1284</v>
      </c>
      <c r="D622" s="1020" t="s">
        <v>1991</v>
      </c>
      <c r="E622" s="1027">
        <v>15994</v>
      </c>
      <c r="F622" s="1028">
        <v>16576</v>
      </c>
      <c r="H622" s="988"/>
      <c r="I622" s="988"/>
      <c r="J622" s="989"/>
      <c r="K622" s="989"/>
    </row>
    <row r="623" spans="2:11">
      <c r="B623" s="165"/>
      <c r="C623" s="1026" t="s">
        <v>1221</v>
      </c>
      <c r="D623" s="1020" t="s">
        <v>1992</v>
      </c>
      <c r="E623" s="1027">
        <v>11670</v>
      </c>
      <c r="F623" s="1028">
        <v>12131</v>
      </c>
      <c r="H623" s="988"/>
      <c r="I623" s="988"/>
      <c r="J623" s="989"/>
      <c r="K623" s="989"/>
    </row>
    <row r="624" spans="2:11">
      <c r="B624" s="165"/>
      <c r="C624" s="1026" t="s">
        <v>1286</v>
      </c>
      <c r="D624" s="1020" t="s">
        <v>1993</v>
      </c>
      <c r="E624" s="1027">
        <v>13813</v>
      </c>
      <c r="F624" s="1028">
        <v>14194</v>
      </c>
      <c r="H624" s="988"/>
      <c r="I624" s="988"/>
      <c r="J624" s="989"/>
      <c r="K624" s="989"/>
    </row>
    <row r="625" spans="2:11">
      <c r="B625" s="165"/>
      <c r="C625" s="1026" t="s">
        <v>1287</v>
      </c>
      <c r="D625" s="1020" t="s">
        <v>1994</v>
      </c>
      <c r="E625" s="1027">
        <v>12104</v>
      </c>
      <c r="F625" s="1028">
        <v>12403</v>
      </c>
      <c r="H625" s="988"/>
      <c r="I625" s="988"/>
      <c r="J625" s="989"/>
      <c r="K625" s="989"/>
    </row>
    <row r="626" spans="2:11">
      <c r="B626" s="165"/>
      <c r="C626" s="1026" t="s">
        <v>1288</v>
      </c>
      <c r="D626" s="1020" t="s">
        <v>1995</v>
      </c>
      <c r="E626" s="1027">
        <v>14424</v>
      </c>
      <c r="F626" s="1028">
        <v>14509</v>
      </c>
      <c r="H626" s="988"/>
      <c r="I626" s="988"/>
      <c r="J626" s="989"/>
      <c r="K626" s="989"/>
    </row>
    <row r="627" spans="2:11">
      <c r="B627" s="165"/>
      <c r="C627" s="1026" t="s">
        <v>1289</v>
      </c>
      <c r="D627" s="1020" t="s">
        <v>1996</v>
      </c>
      <c r="E627" s="1027">
        <v>22136</v>
      </c>
      <c r="F627" s="1028">
        <v>0</v>
      </c>
      <c r="H627" s="988"/>
      <c r="I627" s="988"/>
      <c r="J627" s="989"/>
      <c r="K627" s="989"/>
    </row>
    <row r="628" spans="2:11">
      <c r="B628" s="165"/>
      <c r="C628" s="1026" t="s">
        <v>1290</v>
      </c>
      <c r="D628" s="1020" t="s">
        <v>1997</v>
      </c>
      <c r="E628" s="1027">
        <v>13070</v>
      </c>
      <c r="F628" s="1028">
        <v>13334</v>
      </c>
      <c r="H628" s="988"/>
      <c r="I628" s="988"/>
      <c r="J628" s="989"/>
      <c r="K628" s="989"/>
    </row>
    <row r="629" spans="2:11">
      <c r="B629" s="165"/>
      <c r="C629" s="1026" t="s">
        <v>1291</v>
      </c>
      <c r="D629" s="1020" t="s">
        <v>1998</v>
      </c>
      <c r="E629" s="1027">
        <v>11866</v>
      </c>
      <c r="F629" s="1028">
        <v>12128</v>
      </c>
      <c r="H629" s="988"/>
      <c r="I629" s="988"/>
      <c r="J629" s="989"/>
      <c r="K629" s="989"/>
    </row>
    <row r="630" spans="2:11">
      <c r="B630" s="165"/>
      <c r="C630" s="1026" t="s">
        <v>1292</v>
      </c>
      <c r="D630" s="1020" t="s">
        <v>1999</v>
      </c>
      <c r="E630" s="1027">
        <v>15083</v>
      </c>
      <c r="F630" s="1028">
        <v>15279</v>
      </c>
      <c r="H630" s="988"/>
      <c r="I630" s="988"/>
      <c r="J630" s="989"/>
      <c r="K630" s="989"/>
    </row>
    <row r="631" spans="2:11">
      <c r="B631" s="165"/>
      <c r="C631" s="1026" t="s">
        <v>1293</v>
      </c>
      <c r="D631" s="1020" t="s">
        <v>2000</v>
      </c>
      <c r="E631" s="1027">
        <v>13158</v>
      </c>
      <c r="F631" s="1028">
        <v>13591</v>
      </c>
      <c r="H631" s="988"/>
      <c r="I631" s="988"/>
      <c r="J631" s="989"/>
      <c r="K631" s="989"/>
    </row>
    <row r="632" spans="2:11">
      <c r="B632" s="165"/>
      <c r="C632" s="1026" t="s">
        <v>1294</v>
      </c>
      <c r="D632" s="1020" t="s">
        <v>2001</v>
      </c>
      <c r="E632" s="1027">
        <v>16228</v>
      </c>
      <c r="F632" s="1028">
        <v>16695</v>
      </c>
      <c r="H632" s="988"/>
      <c r="I632" s="988"/>
      <c r="J632" s="989"/>
      <c r="K632" s="989"/>
    </row>
    <row r="633" spans="2:11">
      <c r="B633" s="165"/>
      <c r="C633" s="1026" t="s">
        <v>1295</v>
      </c>
      <c r="D633" s="1020" t="s">
        <v>2002</v>
      </c>
      <c r="E633" s="1027">
        <v>13598</v>
      </c>
      <c r="F633" s="1028">
        <v>14491</v>
      </c>
      <c r="H633" s="988"/>
      <c r="I633" s="988"/>
      <c r="J633" s="989"/>
      <c r="K633" s="989"/>
    </row>
    <row r="634" spans="2:11">
      <c r="B634" s="165"/>
      <c r="C634" s="1026" t="s">
        <v>1296</v>
      </c>
      <c r="D634" s="1020" t="s">
        <v>2003</v>
      </c>
      <c r="E634" s="1027">
        <v>13597</v>
      </c>
      <c r="F634" s="1028">
        <v>13908</v>
      </c>
      <c r="H634" s="988"/>
      <c r="I634" s="988"/>
      <c r="J634" s="989"/>
      <c r="K634" s="989"/>
    </row>
    <row r="635" spans="2:11">
      <c r="B635" s="165"/>
      <c r="C635" s="1026" t="s">
        <v>1297</v>
      </c>
      <c r="D635" s="1020" t="s">
        <v>2004</v>
      </c>
      <c r="E635" s="1027">
        <v>14755</v>
      </c>
      <c r="F635" s="1028">
        <v>15848</v>
      </c>
      <c r="H635" s="988"/>
      <c r="I635" s="988"/>
      <c r="J635" s="989"/>
      <c r="K635" s="989"/>
    </row>
    <row r="636" spans="2:11">
      <c r="B636" s="165"/>
      <c r="C636" s="1026" t="s">
        <v>1298</v>
      </c>
      <c r="D636" s="1020" t="s">
        <v>2005</v>
      </c>
      <c r="E636" s="1027">
        <v>16947</v>
      </c>
      <c r="F636" s="1028">
        <v>18969</v>
      </c>
      <c r="H636" s="988"/>
      <c r="I636" s="988"/>
      <c r="J636" s="989"/>
      <c r="K636" s="989"/>
    </row>
    <row r="637" spans="2:11">
      <c r="B637" s="165"/>
      <c r="C637" s="1026" t="s">
        <v>1299</v>
      </c>
      <c r="D637" s="1020" t="s">
        <v>2006</v>
      </c>
      <c r="E637" s="1027">
        <v>12382</v>
      </c>
      <c r="F637" s="1028">
        <v>13189</v>
      </c>
      <c r="H637" s="988"/>
      <c r="I637" s="988"/>
      <c r="J637" s="989"/>
      <c r="K637" s="989"/>
    </row>
    <row r="638" spans="2:11">
      <c r="B638" s="165"/>
      <c r="C638" s="1026" t="s">
        <v>1300</v>
      </c>
      <c r="D638" s="1020" t="s">
        <v>2007</v>
      </c>
      <c r="E638" s="1027">
        <v>10913</v>
      </c>
      <c r="F638" s="1028">
        <v>10914</v>
      </c>
      <c r="H638" s="988"/>
      <c r="I638" s="988"/>
      <c r="J638" s="989"/>
      <c r="K638" s="989"/>
    </row>
    <row r="639" spans="2:11">
      <c r="B639" s="165"/>
      <c r="C639" s="1026" t="s">
        <v>1301</v>
      </c>
      <c r="D639" s="1020" t="s">
        <v>2008</v>
      </c>
      <c r="E639" s="1027">
        <v>12549</v>
      </c>
      <c r="F639" s="1028">
        <v>13217</v>
      </c>
      <c r="H639" s="988"/>
      <c r="I639" s="988"/>
      <c r="J639" s="989"/>
      <c r="K639" s="989"/>
    </row>
    <row r="640" spans="2:11">
      <c r="B640" s="165"/>
      <c r="C640" s="1026" t="s">
        <v>1302</v>
      </c>
      <c r="D640" s="1020" t="s">
        <v>2009</v>
      </c>
      <c r="E640" s="1027">
        <v>10996</v>
      </c>
      <c r="F640" s="1028">
        <v>11508</v>
      </c>
      <c r="H640" s="988"/>
      <c r="I640" s="988"/>
      <c r="J640" s="989"/>
      <c r="K640" s="989"/>
    </row>
    <row r="641" spans="2:11">
      <c r="B641" s="165"/>
      <c r="C641" s="1026" t="s">
        <v>1303</v>
      </c>
      <c r="D641" s="1020" t="s">
        <v>2010</v>
      </c>
      <c r="E641" s="1027">
        <v>12137</v>
      </c>
      <c r="F641" s="1028">
        <v>12578</v>
      </c>
      <c r="H641" s="988"/>
      <c r="I641" s="988"/>
      <c r="J641" s="989"/>
      <c r="K641" s="989"/>
    </row>
    <row r="642" spans="2:11">
      <c r="B642" s="165"/>
      <c r="C642" s="1026" t="s">
        <v>1304</v>
      </c>
      <c r="D642" s="1020" t="s">
        <v>2011</v>
      </c>
      <c r="E642" s="1027">
        <v>10937</v>
      </c>
      <c r="F642" s="1028">
        <v>11454</v>
      </c>
      <c r="H642" s="988"/>
      <c r="I642" s="988"/>
      <c r="J642" s="989"/>
      <c r="K642" s="989"/>
    </row>
    <row r="643" spans="2:11">
      <c r="B643" s="165"/>
      <c r="C643" s="1026" t="s">
        <v>1305</v>
      </c>
      <c r="D643" s="1020" t="s">
        <v>2012</v>
      </c>
      <c r="E643" s="1027">
        <v>12129</v>
      </c>
      <c r="F643" s="1028">
        <v>12382</v>
      </c>
      <c r="H643" s="988"/>
      <c r="I643" s="988"/>
      <c r="J643" s="989"/>
      <c r="K643" s="989"/>
    </row>
    <row r="644" spans="2:11">
      <c r="B644" s="165"/>
      <c r="C644" s="1026" t="s">
        <v>1306</v>
      </c>
      <c r="D644" s="1020" t="s">
        <v>2013</v>
      </c>
      <c r="E644" s="1027">
        <v>11390</v>
      </c>
      <c r="F644" s="1028">
        <v>11428</v>
      </c>
      <c r="H644" s="988"/>
      <c r="I644" s="988"/>
      <c r="J644" s="989"/>
      <c r="K644" s="989"/>
    </row>
    <row r="645" spans="2:11">
      <c r="B645" s="165"/>
      <c r="C645" s="1026" t="s">
        <v>1307</v>
      </c>
      <c r="D645" s="1020" t="s">
        <v>2014</v>
      </c>
      <c r="E645" s="1027">
        <v>13021</v>
      </c>
      <c r="F645" s="1028">
        <v>13401</v>
      </c>
      <c r="H645" s="988"/>
      <c r="I645" s="988"/>
      <c r="J645" s="989"/>
      <c r="K645" s="989"/>
    </row>
    <row r="646" spans="2:11">
      <c r="B646" s="165"/>
      <c r="C646" s="1026" t="s">
        <v>1093</v>
      </c>
      <c r="D646" s="1020" t="s">
        <v>2015</v>
      </c>
      <c r="E646" s="1027">
        <v>15895</v>
      </c>
      <c r="F646" s="1028">
        <v>16337</v>
      </c>
      <c r="H646" s="988"/>
      <c r="I646" s="988"/>
      <c r="J646" s="989"/>
      <c r="K646" s="989"/>
    </row>
    <row r="647" spans="2:11">
      <c r="B647" s="165"/>
      <c r="C647" s="1026" t="s">
        <v>1308</v>
      </c>
      <c r="D647" s="1020" t="s">
        <v>2016</v>
      </c>
      <c r="E647" s="1027">
        <v>13608</v>
      </c>
      <c r="F647" s="1028">
        <v>13226</v>
      </c>
      <c r="H647" s="988"/>
      <c r="I647" s="988"/>
      <c r="J647" s="989"/>
      <c r="K647" s="989"/>
    </row>
    <row r="648" spans="2:11">
      <c r="B648" s="165"/>
      <c r="C648" s="1026" t="s">
        <v>1309</v>
      </c>
      <c r="D648" s="1020" t="s">
        <v>2017</v>
      </c>
      <c r="E648" s="1027">
        <v>23489</v>
      </c>
      <c r="F648" s="1028">
        <v>23806</v>
      </c>
      <c r="H648" s="988"/>
      <c r="I648" s="988"/>
      <c r="J648" s="989"/>
      <c r="K648" s="989"/>
    </row>
    <row r="649" spans="2:11">
      <c r="B649" s="165"/>
      <c r="C649" s="1026" t="s">
        <v>1310</v>
      </c>
      <c r="D649" s="1020" t="s">
        <v>2018</v>
      </c>
      <c r="E649" s="1027">
        <v>13875</v>
      </c>
      <c r="F649" s="1028">
        <v>14423</v>
      </c>
      <c r="H649" s="988"/>
      <c r="I649" s="988"/>
      <c r="J649" s="989"/>
      <c r="K649" s="989"/>
    </row>
    <row r="650" spans="2:11">
      <c r="B650" s="165"/>
      <c r="C650" s="1026" t="s">
        <v>1311</v>
      </c>
      <c r="D650" s="1020" t="s">
        <v>2019</v>
      </c>
      <c r="E650" s="1027">
        <v>17135</v>
      </c>
      <c r="F650" s="1028">
        <v>17570</v>
      </c>
      <c r="H650" s="988"/>
      <c r="I650" s="988"/>
      <c r="J650" s="989"/>
      <c r="K650" s="989"/>
    </row>
    <row r="651" spans="2:11">
      <c r="B651" s="165"/>
      <c r="C651" s="1026" t="s">
        <v>1312</v>
      </c>
      <c r="D651" s="1020" t="s">
        <v>2020</v>
      </c>
      <c r="E651" s="1027">
        <v>13619</v>
      </c>
      <c r="F651" s="1028">
        <v>13916</v>
      </c>
      <c r="H651" s="988"/>
      <c r="I651" s="988"/>
      <c r="J651" s="989"/>
      <c r="K651" s="989"/>
    </row>
    <row r="652" spans="2:11">
      <c r="B652" s="165"/>
      <c r="C652" s="1026" t="s">
        <v>1313</v>
      </c>
      <c r="D652" s="1020" t="s">
        <v>2021</v>
      </c>
      <c r="E652" s="1027">
        <v>12154</v>
      </c>
      <c r="F652" s="1028">
        <v>12652</v>
      </c>
      <c r="H652" s="988"/>
      <c r="I652" s="988"/>
      <c r="J652" s="989"/>
      <c r="K652" s="989"/>
    </row>
    <row r="653" spans="2:11">
      <c r="B653" s="165"/>
      <c r="C653" s="1026" t="s">
        <v>1314</v>
      </c>
      <c r="D653" s="1020" t="s">
        <v>2022</v>
      </c>
      <c r="E653" s="1027">
        <v>17555</v>
      </c>
      <c r="F653" s="1028">
        <v>18215</v>
      </c>
      <c r="H653" s="988"/>
      <c r="I653" s="988"/>
      <c r="J653" s="989"/>
      <c r="K653" s="989"/>
    </row>
    <row r="654" spans="2:11">
      <c r="B654" s="165"/>
      <c r="C654" s="1026" t="s">
        <v>1315</v>
      </c>
      <c r="D654" s="1020" t="s">
        <v>2023</v>
      </c>
      <c r="E654" s="1027">
        <v>12525</v>
      </c>
      <c r="F654" s="1028">
        <v>13017</v>
      </c>
      <c r="H654" s="988"/>
      <c r="I654" s="988"/>
      <c r="J654" s="989"/>
      <c r="K654" s="989"/>
    </row>
    <row r="655" spans="2:11">
      <c r="B655" s="165"/>
      <c r="C655" s="1026" t="s">
        <v>1316</v>
      </c>
      <c r="D655" s="1020" t="s">
        <v>2024</v>
      </c>
      <c r="E655" s="1027">
        <v>15574</v>
      </c>
      <c r="F655" s="1028">
        <v>16035</v>
      </c>
      <c r="H655" s="988"/>
      <c r="I655" s="988"/>
      <c r="J655" s="989"/>
      <c r="K655" s="989"/>
    </row>
    <row r="656" spans="2:11">
      <c r="B656" s="165"/>
      <c r="C656" s="1026" t="s">
        <v>1317</v>
      </c>
      <c r="D656" s="1020" t="s">
        <v>2025</v>
      </c>
      <c r="E656" s="1027">
        <v>11833</v>
      </c>
      <c r="F656" s="1028">
        <v>12157</v>
      </c>
      <c r="H656" s="988"/>
      <c r="I656" s="988"/>
      <c r="J656" s="989"/>
      <c r="K656" s="989"/>
    </row>
    <row r="657" spans="2:11">
      <c r="B657" s="165"/>
      <c r="C657" s="1026" t="s">
        <v>1318</v>
      </c>
      <c r="D657" s="1020" t="s">
        <v>2026</v>
      </c>
      <c r="E657" s="1027">
        <v>15036</v>
      </c>
      <c r="F657" s="1028">
        <v>15168</v>
      </c>
      <c r="H657" s="988"/>
      <c r="I657" s="988"/>
      <c r="J657" s="989"/>
      <c r="K657" s="989"/>
    </row>
    <row r="658" spans="2:11">
      <c r="B658" s="165"/>
      <c r="C658" s="1026" t="s">
        <v>1319</v>
      </c>
      <c r="D658" s="1020" t="s">
        <v>2027</v>
      </c>
      <c r="E658" s="1027">
        <v>21737</v>
      </c>
      <c r="F658" s="1028">
        <v>22378</v>
      </c>
      <c r="H658" s="988"/>
      <c r="I658" s="988"/>
      <c r="J658" s="989"/>
      <c r="K658" s="989"/>
    </row>
    <row r="659" spans="2:11">
      <c r="B659" s="165"/>
      <c r="C659" s="1026" t="s">
        <v>1320</v>
      </c>
      <c r="D659" s="1020" t="s">
        <v>2028</v>
      </c>
      <c r="E659" s="1027">
        <v>13207</v>
      </c>
      <c r="F659" s="1028">
        <v>13050</v>
      </c>
      <c r="H659" s="988"/>
      <c r="I659" s="988"/>
      <c r="J659" s="989"/>
      <c r="K659" s="989"/>
    </row>
    <row r="660" spans="2:11">
      <c r="B660" s="165"/>
      <c r="C660" s="1026" t="s">
        <v>1321</v>
      </c>
      <c r="D660" s="1020" t="s">
        <v>2029</v>
      </c>
      <c r="E660" s="1027">
        <v>19785</v>
      </c>
      <c r="F660" s="1028">
        <v>20058</v>
      </c>
      <c r="H660" s="988"/>
      <c r="I660" s="988"/>
      <c r="J660" s="989"/>
      <c r="K660" s="989"/>
    </row>
    <row r="661" spans="2:11">
      <c r="B661" s="165"/>
      <c r="C661" s="1026" t="s">
        <v>1322</v>
      </c>
      <c r="D661" s="1020" t="s">
        <v>2030</v>
      </c>
      <c r="E661" s="1027">
        <v>12369</v>
      </c>
      <c r="F661" s="1028">
        <v>12980</v>
      </c>
      <c r="H661" s="988"/>
      <c r="I661" s="988"/>
      <c r="J661" s="989"/>
      <c r="K661" s="989"/>
    </row>
    <row r="662" spans="2:11">
      <c r="B662" s="165"/>
      <c r="C662" s="1026" t="s">
        <v>1323</v>
      </c>
      <c r="D662" s="1020" t="s">
        <v>2031</v>
      </c>
      <c r="E662" s="1027">
        <v>11794</v>
      </c>
      <c r="F662" s="1028">
        <v>12137</v>
      </c>
      <c r="H662" s="988"/>
      <c r="I662" s="988"/>
      <c r="J662" s="989"/>
      <c r="K662" s="989"/>
    </row>
    <row r="663" spans="2:11">
      <c r="B663" s="165"/>
      <c r="C663" s="1026" t="s">
        <v>1324</v>
      </c>
      <c r="D663" s="1020" t="s">
        <v>2032</v>
      </c>
      <c r="E663" s="1027">
        <v>17964</v>
      </c>
      <c r="F663" s="1028">
        <v>18604</v>
      </c>
      <c r="H663" s="988"/>
      <c r="I663" s="988"/>
      <c r="J663" s="989"/>
      <c r="K663" s="989"/>
    </row>
    <row r="664" spans="2:11">
      <c r="B664" s="165"/>
      <c r="C664" s="1026" t="s">
        <v>1325</v>
      </c>
      <c r="D664" s="1020" t="s">
        <v>2033</v>
      </c>
      <c r="E664" s="1027">
        <v>17539</v>
      </c>
      <c r="F664" s="1028">
        <v>17400</v>
      </c>
      <c r="H664" s="988"/>
      <c r="I664" s="988"/>
      <c r="J664" s="989"/>
      <c r="K664" s="989"/>
    </row>
    <row r="665" spans="2:11">
      <c r="B665" s="165"/>
      <c r="C665" s="1026" t="s">
        <v>1326</v>
      </c>
      <c r="D665" s="1020" t="s">
        <v>2034</v>
      </c>
      <c r="E665" s="1027">
        <v>21439</v>
      </c>
      <c r="F665" s="1028">
        <v>22183</v>
      </c>
      <c r="H665" s="988"/>
      <c r="I665" s="988"/>
      <c r="J665" s="989"/>
      <c r="K665" s="989"/>
    </row>
    <row r="666" spans="2:11">
      <c r="B666" s="165"/>
      <c r="C666" s="1026" t="s">
        <v>1327</v>
      </c>
      <c r="D666" s="1020" t="s">
        <v>2035</v>
      </c>
      <c r="E666" s="1027">
        <v>13828</v>
      </c>
      <c r="F666" s="1028">
        <v>14031</v>
      </c>
      <c r="H666" s="988"/>
      <c r="I666" s="988"/>
      <c r="J666" s="989"/>
      <c r="K666" s="989"/>
    </row>
    <row r="667" spans="2:11">
      <c r="B667" s="165"/>
      <c r="C667" s="1026" t="s">
        <v>1328</v>
      </c>
      <c r="D667" s="1020" t="s">
        <v>2036</v>
      </c>
      <c r="E667" s="1027">
        <v>12061</v>
      </c>
      <c r="F667" s="1028">
        <v>12500</v>
      </c>
      <c r="H667" s="988"/>
      <c r="I667" s="988"/>
      <c r="J667" s="989"/>
      <c r="K667" s="989"/>
    </row>
    <row r="668" spans="2:11">
      <c r="B668" s="165"/>
      <c r="C668" s="1026" t="s">
        <v>1329</v>
      </c>
      <c r="D668" s="1020" t="s">
        <v>2037</v>
      </c>
      <c r="E668" s="1027">
        <v>10887</v>
      </c>
      <c r="F668" s="1028">
        <v>11569</v>
      </c>
      <c r="H668" s="988"/>
      <c r="I668" s="988"/>
      <c r="J668" s="989"/>
      <c r="K668" s="989"/>
    </row>
    <row r="669" spans="2:11">
      <c r="B669" s="165"/>
      <c r="C669" s="1026" t="s">
        <v>1330</v>
      </c>
      <c r="D669" s="1020" t="s">
        <v>2038</v>
      </c>
      <c r="E669" s="1027">
        <v>14046</v>
      </c>
      <c r="F669" s="1028">
        <v>15007</v>
      </c>
      <c r="H669" s="988"/>
      <c r="I669" s="988"/>
      <c r="J669" s="989"/>
      <c r="K669" s="989"/>
    </row>
    <row r="670" spans="2:11">
      <c r="B670" s="165"/>
      <c r="C670" s="1026" t="s">
        <v>1331</v>
      </c>
      <c r="D670" s="1020" t="s">
        <v>2039</v>
      </c>
      <c r="E670" s="1027">
        <v>15970</v>
      </c>
      <c r="F670" s="1028">
        <v>16396</v>
      </c>
      <c r="H670" s="988"/>
      <c r="I670" s="988"/>
      <c r="J670" s="989"/>
      <c r="K670" s="989"/>
    </row>
    <row r="671" spans="2:11">
      <c r="B671" s="165"/>
      <c r="C671" s="1026" t="s">
        <v>1332</v>
      </c>
      <c r="D671" s="1020" t="s">
        <v>2040</v>
      </c>
      <c r="E671" s="1027">
        <v>14085</v>
      </c>
      <c r="F671" s="1028">
        <v>14433</v>
      </c>
      <c r="H671" s="988"/>
      <c r="I671" s="988"/>
      <c r="J671" s="989"/>
      <c r="K671" s="989"/>
    </row>
    <row r="672" spans="2:11">
      <c r="B672" s="165"/>
      <c r="C672" s="1026" t="s">
        <v>1333</v>
      </c>
      <c r="D672" s="1020" t="s">
        <v>2041</v>
      </c>
      <c r="E672" s="1027">
        <v>12495</v>
      </c>
      <c r="F672" s="1028">
        <v>12701</v>
      </c>
      <c r="H672" s="988"/>
      <c r="I672" s="988"/>
      <c r="J672" s="989"/>
      <c r="K672" s="989"/>
    </row>
    <row r="673" spans="2:11">
      <c r="B673" s="165"/>
      <c r="C673" s="1026" t="s">
        <v>1334</v>
      </c>
      <c r="D673" s="1020" t="s">
        <v>2042</v>
      </c>
      <c r="E673" s="1027">
        <v>17446</v>
      </c>
      <c r="F673" s="1028">
        <v>17666</v>
      </c>
      <c r="H673" s="988"/>
      <c r="I673" s="988"/>
      <c r="J673" s="989"/>
      <c r="K673" s="989"/>
    </row>
    <row r="674" spans="2:11">
      <c r="B674" s="165"/>
      <c r="C674" s="1026" t="s">
        <v>1335</v>
      </c>
      <c r="D674" s="1020" t="s">
        <v>2043</v>
      </c>
      <c r="E674" s="1027">
        <v>12224</v>
      </c>
      <c r="F674" s="1028">
        <v>12487</v>
      </c>
      <c r="H674" s="988"/>
      <c r="I674" s="988"/>
      <c r="J674" s="989"/>
      <c r="K674" s="989"/>
    </row>
    <row r="675" spans="2:11">
      <c r="B675" s="165"/>
      <c r="C675" s="1026" t="s">
        <v>1336</v>
      </c>
      <c r="D675" s="1020" t="s">
        <v>2044</v>
      </c>
      <c r="E675" s="1027">
        <v>20584</v>
      </c>
      <c r="F675" s="1028">
        <v>21016</v>
      </c>
      <c r="H675" s="988"/>
      <c r="I675" s="988"/>
      <c r="J675" s="989"/>
      <c r="K675" s="989"/>
    </row>
    <row r="676" spans="2:11">
      <c r="B676" s="165"/>
      <c r="C676" s="1026" t="s">
        <v>1337</v>
      </c>
      <c r="D676" s="1020" t="s">
        <v>2045</v>
      </c>
      <c r="E676" s="1027">
        <v>12664</v>
      </c>
      <c r="F676" s="1028">
        <v>13211</v>
      </c>
      <c r="H676" s="988"/>
      <c r="I676" s="988"/>
      <c r="J676" s="989"/>
      <c r="K676" s="989"/>
    </row>
    <row r="677" spans="2:11">
      <c r="B677" s="165"/>
      <c r="C677" s="1026" t="s">
        <v>1338</v>
      </c>
      <c r="D677" s="1020" t="s">
        <v>2046</v>
      </c>
      <c r="E677" s="1027">
        <v>13923</v>
      </c>
      <c r="F677" s="1028">
        <v>13958</v>
      </c>
      <c r="H677" s="988"/>
      <c r="I677" s="988"/>
      <c r="J677" s="989"/>
      <c r="K677" s="989"/>
    </row>
    <row r="678" spans="2:11">
      <c r="B678" s="165"/>
      <c r="C678" s="1026" t="s">
        <v>1339</v>
      </c>
      <c r="D678" s="1020" t="s">
        <v>2047</v>
      </c>
      <c r="E678" s="1027">
        <v>19101</v>
      </c>
      <c r="F678" s="1028">
        <v>19368</v>
      </c>
      <c r="H678" s="988"/>
      <c r="I678" s="988"/>
      <c r="J678" s="989"/>
      <c r="K678" s="989"/>
    </row>
    <row r="679" spans="2:11">
      <c r="B679" s="165"/>
      <c r="C679" s="1030" t="s">
        <v>1340</v>
      </c>
      <c r="D679" s="1031" t="s">
        <v>2048</v>
      </c>
      <c r="E679" s="1032">
        <v>14321</v>
      </c>
      <c r="F679" s="1033">
        <v>14616</v>
      </c>
      <c r="H679" s="988"/>
      <c r="I679" s="988"/>
      <c r="J679" s="989"/>
      <c r="K679" s="989"/>
    </row>
    <row r="680" spans="2:11">
      <c r="B680" s="165"/>
      <c r="C680" s="1036" t="s">
        <v>1341</v>
      </c>
      <c r="D680" s="1034" t="s">
        <v>2049</v>
      </c>
      <c r="E680" s="1035">
        <v>17831</v>
      </c>
      <c r="F680" s="1037">
        <v>20994</v>
      </c>
      <c r="H680" s="988"/>
      <c r="I680" s="988"/>
      <c r="J680" s="989"/>
      <c r="K680" s="989"/>
    </row>
    <row r="681" spans="2:11">
      <c r="B681" s="165"/>
      <c r="C681" s="1036" t="s">
        <v>1342</v>
      </c>
      <c r="D681" s="1034" t="s">
        <v>2050</v>
      </c>
      <c r="E681" s="1035">
        <v>17068</v>
      </c>
      <c r="F681" s="1037">
        <v>17635</v>
      </c>
      <c r="H681" s="988"/>
      <c r="I681" s="988"/>
      <c r="J681" s="989"/>
      <c r="K681" s="989"/>
    </row>
    <row r="682" spans="2:11">
      <c r="B682" s="165"/>
      <c r="C682" s="1036" t="s">
        <v>1343</v>
      </c>
      <c r="D682" s="1034" t="s">
        <v>2051</v>
      </c>
      <c r="E682" s="1035">
        <v>15187</v>
      </c>
      <c r="F682" s="1037">
        <v>16862</v>
      </c>
      <c r="H682" s="988"/>
      <c r="I682" s="988"/>
      <c r="J682" s="989"/>
      <c r="K682" s="989"/>
    </row>
    <row r="683" spans="2:11" ht="15.75" thickBot="1">
      <c r="B683" s="165"/>
      <c r="C683" s="1038" t="s">
        <v>1345</v>
      </c>
      <c r="D683" s="1039" t="s">
        <v>2052</v>
      </c>
      <c r="E683" s="1040">
        <v>17678</v>
      </c>
      <c r="F683" s="1041">
        <v>18023</v>
      </c>
      <c r="H683" s="988"/>
      <c r="I683" s="988"/>
      <c r="J683" s="989"/>
      <c r="K683" s="989"/>
    </row>
  </sheetData>
  <sheetProtection algorithmName="SHA-512" hashValue="PMa2+1szr/iXeaYInXu4Z+VjA2hPpTg4a/RXrdqAGXrC6iJcF9TNZ/sNVFMJcytGGJJEQMkiT0DHOas5k4S2gA==" saltValue="gPTvGqfXt2xVA/SLaA7JWA==" spinCount="100000" sheet="1" selectLockedCells="1" selectUnlockedCells="1"/>
  <sortState xmlns:xlrd2="http://schemas.microsoft.com/office/spreadsheetml/2017/richdata2" ref="I6:I684">
    <sortCondition ref="I6:I684"/>
  </sortState>
  <conditionalFormatting sqref="E6:F679">
    <cfRule type="containsBlanks" dxfId="103" priority="1">
      <formula>LEN(TRIM(E6))=0</formula>
    </cfRule>
  </conditionalFormatting>
  <printOptions horizontalCentered="1"/>
  <pageMargins left="0.75" right="0.75" top="0.51" bottom="0.78" header="0" footer="0.5"/>
  <pageSetup scale="96" fitToHeight="12" orientation="portrait" r:id="rId1"/>
  <headerFooter alignWithMargins="0">
    <oddFooter>&amp;C&amp;"Calibri,Regular"&amp;11Page &amp;P of &amp;N</oddFooter>
  </headerFooter>
  <rowBreaks count="13" manualBreakCount="13">
    <brk id="55" max="16383" man="1"/>
    <brk id="105" max="16383" man="1"/>
    <brk id="155" max="16383" man="1"/>
    <brk id="205" max="16383" man="1"/>
    <brk id="255" max="16383" man="1"/>
    <brk id="305" max="16383" man="1"/>
    <brk id="355" max="16383" man="1"/>
    <brk id="405" max="16383" man="1"/>
    <brk id="455" max="16383" man="1"/>
    <brk id="505" max="16383" man="1"/>
    <brk id="555" max="16383" man="1"/>
    <brk id="605" max="16383" man="1"/>
    <brk id="65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3366"/>
    <pageSetUpPr fitToPage="1"/>
  </sheetPr>
  <dimension ref="A1:H59"/>
  <sheetViews>
    <sheetView showGridLines="0" topLeftCell="B1" zoomScaleNormal="100" zoomScaleSheetLayoutView="100" workbookViewId="0">
      <selection activeCell="D11" sqref="D11:E11"/>
    </sheetView>
  </sheetViews>
  <sheetFormatPr defaultColWidth="8.85546875" defaultRowHeight="15"/>
  <cols>
    <col min="1" max="1" width="3.28515625" style="1" hidden="1" customWidth="1"/>
    <col min="2" max="2" width="3.5703125" style="1" customWidth="1"/>
    <col min="3" max="3" width="26.85546875" style="1" customWidth="1"/>
    <col min="4" max="4" width="32.5703125" style="1" customWidth="1"/>
    <col min="5" max="5" width="34.85546875" style="1" customWidth="1"/>
    <col min="6" max="6" width="20.7109375" style="1" customWidth="1"/>
    <col min="7" max="16384" width="8.85546875" style="1"/>
  </cols>
  <sheetData>
    <row r="1" spans="3:7" ht="9" customHeight="1"/>
    <row r="2" spans="3:7" ht="9.75" customHeight="1">
      <c r="C2" s="69"/>
      <c r="D2" s="69"/>
      <c r="E2" s="69"/>
    </row>
    <row r="3" spans="3:7">
      <c r="C3" s="69"/>
      <c r="D3" s="69"/>
      <c r="E3" s="69"/>
    </row>
    <row r="4" spans="3:7">
      <c r="C4" s="69"/>
      <c r="D4" s="69"/>
      <c r="E4" s="69"/>
    </row>
    <row r="5" spans="3:7">
      <c r="C5" s="69"/>
      <c r="D5" s="69"/>
      <c r="E5" s="69"/>
    </row>
    <row r="6" spans="3:7">
      <c r="C6" s="69"/>
      <c r="D6" s="69"/>
      <c r="E6" s="69"/>
    </row>
    <row r="7" spans="3:7" ht="27.75" customHeight="1">
      <c r="C7" s="1044" t="s">
        <v>365</v>
      </c>
      <c r="D7" s="1044"/>
      <c r="E7" s="1044"/>
    </row>
    <row r="9" spans="3:7" ht="45.75" customHeight="1">
      <c r="C9" s="1045" t="str">
        <f>IF(D11=CONTROL!B809,"",D11)</f>
        <v/>
      </c>
      <c r="D9" s="1045"/>
      <c r="E9" s="1045"/>
    </row>
    <row r="10" spans="3:7" ht="21" customHeight="1">
      <c r="C10" s="757" t="s">
        <v>500</v>
      </c>
      <c r="D10" s="754"/>
      <c r="E10" s="767"/>
      <c r="F10" s="754"/>
      <c r="G10" s="754"/>
    </row>
    <row r="11" spans="3:7">
      <c r="C11" s="758" t="s">
        <v>497</v>
      </c>
      <c r="D11" s="1046" t="s">
        <v>667</v>
      </c>
      <c r="E11" s="1047"/>
      <c r="F11" s="754"/>
      <c r="G11" s="754"/>
    </row>
    <row r="12" spans="3:7" ht="30" customHeight="1">
      <c r="C12" s="756" t="s">
        <v>498</v>
      </c>
      <c r="F12" s="754"/>
      <c r="G12" s="754"/>
    </row>
    <row r="13" spans="3:7">
      <c r="C13" s="759" t="s">
        <v>114</v>
      </c>
      <c r="D13" s="1050" t="s">
        <v>373</v>
      </c>
      <c r="E13" s="1050"/>
      <c r="F13" s="755"/>
      <c r="G13" s="754"/>
    </row>
    <row r="14" spans="3:7">
      <c r="C14" s="759" t="s">
        <v>117</v>
      </c>
      <c r="D14" s="1050" t="s">
        <v>374</v>
      </c>
      <c r="E14" s="1050"/>
      <c r="F14" s="755"/>
      <c r="G14" s="754"/>
    </row>
    <row r="15" spans="3:7">
      <c r="C15" s="759" t="s">
        <v>115</v>
      </c>
      <c r="D15" s="1050" t="s">
        <v>375</v>
      </c>
      <c r="E15" s="1050"/>
      <c r="F15" s="69"/>
      <c r="G15" s="754"/>
    </row>
    <row r="16" spans="3:7">
      <c r="C16" s="759" t="s">
        <v>116</v>
      </c>
      <c r="D16" s="1051" t="s">
        <v>376</v>
      </c>
      <c r="E16" s="1051"/>
      <c r="F16" s="69"/>
      <c r="G16" s="754"/>
    </row>
    <row r="17" spans="3:8" ht="30" customHeight="1">
      <c r="C17" s="756" t="s">
        <v>499</v>
      </c>
      <c r="D17" s="82"/>
      <c r="E17" s="69"/>
      <c r="F17" s="69"/>
      <c r="G17" s="754"/>
    </row>
    <row r="18" spans="3:8">
      <c r="C18" s="760" t="s">
        <v>187</v>
      </c>
      <c r="D18" s="761" t="str">
        <f>CONTROL!B16</f>
        <v>2023-24</v>
      </c>
      <c r="F18" s="468"/>
      <c r="H18" s="754"/>
    </row>
    <row r="19" spans="3:8">
      <c r="C19" s="759" t="s">
        <v>188</v>
      </c>
      <c r="D19" s="766" t="str">
        <f>IFERROR(IF(INDEX(Table2[[#All],[YrOpen]],MATCH(D11,Table2[[#All],[SCHOOLS]],0))=VALUE(LEFT(AcadYr1,4)),"Planning Year",PriorPeriod),"")</f>
        <v>2022-23</v>
      </c>
      <c r="F19" s="69"/>
    </row>
    <row r="20" spans="3:8">
      <c r="C20" s="97"/>
      <c r="D20" s="755"/>
      <c r="E20" s="1049" t="str">
        <f>CONTROL!F43</f>
        <v/>
      </c>
      <c r="F20" s="468"/>
    </row>
    <row r="21" spans="3:8">
      <c r="C21" s="151" t="s">
        <v>555</v>
      </c>
      <c r="D21" s="69"/>
      <c r="E21" s="1049"/>
      <c r="F21" s="468"/>
    </row>
    <row r="22" spans="3:8">
      <c r="C22" s="760" t="s">
        <v>558</v>
      </c>
      <c r="D22" s="761"/>
      <c r="E22" s="1049"/>
    </row>
    <row r="23" spans="3:8">
      <c r="E23" s="1049"/>
    </row>
    <row r="24" spans="3:8">
      <c r="C24" s="1048"/>
      <c r="D24" s="1048"/>
      <c r="E24" s="1049"/>
    </row>
    <row r="25" spans="3:8">
      <c r="C25" s="1048"/>
      <c r="D25" s="1048"/>
    </row>
    <row r="26" spans="3:8">
      <c r="C26" s="1048"/>
      <c r="D26" s="1048"/>
    </row>
    <row r="27" spans="3:8">
      <c r="C27" s="857"/>
    </row>
    <row r="50" spans="4:4">
      <c r="D50" s="754"/>
    </row>
    <row r="51" spans="4:4">
      <c r="D51" s="754"/>
    </row>
    <row r="52" spans="4:4">
      <c r="D52" s="754"/>
    </row>
    <row r="53" spans="4:4">
      <c r="D53" s="754"/>
    </row>
    <row r="54" spans="4:4">
      <c r="D54" s="754"/>
    </row>
    <row r="55" spans="4:4">
      <c r="D55" s="754"/>
    </row>
    <row r="56" spans="4:4">
      <c r="D56" s="754"/>
    </row>
    <row r="57" spans="4:4">
      <c r="D57" s="754"/>
    </row>
    <row r="58" spans="4:4">
      <c r="D58" s="754"/>
    </row>
    <row r="59" spans="4:4">
      <c r="D59" s="754"/>
    </row>
  </sheetData>
  <sheetProtection algorithmName="SHA-512" hashValue="MeaDjkD/GRWs1K1Al9TinXmN8BKWktb0rx0eZEaiwvUAvJgCbzonqYimCcmBq3VmMF4aVV0gRgMC55aXcN+C2A==" saltValue="bS9K7Yuf+uZ+V6DIMj9bpw==" spinCount="100000" sheet="1" selectLockedCells="1"/>
  <sortState xmlns:xlrd2="http://schemas.microsoft.com/office/spreadsheetml/2017/richdata2" ref="D27:D31">
    <sortCondition ref="D27"/>
  </sortState>
  <customSheetViews>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9">
    <mergeCell ref="C7:E7"/>
    <mergeCell ref="C9:E9"/>
    <mergeCell ref="D11:E11"/>
    <mergeCell ref="C24:D26"/>
    <mergeCell ref="E20:E24"/>
    <mergeCell ref="D13:E13"/>
    <mergeCell ref="D14:E14"/>
    <mergeCell ref="D15:E15"/>
    <mergeCell ref="D16:E16"/>
  </mergeCells>
  <phoneticPr fontId="5" type="noConversion"/>
  <conditionalFormatting sqref="C9">
    <cfRule type="expression" dxfId="102" priority="50">
      <formula>$C$9="Select School or Merged EdCorp from drop-down list→"</formula>
    </cfRule>
  </conditionalFormatting>
  <conditionalFormatting sqref="D14">
    <cfRule type="expression" dxfId="101" priority="43">
      <formula>$D$14="enter title"</formula>
    </cfRule>
  </conditionalFormatting>
  <conditionalFormatting sqref="D15">
    <cfRule type="expression" dxfId="100" priority="44">
      <formula>$D$15="enter email address"</formula>
    </cfRule>
  </conditionalFormatting>
  <conditionalFormatting sqref="D16">
    <cfRule type="expression" dxfId="99" priority="45">
      <formula>$D$16="enter phone number"</formula>
    </cfRule>
  </conditionalFormatting>
  <conditionalFormatting sqref="D18">
    <cfRule type="cellIs" dxfId="98" priority="46" operator="equal">
      <formula>"Select from drop-down list →"</formula>
    </cfRule>
  </conditionalFormatting>
  <conditionalFormatting sqref="D13">
    <cfRule type="expression" dxfId="97" priority="5">
      <formula>$D$13="enter name"</formula>
    </cfRule>
  </conditionalFormatting>
  <conditionalFormatting sqref="D11">
    <cfRule type="expression" dxfId="96" priority="3">
      <formula>$D$11=" Select from drop-down list →"</formula>
    </cfRule>
  </conditionalFormatting>
  <dataValidations count="2">
    <dataValidation allowBlank="1" showErrorMessage="1" prompt=" " sqref="D13:E13" xr:uid="{00000000-0002-0000-0200-000000000000}"/>
    <dataValidation type="custom" showInputMessage="1" showErrorMessage="1" errorTitle="Invalid Email Address" error="Email address missing necessary element(s) (e.g. &quot;@&quot; or &quot;.com&quot;)_x000a__x000a_Please re-enter!" sqref="D15:E15" xr:uid="{00000000-0002-0000-0200-000001000000}">
      <formula1>AND( FIND(".",D15),FIND("@",D15))</formula1>
    </dataValidation>
  </dataValidations>
  <printOptions horizontalCentered="1" verticalCentered="1"/>
  <pageMargins left="0.49" right="0.45" top="0.31" bottom="0.28000000000000003" header="0.3" footer="0.3"/>
  <pageSetup orientation="landscape" r:id="rId1"/>
  <headerFooter>
    <oddFooter>&amp;CPage &amp;P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6" r:id="rId4" name="Option Button 2">
              <controlPr defaultSize="0" autoFill="0" autoLine="0" autoPict="0">
                <anchor moveWithCells="1">
                  <from>
                    <xdr:col>3</xdr:col>
                    <xdr:colOff>552450</xdr:colOff>
                    <xdr:row>20</xdr:row>
                    <xdr:rowOff>180975</xdr:rowOff>
                  </from>
                  <to>
                    <xdr:col>3</xdr:col>
                    <xdr:colOff>1162050</xdr:colOff>
                    <xdr:row>22</xdr:row>
                    <xdr:rowOff>19050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3</xdr:col>
                    <xdr:colOff>1200150</xdr:colOff>
                    <xdr:row>20</xdr:row>
                    <xdr:rowOff>180975</xdr:rowOff>
                  </from>
                  <to>
                    <xdr:col>3</xdr:col>
                    <xdr:colOff>1809750</xdr:colOff>
                    <xdr:row>22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CONTROL!$B$809:$B$1022</xm:f>
          </x14:formula1>
          <xm:sqref>D11:E11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3366"/>
  </sheetPr>
  <dimension ref="A1:V72"/>
  <sheetViews>
    <sheetView showGridLines="0" zoomScale="70" zoomScaleNormal="70" zoomScaleSheetLayoutView="100" workbookViewId="0">
      <selection activeCell="K27" sqref="K27"/>
    </sheetView>
  </sheetViews>
  <sheetFormatPr defaultColWidth="11.85546875" defaultRowHeight="15"/>
  <cols>
    <col min="1" max="1" width="12.7109375" style="1" customWidth="1"/>
    <col min="2" max="2" width="21.5703125" style="1" customWidth="1"/>
    <col min="3" max="3" width="44.140625" style="1" customWidth="1"/>
    <col min="4" max="4" width="1.7109375" style="1" customWidth="1"/>
    <col min="5" max="5" width="13.85546875" style="1" bestFit="1" customWidth="1"/>
    <col min="6" max="6" width="1.7109375" style="1" customWidth="1"/>
    <col min="7" max="14" width="12.7109375" style="1" customWidth="1"/>
    <col min="15" max="15" width="1.7109375" style="1" customWidth="1"/>
    <col min="16" max="19" width="12.7109375" style="1" customWidth="1"/>
    <col min="20" max="20" width="1.7109375" style="1" customWidth="1"/>
    <col min="21" max="22" width="12.7109375" style="1" customWidth="1"/>
    <col min="23" max="16384" width="11.85546875" style="1"/>
  </cols>
  <sheetData>
    <row r="1" spans="1:22" ht="9" customHeight="1">
      <c r="A1" s="469"/>
      <c r="B1" s="469"/>
      <c r="C1" s="469"/>
      <c r="D1" s="469"/>
      <c r="E1" s="469"/>
      <c r="F1" s="469"/>
    </row>
    <row r="2" spans="1:22" ht="18.75">
      <c r="A2" s="469"/>
      <c r="C2" s="470"/>
      <c r="D2" s="171"/>
      <c r="E2" s="476" t="str">
        <f>IF(School="",Mssg1,School)</f>
        <v>Please enter school name on tab - "1) Name of School"</v>
      </c>
      <c r="F2" s="171"/>
      <c r="G2" s="513"/>
      <c r="H2" s="513"/>
      <c r="I2" s="513"/>
      <c r="J2" s="513"/>
      <c r="K2" s="513"/>
      <c r="L2" s="513"/>
      <c r="M2" s="513"/>
      <c r="N2" s="513"/>
      <c r="O2" s="513"/>
      <c r="P2" s="513"/>
      <c r="Q2" s="513"/>
      <c r="R2" s="513"/>
      <c r="S2" s="513"/>
    </row>
    <row r="3" spans="1:22" ht="18.75">
      <c r="A3" s="469"/>
      <c r="D3" s="513"/>
      <c r="E3" s="476" t="str">
        <f>IF(CONTROL!J12=0,Mssg2,AcadYr1)</f>
        <v>2023-24</v>
      </c>
      <c r="F3" s="513"/>
      <c r="G3" s="513"/>
      <c r="H3" s="513"/>
      <c r="I3" s="513"/>
      <c r="J3" s="513"/>
      <c r="K3" s="513"/>
      <c r="L3" s="513"/>
      <c r="M3" s="513"/>
      <c r="N3" s="513"/>
      <c r="O3" s="513"/>
      <c r="P3" s="513"/>
      <c r="Q3" s="513"/>
      <c r="R3" s="513"/>
      <c r="S3" s="513"/>
    </row>
    <row r="4" spans="1:22" ht="6.75" customHeight="1" thickBot="1">
      <c r="A4" s="469"/>
      <c r="B4" s="522"/>
      <c r="C4" s="471"/>
      <c r="D4" s="471"/>
      <c r="E4" s="471"/>
      <c r="F4" s="471"/>
      <c r="H4" s="340"/>
      <c r="Q4" s="514"/>
    </row>
    <row r="5" spans="1:22" ht="19.5" thickBot="1">
      <c r="A5" s="469"/>
      <c r="B5" s="930"/>
      <c r="C5" s="930"/>
      <c r="D5" s="930"/>
      <c r="E5" s="929" t="s">
        <v>338</v>
      </c>
      <c r="F5" s="930"/>
      <c r="G5" s="928"/>
      <c r="H5" s="928"/>
      <c r="I5" s="928"/>
      <c r="J5" s="928"/>
      <c r="K5" s="928"/>
      <c r="L5" s="928"/>
      <c r="M5" s="928"/>
      <c r="N5" s="928"/>
      <c r="O5" s="928"/>
      <c r="P5" s="928"/>
      <c r="Q5" s="927"/>
      <c r="R5" s="928"/>
      <c r="S5" s="928"/>
      <c r="U5" s="529" t="s">
        <v>47</v>
      </c>
      <c r="V5" s="529"/>
    </row>
    <row r="6" spans="1:22" ht="8.1" customHeight="1">
      <c r="A6" s="515"/>
      <c r="B6" s="926"/>
      <c r="C6" s="926"/>
      <c r="D6" s="926"/>
      <c r="E6" s="926"/>
      <c r="F6" s="926"/>
      <c r="G6" s="182"/>
      <c r="H6" s="182"/>
      <c r="I6" s="182"/>
      <c r="J6" s="182"/>
      <c r="K6" s="182"/>
      <c r="L6" s="182"/>
      <c r="M6" s="182"/>
      <c r="N6" s="182"/>
      <c r="O6" s="182"/>
      <c r="P6" s="182"/>
      <c r="Q6" s="182"/>
      <c r="R6" s="182"/>
      <c r="S6" s="182"/>
    </row>
    <row r="7" spans="1:22" ht="18.75">
      <c r="A7" s="515"/>
      <c r="B7" s="921" t="s">
        <v>337</v>
      </c>
      <c r="C7" s="925"/>
      <c r="D7" s="531"/>
      <c r="E7" s="924" t="s">
        <v>336</v>
      </c>
      <c r="F7" s="531"/>
      <c r="G7" s="956">
        <v>1</v>
      </c>
      <c r="H7" s="956">
        <v>2</v>
      </c>
      <c r="I7" s="956">
        <v>3</v>
      </c>
      <c r="J7" s="956">
        <v>4</v>
      </c>
      <c r="K7" s="956">
        <v>5</v>
      </c>
      <c r="L7" s="956">
        <v>6</v>
      </c>
      <c r="M7" s="956">
        <v>7</v>
      </c>
      <c r="N7" s="956">
        <v>8</v>
      </c>
      <c r="O7" s="531"/>
      <c r="P7" s="956">
        <v>9</v>
      </c>
      <c r="Q7" s="956">
        <v>10</v>
      </c>
      <c r="R7" s="956">
        <v>11</v>
      </c>
      <c r="S7" s="956">
        <v>12</v>
      </c>
      <c r="U7" s="956" t="s">
        <v>571</v>
      </c>
      <c r="V7" s="956" t="s">
        <v>572</v>
      </c>
    </row>
    <row r="8" spans="1:22">
      <c r="A8" s="515"/>
      <c r="B8" s="921" t="s">
        <v>360</v>
      </c>
      <c r="C8" s="923"/>
      <c r="D8" s="531"/>
      <c r="E8" s="955"/>
      <c r="F8" s="531"/>
      <c r="G8" s="955"/>
      <c r="H8" s="955"/>
      <c r="I8" s="955"/>
      <c r="J8" s="955"/>
      <c r="K8" s="922"/>
      <c r="L8" s="922"/>
      <c r="M8" s="955"/>
      <c r="N8" s="955"/>
      <c r="O8" s="531"/>
      <c r="P8" s="955"/>
      <c r="Q8" s="955"/>
      <c r="R8" s="955"/>
      <c r="S8" s="955"/>
      <c r="U8" s="955"/>
      <c r="V8" s="955"/>
    </row>
    <row r="9" spans="1:22">
      <c r="A9" s="515"/>
      <c r="B9" s="920" t="str">
        <f>"TOTAL ENROLLMENT = "&amp;IF(SUM(E8:U8)&lt;&gt;0,SUM(E8:U8),"")</f>
        <v xml:space="preserve">TOTAL ENROLLMENT = </v>
      </c>
      <c r="C9" s="919"/>
      <c r="D9" s="69"/>
      <c r="E9" s="69"/>
      <c r="F9" s="69"/>
      <c r="G9" s="69"/>
      <c r="H9" s="69"/>
      <c r="I9" s="69"/>
      <c r="J9" s="69"/>
      <c r="K9" s="69"/>
      <c r="L9" s="69"/>
      <c r="M9" s="69"/>
      <c r="N9" s="69"/>
      <c r="O9" s="69"/>
      <c r="P9" s="69"/>
      <c r="Q9" s="69"/>
      <c r="R9" s="69"/>
      <c r="S9" s="69"/>
    </row>
    <row r="10" spans="1:22">
      <c r="A10" s="515"/>
      <c r="B10" s="488"/>
      <c r="C10" s="488"/>
      <c r="D10" s="97"/>
      <c r="E10" s="523"/>
      <c r="F10" s="473"/>
      <c r="G10" s="523"/>
      <c r="H10" s="523"/>
      <c r="I10" s="523"/>
      <c r="J10" s="523"/>
      <c r="K10" s="523"/>
      <c r="L10" s="523"/>
      <c r="M10" s="523"/>
      <c r="N10" s="523"/>
      <c r="O10" s="318"/>
      <c r="P10" s="523"/>
      <c r="Q10" s="523"/>
      <c r="R10" s="523"/>
      <c r="S10" s="523"/>
    </row>
    <row r="11" spans="1:22" ht="19.5" thickBot="1">
      <c r="B11" s="918"/>
      <c r="C11" s="917"/>
      <c r="D11" s="917"/>
      <c r="E11" s="916" t="s">
        <v>339</v>
      </c>
      <c r="F11" s="917"/>
      <c r="G11" s="915"/>
      <c r="H11" s="915"/>
      <c r="I11" s="915"/>
      <c r="J11" s="915"/>
      <c r="K11" s="915"/>
      <c r="L11" s="915"/>
      <c r="M11" s="915"/>
      <c r="N11" s="915"/>
      <c r="O11" s="915"/>
      <c r="P11" s="915"/>
      <c r="Q11" s="914"/>
      <c r="R11" s="915"/>
      <c r="S11" s="913"/>
    </row>
    <row r="12" spans="1:22" ht="8.1" customHeight="1">
      <c r="B12" s="912"/>
      <c r="C12" s="532"/>
      <c r="D12" s="532" t="s">
        <v>153</v>
      </c>
      <c r="E12" s="533"/>
      <c r="F12" s="532"/>
      <c r="G12" s="534"/>
      <c r="H12" s="534"/>
      <c r="I12" s="534"/>
      <c r="J12" s="534"/>
      <c r="K12" s="534"/>
      <c r="L12" s="534"/>
      <c r="M12" s="534"/>
      <c r="N12" s="534"/>
      <c r="O12" s="534"/>
      <c r="P12" s="534"/>
      <c r="Q12" s="535"/>
      <c r="R12" s="534"/>
      <c r="S12" s="911"/>
    </row>
    <row r="13" spans="1:22" ht="31.5">
      <c r="B13" s="910"/>
      <c r="C13" s="909"/>
      <c r="D13" s="472"/>
      <c r="E13" s="908" t="s">
        <v>327</v>
      </c>
      <c r="F13" s="69"/>
      <c r="G13" s="907" t="s">
        <v>347</v>
      </c>
      <c r="H13" s="906"/>
      <c r="I13" s="906"/>
      <c r="J13" s="906"/>
      <c r="K13" s="906"/>
      <c r="L13" s="906"/>
      <c r="M13" s="906"/>
      <c r="N13" s="905"/>
      <c r="O13" s="69"/>
      <c r="P13" s="907" t="s">
        <v>348</v>
      </c>
      <c r="Q13" s="904"/>
      <c r="R13" s="904"/>
      <c r="S13" s="903"/>
    </row>
    <row r="14" spans="1:22" ht="15.75">
      <c r="B14" s="902"/>
      <c r="C14" s="530"/>
      <c r="D14" s="472"/>
      <c r="E14" s="908" t="s">
        <v>326</v>
      </c>
      <c r="F14" s="69"/>
      <c r="G14" s="901" t="s">
        <v>322</v>
      </c>
      <c r="H14" s="900"/>
      <c r="I14" s="901" t="s">
        <v>323</v>
      </c>
      <c r="J14" s="900"/>
      <c r="K14" s="901" t="s">
        <v>324</v>
      </c>
      <c r="L14" s="900"/>
      <c r="M14" s="901" t="s">
        <v>325</v>
      </c>
      <c r="N14" s="900"/>
      <c r="O14" s="69"/>
      <c r="P14" s="956" t="s">
        <v>322</v>
      </c>
      <c r="Q14" s="956" t="s">
        <v>323</v>
      </c>
      <c r="R14" s="956" t="s">
        <v>324</v>
      </c>
      <c r="S14" s="956" t="s">
        <v>325</v>
      </c>
    </row>
    <row r="15" spans="1:22" ht="15.75">
      <c r="B15" s="899"/>
      <c r="C15" s="490"/>
      <c r="D15" s="472"/>
      <c r="E15" s="908"/>
      <c r="F15" s="69"/>
      <c r="G15" s="898" t="s">
        <v>344</v>
      </c>
      <c r="H15" s="897" t="s">
        <v>345</v>
      </c>
      <c r="I15" s="898" t="s">
        <v>344</v>
      </c>
      <c r="J15" s="897" t="s">
        <v>345</v>
      </c>
      <c r="K15" s="898" t="s">
        <v>344</v>
      </c>
      <c r="L15" s="897" t="s">
        <v>345</v>
      </c>
      <c r="M15" s="898" t="s">
        <v>344</v>
      </c>
      <c r="N15" s="897" t="s">
        <v>345</v>
      </c>
      <c r="O15" s="69"/>
      <c r="P15" s="898" t="s">
        <v>307</v>
      </c>
      <c r="Q15" s="898" t="s">
        <v>307</v>
      </c>
      <c r="R15" s="898" t="s">
        <v>307</v>
      </c>
      <c r="S15" s="898" t="s">
        <v>307</v>
      </c>
    </row>
    <row r="16" spans="1:22">
      <c r="B16" s="921" t="s">
        <v>328</v>
      </c>
      <c r="C16" s="923"/>
      <c r="D16" s="473"/>
      <c r="E16" s="896">
        <f>COUNTIF(E22:E71,"&gt;0")</f>
        <v>0</v>
      </c>
      <c r="F16" s="525"/>
      <c r="G16" s="896">
        <f>COUNTIF(G22:G71,"&gt;0")</f>
        <v>0</v>
      </c>
      <c r="H16" s="896">
        <f t="shared" ref="H16:S16" si="0">COUNTIF(H22:H71,"&gt;0")</f>
        <v>0</v>
      </c>
      <c r="I16" s="896">
        <f t="shared" si="0"/>
        <v>0</v>
      </c>
      <c r="J16" s="896">
        <f t="shared" si="0"/>
        <v>0</v>
      </c>
      <c r="K16" s="896">
        <f t="shared" si="0"/>
        <v>0</v>
      </c>
      <c r="L16" s="896">
        <f t="shared" si="0"/>
        <v>0</v>
      </c>
      <c r="M16" s="896">
        <f t="shared" si="0"/>
        <v>0</v>
      </c>
      <c r="N16" s="896">
        <f t="shared" si="0"/>
        <v>0</v>
      </c>
      <c r="O16" s="69"/>
      <c r="P16" s="896">
        <f t="shared" si="0"/>
        <v>0</v>
      </c>
      <c r="Q16" s="896">
        <f t="shared" si="0"/>
        <v>0</v>
      </c>
      <c r="R16" s="896">
        <f t="shared" si="0"/>
        <v>0</v>
      </c>
      <c r="S16" s="896">
        <f t="shared" si="0"/>
        <v>0</v>
      </c>
    </row>
    <row r="17" spans="1:22">
      <c r="B17" s="921" t="s">
        <v>332</v>
      </c>
      <c r="C17" s="923"/>
      <c r="D17" s="473"/>
      <c r="E17" s="896">
        <f>SUM(E22:E71)</f>
        <v>0</v>
      </c>
      <c r="F17" s="525"/>
      <c r="G17" s="896">
        <f>SUM(G22:G71)</f>
        <v>0</v>
      </c>
      <c r="H17" s="896">
        <f t="shared" ref="H17:S17" si="1">SUM(H22:H71)</f>
        <v>0</v>
      </c>
      <c r="I17" s="896">
        <f t="shared" si="1"/>
        <v>0</v>
      </c>
      <c r="J17" s="896">
        <f t="shared" si="1"/>
        <v>0</v>
      </c>
      <c r="K17" s="896">
        <f t="shared" si="1"/>
        <v>0</v>
      </c>
      <c r="L17" s="896">
        <f t="shared" si="1"/>
        <v>0</v>
      </c>
      <c r="M17" s="896">
        <f t="shared" si="1"/>
        <v>0</v>
      </c>
      <c r="N17" s="896">
        <f t="shared" si="1"/>
        <v>0</v>
      </c>
      <c r="O17" s="69"/>
      <c r="P17" s="896">
        <f t="shared" si="1"/>
        <v>0</v>
      </c>
      <c r="Q17" s="896">
        <f t="shared" si="1"/>
        <v>0</v>
      </c>
      <c r="R17" s="896">
        <f t="shared" si="1"/>
        <v>0</v>
      </c>
      <c r="S17" s="896">
        <f t="shared" si="1"/>
        <v>0</v>
      </c>
    </row>
    <row r="18" spans="1:22" ht="46.5" customHeight="1" thickBot="1">
      <c r="B18" s="895"/>
      <c r="C18" s="474"/>
      <c r="D18" s="473"/>
      <c r="E18" s="69"/>
      <c r="F18" s="491"/>
      <c r="G18" s="1052" t="s">
        <v>516</v>
      </c>
      <c r="H18" s="1053"/>
      <c r="I18" s="1053"/>
      <c r="J18" s="1053"/>
      <c r="K18" s="1053"/>
      <c r="L18" s="1053"/>
      <c r="M18" s="1053"/>
      <c r="N18" s="1054"/>
      <c r="O18" s="69"/>
      <c r="P18" s="894"/>
      <c r="Q18" s="894"/>
      <c r="R18" s="894"/>
      <c r="S18" s="893"/>
    </row>
    <row r="19" spans="1:22" ht="57" thickBot="1">
      <c r="B19" s="892"/>
      <c r="C19" s="891"/>
      <c r="D19" s="69"/>
      <c r="E19" s="908" t="s">
        <v>327</v>
      </c>
      <c r="F19" s="526"/>
      <c r="G19" s="890" t="s">
        <v>349</v>
      </c>
      <c r="H19" s="889"/>
      <c r="I19" s="888"/>
      <c r="J19" s="889"/>
      <c r="K19" s="888"/>
      <c r="L19" s="889"/>
      <c r="M19" s="888"/>
      <c r="N19" s="889"/>
      <c r="O19" s="69"/>
      <c r="P19" s="889" t="s">
        <v>340</v>
      </c>
      <c r="Q19" s="889"/>
      <c r="R19" s="889"/>
      <c r="S19" s="889"/>
      <c r="U19" s="1017" t="s">
        <v>644</v>
      </c>
      <c r="V19" s="1017" t="s">
        <v>643</v>
      </c>
    </row>
    <row r="20" spans="1:22" ht="15.75" thickBot="1">
      <c r="B20" s="887"/>
      <c r="C20" s="557"/>
      <c r="D20" s="69"/>
      <c r="E20" s="924" t="str">
        <f>PriorPeriod</f>
        <v>2022-23</v>
      </c>
      <c r="F20" s="527"/>
      <c r="G20" s="901" t="s">
        <v>322</v>
      </c>
      <c r="H20" s="900"/>
      <c r="I20" s="901" t="s">
        <v>323</v>
      </c>
      <c r="J20" s="900"/>
      <c r="K20" s="901" t="s">
        <v>324</v>
      </c>
      <c r="L20" s="900"/>
      <c r="M20" s="901" t="s">
        <v>325</v>
      </c>
      <c r="N20" s="900"/>
      <c r="O20" s="69"/>
      <c r="P20" s="956" t="s">
        <v>322</v>
      </c>
      <c r="Q20" s="956" t="s">
        <v>323</v>
      </c>
      <c r="R20" s="956" t="s">
        <v>324</v>
      </c>
      <c r="S20" s="956" t="s">
        <v>325</v>
      </c>
      <c r="U20" s="1005">
        <f>CONTROL!C103</f>
        <v>0</v>
      </c>
      <c r="V20" s="1006">
        <f>CONTROL!R103</f>
        <v>0</v>
      </c>
    </row>
    <row r="21" spans="1:22" ht="45.75" thickBot="1">
      <c r="B21" s="886" t="s">
        <v>166</v>
      </c>
      <c r="C21" s="886" t="s">
        <v>165</v>
      </c>
      <c r="D21" s="151"/>
      <c r="E21" s="898" t="s">
        <v>321</v>
      </c>
      <c r="F21" s="528"/>
      <c r="G21" s="898" t="s">
        <v>320</v>
      </c>
      <c r="H21" s="898" t="s">
        <v>333</v>
      </c>
      <c r="I21" s="898" t="s">
        <v>320</v>
      </c>
      <c r="J21" s="898" t="s">
        <v>333</v>
      </c>
      <c r="K21" s="898" t="s">
        <v>320</v>
      </c>
      <c r="L21" s="898" t="s">
        <v>333</v>
      </c>
      <c r="M21" s="898" t="s">
        <v>320</v>
      </c>
      <c r="N21" s="898" t="s">
        <v>333</v>
      </c>
      <c r="O21" s="69"/>
      <c r="P21" s="898" t="s">
        <v>321</v>
      </c>
      <c r="Q21" s="898" t="s">
        <v>321</v>
      </c>
      <c r="R21" s="898" t="s">
        <v>321</v>
      </c>
      <c r="S21" s="898" t="s">
        <v>321</v>
      </c>
      <c r="U21" s="529" t="s">
        <v>642</v>
      </c>
      <c r="V21" s="1017" t="s">
        <v>664</v>
      </c>
    </row>
    <row r="22" spans="1:22">
      <c r="A22" s="475">
        <v>1</v>
      </c>
      <c r="B22" s="885" t="s">
        <v>156</v>
      </c>
      <c r="C22" s="884" t="s">
        <v>495</v>
      </c>
      <c r="D22" s="151"/>
      <c r="E22" s="955"/>
      <c r="F22" s="524"/>
      <c r="G22" s="955"/>
      <c r="H22" s="955"/>
      <c r="I22" s="955"/>
      <c r="J22" s="955"/>
      <c r="K22" s="955"/>
      <c r="L22" s="955"/>
      <c r="M22" s="955"/>
      <c r="N22" s="955"/>
      <c r="O22" s="69"/>
      <c r="P22" s="955"/>
      <c r="Q22" s="955"/>
      <c r="R22" s="955"/>
      <c r="S22" s="955"/>
      <c r="U22" s="1007">
        <f>CONTROL!C52</f>
        <v>0</v>
      </c>
      <c r="V22" s="1007">
        <f>CONTROL!R52</f>
        <v>0</v>
      </c>
    </row>
    <row r="23" spans="1:22">
      <c r="A23" s="475">
        <v>2</v>
      </c>
      <c r="B23" s="885" t="s">
        <v>238</v>
      </c>
      <c r="C23" s="884" t="s">
        <v>495</v>
      </c>
      <c r="D23" s="151"/>
      <c r="E23" s="955"/>
      <c r="F23" s="524"/>
      <c r="G23" s="955"/>
      <c r="H23" s="955"/>
      <c r="I23" s="955"/>
      <c r="J23" s="955"/>
      <c r="K23" s="955"/>
      <c r="L23" s="955"/>
      <c r="M23" s="955"/>
      <c r="N23" s="955"/>
      <c r="O23" s="69"/>
      <c r="P23" s="955"/>
      <c r="Q23" s="955"/>
      <c r="R23" s="955"/>
      <c r="S23" s="955"/>
      <c r="U23" s="1007">
        <f>CONTROL!C53</f>
        <v>0</v>
      </c>
      <c r="V23" s="1007">
        <f>CONTROL!R53</f>
        <v>0</v>
      </c>
    </row>
    <row r="24" spans="1:22">
      <c r="A24" s="475" t="str">
        <f>IF(OR(C23=CONTROL!$B$109,ISBLANK(C23)),"",3)</f>
        <v/>
      </c>
      <c r="B24" s="883" t="s">
        <v>239</v>
      </c>
      <c r="C24" s="884" t="s">
        <v>495</v>
      </c>
      <c r="D24" s="151"/>
      <c r="E24" s="955"/>
      <c r="F24" s="524"/>
      <c r="G24" s="955"/>
      <c r="H24" s="955"/>
      <c r="I24" s="955"/>
      <c r="J24" s="955"/>
      <c r="K24" s="955"/>
      <c r="L24" s="955"/>
      <c r="M24" s="955"/>
      <c r="N24" s="955"/>
      <c r="O24" s="69"/>
      <c r="P24" s="955"/>
      <c r="Q24" s="955"/>
      <c r="R24" s="955"/>
      <c r="S24" s="955"/>
      <c r="U24" s="1018">
        <f>CONTROL!C54</f>
        <v>0</v>
      </c>
      <c r="V24" s="1018">
        <f>CONTROL!R54</f>
        <v>0</v>
      </c>
    </row>
    <row r="25" spans="1:22">
      <c r="A25" s="475" t="str">
        <f>IF(OR(A24="",C24=CONTROL!$B$109,ISBLANK(C24)),"",4)</f>
        <v/>
      </c>
      <c r="B25" s="883" t="s">
        <v>240</v>
      </c>
      <c r="C25" s="884" t="s">
        <v>495</v>
      </c>
      <c r="D25" s="516"/>
      <c r="E25" s="955"/>
      <c r="F25" s="524"/>
      <c r="G25" s="955"/>
      <c r="H25" s="955"/>
      <c r="I25" s="955"/>
      <c r="J25" s="955"/>
      <c r="K25" s="955"/>
      <c r="L25" s="955"/>
      <c r="M25" s="955"/>
      <c r="N25" s="955"/>
      <c r="O25" s="69"/>
      <c r="P25" s="955"/>
      <c r="Q25" s="955"/>
      <c r="R25" s="955"/>
      <c r="S25" s="955"/>
      <c r="U25" s="1018">
        <f>CONTROL!C55</f>
        <v>0</v>
      </c>
      <c r="V25" s="1018">
        <f>CONTROL!R55</f>
        <v>0</v>
      </c>
    </row>
    <row r="26" spans="1:22">
      <c r="A26" s="475" t="str">
        <f>IF(OR(A25="",C25=CONTROL!$B$109,ISBLANK(C25)),"",5)</f>
        <v/>
      </c>
      <c r="B26" s="883" t="s">
        <v>241</v>
      </c>
      <c r="C26" s="884" t="s">
        <v>495</v>
      </c>
      <c r="D26" s="516"/>
      <c r="E26" s="955"/>
      <c r="F26" s="524"/>
      <c r="G26" s="955"/>
      <c r="H26" s="955"/>
      <c r="I26" s="955"/>
      <c r="J26" s="955"/>
      <c r="K26" s="955"/>
      <c r="L26" s="955"/>
      <c r="M26" s="955"/>
      <c r="N26" s="955"/>
      <c r="O26" s="69"/>
      <c r="P26" s="955"/>
      <c r="Q26" s="955"/>
      <c r="R26" s="955"/>
      <c r="S26" s="955"/>
      <c r="U26" s="1018">
        <f>CONTROL!C56</f>
        <v>0</v>
      </c>
      <c r="V26" s="1018">
        <f>CONTROL!R56</f>
        <v>0</v>
      </c>
    </row>
    <row r="27" spans="1:22">
      <c r="A27" s="475" t="str">
        <f>IF(OR(A26="",C26=CONTROL!$B$109,ISBLANK(C26)),"",6)</f>
        <v/>
      </c>
      <c r="B27" s="883" t="s">
        <v>242</v>
      </c>
      <c r="C27" s="884" t="s">
        <v>495</v>
      </c>
      <c r="D27" s="516"/>
      <c r="E27" s="955"/>
      <c r="F27" s="524"/>
      <c r="G27" s="955"/>
      <c r="H27" s="955"/>
      <c r="I27" s="955"/>
      <c r="J27" s="955"/>
      <c r="K27" s="955"/>
      <c r="L27" s="955"/>
      <c r="M27" s="955"/>
      <c r="N27" s="955"/>
      <c r="O27" s="69"/>
      <c r="P27" s="955"/>
      <c r="Q27" s="955"/>
      <c r="R27" s="955"/>
      <c r="S27" s="955"/>
      <c r="U27" s="1018">
        <f>CONTROL!C57</f>
        <v>0</v>
      </c>
      <c r="V27" s="1018">
        <f>CONTROL!R57</f>
        <v>0</v>
      </c>
    </row>
    <row r="28" spans="1:22">
      <c r="A28" s="475" t="str">
        <f>IF(OR(A27="",C27=CONTROL!$B$109,ISBLANK(C27)),"",7)</f>
        <v/>
      </c>
      <c r="B28" s="883" t="s">
        <v>243</v>
      </c>
      <c r="C28" s="884" t="s">
        <v>495</v>
      </c>
      <c r="D28" s="516"/>
      <c r="E28" s="955"/>
      <c r="F28" s="524"/>
      <c r="G28" s="955"/>
      <c r="H28" s="955"/>
      <c r="I28" s="955"/>
      <c r="J28" s="955"/>
      <c r="K28" s="955"/>
      <c r="L28" s="955"/>
      <c r="M28" s="955"/>
      <c r="N28" s="955"/>
      <c r="O28" s="69"/>
      <c r="P28" s="955"/>
      <c r="Q28" s="955"/>
      <c r="R28" s="955"/>
      <c r="S28" s="955"/>
      <c r="U28" s="1018">
        <f>CONTROL!C58</f>
        <v>0</v>
      </c>
      <c r="V28" s="1018">
        <f>CONTROL!R58</f>
        <v>0</v>
      </c>
    </row>
    <row r="29" spans="1:22">
      <c r="A29" s="475" t="str">
        <f>IF(OR(A28="",C28=CONTROL!$B$109,ISBLANK(C28)),"",8)</f>
        <v/>
      </c>
      <c r="B29" s="883" t="s">
        <v>244</v>
      </c>
      <c r="C29" s="884" t="s">
        <v>495</v>
      </c>
      <c r="D29" s="516"/>
      <c r="E29" s="955"/>
      <c r="F29" s="524"/>
      <c r="G29" s="955"/>
      <c r="H29" s="955"/>
      <c r="I29" s="955"/>
      <c r="J29" s="955"/>
      <c r="K29" s="955"/>
      <c r="L29" s="955"/>
      <c r="M29" s="955"/>
      <c r="N29" s="955"/>
      <c r="O29" s="69"/>
      <c r="P29" s="955"/>
      <c r="Q29" s="955"/>
      <c r="R29" s="955"/>
      <c r="S29" s="955"/>
      <c r="U29" s="1018">
        <f>CONTROL!C59</f>
        <v>0</v>
      </c>
      <c r="V29" s="1018">
        <f>CONTROL!R59</f>
        <v>0</v>
      </c>
    </row>
    <row r="30" spans="1:22">
      <c r="A30" s="475" t="str">
        <f>IF(OR(A29="",C29=CONTROL!$B$109,ISBLANK(C29)),"",9)</f>
        <v/>
      </c>
      <c r="B30" s="883" t="s">
        <v>245</v>
      </c>
      <c r="C30" s="884" t="s">
        <v>495</v>
      </c>
      <c r="D30" s="516"/>
      <c r="E30" s="955"/>
      <c r="F30" s="524"/>
      <c r="G30" s="955"/>
      <c r="H30" s="955"/>
      <c r="I30" s="955"/>
      <c r="J30" s="955"/>
      <c r="K30" s="955"/>
      <c r="L30" s="955"/>
      <c r="M30" s="955"/>
      <c r="N30" s="955"/>
      <c r="O30" s="69"/>
      <c r="P30" s="955"/>
      <c r="Q30" s="955"/>
      <c r="R30" s="955"/>
      <c r="S30" s="955"/>
      <c r="U30" s="1018">
        <f>CONTROL!C60</f>
        <v>0</v>
      </c>
      <c r="V30" s="1018">
        <f>CONTROL!R60</f>
        <v>0</v>
      </c>
    </row>
    <row r="31" spans="1:22">
      <c r="A31" s="475" t="str">
        <f>IF(OR(A30="",C30=CONTROL!$B$109,ISBLANK(C30)),"",10)</f>
        <v/>
      </c>
      <c r="B31" s="883" t="s">
        <v>246</v>
      </c>
      <c r="C31" s="884" t="s">
        <v>495</v>
      </c>
      <c r="D31" s="516"/>
      <c r="E31" s="955"/>
      <c r="F31" s="524"/>
      <c r="G31" s="955"/>
      <c r="H31" s="955"/>
      <c r="I31" s="955"/>
      <c r="J31" s="955"/>
      <c r="K31" s="955"/>
      <c r="L31" s="955"/>
      <c r="M31" s="955"/>
      <c r="N31" s="955"/>
      <c r="O31" s="69"/>
      <c r="P31" s="955"/>
      <c r="Q31" s="955"/>
      <c r="R31" s="955"/>
      <c r="S31" s="955"/>
      <c r="U31" s="1018">
        <f>CONTROL!C61</f>
        <v>0</v>
      </c>
      <c r="V31" s="1018">
        <f>CONTROL!R61</f>
        <v>0</v>
      </c>
    </row>
    <row r="32" spans="1:22">
      <c r="A32" s="475" t="str">
        <f>IF(OR(A31="",C31=CONTROL!$B$109,ISBLANK(C31)),"",11)</f>
        <v/>
      </c>
      <c r="B32" s="883" t="s">
        <v>247</v>
      </c>
      <c r="C32" s="884" t="s">
        <v>495</v>
      </c>
      <c r="D32" s="516"/>
      <c r="E32" s="955"/>
      <c r="F32" s="524"/>
      <c r="G32" s="955"/>
      <c r="H32" s="955"/>
      <c r="I32" s="955"/>
      <c r="J32" s="955"/>
      <c r="K32" s="955"/>
      <c r="L32" s="955"/>
      <c r="M32" s="955"/>
      <c r="N32" s="955"/>
      <c r="O32" s="69"/>
      <c r="P32" s="955"/>
      <c r="Q32" s="955"/>
      <c r="R32" s="955"/>
      <c r="S32" s="955"/>
      <c r="U32" s="1018">
        <f>CONTROL!C62</f>
        <v>0</v>
      </c>
      <c r="V32" s="1018">
        <f>CONTROL!R62</f>
        <v>0</v>
      </c>
    </row>
    <row r="33" spans="1:22">
      <c r="A33" s="475" t="str">
        <f>IF(OR(A32="",C32=CONTROL!$B$109,ISBLANK(C32)),"",12)</f>
        <v/>
      </c>
      <c r="B33" s="883" t="s">
        <v>248</v>
      </c>
      <c r="C33" s="884" t="s">
        <v>495</v>
      </c>
      <c r="D33" s="516"/>
      <c r="E33" s="955"/>
      <c r="F33" s="524"/>
      <c r="G33" s="955"/>
      <c r="H33" s="955"/>
      <c r="I33" s="955"/>
      <c r="J33" s="955"/>
      <c r="K33" s="955"/>
      <c r="L33" s="955"/>
      <c r="M33" s="955"/>
      <c r="N33" s="955"/>
      <c r="O33" s="69"/>
      <c r="P33" s="955"/>
      <c r="Q33" s="955"/>
      <c r="R33" s="955"/>
      <c r="S33" s="955"/>
      <c r="U33" s="1018">
        <f>CONTROL!C63</f>
        <v>0</v>
      </c>
      <c r="V33" s="1018">
        <f>CONTROL!R63</f>
        <v>0</v>
      </c>
    </row>
    <row r="34" spans="1:22">
      <c r="A34" s="475" t="str">
        <f>IF(OR(A33="",C33=CONTROL!$B$109,ISBLANK(C33)),"",13)</f>
        <v/>
      </c>
      <c r="B34" s="883" t="s">
        <v>249</v>
      </c>
      <c r="C34" s="884" t="s">
        <v>495</v>
      </c>
      <c r="D34" s="516"/>
      <c r="E34" s="955"/>
      <c r="F34" s="524"/>
      <c r="G34" s="955"/>
      <c r="H34" s="955"/>
      <c r="I34" s="955"/>
      <c r="J34" s="955"/>
      <c r="K34" s="955"/>
      <c r="L34" s="955"/>
      <c r="M34" s="955"/>
      <c r="N34" s="955"/>
      <c r="O34" s="69"/>
      <c r="P34" s="955"/>
      <c r="Q34" s="955"/>
      <c r="R34" s="955"/>
      <c r="S34" s="955"/>
      <c r="U34" s="1018">
        <f>CONTROL!C64</f>
        <v>0</v>
      </c>
      <c r="V34" s="1018">
        <f>CONTROL!R64</f>
        <v>0</v>
      </c>
    </row>
    <row r="35" spans="1:22">
      <c r="A35" s="475" t="str">
        <f>IF(OR(A34="",C34=CONTROL!$B$109,ISBLANK(C34)),"",14)</f>
        <v/>
      </c>
      <c r="B35" s="883" t="s">
        <v>250</v>
      </c>
      <c r="C35" s="884" t="s">
        <v>495</v>
      </c>
      <c r="D35" s="516"/>
      <c r="E35" s="955"/>
      <c r="F35" s="524"/>
      <c r="G35" s="955"/>
      <c r="H35" s="955"/>
      <c r="I35" s="955"/>
      <c r="J35" s="955"/>
      <c r="K35" s="955"/>
      <c r="L35" s="955"/>
      <c r="M35" s="955"/>
      <c r="N35" s="955"/>
      <c r="O35" s="69"/>
      <c r="P35" s="955"/>
      <c r="Q35" s="955"/>
      <c r="R35" s="955"/>
      <c r="S35" s="955"/>
      <c r="U35" s="1018">
        <f>CONTROL!C65</f>
        <v>0</v>
      </c>
      <c r="V35" s="1018">
        <f>CONTROL!R65</f>
        <v>0</v>
      </c>
    </row>
    <row r="36" spans="1:22">
      <c r="A36" s="475" t="str">
        <f>IF(OR(A35="",C35=CONTROL!$B$109,ISBLANK(C35)),"",15)</f>
        <v/>
      </c>
      <c r="B36" s="883" t="s">
        <v>251</v>
      </c>
      <c r="C36" s="884" t="s">
        <v>495</v>
      </c>
      <c r="D36" s="516"/>
      <c r="E36" s="955"/>
      <c r="F36" s="524"/>
      <c r="G36" s="955"/>
      <c r="H36" s="955"/>
      <c r="I36" s="955"/>
      <c r="J36" s="955"/>
      <c r="K36" s="955"/>
      <c r="L36" s="955"/>
      <c r="M36" s="955"/>
      <c r="N36" s="955"/>
      <c r="O36" s="69"/>
      <c r="P36" s="955"/>
      <c r="Q36" s="955"/>
      <c r="R36" s="955"/>
      <c r="S36" s="955"/>
      <c r="U36" s="1018">
        <f>CONTROL!C66</f>
        <v>0</v>
      </c>
      <c r="V36" s="1018">
        <f>CONTROL!R66</f>
        <v>0</v>
      </c>
    </row>
    <row r="37" spans="1:22">
      <c r="A37" s="475" t="str">
        <f>IF(OR(A36="",C36=CONTROL!$B$109,ISBLANK(C36)),"",16)</f>
        <v/>
      </c>
      <c r="B37" s="883" t="s">
        <v>252</v>
      </c>
      <c r="C37" s="884" t="s">
        <v>495</v>
      </c>
      <c r="D37" s="516"/>
      <c r="E37" s="955"/>
      <c r="F37" s="524"/>
      <c r="G37" s="955"/>
      <c r="H37" s="955"/>
      <c r="I37" s="955"/>
      <c r="J37" s="955"/>
      <c r="K37" s="955"/>
      <c r="L37" s="955"/>
      <c r="M37" s="955"/>
      <c r="N37" s="955"/>
      <c r="O37" s="69"/>
      <c r="P37" s="955"/>
      <c r="Q37" s="955"/>
      <c r="R37" s="955"/>
      <c r="S37" s="955"/>
      <c r="U37" s="1018">
        <f>CONTROL!C67</f>
        <v>0</v>
      </c>
      <c r="V37" s="1018">
        <f>CONTROL!R67</f>
        <v>0</v>
      </c>
    </row>
    <row r="38" spans="1:22">
      <c r="A38" s="475" t="str">
        <f>IF(OR(A37="",C37=CONTROL!$B$109,ISBLANK(C37)),"",17)</f>
        <v/>
      </c>
      <c r="B38" s="883" t="s">
        <v>253</v>
      </c>
      <c r="C38" s="884" t="s">
        <v>495</v>
      </c>
      <c r="D38" s="516"/>
      <c r="E38" s="955"/>
      <c r="F38" s="524"/>
      <c r="G38" s="955"/>
      <c r="H38" s="955"/>
      <c r="I38" s="955"/>
      <c r="J38" s="955"/>
      <c r="K38" s="955"/>
      <c r="L38" s="955"/>
      <c r="M38" s="955"/>
      <c r="N38" s="955"/>
      <c r="O38" s="69"/>
      <c r="P38" s="955"/>
      <c r="Q38" s="955"/>
      <c r="R38" s="955"/>
      <c r="S38" s="955"/>
      <c r="U38" s="1018">
        <f>CONTROL!C68</f>
        <v>0</v>
      </c>
      <c r="V38" s="1018">
        <f>CONTROL!R68</f>
        <v>0</v>
      </c>
    </row>
    <row r="39" spans="1:22">
      <c r="A39" s="475" t="str">
        <f>IF(OR(A38="",C38=CONTROL!$B$109,ISBLANK(C38)),"",18)</f>
        <v/>
      </c>
      <c r="B39" s="883" t="s">
        <v>254</v>
      </c>
      <c r="C39" s="884" t="s">
        <v>495</v>
      </c>
      <c r="D39" s="516"/>
      <c r="E39" s="955"/>
      <c r="F39" s="524"/>
      <c r="G39" s="955"/>
      <c r="H39" s="955"/>
      <c r="I39" s="955"/>
      <c r="J39" s="955"/>
      <c r="K39" s="955"/>
      <c r="L39" s="955"/>
      <c r="M39" s="955"/>
      <c r="N39" s="955"/>
      <c r="O39" s="69"/>
      <c r="P39" s="955"/>
      <c r="Q39" s="955"/>
      <c r="R39" s="955"/>
      <c r="S39" s="955"/>
      <c r="U39" s="1018">
        <f>CONTROL!C69</f>
        <v>0</v>
      </c>
      <c r="V39" s="1018">
        <f>CONTROL!R69</f>
        <v>0</v>
      </c>
    </row>
    <row r="40" spans="1:22">
      <c r="A40" s="475" t="str">
        <f>IF(OR(A39="",C39=CONTROL!$B$109,ISBLANK(C39)),"",19)</f>
        <v/>
      </c>
      <c r="B40" s="883" t="s">
        <v>255</v>
      </c>
      <c r="C40" s="884" t="s">
        <v>495</v>
      </c>
      <c r="D40" s="516"/>
      <c r="E40" s="955"/>
      <c r="F40" s="524"/>
      <c r="G40" s="955"/>
      <c r="H40" s="955"/>
      <c r="I40" s="955"/>
      <c r="J40" s="955"/>
      <c r="K40" s="955"/>
      <c r="L40" s="955"/>
      <c r="M40" s="955"/>
      <c r="N40" s="955"/>
      <c r="O40" s="69"/>
      <c r="P40" s="955"/>
      <c r="Q40" s="955"/>
      <c r="R40" s="955"/>
      <c r="S40" s="955"/>
      <c r="U40" s="1018">
        <f>CONTROL!C70</f>
        <v>0</v>
      </c>
      <c r="V40" s="1018">
        <f>CONTROL!R70</f>
        <v>0</v>
      </c>
    </row>
    <row r="41" spans="1:22">
      <c r="A41" s="475" t="str">
        <f>IF(OR(A40="",C40=CONTROL!$B$109,ISBLANK(C40)),"",20)</f>
        <v/>
      </c>
      <c r="B41" s="883" t="s">
        <v>256</v>
      </c>
      <c r="C41" s="884" t="s">
        <v>495</v>
      </c>
      <c r="D41" s="516"/>
      <c r="E41" s="955"/>
      <c r="F41" s="524"/>
      <c r="G41" s="955"/>
      <c r="H41" s="955"/>
      <c r="I41" s="955"/>
      <c r="J41" s="955"/>
      <c r="K41" s="955"/>
      <c r="L41" s="955"/>
      <c r="M41" s="955"/>
      <c r="N41" s="955"/>
      <c r="O41" s="69"/>
      <c r="P41" s="955"/>
      <c r="Q41" s="955"/>
      <c r="R41" s="955"/>
      <c r="S41" s="955"/>
      <c r="U41" s="1018">
        <f>CONTROL!C71</f>
        <v>0</v>
      </c>
      <c r="V41" s="1018">
        <f>CONTROL!R71</f>
        <v>0</v>
      </c>
    </row>
    <row r="42" spans="1:22">
      <c r="A42" s="475" t="str">
        <f>IF(OR(A41="",C41=CONTROL!$B$109,ISBLANK(C41)),"",21)</f>
        <v/>
      </c>
      <c r="B42" s="883" t="s">
        <v>257</v>
      </c>
      <c r="C42" s="884" t="s">
        <v>495</v>
      </c>
      <c r="D42" s="516"/>
      <c r="E42" s="955"/>
      <c r="F42" s="524"/>
      <c r="G42" s="955"/>
      <c r="H42" s="955"/>
      <c r="I42" s="955"/>
      <c r="J42" s="955"/>
      <c r="K42" s="955"/>
      <c r="L42" s="955"/>
      <c r="M42" s="955"/>
      <c r="N42" s="955"/>
      <c r="O42" s="69"/>
      <c r="P42" s="955"/>
      <c r="Q42" s="955"/>
      <c r="R42" s="955"/>
      <c r="S42" s="955"/>
      <c r="U42" s="1018">
        <f>CONTROL!C72</f>
        <v>0</v>
      </c>
      <c r="V42" s="1018">
        <f>CONTROL!R72</f>
        <v>0</v>
      </c>
    </row>
    <row r="43" spans="1:22">
      <c r="A43" s="475" t="str">
        <f>IF(OR(A42="",C42=CONTROL!$B$109,ISBLANK(C42)),"",22)</f>
        <v/>
      </c>
      <c r="B43" s="883" t="s">
        <v>258</v>
      </c>
      <c r="C43" s="884" t="s">
        <v>495</v>
      </c>
      <c r="D43" s="516"/>
      <c r="E43" s="955"/>
      <c r="F43" s="524"/>
      <c r="G43" s="955"/>
      <c r="H43" s="955"/>
      <c r="I43" s="955"/>
      <c r="J43" s="955"/>
      <c r="K43" s="955"/>
      <c r="L43" s="955"/>
      <c r="M43" s="955"/>
      <c r="N43" s="955"/>
      <c r="O43" s="69"/>
      <c r="P43" s="955"/>
      <c r="Q43" s="955"/>
      <c r="R43" s="955"/>
      <c r="S43" s="955"/>
      <c r="U43" s="1018">
        <f>CONTROL!C73</f>
        <v>0</v>
      </c>
      <c r="V43" s="1018">
        <f>CONTROL!R73</f>
        <v>0</v>
      </c>
    </row>
    <row r="44" spans="1:22">
      <c r="A44" s="475" t="str">
        <f>IF(OR(A43="",C43=CONTROL!$B$109,ISBLANK(C43)),"",23)</f>
        <v/>
      </c>
      <c r="B44" s="883" t="s">
        <v>259</v>
      </c>
      <c r="C44" s="884" t="s">
        <v>495</v>
      </c>
      <c r="D44" s="516"/>
      <c r="E44" s="955"/>
      <c r="F44" s="524"/>
      <c r="G44" s="955"/>
      <c r="H44" s="955"/>
      <c r="I44" s="955"/>
      <c r="J44" s="955"/>
      <c r="K44" s="955"/>
      <c r="L44" s="955"/>
      <c r="M44" s="955"/>
      <c r="N44" s="955"/>
      <c r="O44" s="69"/>
      <c r="P44" s="955"/>
      <c r="Q44" s="955"/>
      <c r="R44" s="955"/>
      <c r="S44" s="955"/>
      <c r="U44" s="1018">
        <f>CONTROL!C74</f>
        <v>0</v>
      </c>
      <c r="V44" s="1018">
        <f>CONTROL!R74</f>
        <v>0</v>
      </c>
    </row>
    <row r="45" spans="1:22">
      <c r="A45" s="475" t="str">
        <f>IF(OR(A44="",C44=CONTROL!$B$109,ISBLANK(C44)),"",24)</f>
        <v/>
      </c>
      <c r="B45" s="883" t="s">
        <v>260</v>
      </c>
      <c r="C45" s="884" t="s">
        <v>495</v>
      </c>
      <c r="D45" s="516"/>
      <c r="E45" s="955"/>
      <c r="F45" s="524"/>
      <c r="G45" s="955"/>
      <c r="H45" s="955"/>
      <c r="I45" s="955"/>
      <c r="J45" s="955"/>
      <c r="K45" s="955"/>
      <c r="L45" s="955"/>
      <c r="M45" s="955"/>
      <c r="N45" s="955"/>
      <c r="O45" s="69"/>
      <c r="P45" s="955"/>
      <c r="Q45" s="955"/>
      <c r="R45" s="955"/>
      <c r="S45" s="955"/>
      <c r="U45" s="1018">
        <f>CONTROL!C75</f>
        <v>0</v>
      </c>
      <c r="V45" s="1018">
        <f>CONTROL!R75</f>
        <v>0</v>
      </c>
    </row>
    <row r="46" spans="1:22">
      <c r="A46" s="475" t="str">
        <f>IF(OR(A45="",C45=CONTROL!$B$109,ISBLANK(C45)),"",25)</f>
        <v/>
      </c>
      <c r="B46" s="883" t="s">
        <v>261</v>
      </c>
      <c r="C46" s="884" t="s">
        <v>495</v>
      </c>
      <c r="D46" s="516"/>
      <c r="E46" s="955"/>
      <c r="F46" s="524"/>
      <c r="G46" s="955"/>
      <c r="H46" s="955"/>
      <c r="I46" s="955"/>
      <c r="J46" s="955"/>
      <c r="K46" s="955"/>
      <c r="L46" s="955"/>
      <c r="M46" s="955"/>
      <c r="N46" s="955"/>
      <c r="O46" s="69"/>
      <c r="P46" s="955"/>
      <c r="Q46" s="955"/>
      <c r="R46" s="955"/>
      <c r="S46" s="955"/>
      <c r="U46" s="1018">
        <f>CONTROL!C76</f>
        <v>0</v>
      </c>
      <c r="V46" s="1018">
        <f>CONTROL!R76</f>
        <v>0</v>
      </c>
    </row>
    <row r="47" spans="1:22">
      <c r="A47" s="475" t="str">
        <f>IF(OR(A46="",C46=CONTROL!$B$109,ISBLANK(C46)),"",26)</f>
        <v/>
      </c>
      <c r="B47" s="883" t="s">
        <v>262</v>
      </c>
      <c r="C47" s="884" t="s">
        <v>495</v>
      </c>
      <c r="D47" s="516"/>
      <c r="E47" s="955"/>
      <c r="F47" s="524"/>
      <c r="G47" s="955"/>
      <c r="H47" s="955"/>
      <c r="I47" s="955"/>
      <c r="J47" s="955"/>
      <c r="K47" s="955"/>
      <c r="L47" s="955"/>
      <c r="M47" s="955"/>
      <c r="N47" s="955"/>
      <c r="O47" s="69"/>
      <c r="P47" s="955"/>
      <c r="Q47" s="955"/>
      <c r="R47" s="955"/>
      <c r="S47" s="955"/>
      <c r="U47" s="1018">
        <f>CONTROL!C77</f>
        <v>0</v>
      </c>
      <c r="V47" s="1018">
        <f>CONTROL!R77</f>
        <v>0</v>
      </c>
    </row>
    <row r="48" spans="1:22">
      <c r="A48" s="475" t="str">
        <f>IF(OR(A47="",C47=CONTROL!$B$109,ISBLANK(C47)),"",27)</f>
        <v/>
      </c>
      <c r="B48" s="883" t="s">
        <v>263</v>
      </c>
      <c r="C48" s="884" t="s">
        <v>495</v>
      </c>
      <c r="D48" s="516"/>
      <c r="E48" s="955"/>
      <c r="F48" s="524"/>
      <c r="G48" s="955"/>
      <c r="H48" s="955"/>
      <c r="I48" s="955"/>
      <c r="J48" s="955"/>
      <c r="K48" s="955"/>
      <c r="L48" s="955"/>
      <c r="M48" s="955"/>
      <c r="N48" s="955"/>
      <c r="O48" s="69"/>
      <c r="P48" s="955"/>
      <c r="Q48" s="955"/>
      <c r="R48" s="955"/>
      <c r="S48" s="955"/>
      <c r="U48" s="1018">
        <f>CONTROL!C78</f>
        <v>0</v>
      </c>
      <c r="V48" s="1018">
        <f>CONTROL!R78</f>
        <v>0</v>
      </c>
    </row>
    <row r="49" spans="1:22">
      <c r="A49" s="475" t="str">
        <f>IF(OR(A48="",C48=CONTROL!$B$109,ISBLANK(C48)),"",28)</f>
        <v/>
      </c>
      <c r="B49" s="883" t="s">
        <v>264</v>
      </c>
      <c r="C49" s="884" t="s">
        <v>495</v>
      </c>
      <c r="D49" s="516"/>
      <c r="E49" s="955"/>
      <c r="F49" s="524"/>
      <c r="G49" s="955"/>
      <c r="H49" s="955"/>
      <c r="I49" s="955"/>
      <c r="J49" s="955"/>
      <c r="K49" s="955"/>
      <c r="L49" s="955"/>
      <c r="M49" s="955"/>
      <c r="N49" s="955"/>
      <c r="O49" s="69"/>
      <c r="P49" s="955"/>
      <c r="Q49" s="955"/>
      <c r="R49" s="955"/>
      <c r="S49" s="955"/>
      <c r="U49" s="1018">
        <f>CONTROL!C79</f>
        <v>0</v>
      </c>
      <c r="V49" s="1018">
        <f>CONTROL!R79</f>
        <v>0</v>
      </c>
    </row>
    <row r="50" spans="1:22">
      <c r="A50" s="475" t="str">
        <f>IF(OR(A49="",C49=CONTROL!$B$109,ISBLANK(C49)),"",29)</f>
        <v/>
      </c>
      <c r="B50" s="883" t="s">
        <v>265</v>
      </c>
      <c r="C50" s="884" t="s">
        <v>495</v>
      </c>
      <c r="D50" s="516"/>
      <c r="E50" s="955"/>
      <c r="F50" s="524"/>
      <c r="G50" s="955"/>
      <c r="H50" s="955"/>
      <c r="I50" s="955"/>
      <c r="J50" s="955"/>
      <c r="K50" s="955"/>
      <c r="L50" s="955"/>
      <c r="M50" s="955"/>
      <c r="N50" s="955"/>
      <c r="O50" s="69"/>
      <c r="P50" s="955"/>
      <c r="Q50" s="955"/>
      <c r="R50" s="955"/>
      <c r="S50" s="955"/>
      <c r="U50" s="1018">
        <f>CONTROL!C80</f>
        <v>0</v>
      </c>
      <c r="V50" s="1018">
        <f>CONTROL!R80</f>
        <v>0</v>
      </c>
    </row>
    <row r="51" spans="1:22">
      <c r="A51" s="475" t="str">
        <f>IF(OR(A50="",C50=CONTROL!$B$109,ISBLANK(C50)),"",30)</f>
        <v/>
      </c>
      <c r="B51" s="883" t="s">
        <v>266</v>
      </c>
      <c r="C51" s="884" t="s">
        <v>495</v>
      </c>
      <c r="D51" s="516"/>
      <c r="E51" s="955"/>
      <c r="F51" s="524"/>
      <c r="G51" s="955"/>
      <c r="H51" s="955"/>
      <c r="I51" s="955"/>
      <c r="J51" s="955"/>
      <c r="K51" s="955"/>
      <c r="L51" s="955"/>
      <c r="M51" s="955"/>
      <c r="N51" s="955"/>
      <c r="O51" s="69"/>
      <c r="P51" s="955"/>
      <c r="Q51" s="955"/>
      <c r="R51" s="955"/>
      <c r="S51" s="955"/>
      <c r="U51" s="1018">
        <f>CONTROL!C81</f>
        <v>0</v>
      </c>
      <c r="V51" s="1018">
        <f>CONTROL!R81</f>
        <v>0</v>
      </c>
    </row>
    <row r="52" spans="1:22">
      <c r="A52" s="475" t="str">
        <f>IF(OR(A51="",C51=CONTROL!$B$109,ISBLANK(C51)),"",31)</f>
        <v/>
      </c>
      <c r="B52" s="883" t="s">
        <v>267</v>
      </c>
      <c r="C52" s="884" t="s">
        <v>495</v>
      </c>
      <c r="D52" s="516"/>
      <c r="E52" s="955"/>
      <c r="F52" s="524"/>
      <c r="G52" s="955"/>
      <c r="H52" s="955"/>
      <c r="I52" s="955"/>
      <c r="J52" s="955"/>
      <c r="K52" s="955"/>
      <c r="L52" s="955"/>
      <c r="M52" s="955"/>
      <c r="N52" s="955"/>
      <c r="O52" s="69"/>
      <c r="P52" s="955"/>
      <c r="Q52" s="955"/>
      <c r="R52" s="955"/>
      <c r="S52" s="955"/>
      <c r="U52" s="1018">
        <f>CONTROL!C82</f>
        <v>0</v>
      </c>
      <c r="V52" s="1018">
        <f>CONTROL!R82</f>
        <v>0</v>
      </c>
    </row>
    <row r="53" spans="1:22">
      <c r="A53" s="475" t="str">
        <f>IF(OR(A52="",C52=CONTROL!$B$109,ISBLANK(C52)),"",32)</f>
        <v/>
      </c>
      <c r="B53" s="883" t="s">
        <v>268</v>
      </c>
      <c r="C53" s="884" t="s">
        <v>495</v>
      </c>
      <c r="D53" s="516"/>
      <c r="E53" s="955"/>
      <c r="F53" s="524"/>
      <c r="G53" s="955"/>
      <c r="H53" s="955"/>
      <c r="I53" s="955"/>
      <c r="J53" s="955"/>
      <c r="K53" s="955"/>
      <c r="L53" s="955"/>
      <c r="M53" s="955"/>
      <c r="N53" s="955"/>
      <c r="O53" s="69"/>
      <c r="P53" s="955"/>
      <c r="Q53" s="955"/>
      <c r="R53" s="955"/>
      <c r="S53" s="955"/>
      <c r="U53" s="1018">
        <f>CONTROL!C83</f>
        <v>0</v>
      </c>
      <c r="V53" s="1018">
        <f>CONTROL!R83</f>
        <v>0</v>
      </c>
    </row>
    <row r="54" spans="1:22">
      <c r="A54" s="475" t="str">
        <f>IF(OR(A53="",C53=CONTROL!$B$109,ISBLANK(C53)),"",33)</f>
        <v/>
      </c>
      <c r="B54" s="883" t="s">
        <v>269</v>
      </c>
      <c r="C54" s="884" t="s">
        <v>495</v>
      </c>
      <c r="D54" s="516"/>
      <c r="E54" s="955"/>
      <c r="F54" s="524"/>
      <c r="G54" s="955"/>
      <c r="H54" s="955"/>
      <c r="I54" s="955"/>
      <c r="J54" s="955"/>
      <c r="K54" s="955"/>
      <c r="L54" s="955"/>
      <c r="M54" s="955"/>
      <c r="N54" s="955"/>
      <c r="O54" s="69"/>
      <c r="P54" s="955"/>
      <c r="Q54" s="955"/>
      <c r="R54" s="955"/>
      <c r="S54" s="955"/>
      <c r="U54" s="1018">
        <f>CONTROL!C84</f>
        <v>0</v>
      </c>
      <c r="V54" s="1018">
        <f>CONTROL!R84</f>
        <v>0</v>
      </c>
    </row>
    <row r="55" spans="1:22">
      <c r="A55" s="475" t="str">
        <f>IF(OR(A54="",C54=CONTROL!$B$109,ISBLANK(C54)),"",34)</f>
        <v/>
      </c>
      <c r="B55" s="883" t="s">
        <v>270</v>
      </c>
      <c r="C55" s="884" t="s">
        <v>495</v>
      </c>
      <c r="D55" s="516"/>
      <c r="E55" s="955"/>
      <c r="F55" s="524"/>
      <c r="G55" s="955"/>
      <c r="H55" s="955"/>
      <c r="I55" s="955"/>
      <c r="J55" s="955"/>
      <c r="K55" s="955"/>
      <c r="L55" s="955"/>
      <c r="M55" s="955"/>
      <c r="N55" s="955"/>
      <c r="O55" s="69"/>
      <c r="P55" s="955"/>
      <c r="Q55" s="955"/>
      <c r="R55" s="955"/>
      <c r="S55" s="955"/>
      <c r="U55" s="1018">
        <f>CONTROL!C85</f>
        <v>0</v>
      </c>
      <c r="V55" s="1018">
        <f>CONTROL!R85</f>
        <v>0</v>
      </c>
    </row>
    <row r="56" spans="1:22">
      <c r="A56" s="475" t="str">
        <f>IF(OR(A55="",C55=CONTROL!$B$109,ISBLANK(C55)),"",35)</f>
        <v/>
      </c>
      <c r="B56" s="883" t="s">
        <v>271</v>
      </c>
      <c r="C56" s="884" t="s">
        <v>495</v>
      </c>
      <c r="D56" s="516"/>
      <c r="E56" s="955"/>
      <c r="F56" s="524"/>
      <c r="G56" s="955"/>
      <c r="H56" s="955"/>
      <c r="I56" s="955"/>
      <c r="J56" s="955"/>
      <c r="K56" s="955"/>
      <c r="L56" s="955"/>
      <c r="M56" s="955"/>
      <c r="N56" s="955"/>
      <c r="O56" s="69"/>
      <c r="P56" s="955"/>
      <c r="Q56" s="955"/>
      <c r="R56" s="955"/>
      <c r="S56" s="955"/>
      <c r="U56" s="1018">
        <f>CONTROL!C86</f>
        <v>0</v>
      </c>
      <c r="V56" s="1018">
        <f>CONTROL!R86</f>
        <v>0</v>
      </c>
    </row>
    <row r="57" spans="1:22">
      <c r="A57" s="475" t="str">
        <f>IF(OR(A56="",C56=CONTROL!$B$109,ISBLANK(C56)),"",36)</f>
        <v/>
      </c>
      <c r="B57" s="883" t="s">
        <v>272</v>
      </c>
      <c r="C57" s="884" t="s">
        <v>495</v>
      </c>
      <c r="D57" s="516"/>
      <c r="E57" s="955"/>
      <c r="F57" s="524"/>
      <c r="G57" s="955"/>
      <c r="H57" s="955"/>
      <c r="I57" s="955"/>
      <c r="J57" s="955"/>
      <c r="K57" s="955"/>
      <c r="L57" s="955"/>
      <c r="M57" s="955"/>
      <c r="N57" s="955"/>
      <c r="O57" s="69"/>
      <c r="P57" s="955"/>
      <c r="Q57" s="955"/>
      <c r="R57" s="955"/>
      <c r="S57" s="955"/>
      <c r="U57" s="1018">
        <f>CONTROL!C87</f>
        <v>0</v>
      </c>
      <c r="V57" s="1018">
        <f>CONTROL!R87</f>
        <v>0</v>
      </c>
    </row>
    <row r="58" spans="1:22">
      <c r="A58" s="475" t="str">
        <f>IF(OR(A57="",C57=CONTROL!$B$109,ISBLANK(C57)),"",37)</f>
        <v/>
      </c>
      <c r="B58" s="883" t="s">
        <v>273</v>
      </c>
      <c r="C58" s="884" t="s">
        <v>495</v>
      </c>
      <c r="D58" s="516"/>
      <c r="E58" s="955"/>
      <c r="F58" s="524"/>
      <c r="G58" s="955"/>
      <c r="H58" s="955"/>
      <c r="I58" s="955"/>
      <c r="J58" s="955"/>
      <c r="K58" s="955"/>
      <c r="L58" s="955"/>
      <c r="M58" s="955"/>
      <c r="N58" s="955"/>
      <c r="O58" s="69"/>
      <c r="P58" s="955"/>
      <c r="Q58" s="955"/>
      <c r="R58" s="955"/>
      <c r="S58" s="955"/>
      <c r="U58" s="1018">
        <f>CONTROL!C88</f>
        <v>0</v>
      </c>
      <c r="V58" s="1018">
        <f>CONTROL!R88</f>
        <v>0</v>
      </c>
    </row>
    <row r="59" spans="1:22">
      <c r="A59" s="475" t="str">
        <f>IF(OR(A58="",C58=CONTROL!$B$109,ISBLANK(C58)),"",38)</f>
        <v/>
      </c>
      <c r="B59" s="883" t="s">
        <v>274</v>
      </c>
      <c r="C59" s="884" t="s">
        <v>495</v>
      </c>
      <c r="D59" s="516"/>
      <c r="E59" s="955"/>
      <c r="F59" s="524"/>
      <c r="G59" s="955"/>
      <c r="H59" s="955"/>
      <c r="I59" s="955"/>
      <c r="J59" s="955"/>
      <c r="K59" s="955"/>
      <c r="L59" s="955"/>
      <c r="M59" s="955"/>
      <c r="N59" s="955"/>
      <c r="O59" s="69"/>
      <c r="P59" s="955"/>
      <c r="Q59" s="955"/>
      <c r="R59" s="955"/>
      <c r="S59" s="955"/>
      <c r="U59" s="1018">
        <f>CONTROL!C89</f>
        <v>0</v>
      </c>
      <c r="V59" s="1018">
        <f>CONTROL!R89</f>
        <v>0</v>
      </c>
    </row>
    <row r="60" spans="1:22">
      <c r="A60" s="475" t="str">
        <f>IF(OR(A59="",C59=CONTROL!$B$109,ISBLANK(C59)),"",39)</f>
        <v/>
      </c>
      <c r="B60" s="883" t="s">
        <v>275</v>
      </c>
      <c r="C60" s="884" t="s">
        <v>495</v>
      </c>
      <c r="D60" s="516"/>
      <c r="E60" s="955"/>
      <c r="F60" s="524"/>
      <c r="G60" s="955"/>
      <c r="H60" s="955"/>
      <c r="I60" s="955"/>
      <c r="J60" s="955"/>
      <c r="K60" s="955"/>
      <c r="L60" s="955"/>
      <c r="M60" s="955"/>
      <c r="N60" s="955"/>
      <c r="O60" s="69"/>
      <c r="P60" s="955"/>
      <c r="Q60" s="955"/>
      <c r="R60" s="955"/>
      <c r="S60" s="955"/>
      <c r="U60" s="1018">
        <f>CONTROL!C90</f>
        <v>0</v>
      </c>
      <c r="V60" s="1018">
        <f>CONTROL!R90</f>
        <v>0</v>
      </c>
    </row>
    <row r="61" spans="1:22">
      <c r="A61" s="475" t="str">
        <f>IF(OR(A60="",C60=CONTROL!$B$109,ISBLANK(C60)),"",40)</f>
        <v/>
      </c>
      <c r="B61" s="883" t="s">
        <v>276</v>
      </c>
      <c r="C61" s="884" t="s">
        <v>495</v>
      </c>
      <c r="D61" s="516"/>
      <c r="E61" s="955"/>
      <c r="F61" s="524"/>
      <c r="G61" s="955"/>
      <c r="H61" s="955"/>
      <c r="I61" s="955"/>
      <c r="J61" s="955"/>
      <c r="K61" s="955"/>
      <c r="L61" s="955"/>
      <c r="M61" s="955"/>
      <c r="N61" s="955"/>
      <c r="O61" s="69"/>
      <c r="P61" s="955"/>
      <c r="Q61" s="955"/>
      <c r="R61" s="955"/>
      <c r="S61" s="955"/>
      <c r="U61" s="1018">
        <f>CONTROL!C91</f>
        <v>0</v>
      </c>
      <c r="V61" s="1018">
        <f>CONTROL!R91</f>
        <v>0</v>
      </c>
    </row>
    <row r="62" spans="1:22">
      <c r="A62" s="475" t="str">
        <f>IF(OR(A61="",C61=CONTROL!$B$109,ISBLANK(C61)),"",41)</f>
        <v/>
      </c>
      <c r="B62" s="883" t="s">
        <v>277</v>
      </c>
      <c r="C62" s="884" t="s">
        <v>495</v>
      </c>
      <c r="D62" s="516"/>
      <c r="E62" s="955"/>
      <c r="F62" s="524"/>
      <c r="G62" s="955"/>
      <c r="H62" s="955"/>
      <c r="I62" s="955"/>
      <c r="J62" s="955"/>
      <c r="K62" s="955"/>
      <c r="L62" s="955"/>
      <c r="M62" s="955"/>
      <c r="N62" s="955"/>
      <c r="O62" s="69"/>
      <c r="P62" s="955"/>
      <c r="Q62" s="955"/>
      <c r="R62" s="955"/>
      <c r="S62" s="955"/>
      <c r="U62" s="1018">
        <f>CONTROL!C92</f>
        <v>0</v>
      </c>
      <c r="V62" s="1018">
        <f>CONTROL!R92</f>
        <v>0</v>
      </c>
    </row>
    <row r="63" spans="1:22">
      <c r="A63" s="475" t="str">
        <f>IF(OR(A62="",C62=CONTROL!$B$109,ISBLANK(C62)),"",42)</f>
        <v/>
      </c>
      <c r="B63" s="883" t="s">
        <v>278</v>
      </c>
      <c r="C63" s="884" t="s">
        <v>495</v>
      </c>
      <c r="D63" s="516"/>
      <c r="E63" s="955"/>
      <c r="F63" s="524"/>
      <c r="G63" s="955"/>
      <c r="H63" s="955"/>
      <c r="I63" s="955"/>
      <c r="J63" s="955"/>
      <c r="K63" s="955"/>
      <c r="L63" s="955"/>
      <c r="M63" s="955"/>
      <c r="N63" s="955"/>
      <c r="O63" s="69"/>
      <c r="P63" s="955"/>
      <c r="Q63" s="955"/>
      <c r="R63" s="955"/>
      <c r="S63" s="955"/>
      <c r="U63" s="1018">
        <f>CONTROL!C93</f>
        <v>0</v>
      </c>
      <c r="V63" s="1018">
        <f>CONTROL!R93</f>
        <v>0</v>
      </c>
    </row>
    <row r="64" spans="1:22">
      <c r="A64" s="475" t="str">
        <f>IF(OR(A63="",C63=CONTROL!$B$109,ISBLANK(C63)),"",43)</f>
        <v/>
      </c>
      <c r="B64" s="883" t="s">
        <v>279</v>
      </c>
      <c r="C64" s="884" t="s">
        <v>495</v>
      </c>
      <c r="D64" s="516"/>
      <c r="E64" s="955"/>
      <c r="F64" s="524"/>
      <c r="G64" s="955"/>
      <c r="H64" s="955"/>
      <c r="I64" s="955"/>
      <c r="J64" s="955"/>
      <c r="K64" s="955"/>
      <c r="L64" s="955"/>
      <c r="M64" s="955"/>
      <c r="N64" s="955"/>
      <c r="O64" s="69"/>
      <c r="P64" s="955"/>
      <c r="Q64" s="955"/>
      <c r="R64" s="955"/>
      <c r="S64" s="955"/>
      <c r="U64" s="1018">
        <f>CONTROL!C94</f>
        <v>0</v>
      </c>
      <c r="V64" s="1018">
        <f>CONTROL!R94</f>
        <v>0</v>
      </c>
    </row>
    <row r="65" spans="1:22">
      <c r="A65" s="475" t="str">
        <f>IF(OR(A64="",C64=CONTROL!$B$109,ISBLANK(C64)),"",44)</f>
        <v/>
      </c>
      <c r="B65" s="883" t="s">
        <v>280</v>
      </c>
      <c r="C65" s="884" t="s">
        <v>495</v>
      </c>
      <c r="D65" s="516"/>
      <c r="E65" s="955"/>
      <c r="F65" s="516"/>
      <c r="G65" s="955"/>
      <c r="H65" s="955"/>
      <c r="I65" s="955"/>
      <c r="J65" s="955"/>
      <c r="K65" s="955"/>
      <c r="L65" s="955"/>
      <c r="M65" s="955"/>
      <c r="N65" s="955"/>
      <c r="O65" s="516"/>
      <c r="P65" s="955"/>
      <c r="Q65" s="955"/>
      <c r="R65" s="955"/>
      <c r="S65" s="955"/>
      <c r="U65" s="1018">
        <f>CONTROL!C95</f>
        <v>0</v>
      </c>
      <c r="V65" s="1018">
        <f>CONTROL!R95</f>
        <v>0</v>
      </c>
    </row>
    <row r="66" spans="1:22">
      <c r="A66" s="475" t="str">
        <f>IF(OR(A65="",C65=CONTROL!$B$109,ISBLANK(C65)),"",45)</f>
        <v/>
      </c>
      <c r="B66" s="883" t="s">
        <v>281</v>
      </c>
      <c r="C66" s="884" t="s">
        <v>495</v>
      </c>
      <c r="D66" s="516"/>
      <c r="E66" s="955"/>
      <c r="F66" s="516"/>
      <c r="G66" s="955"/>
      <c r="H66" s="955"/>
      <c r="I66" s="955"/>
      <c r="J66" s="955"/>
      <c r="K66" s="955"/>
      <c r="L66" s="955"/>
      <c r="M66" s="955"/>
      <c r="N66" s="955"/>
      <c r="O66" s="516"/>
      <c r="P66" s="955"/>
      <c r="Q66" s="955"/>
      <c r="R66" s="955"/>
      <c r="S66" s="955"/>
      <c r="U66" s="1018">
        <f>CONTROL!C96</f>
        <v>0</v>
      </c>
      <c r="V66" s="1018">
        <f>CONTROL!R96</f>
        <v>0</v>
      </c>
    </row>
    <row r="67" spans="1:22">
      <c r="A67" s="475" t="str">
        <f>IF(OR(A66="",C66=CONTROL!$B$109,ISBLANK(C66)),"",46)</f>
        <v/>
      </c>
      <c r="B67" s="883" t="s">
        <v>282</v>
      </c>
      <c r="C67" s="884" t="s">
        <v>495</v>
      </c>
      <c r="D67" s="516"/>
      <c r="E67" s="955"/>
      <c r="F67" s="524"/>
      <c r="G67" s="955"/>
      <c r="H67" s="955"/>
      <c r="I67" s="955"/>
      <c r="J67" s="955"/>
      <c r="K67" s="955"/>
      <c r="L67" s="955"/>
      <c r="M67" s="955"/>
      <c r="N67" s="955"/>
      <c r="O67" s="69"/>
      <c r="P67" s="955"/>
      <c r="Q67" s="955"/>
      <c r="R67" s="955"/>
      <c r="S67" s="955"/>
      <c r="U67" s="1018">
        <f>CONTROL!C97</f>
        <v>0</v>
      </c>
      <c r="V67" s="1018">
        <f>CONTROL!R97</f>
        <v>0</v>
      </c>
    </row>
    <row r="68" spans="1:22">
      <c r="A68" s="475" t="str">
        <f>IF(OR(A67="",C67=CONTROL!$B$109,ISBLANK(C67)),"",47)</f>
        <v/>
      </c>
      <c r="B68" s="883" t="s">
        <v>283</v>
      </c>
      <c r="C68" s="884" t="s">
        <v>495</v>
      </c>
      <c r="D68" s="516"/>
      <c r="E68" s="955"/>
      <c r="F68" s="524"/>
      <c r="G68" s="955"/>
      <c r="H68" s="955"/>
      <c r="I68" s="955"/>
      <c r="J68" s="955"/>
      <c r="K68" s="955"/>
      <c r="L68" s="955"/>
      <c r="M68" s="955"/>
      <c r="N68" s="955"/>
      <c r="O68" s="69"/>
      <c r="P68" s="955"/>
      <c r="Q68" s="955"/>
      <c r="R68" s="955"/>
      <c r="S68" s="955"/>
      <c r="U68" s="1018">
        <f>CONTROL!C98</f>
        <v>0</v>
      </c>
      <c r="V68" s="1018">
        <f>CONTROL!R98</f>
        <v>0</v>
      </c>
    </row>
    <row r="69" spans="1:22">
      <c r="A69" s="475" t="str">
        <f>IF(OR(A68="",C68=CONTROL!$B$109,ISBLANK(C68)),"",48)</f>
        <v/>
      </c>
      <c r="B69" s="883" t="s">
        <v>284</v>
      </c>
      <c r="C69" s="884" t="s">
        <v>495</v>
      </c>
      <c r="D69" s="516"/>
      <c r="E69" s="955"/>
      <c r="F69" s="524"/>
      <c r="G69" s="955"/>
      <c r="H69" s="955"/>
      <c r="I69" s="955"/>
      <c r="J69" s="955"/>
      <c r="K69" s="955"/>
      <c r="L69" s="955"/>
      <c r="M69" s="955"/>
      <c r="N69" s="955"/>
      <c r="O69" s="69"/>
      <c r="P69" s="955"/>
      <c r="Q69" s="955"/>
      <c r="R69" s="955"/>
      <c r="S69" s="955"/>
      <c r="U69" s="1018">
        <f>CONTROL!C99</f>
        <v>0</v>
      </c>
      <c r="V69" s="1018">
        <f>CONTROL!R99</f>
        <v>0</v>
      </c>
    </row>
    <row r="70" spans="1:22">
      <c r="A70" s="475" t="str">
        <f>IF(OR(A69="",C69=CONTROL!$B$109,ISBLANK(C69)),"",49)</f>
        <v/>
      </c>
      <c r="B70" s="883" t="s">
        <v>285</v>
      </c>
      <c r="C70" s="884" t="s">
        <v>495</v>
      </c>
      <c r="D70" s="516"/>
      <c r="E70" s="955"/>
      <c r="F70" s="524"/>
      <c r="G70" s="955"/>
      <c r="H70" s="955"/>
      <c r="I70" s="955"/>
      <c r="J70" s="955"/>
      <c r="K70" s="955"/>
      <c r="L70" s="955"/>
      <c r="M70" s="955"/>
      <c r="N70" s="955"/>
      <c r="O70" s="69"/>
      <c r="P70" s="955"/>
      <c r="Q70" s="955"/>
      <c r="R70" s="955"/>
      <c r="S70" s="955"/>
      <c r="U70" s="1018">
        <f>CONTROL!C100</f>
        <v>0</v>
      </c>
      <c r="V70" s="1018">
        <f>CONTROL!R100</f>
        <v>0</v>
      </c>
    </row>
    <row r="71" spans="1:22">
      <c r="A71" s="475" t="str">
        <f>IF(OR(A70="",C70=CONTROL!$B$109,ISBLANK(C70)),"",50)</f>
        <v/>
      </c>
      <c r="B71" s="883" t="s">
        <v>286</v>
      </c>
      <c r="C71" s="884" t="s">
        <v>495</v>
      </c>
      <c r="D71" s="882"/>
      <c r="E71" s="881"/>
      <c r="F71" s="880"/>
      <c r="G71" s="881"/>
      <c r="H71" s="881"/>
      <c r="I71" s="881"/>
      <c r="J71" s="881"/>
      <c r="K71" s="881"/>
      <c r="L71" s="881"/>
      <c r="M71" s="881"/>
      <c r="N71" s="881"/>
      <c r="O71" s="879"/>
      <c r="P71" s="881"/>
      <c r="Q71" s="881"/>
      <c r="R71" s="881"/>
      <c r="S71" s="881"/>
      <c r="U71" s="1018">
        <f>CONTROL!C101</f>
        <v>0</v>
      </c>
      <c r="V71" s="1018">
        <f>CONTROL!R101</f>
        <v>0</v>
      </c>
    </row>
    <row r="72" spans="1:22">
      <c r="D72" s="69"/>
      <c r="F72" s="69"/>
      <c r="O72" s="69"/>
    </row>
  </sheetData>
  <sheetProtection algorithmName="SHA-512" hashValue="f7u9lU8OPlC096eCrPXha7OPu1uqIbSYpE1UjujjhD1cpiPUkEPUMhNIu/HTKMe33If/+4XEKBLUtDuxGrhAYw==" saltValue="W3BngjycVWZeQiEpumAHDA==" spinCount="100000" sheet="1" objects="1" scenarios="1"/>
  <mergeCells count="1">
    <mergeCell ref="G18:N18"/>
  </mergeCells>
  <conditionalFormatting sqref="E3:S3">
    <cfRule type="expression" dxfId="95" priority="45">
      <formula>$E$3=Mssg2</formula>
    </cfRule>
  </conditionalFormatting>
  <conditionalFormatting sqref="C22:C71">
    <cfRule type="expression" dxfId="94" priority="34">
      <formula>AND(ISNUMBER($A22)=FALSE,$C22&lt;&gt;"(Select from drop-down list) →")</formula>
    </cfRule>
  </conditionalFormatting>
  <conditionalFormatting sqref="C22:C71">
    <cfRule type="expression" dxfId="93" priority="30">
      <formula>IF(C22&lt;&gt;"(Select from drop-down list) →",COUNTIF($C$22:$C$71,C22)&gt;1,"")</formula>
    </cfRule>
  </conditionalFormatting>
  <conditionalFormatting sqref="P24:S71 E25:N64 E67:N71 E65:E66 G65:N66 E24:H24">
    <cfRule type="expression" dxfId="92" priority="29">
      <formula>OR(LEN($A24)=0,LEN($C24)=0,$C24="(Select from drop-down list)")</formula>
    </cfRule>
  </conditionalFormatting>
  <conditionalFormatting sqref="I11:I12 I4:I5">
    <cfRule type="expression" dxfId="91" priority="33">
      <formula>cow</formula>
    </cfRule>
  </conditionalFormatting>
  <conditionalFormatting sqref="P22:S23 G25:N50 E22:H23 G23:H24">
    <cfRule type="expression" dxfId="90" priority="22">
      <formula>OR($C22="(Select from drop-down list)",LEN($C22)=0)</formula>
    </cfRule>
  </conditionalFormatting>
  <conditionalFormatting sqref="E2:S2">
    <cfRule type="expression" dxfId="89" priority="56">
      <formula>$E$2=Mssg1</formula>
    </cfRule>
  </conditionalFormatting>
  <conditionalFormatting sqref="E24:E50">
    <cfRule type="expression" dxfId="88" priority="21">
      <formula>OR($C24="(Select from drop-down list)",LEN($C24)=0)</formula>
    </cfRule>
  </conditionalFormatting>
  <conditionalFormatting sqref="B25:S72 B24:H24 O24:S24 C22:C71">
    <cfRule type="expression" dxfId="87" priority="35">
      <formula>ISNUMBER($A22)=FALSE</formula>
    </cfRule>
  </conditionalFormatting>
  <conditionalFormatting sqref="I24">
    <cfRule type="expression" dxfId="86" priority="19">
      <formula>OR(LEN($A24)=0,LEN($C24)=0,$C24="(Select from drop-down list)")</formula>
    </cfRule>
  </conditionalFormatting>
  <conditionalFormatting sqref="I22:I24">
    <cfRule type="expression" dxfId="85" priority="18">
      <formula>OR($C22="(Select from drop-down list)",LEN($C22)=0)</formula>
    </cfRule>
  </conditionalFormatting>
  <conditionalFormatting sqref="I24">
    <cfRule type="expression" dxfId="84" priority="20">
      <formula>ISNUMBER($A24)=FALSE</formula>
    </cfRule>
  </conditionalFormatting>
  <conditionalFormatting sqref="K24">
    <cfRule type="expression" dxfId="83" priority="16">
      <formula>OR(LEN($A24)=0,LEN($C24)=0,$C24="(Select from drop-down list)")</formula>
    </cfRule>
  </conditionalFormatting>
  <conditionalFormatting sqref="K22:K24">
    <cfRule type="expression" dxfId="82" priority="15">
      <formula>OR($C22="(Select from drop-down list)",LEN($C22)=0)</formula>
    </cfRule>
  </conditionalFormatting>
  <conditionalFormatting sqref="K24">
    <cfRule type="expression" dxfId="81" priority="17">
      <formula>ISNUMBER($A24)=FALSE</formula>
    </cfRule>
  </conditionalFormatting>
  <conditionalFormatting sqref="M24">
    <cfRule type="expression" dxfId="80" priority="13">
      <formula>OR(LEN($A24)=0,LEN($C24)=0,$C24="(Select from drop-down list)")</formula>
    </cfRule>
  </conditionalFormatting>
  <conditionalFormatting sqref="M22:M24">
    <cfRule type="expression" dxfId="79" priority="12">
      <formula>OR($C22="(Select from drop-down list)",LEN($C22)=0)</formula>
    </cfRule>
  </conditionalFormatting>
  <conditionalFormatting sqref="M24">
    <cfRule type="expression" dxfId="78" priority="14">
      <formula>ISNUMBER($A24)=FALSE</formula>
    </cfRule>
  </conditionalFormatting>
  <conditionalFormatting sqref="J24">
    <cfRule type="expression" dxfId="77" priority="10">
      <formula>OR(LEN($A24)=0,LEN($C24)=0,$C24="(Select from drop-down list)")</formula>
    </cfRule>
  </conditionalFormatting>
  <conditionalFormatting sqref="J22:J24">
    <cfRule type="expression" dxfId="76" priority="9">
      <formula>OR($C22="(Select from drop-down list)",LEN($C22)=0)</formula>
    </cfRule>
  </conditionalFormatting>
  <conditionalFormatting sqref="J24">
    <cfRule type="expression" dxfId="75" priority="11">
      <formula>ISNUMBER($A24)=FALSE</formula>
    </cfRule>
  </conditionalFormatting>
  <conditionalFormatting sqref="L24">
    <cfRule type="expression" dxfId="74" priority="7">
      <formula>OR(LEN($A24)=0,LEN($C24)=0,$C24="(Select from drop-down list)")</formula>
    </cfRule>
  </conditionalFormatting>
  <conditionalFormatting sqref="L22:L24">
    <cfRule type="expression" dxfId="73" priority="6">
      <formula>OR($C22="(Select from drop-down list)",LEN($C22)=0)</formula>
    </cfRule>
  </conditionalFormatting>
  <conditionalFormatting sqref="L24">
    <cfRule type="expression" dxfId="72" priority="8">
      <formula>ISNUMBER($A24)=FALSE</formula>
    </cfRule>
  </conditionalFormatting>
  <conditionalFormatting sqref="N24">
    <cfRule type="expression" dxfId="71" priority="4">
      <formula>OR(LEN($A24)=0,LEN($C24)=0,$C24="(Select from drop-down list)")</formula>
    </cfRule>
  </conditionalFormatting>
  <conditionalFormatting sqref="N22:N24">
    <cfRule type="expression" dxfId="70" priority="3">
      <formula>OR($C22="(Select from drop-down list)",LEN($C22)=0)</formula>
    </cfRule>
  </conditionalFormatting>
  <conditionalFormatting sqref="N24">
    <cfRule type="expression" dxfId="69" priority="5">
      <formula>ISNUMBER($A24)=FALSE</formula>
    </cfRule>
  </conditionalFormatting>
  <conditionalFormatting sqref="U24:V71">
    <cfRule type="expression" dxfId="68" priority="2">
      <formula>ISNUMBER($A24)=FALSE</formula>
    </cfRule>
  </conditionalFormatting>
  <dataValidations count="4">
    <dataValidation type="custom" showInputMessage="1" showErrorMessage="1" errorTitle="District Name Selection" error="Please select &quot;District Name&quot; in column C from drop-down list before entering enrollment data." sqref="E22:N71" xr:uid="{00000000-0002-0000-0300-000000000000}">
      <formula1>AND($C22&lt;&gt;"(Select from drop-down list) →",ISBLANK($C22)&lt;&gt;TRUE)</formula1>
    </dataValidation>
    <dataValidation type="whole" showInputMessage="1" showErrorMessage="1" errorTitle="SCHOOL DISTRICTS" error="Please enter a number between 1 &amp; 50." sqref="D16:D18" xr:uid="{00000000-0002-0000-0300-000001000000}">
      <formula1>1</formula1>
      <formula2>50</formula2>
    </dataValidation>
    <dataValidation showInputMessage="1" showErrorMessage="1" errorTitle="SCHOOL DISTRICTS" error="Please enter a number between 1 &amp; 50." sqref="P16:S18 G18 F16:F18 E16:E17 G16:N17" xr:uid="{00000000-0002-0000-0300-000002000000}"/>
    <dataValidation type="whole" showInputMessage="1" showErrorMessage="1" sqref="D13:D15" xr:uid="{00000000-0002-0000-0300-000003000000}">
      <formula1>0</formula1>
      <formula2>50</formula2>
    </dataValidation>
  </dataValidations>
  <printOptions horizontalCentered="1"/>
  <pageMargins left="0.49" right="0.45" top="0.31" bottom="0.28000000000000003" header="0.3" footer="0.3"/>
  <pageSetup scale="53" orientation="landscape" r:id="rId1"/>
  <headerFooter>
    <oddFooter>&amp;CPage &amp;P of &amp;N&amp;R&amp;F</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05000000}">
          <x14:formula1>
            <xm:f>CONTROL!$B$109:$B$787</xm:f>
          </x14:formula1>
          <xm:sqref>C22:C71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sheetPr>
  <dimension ref="A1:U80"/>
  <sheetViews>
    <sheetView showGridLines="0" topLeftCell="B1" zoomScale="70" zoomScaleNormal="70" zoomScaleSheetLayoutView="70" workbookViewId="0">
      <selection activeCell="J14" sqref="J14"/>
    </sheetView>
  </sheetViews>
  <sheetFormatPr defaultColWidth="8.85546875" defaultRowHeight="12.75"/>
  <cols>
    <col min="1" max="1" width="5.28515625" hidden="1" customWidth="1"/>
    <col min="2" max="2" width="40.7109375" customWidth="1"/>
    <col min="3" max="3" width="2" customWidth="1"/>
    <col min="4" max="4" width="14" bestFit="1" customWidth="1"/>
    <col min="5" max="5" width="2" customWidth="1"/>
    <col min="6" max="13" width="15.28515625" bestFit="1" customWidth="1"/>
    <col min="14" max="14" width="2" customWidth="1"/>
    <col min="15" max="18" width="14" bestFit="1" customWidth="1"/>
    <col min="19" max="19" width="2" customWidth="1"/>
    <col min="20" max="20" width="46.5703125" customWidth="1"/>
    <col min="21" max="21" width="1.7109375" customWidth="1"/>
    <col min="22" max="26" width="15.7109375" customWidth="1"/>
    <col min="27" max="27" width="2.7109375" customWidth="1"/>
    <col min="28" max="28" width="15.42578125" bestFit="1" customWidth="1"/>
    <col min="29" max="32" width="14.42578125" customWidth="1"/>
    <col min="257" max="257" width="2.42578125" customWidth="1"/>
    <col min="258" max="258" width="40.7109375" customWidth="1"/>
    <col min="259" max="259" width="2.7109375" customWidth="1"/>
    <col min="260" max="260" width="14" bestFit="1" customWidth="1"/>
    <col min="261" max="261" width="2" customWidth="1"/>
    <col min="262" max="269" width="15.28515625" bestFit="1" customWidth="1"/>
    <col min="270" max="270" width="2.7109375" customWidth="1"/>
    <col min="271" max="274" width="14" bestFit="1" customWidth="1"/>
    <col min="275" max="275" width="2.7109375" customWidth="1"/>
    <col min="276" max="276" width="62.140625" bestFit="1" customWidth="1"/>
    <col min="277" max="277" width="1.7109375" customWidth="1"/>
    <col min="278" max="282" width="15.7109375" customWidth="1"/>
    <col min="283" max="283" width="2.7109375" customWidth="1"/>
    <col min="284" max="284" width="15.42578125" bestFit="1" customWidth="1"/>
    <col min="285" max="288" width="14.42578125" customWidth="1"/>
    <col min="513" max="513" width="2.42578125" customWidth="1"/>
    <col min="514" max="514" width="40.7109375" customWidth="1"/>
    <col min="515" max="515" width="2.7109375" customWidth="1"/>
    <col min="516" max="516" width="14" bestFit="1" customWidth="1"/>
    <col min="517" max="517" width="2" customWidth="1"/>
    <col min="518" max="525" width="15.28515625" bestFit="1" customWidth="1"/>
    <col min="526" max="526" width="2.7109375" customWidth="1"/>
    <col min="527" max="530" width="14" bestFit="1" customWidth="1"/>
    <col min="531" max="531" width="2.7109375" customWidth="1"/>
    <col min="532" max="532" width="62.140625" bestFit="1" customWidth="1"/>
    <col min="533" max="533" width="1.7109375" customWidth="1"/>
    <col min="534" max="538" width="15.7109375" customWidth="1"/>
    <col min="539" max="539" width="2.7109375" customWidth="1"/>
    <col min="540" max="540" width="15.42578125" bestFit="1" customWidth="1"/>
    <col min="541" max="544" width="14.42578125" customWidth="1"/>
    <col min="769" max="769" width="2.42578125" customWidth="1"/>
    <col min="770" max="770" width="40.7109375" customWidth="1"/>
    <col min="771" max="771" width="2.7109375" customWidth="1"/>
    <col min="772" max="772" width="14" bestFit="1" customWidth="1"/>
    <col min="773" max="773" width="2" customWidth="1"/>
    <col min="774" max="781" width="15.28515625" bestFit="1" customWidth="1"/>
    <col min="782" max="782" width="2.7109375" customWidth="1"/>
    <col min="783" max="786" width="14" bestFit="1" customWidth="1"/>
    <col min="787" max="787" width="2.7109375" customWidth="1"/>
    <col min="788" max="788" width="62.140625" bestFit="1" customWidth="1"/>
    <col min="789" max="789" width="1.7109375" customWidth="1"/>
    <col min="790" max="794" width="15.7109375" customWidth="1"/>
    <col min="795" max="795" width="2.7109375" customWidth="1"/>
    <col min="796" max="796" width="15.42578125" bestFit="1" customWidth="1"/>
    <col min="797" max="800" width="14.42578125" customWidth="1"/>
    <col min="1025" max="1025" width="2.42578125" customWidth="1"/>
    <col min="1026" max="1026" width="40.7109375" customWidth="1"/>
    <col min="1027" max="1027" width="2.7109375" customWidth="1"/>
    <col min="1028" max="1028" width="14" bestFit="1" customWidth="1"/>
    <col min="1029" max="1029" width="2" customWidth="1"/>
    <col min="1030" max="1037" width="15.28515625" bestFit="1" customWidth="1"/>
    <col min="1038" max="1038" width="2.7109375" customWidth="1"/>
    <col min="1039" max="1042" width="14" bestFit="1" customWidth="1"/>
    <col min="1043" max="1043" width="2.7109375" customWidth="1"/>
    <col min="1044" max="1044" width="62.140625" bestFit="1" customWidth="1"/>
    <col min="1045" max="1045" width="1.7109375" customWidth="1"/>
    <col min="1046" max="1050" width="15.7109375" customWidth="1"/>
    <col min="1051" max="1051" width="2.7109375" customWidth="1"/>
    <col min="1052" max="1052" width="15.42578125" bestFit="1" customWidth="1"/>
    <col min="1053" max="1056" width="14.42578125" customWidth="1"/>
    <col min="1281" max="1281" width="2.42578125" customWidth="1"/>
    <col min="1282" max="1282" width="40.7109375" customWidth="1"/>
    <col min="1283" max="1283" width="2.7109375" customWidth="1"/>
    <col min="1284" max="1284" width="14" bestFit="1" customWidth="1"/>
    <col min="1285" max="1285" width="2" customWidth="1"/>
    <col min="1286" max="1293" width="15.28515625" bestFit="1" customWidth="1"/>
    <col min="1294" max="1294" width="2.7109375" customWidth="1"/>
    <col min="1295" max="1298" width="14" bestFit="1" customWidth="1"/>
    <col min="1299" max="1299" width="2.7109375" customWidth="1"/>
    <col min="1300" max="1300" width="62.140625" bestFit="1" customWidth="1"/>
    <col min="1301" max="1301" width="1.7109375" customWidth="1"/>
    <col min="1302" max="1306" width="15.7109375" customWidth="1"/>
    <col min="1307" max="1307" width="2.7109375" customWidth="1"/>
    <col min="1308" max="1308" width="15.42578125" bestFit="1" customWidth="1"/>
    <col min="1309" max="1312" width="14.42578125" customWidth="1"/>
    <col min="1537" max="1537" width="2.42578125" customWidth="1"/>
    <col min="1538" max="1538" width="40.7109375" customWidth="1"/>
    <col min="1539" max="1539" width="2.7109375" customWidth="1"/>
    <col min="1540" max="1540" width="14" bestFit="1" customWidth="1"/>
    <col min="1541" max="1541" width="2" customWidth="1"/>
    <col min="1542" max="1549" width="15.28515625" bestFit="1" customWidth="1"/>
    <col min="1550" max="1550" width="2.7109375" customWidth="1"/>
    <col min="1551" max="1554" width="14" bestFit="1" customWidth="1"/>
    <col min="1555" max="1555" width="2.7109375" customWidth="1"/>
    <col min="1556" max="1556" width="62.140625" bestFit="1" customWidth="1"/>
    <col min="1557" max="1557" width="1.7109375" customWidth="1"/>
    <col min="1558" max="1562" width="15.7109375" customWidth="1"/>
    <col min="1563" max="1563" width="2.7109375" customWidth="1"/>
    <col min="1564" max="1564" width="15.42578125" bestFit="1" customWidth="1"/>
    <col min="1565" max="1568" width="14.42578125" customWidth="1"/>
    <col min="1793" max="1793" width="2.42578125" customWidth="1"/>
    <col min="1794" max="1794" width="40.7109375" customWidth="1"/>
    <col min="1795" max="1795" width="2.7109375" customWidth="1"/>
    <col min="1796" max="1796" width="14" bestFit="1" customWidth="1"/>
    <col min="1797" max="1797" width="2" customWidth="1"/>
    <col min="1798" max="1805" width="15.28515625" bestFit="1" customWidth="1"/>
    <col min="1806" max="1806" width="2.7109375" customWidth="1"/>
    <col min="1807" max="1810" width="14" bestFit="1" customWidth="1"/>
    <col min="1811" max="1811" width="2.7109375" customWidth="1"/>
    <col min="1812" max="1812" width="62.140625" bestFit="1" customWidth="1"/>
    <col min="1813" max="1813" width="1.7109375" customWidth="1"/>
    <col min="1814" max="1818" width="15.7109375" customWidth="1"/>
    <col min="1819" max="1819" width="2.7109375" customWidth="1"/>
    <col min="1820" max="1820" width="15.42578125" bestFit="1" customWidth="1"/>
    <col min="1821" max="1824" width="14.42578125" customWidth="1"/>
    <col min="2049" max="2049" width="2.42578125" customWidth="1"/>
    <col min="2050" max="2050" width="40.7109375" customWidth="1"/>
    <col min="2051" max="2051" width="2.7109375" customWidth="1"/>
    <col min="2052" max="2052" width="14" bestFit="1" customWidth="1"/>
    <col min="2053" max="2053" width="2" customWidth="1"/>
    <col min="2054" max="2061" width="15.28515625" bestFit="1" customWidth="1"/>
    <col min="2062" max="2062" width="2.7109375" customWidth="1"/>
    <col min="2063" max="2066" width="14" bestFit="1" customWidth="1"/>
    <col min="2067" max="2067" width="2.7109375" customWidth="1"/>
    <col min="2068" max="2068" width="62.140625" bestFit="1" customWidth="1"/>
    <col min="2069" max="2069" width="1.7109375" customWidth="1"/>
    <col min="2070" max="2074" width="15.7109375" customWidth="1"/>
    <col min="2075" max="2075" width="2.7109375" customWidth="1"/>
    <col min="2076" max="2076" width="15.42578125" bestFit="1" customWidth="1"/>
    <col min="2077" max="2080" width="14.42578125" customWidth="1"/>
    <col min="2305" max="2305" width="2.42578125" customWidth="1"/>
    <col min="2306" max="2306" width="40.7109375" customWidth="1"/>
    <col min="2307" max="2307" width="2.7109375" customWidth="1"/>
    <col min="2308" max="2308" width="14" bestFit="1" customWidth="1"/>
    <col min="2309" max="2309" width="2" customWidth="1"/>
    <col min="2310" max="2317" width="15.28515625" bestFit="1" customWidth="1"/>
    <col min="2318" max="2318" width="2.7109375" customWidth="1"/>
    <col min="2319" max="2322" width="14" bestFit="1" customWidth="1"/>
    <col min="2323" max="2323" width="2.7109375" customWidth="1"/>
    <col min="2324" max="2324" width="62.140625" bestFit="1" customWidth="1"/>
    <col min="2325" max="2325" width="1.7109375" customWidth="1"/>
    <col min="2326" max="2330" width="15.7109375" customWidth="1"/>
    <col min="2331" max="2331" width="2.7109375" customWidth="1"/>
    <col min="2332" max="2332" width="15.42578125" bestFit="1" customWidth="1"/>
    <col min="2333" max="2336" width="14.42578125" customWidth="1"/>
    <col min="2561" max="2561" width="2.42578125" customWidth="1"/>
    <col min="2562" max="2562" width="40.7109375" customWidth="1"/>
    <col min="2563" max="2563" width="2.7109375" customWidth="1"/>
    <col min="2564" max="2564" width="14" bestFit="1" customWidth="1"/>
    <col min="2565" max="2565" width="2" customWidth="1"/>
    <col min="2566" max="2573" width="15.28515625" bestFit="1" customWidth="1"/>
    <col min="2574" max="2574" width="2.7109375" customWidth="1"/>
    <col min="2575" max="2578" width="14" bestFit="1" customWidth="1"/>
    <col min="2579" max="2579" width="2.7109375" customWidth="1"/>
    <col min="2580" max="2580" width="62.140625" bestFit="1" customWidth="1"/>
    <col min="2581" max="2581" width="1.7109375" customWidth="1"/>
    <col min="2582" max="2586" width="15.7109375" customWidth="1"/>
    <col min="2587" max="2587" width="2.7109375" customWidth="1"/>
    <col min="2588" max="2588" width="15.42578125" bestFit="1" customWidth="1"/>
    <col min="2589" max="2592" width="14.42578125" customWidth="1"/>
    <col min="2817" max="2817" width="2.42578125" customWidth="1"/>
    <col min="2818" max="2818" width="40.7109375" customWidth="1"/>
    <col min="2819" max="2819" width="2.7109375" customWidth="1"/>
    <col min="2820" max="2820" width="14" bestFit="1" customWidth="1"/>
    <col min="2821" max="2821" width="2" customWidth="1"/>
    <col min="2822" max="2829" width="15.28515625" bestFit="1" customWidth="1"/>
    <col min="2830" max="2830" width="2.7109375" customWidth="1"/>
    <col min="2831" max="2834" width="14" bestFit="1" customWidth="1"/>
    <col min="2835" max="2835" width="2.7109375" customWidth="1"/>
    <col min="2836" max="2836" width="62.140625" bestFit="1" customWidth="1"/>
    <col min="2837" max="2837" width="1.7109375" customWidth="1"/>
    <col min="2838" max="2842" width="15.7109375" customWidth="1"/>
    <col min="2843" max="2843" width="2.7109375" customWidth="1"/>
    <col min="2844" max="2844" width="15.42578125" bestFit="1" customWidth="1"/>
    <col min="2845" max="2848" width="14.42578125" customWidth="1"/>
    <col min="3073" max="3073" width="2.42578125" customWidth="1"/>
    <col min="3074" max="3074" width="40.7109375" customWidth="1"/>
    <col min="3075" max="3075" width="2.7109375" customWidth="1"/>
    <col min="3076" max="3076" width="14" bestFit="1" customWidth="1"/>
    <col min="3077" max="3077" width="2" customWidth="1"/>
    <col min="3078" max="3085" width="15.28515625" bestFit="1" customWidth="1"/>
    <col min="3086" max="3086" width="2.7109375" customWidth="1"/>
    <col min="3087" max="3090" width="14" bestFit="1" customWidth="1"/>
    <col min="3091" max="3091" width="2.7109375" customWidth="1"/>
    <col min="3092" max="3092" width="62.140625" bestFit="1" customWidth="1"/>
    <col min="3093" max="3093" width="1.7109375" customWidth="1"/>
    <col min="3094" max="3098" width="15.7109375" customWidth="1"/>
    <col min="3099" max="3099" width="2.7109375" customWidth="1"/>
    <col min="3100" max="3100" width="15.42578125" bestFit="1" customWidth="1"/>
    <col min="3101" max="3104" width="14.42578125" customWidth="1"/>
    <col min="3329" max="3329" width="2.42578125" customWidth="1"/>
    <col min="3330" max="3330" width="40.7109375" customWidth="1"/>
    <col min="3331" max="3331" width="2.7109375" customWidth="1"/>
    <col min="3332" max="3332" width="14" bestFit="1" customWidth="1"/>
    <col min="3333" max="3333" width="2" customWidth="1"/>
    <col min="3334" max="3341" width="15.28515625" bestFit="1" customWidth="1"/>
    <col min="3342" max="3342" width="2.7109375" customWidth="1"/>
    <col min="3343" max="3346" width="14" bestFit="1" customWidth="1"/>
    <col min="3347" max="3347" width="2.7109375" customWidth="1"/>
    <col min="3348" max="3348" width="62.140625" bestFit="1" customWidth="1"/>
    <col min="3349" max="3349" width="1.7109375" customWidth="1"/>
    <col min="3350" max="3354" width="15.7109375" customWidth="1"/>
    <col min="3355" max="3355" width="2.7109375" customWidth="1"/>
    <col min="3356" max="3356" width="15.42578125" bestFit="1" customWidth="1"/>
    <col min="3357" max="3360" width="14.42578125" customWidth="1"/>
    <col min="3585" max="3585" width="2.42578125" customWidth="1"/>
    <col min="3586" max="3586" width="40.7109375" customWidth="1"/>
    <col min="3587" max="3587" width="2.7109375" customWidth="1"/>
    <col min="3588" max="3588" width="14" bestFit="1" customWidth="1"/>
    <col min="3589" max="3589" width="2" customWidth="1"/>
    <col min="3590" max="3597" width="15.28515625" bestFit="1" customWidth="1"/>
    <col min="3598" max="3598" width="2.7109375" customWidth="1"/>
    <col min="3599" max="3602" width="14" bestFit="1" customWidth="1"/>
    <col min="3603" max="3603" width="2.7109375" customWidth="1"/>
    <col min="3604" max="3604" width="62.140625" bestFit="1" customWidth="1"/>
    <col min="3605" max="3605" width="1.7109375" customWidth="1"/>
    <col min="3606" max="3610" width="15.7109375" customWidth="1"/>
    <col min="3611" max="3611" width="2.7109375" customWidth="1"/>
    <col min="3612" max="3612" width="15.42578125" bestFit="1" customWidth="1"/>
    <col min="3613" max="3616" width="14.42578125" customWidth="1"/>
    <col min="3841" max="3841" width="2.42578125" customWidth="1"/>
    <col min="3842" max="3842" width="40.7109375" customWidth="1"/>
    <col min="3843" max="3843" width="2.7109375" customWidth="1"/>
    <col min="3844" max="3844" width="14" bestFit="1" customWidth="1"/>
    <col min="3845" max="3845" width="2" customWidth="1"/>
    <col min="3846" max="3853" width="15.28515625" bestFit="1" customWidth="1"/>
    <col min="3854" max="3854" width="2.7109375" customWidth="1"/>
    <col min="3855" max="3858" width="14" bestFit="1" customWidth="1"/>
    <col min="3859" max="3859" width="2.7109375" customWidth="1"/>
    <col min="3860" max="3860" width="62.140625" bestFit="1" customWidth="1"/>
    <col min="3861" max="3861" width="1.7109375" customWidth="1"/>
    <col min="3862" max="3866" width="15.7109375" customWidth="1"/>
    <col min="3867" max="3867" width="2.7109375" customWidth="1"/>
    <col min="3868" max="3868" width="15.42578125" bestFit="1" customWidth="1"/>
    <col min="3869" max="3872" width="14.42578125" customWidth="1"/>
    <col min="4097" max="4097" width="2.42578125" customWidth="1"/>
    <col min="4098" max="4098" width="40.7109375" customWidth="1"/>
    <col min="4099" max="4099" width="2.7109375" customWidth="1"/>
    <col min="4100" max="4100" width="14" bestFit="1" customWidth="1"/>
    <col min="4101" max="4101" width="2" customWidth="1"/>
    <col min="4102" max="4109" width="15.28515625" bestFit="1" customWidth="1"/>
    <col min="4110" max="4110" width="2.7109375" customWidth="1"/>
    <col min="4111" max="4114" width="14" bestFit="1" customWidth="1"/>
    <col min="4115" max="4115" width="2.7109375" customWidth="1"/>
    <col min="4116" max="4116" width="62.140625" bestFit="1" customWidth="1"/>
    <col min="4117" max="4117" width="1.7109375" customWidth="1"/>
    <col min="4118" max="4122" width="15.7109375" customWidth="1"/>
    <col min="4123" max="4123" width="2.7109375" customWidth="1"/>
    <col min="4124" max="4124" width="15.42578125" bestFit="1" customWidth="1"/>
    <col min="4125" max="4128" width="14.42578125" customWidth="1"/>
    <col min="4353" max="4353" width="2.42578125" customWidth="1"/>
    <col min="4354" max="4354" width="40.7109375" customWidth="1"/>
    <col min="4355" max="4355" width="2.7109375" customWidth="1"/>
    <col min="4356" max="4356" width="14" bestFit="1" customWidth="1"/>
    <col min="4357" max="4357" width="2" customWidth="1"/>
    <col min="4358" max="4365" width="15.28515625" bestFit="1" customWidth="1"/>
    <col min="4366" max="4366" width="2.7109375" customWidth="1"/>
    <col min="4367" max="4370" width="14" bestFit="1" customWidth="1"/>
    <col min="4371" max="4371" width="2.7109375" customWidth="1"/>
    <col min="4372" max="4372" width="62.140625" bestFit="1" customWidth="1"/>
    <col min="4373" max="4373" width="1.7109375" customWidth="1"/>
    <col min="4374" max="4378" width="15.7109375" customWidth="1"/>
    <col min="4379" max="4379" width="2.7109375" customWidth="1"/>
    <col min="4380" max="4380" width="15.42578125" bestFit="1" customWidth="1"/>
    <col min="4381" max="4384" width="14.42578125" customWidth="1"/>
    <col min="4609" max="4609" width="2.42578125" customWidth="1"/>
    <col min="4610" max="4610" width="40.7109375" customWidth="1"/>
    <col min="4611" max="4611" width="2.7109375" customWidth="1"/>
    <col min="4612" max="4612" width="14" bestFit="1" customWidth="1"/>
    <col min="4613" max="4613" width="2" customWidth="1"/>
    <col min="4614" max="4621" width="15.28515625" bestFit="1" customWidth="1"/>
    <col min="4622" max="4622" width="2.7109375" customWidth="1"/>
    <col min="4623" max="4626" width="14" bestFit="1" customWidth="1"/>
    <col min="4627" max="4627" width="2.7109375" customWidth="1"/>
    <col min="4628" max="4628" width="62.140625" bestFit="1" customWidth="1"/>
    <col min="4629" max="4629" width="1.7109375" customWidth="1"/>
    <col min="4630" max="4634" width="15.7109375" customWidth="1"/>
    <col min="4635" max="4635" width="2.7109375" customWidth="1"/>
    <col min="4636" max="4636" width="15.42578125" bestFit="1" customWidth="1"/>
    <col min="4637" max="4640" width="14.42578125" customWidth="1"/>
    <col min="4865" max="4865" width="2.42578125" customWidth="1"/>
    <col min="4866" max="4866" width="40.7109375" customWidth="1"/>
    <col min="4867" max="4867" width="2.7109375" customWidth="1"/>
    <col min="4868" max="4868" width="14" bestFit="1" customWidth="1"/>
    <col min="4869" max="4869" width="2" customWidth="1"/>
    <col min="4870" max="4877" width="15.28515625" bestFit="1" customWidth="1"/>
    <col min="4878" max="4878" width="2.7109375" customWidth="1"/>
    <col min="4879" max="4882" width="14" bestFit="1" customWidth="1"/>
    <col min="4883" max="4883" width="2.7109375" customWidth="1"/>
    <col min="4884" max="4884" width="62.140625" bestFit="1" customWidth="1"/>
    <col min="4885" max="4885" width="1.7109375" customWidth="1"/>
    <col min="4886" max="4890" width="15.7109375" customWidth="1"/>
    <col min="4891" max="4891" width="2.7109375" customWidth="1"/>
    <col min="4892" max="4892" width="15.42578125" bestFit="1" customWidth="1"/>
    <col min="4893" max="4896" width="14.42578125" customWidth="1"/>
    <col min="5121" max="5121" width="2.42578125" customWidth="1"/>
    <col min="5122" max="5122" width="40.7109375" customWidth="1"/>
    <col min="5123" max="5123" width="2.7109375" customWidth="1"/>
    <col min="5124" max="5124" width="14" bestFit="1" customWidth="1"/>
    <col min="5125" max="5125" width="2" customWidth="1"/>
    <col min="5126" max="5133" width="15.28515625" bestFit="1" customWidth="1"/>
    <col min="5134" max="5134" width="2.7109375" customWidth="1"/>
    <col min="5135" max="5138" width="14" bestFit="1" customWidth="1"/>
    <col min="5139" max="5139" width="2.7109375" customWidth="1"/>
    <col min="5140" max="5140" width="62.140625" bestFit="1" customWidth="1"/>
    <col min="5141" max="5141" width="1.7109375" customWidth="1"/>
    <col min="5142" max="5146" width="15.7109375" customWidth="1"/>
    <col min="5147" max="5147" width="2.7109375" customWidth="1"/>
    <col min="5148" max="5148" width="15.42578125" bestFit="1" customWidth="1"/>
    <col min="5149" max="5152" width="14.42578125" customWidth="1"/>
    <col min="5377" max="5377" width="2.42578125" customWidth="1"/>
    <col min="5378" max="5378" width="40.7109375" customWidth="1"/>
    <col min="5379" max="5379" width="2.7109375" customWidth="1"/>
    <col min="5380" max="5380" width="14" bestFit="1" customWidth="1"/>
    <col min="5381" max="5381" width="2" customWidth="1"/>
    <col min="5382" max="5389" width="15.28515625" bestFit="1" customWidth="1"/>
    <col min="5390" max="5390" width="2.7109375" customWidth="1"/>
    <col min="5391" max="5394" width="14" bestFit="1" customWidth="1"/>
    <col min="5395" max="5395" width="2.7109375" customWidth="1"/>
    <col min="5396" max="5396" width="62.140625" bestFit="1" customWidth="1"/>
    <col min="5397" max="5397" width="1.7109375" customWidth="1"/>
    <col min="5398" max="5402" width="15.7109375" customWidth="1"/>
    <col min="5403" max="5403" width="2.7109375" customWidth="1"/>
    <col min="5404" max="5404" width="15.42578125" bestFit="1" customWidth="1"/>
    <col min="5405" max="5408" width="14.42578125" customWidth="1"/>
    <col min="5633" max="5633" width="2.42578125" customWidth="1"/>
    <col min="5634" max="5634" width="40.7109375" customWidth="1"/>
    <col min="5635" max="5635" width="2.7109375" customWidth="1"/>
    <col min="5636" max="5636" width="14" bestFit="1" customWidth="1"/>
    <col min="5637" max="5637" width="2" customWidth="1"/>
    <col min="5638" max="5645" width="15.28515625" bestFit="1" customWidth="1"/>
    <col min="5646" max="5646" width="2.7109375" customWidth="1"/>
    <col min="5647" max="5650" width="14" bestFit="1" customWidth="1"/>
    <col min="5651" max="5651" width="2.7109375" customWidth="1"/>
    <col min="5652" max="5652" width="62.140625" bestFit="1" customWidth="1"/>
    <col min="5653" max="5653" width="1.7109375" customWidth="1"/>
    <col min="5654" max="5658" width="15.7109375" customWidth="1"/>
    <col min="5659" max="5659" width="2.7109375" customWidth="1"/>
    <col min="5660" max="5660" width="15.42578125" bestFit="1" customWidth="1"/>
    <col min="5661" max="5664" width="14.42578125" customWidth="1"/>
    <col min="5889" max="5889" width="2.42578125" customWidth="1"/>
    <col min="5890" max="5890" width="40.7109375" customWidth="1"/>
    <col min="5891" max="5891" width="2.7109375" customWidth="1"/>
    <col min="5892" max="5892" width="14" bestFit="1" customWidth="1"/>
    <col min="5893" max="5893" width="2" customWidth="1"/>
    <col min="5894" max="5901" width="15.28515625" bestFit="1" customWidth="1"/>
    <col min="5902" max="5902" width="2.7109375" customWidth="1"/>
    <col min="5903" max="5906" width="14" bestFit="1" customWidth="1"/>
    <col min="5907" max="5907" width="2.7109375" customWidth="1"/>
    <col min="5908" max="5908" width="62.140625" bestFit="1" customWidth="1"/>
    <col min="5909" max="5909" width="1.7109375" customWidth="1"/>
    <col min="5910" max="5914" width="15.7109375" customWidth="1"/>
    <col min="5915" max="5915" width="2.7109375" customWidth="1"/>
    <col min="5916" max="5916" width="15.42578125" bestFit="1" customWidth="1"/>
    <col min="5917" max="5920" width="14.42578125" customWidth="1"/>
    <col min="6145" max="6145" width="2.42578125" customWidth="1"/>
    <col min="6146" max="6146" width="40.7109375" customWidth="1"/>
    <col min="6147" max="6147" width="2.7109375" customWidth="1"/>
    <col min="6148" max="6148" width="14" bestFit="1" customWidth="1"/>
    <col min="6149" max="6149" width="2" customWidth="1"/>
    <col min="6150" max="6157" width="15.28515625" bestFit="1" customWidth="1"/>
    <col min="6158" max="6158" width="2.7109375" customWidth="1"/>
    <col min="6159" max="6162" width="14" bestFit="1" customWidth="1"/>
    <col min="6163" max="6163" width="2.7109375" customWidth="1"/>
    <col min="6164" max="6164" width="62.140625" bestFit="1" customWidth="1"/>
    <col min="6165" max="6165" width="1.7109375" customWidth="1"/>
    <col min="6166" max="6170" width="15.7109375" customWidth="1"/>
    <col min="6171" max="6171" width="2.7109375" customWidth="1"/>
    <col min="6172" max="6172" width="15.42578125" bestFit="1" customWidth="1"/>
    <col min="6173" max="6176" width="14.42578125" customWidth="1"/>
    <col min="6401" max="6401" width="2.42578125" customWidth="1"/>
    <col min="6402" max="6402" width="40.7109375" customWidth="1"/>
    <col min="6403" max="6403" width="2.7109375" customWidth="1"/>
    <col min="6404" max="6404" width="14" bestFit="1" customWidth="1"/>
    <col min="6405" max="6405" width="2" customWidth="1"/>
    <col min="6406" max="6413" width="15.28515625" bestFit="1" customWidth="1"/>
    <col min="6414" max="6414" width="2.7109375" customWidth="1"/>
    <col min="6415" max="6418" width="14" bestFit="1" customWidth="1"/>
    <col min="6419" max="6419" width="2.7109375" customWidth="1"/>
    <col min="6420" max="6420" width="62.140625" bestFit="1" customWidth="1"/>
    <col min="6421" max="6421" width="1.7109375" customWidth="1"/>
    <col min="6422" max="6426" width="15.7109375" customWidth="1"/>
    <col min="6427" max="6427" width="2.7109375" customWidth="1"/>
    <col min="6428" max="6428" width="15.42578125" bestFit="1" customWidth="1"/>
    <col min="6429" max="6432" width="14.42578125" customWidth="1"/>
    <col min="6657" max="6657" width="2.42578125" customWidth="1"/>
    <col min="6658" max="6658" width="40.7109375" customWidth="1"/>
    <col min="6659" max="6659" width="2.7109375" customWidth="1"/>
    <col min="6660" max="6660" width="14" bestFit="1" customWidth="1"/>
    <col min="6661" max="6661" width="2" customWidth="1"/>
    <col min="6662" max="6669" width="15.28515625" bestFit="1" customWidth="1"/>
    <col min="6670" max="6670" width="2.7109375" customWidth="1"/>
    <col min="6671" max="6674" width="14" bestFit="1" customWidth="1"/>
    <col min="6675" max="6675" width="2.7109375" customWidth="1"/>
    <col min="6676" max="6676" width="62.140625" bestFit="1" customWidth="1"/>
    <col min="6677" max="6677" width="1.7109375" customWidth="1"/>
    <col min="6678" max="6682" width="15.7109375" customWidth="1"/>
    <col min="6683" max="6683" width="2.7109375" customWidth="1"/>
    <col min="6684" max="6684" width="15.42578125" bestFit="1" customWidth="1"/>
    <col min="6685" max="6688" width="14.42578125" customWidth="1"/>
    <col min="6913" max="6913" width="2.42578125" customWidth="1"/>
    <col min="6914" max="6914" width="40.7109375" customWidth="1"/>
    <col min="6915" max="6915" width="2.7109375" customWidth="1"/>
    <col min="6916" max="6916" width="14" bestFit="1" customWidth="1"/>
    <col min="6917" max="6917" width="2" customWidth="1"/>
    <col min="6918" max="6925" width="15.28515625" bestFit="1" customWidth="1"/>
    <col min="6926" max="6926" width="2.7109375" customWidth="1"/>
    <col min="6927" max="6930" width="14" bestFit="1" customWidth="1"/>
    <col min="6931" max="6931" width="2.7109375" customWidth="1"/>
    <col min="6932" max="6932" width="62.140625" bestFit="1" customWidth="1"/>
    <col min="6933" max="6933" width="1.7109375" customWidth="1"/>
    <col min="6934" max="6938" width="15.7109375" customWidth="1"/>
    <col min="6939" max="6939" width="2.7109375" customWidth="1"/>
    <col min="6940" max="6940" width="15.42578125" bestFit="1" customWidth="1"/>
    <col min="6941" max="6944" width="14.42578125" customWidth="1"/>
    <col min="7169" max="7169" width="2.42578125" customWidth="1"/>
    <col min="7170" max="7170" width="40.7109375" customWidth="1"/>
    <col min="7171" max="7171" width="2.7109375" customWidth="1"/>
    <col min="7172" max="7172" width="14" bestFit="1" customWidth="1"/>
    <col min="7173" max="7173" width="2" customWidth="1"/>
    <col min="7174" max="7181" width="15.28515625" bestFit="1" customWidth="1"/>
    <col min="7182" max="7182" width="2.7109375" customWidth="1"/>
    <col min="7183" max="7186" width="14" bestFit="1" customWidth="1"/>
    <col min="7187" max="7187" width="2.7109375" customWidth="1"/>
    <col min="7188" max="7188" width="62.140625" bestFit="1" customWidth="1"/>
    <col min="7189" max="7189" width="1.7109375" customWidth="1"/>
    <col min="7190" max="7194" width="15.7109375" customWidth="1"/>
    <col min="7195" max="7195" width="2.7109375" customWidth="1"/>
    <col min="7196" max="7196" width="15.42578125" bestFit="1" customWidth="1"/>
    <col min="7197" max="7200" width="14.42578125" customWidth="1"/>
    <col min="7425" max="7425" width="2.42578125" customWidth="1"/>
    <col min="7426" max="7426" width="40.7109375" customWidth="1"/>
    <col min="7427" max="7427" width="2.7109375" customWidth="1"/>
    <col min="7428" max="7428" width="14" bestFit="1" customWidth="1"/>
    <col min="7429" max="7429" width="2" customWidth="1"/>
    <col min="7430" max="7437" width="15.28515625" bestFit="1" customWidth="1"/>
    <col min="7438" max="7438" width="2.7109375" customWidth="1"/>
    <col min="7439" max="7442" width="14" bestFit="1" customWidth="1"/>
    <col min="7443" max="7443" width="2.7109375" customWidth="1"/>
    <col min="7444" max="7444" width="62.140625" bestFit="1" customWidth="1"/>
    <col min="7445" max="7445" width="1.7109375" customWidth="1"/>
    <col min="7446" max="7450" width="15.7109375" customWidth="1"/>
    <col min="7451" max="7451" width="2.7109375" customWidth="1"/>
    <col min="7452" max="7452" width="15.42578125" bestFit="1" customWidth="1"/>
    <col min="7453" max="7456" width="14.42578125" customWidth="1"/>
    <col min="7681" max="7681" width="2.42578125" customWidth="1"/>
    <col min="7682" max="7682" width="40.7109375" customWidth="1"/>
    <col min="7683" max="7683" width="2.7109375" customWidth="1"/>
    <col min="7684" max="7684" width="14" bestFit="1" customWidth="1"/>
    <col min="7685" max="7685" width="2" customWidth="1"/>
    <col min="7686" max="7693" width="15.28515625" bestFit="1" customWidth="1"/>
    <col min="7694" max="7694" width="2.7109375" customWidth="1"/>
    <col min="7695" max="7698" width="14" bestFit="1" customWidth="1"/>
    <col min="7699" max="7699" width="2.7109375" customWidth="1"/>
    <col min="7700" max="7700" width="62.140625" bestFit="1" customWidth="1"/>
    <col min="7701" max="7701" width="1.7109375" customWidth="1"/>
    <col min="7702" max="7706" width="15.7109375" customWidth="1"/>
    <col min="7707" max="7707" width="2.7109375" customWidth="1"/>
    <col min="7708" max="7708" width="15.42578125" bestFit="1" customWidth="1"/>
    <col min="7709" max="7712" width="14.42578125" customWidth="1"/>
    <col min="7937" max="7937" width="2.42578125" customWidth="1"/>
    <col min="7938" max="7938" width="40.7109375" customWidth="1"/>
    <col min="7939" max="7939" width="2.7109375" customWidth="1"/>
    <col min="7940" max="7940" width="14" bestFit="1" customWidth="1"/>
    <col min="7941" max="7941" width="2" customWidth="1"/>
    <col min="7942" max="7949" width="15.28515625" bestFit="1" customWidth="1"/>
    <col min="7950" max="7950" width="2.7109375" customWidth="1"/>
    <col min="7951" max="7954" width="14" bestFit="1" customWidth="1"/>
    <col min="7955" max="7955" width="2.7109375" customWidth="1"/>
    <col min="7956" max="7956" width="62.140625" bestFit="1" customWidth="1"/>
    <col min="7957" max="7957" width="1.7109375" customWidth="1"/>
    <col min="7958" max="7962" width="15.7109375" customWidth="1"/>
    <col min="7963" max="7963" width="2.7109375" customWidth="1"/>
    <col min="7964" max="7964" width="15.42578125" bestFit="1" customWidth="1"/>
    <col min="7965" max="7968" width="14.42578125" customWidth="1"/>
    <col min="8193" max="8193" width="2.42578125" customWidth="1"/>
    <col min="8194" max="8194" width="40.7109375" customWidth="1"/>
    <col min="8195" max="8195" width="2.7109375" customWidth="1"/>
    <col min="8196" max="8196" width="14" bestFit="1" customWidth="1"/>
    <col min="8197" max="8197" width="2" customWidth="1"/>
    <col min="8198" max="8205" width="15.28515625" bestFit="1" customWidth="1"/>
    <col min="8206" max="8206" width="2.7109375" customWidth="1"/>
    <col min="8207" max="8210" width="14" bestFit="1" customWidth="1"/>
    <col min="8211" max="8211" width="2.7109375" customWidth="1"/>
    <col min="8212" max="8212" width="62.140625" bestFit="1" customWidth="1"/>
    <col min="8213" max="8213" width="1.7109375" customWidth="1"/>
    <col min="8214" max="8218" width="15.7109375" customWidth="1"/>
    <col min="8219" max="8219" width="2.7109375" customWidth="1"/>
    <col min="8220" max="8220" width="15.42578125" bestFit="1" customWidth="1"/>
    <col min="8221" max="8224" width="14.42578125" customWidth="1"/>
    <col min="8449" max="8449" width="2.42578125" customWidth="1"/>
    <col min="8450" max="8450" width="40.7109375" customWidth="1"/>
    <col min="8451" max="8451" width="2.7109375" customWidth="1"/>
    <col min="8452" max="8452" width="14" bestFit="1" customWidth="1"/>
    <col min="8453" max="8453" width="2" customWidth="1"/>
    <col min="8454" max="8461" width="15.28515625" bestFit="1" customWidth="1"/>
    <col min="8462" max="8462" width="2.7109375" customWidth="1"/>
    <col min="8463" max="8466" width="14" bestFit="1" customWidth="1"/>
    <col min="8467" max="8467" width="2.7109375" customWidth="1"/>
    <col min="8468" max="8468" width="62.140625" bestFit="1" customWidth="1"/>
    <col min="8469" max="8469" width="1.7109375" customWidth="1"/>
    <col min="8470" max="8474" width="15.7109375" customWidth="1"/>
    <col min="8475" max="8475" width="2.7109375" customWidth="1"/>
    <col min="8476" max="8476" width="15.42578125" bestFit="1" customWidth="1"/>
    <col min="8477" max="8480" width="14.42578125" customWidth="1"/>
    <col min="8705" max="8705" width="2.42578125" customWidth="1"/>
    <col min="8706" max="8706" width="40.7109375" customWidth="1"/>
    <col min="8707" max="8707" width="2.7109375" customWidth="1"/>
    <col min="8708" max="8708" width="14" bestFit="1" customWidth="1"/>
    <col min="8709" max="8709" width="2" customWidth="1"/>
    <col min="8710" max="8717" width="15.28515625" bestFit="1" customWidth="1"/>
    <col min="8718" max="8718" width="2.7109375" customWidth="1"/>
    <col min="8719" max="8722" width="14" bestFit="1" customWidth="1"/>
    <col min="8723" max="8723" width="2.7109375" customWidth="1"/>
    <col min="8724" max="8724" width="62.140625" bestFit="1" customWidth="1"/>
    <col min="8725" max="8725" width="1.7109375" customWidth="1"/>
    <col min="8726" max="8730" width="15.7109375" customWidth="1"/>
    <col min="8731" max="8731" width="2.7109375" customWidth="1"/>
    <col min="8732" max="8732" width="15.42578125" bestFit="1" customWidth="1"/>
    <col min="8733" max="8736" width="14.42578125" customWidth="1"/>
    <col min="8961" max="8961" width="2.42578125" customWidth="1"/>
    <col min="8962" max="8962" width="40.7109375" customWidth="1"/>
    <col min="8963" max="8963" width="2.7109375" customWidth="1"/>
    <col min="8964" max="8964" width="14" bestFit="1" customWidth="1"/>
    <col min="8965" max="8965" width="2" customWidth="1"/>
    <col min="8966" max="8973" width="15.28515625" bestFit="1" customWidth="1"/>
    <col min="8974" max="8974" width="2.7109375" customWidth="1"/>
    <col min="8975" max="8978" width="14" bestFit="1" customWidth="1"/>
    <col min="8979" max="8979" width="2.7109375" customWidth="1"/>
    <col min="8980" max="8980" width="62.140625" bestFit="1" customWidth="1"/>
    <col min="8981" max="8981" width="1.7109375" customWidth="1"/>
    <col min="8982" max="8986" width="15.7109375" customWidth="1"/>
    <col min="8987" max="8987" width="2.7109375" customWidth="1"/>
    <col min="8988" max="8988" width="15.42578125" bestFit="1" customWidth="1"/>
    <col min="8989" max="8992" width="14.42578125" customWidth="1"/>
    <col min="9217" max="9217" width="2.42578125" customWidth="1"/>
    <col min="9218" max="9218" width="40.7109375" customWidth="1"/>
    <col min="9219" max="9219" width="2.7109375" customWidth="1"/>
    <col min="9220" max="9220" width="14" bestFit="1" customWidth="1"/>
    <col min="9221" max="9221" width="2" customWidth="1"/>
    <col min="9222" max="9229" width="15.28515625" bestFit="1" customWidth="1"/>
    <col min="9230" max="9230" width="2.7109375" customWidth="1"/>
    <col min="9231" max="9234" width="14" bestFit="1" customWidth="1"/>
    <col min="9235" max="9235" width="2.7109375" customWidth="1"/>
    <col min="9236" max="9236" width="62.140625" bestFit="1" customWidth="1"/>
    <col min="9237" max="9237" width="1.7109375" customWidth="1"/>
    <col min="9238" max="9242" width="15.7109375" customWidth="1"/>
    <col min="9243" max="9243" width="2.7109375" customWidth="1"/>
    <col min="9244" max="9244" width="15.42578125" bestFit="1" customWidth="1"/>
    <col min="9245" max="9248" width="14.42578125" customWidth="1"/>
    <col min="9473" max="9473" width="2.42578125" customWidth="1"/>
    <col min="9474" max="9474" width="40.7109375" customWidth="1"/>
    <col min="9475" max="9475" width="2.7109375" customWidth="1"/>
    <col min="9476" max="9476" width="14" bestFit="1" customWidth="1"/>
    <col min="9477" max="9477" width="2" customWidth="1"/>
    <col min="9478" max="9485" width="15.28515625" bestFit="1" customWidth="1"/>
    <col min="9486" max="9486" width="2.7109375" customWidth="1"/>
    <col min="9487" max="9490" width="14" bestFit="1" customWidth="1"/>
    <col min="9491" max="9491" width="2.7109375" customWidth="1"/>
    <col min="9492" max="9492" width="62.140625" bestFit="1" customWidth="1"/>
    <col min="9493" max="9493" width="1.7109375" customWidth="1"/>
    <col min="9494" max="9498" width="15.7109375" customWidth="1"/>
    <col min="9499" max="9499" width="2.7109375" customWidth="1"/>
    <col min="9500" max="9500" width="15.42578125" bestFit="1" customWidth="1"/>
    <col min="9501" max="9504" width="14.42578125" customWidth="1"/>
    <col min="9729" max="9729" width="2.42578125" customWidth="1"/>
    <col min="9730" max="9730" width="40.7109375" customWidth="1"/>
    <col min="9731" max="9731" width="2.7109375" customWidth="1"/>
    <col min="9732" max="9732" width="14" bestFit="1" customWidth="1"/>
    <col min="9733" max="9733" width="2" customWidth="1"/>
    <col min="9734" max="9741" width="15.28515625" bestFit="1" customWidth="1"/>
    <col min="9742" max="9742" width="2.7109375" customWidth="1"/>
    <col min="9743" max="9746" width="14" bestFit="1" customWidth="1"/>
    <col min="9747" max="9747" width="2.7109375" customWidth="1"/>
    <col min="9748" max="9748" width="62.140625" bestFit="1" customWidth="1"/>
    <col min="9749" max="9749" width="1.7109375" customWidth="1"/>
    <col min="9750" max="9754" width="15.7109375" customWidth="1"/>
    <col min="9755" max="9755" width="2.7109375" customWidth="1"/>
    <col min="9756" max="9756" width="15.42578125" bestFit="1" customWidth="1"/>
    <col min="9757" max="9760" width="14.42578125" customWidth="1"/>
    <col min="9985" max="9985" width="2.42578125" customWidth="1"/>
    <col min="9986" max="9986" width="40.7109375" customWidth="1"/>
    <col min="9987" max="9987" width="2.7109375" customWidth="1"/>
    <col min="9988" max="9988" width="14" bestFit="1" customWidth="1"/>
    <col min="9989" max="9989" width="2" customWidth="1"/>
    <col min="9990" max="9997" width="15.28515625" bestFit="1" customWidth="1"/>
    <col min="9998" max="9998" width="2.7109375" customWidth="1"/>
    <col min="9999" max="10002" width="14" bestFit="1" customWidth="1"/>
    <col min="10003" max="10003" width="2.7109375" customWidth="1"/>
    <col min="10004" max="10004" width="62.140625" bestFit="1" customWidth="1"/>
    <col min="10005" max="10005" width="1.7109375" customWidth="1"/>
    <col min="10006" max="10010" width="15.7109375" customWidth="1"/>
    <col min="10011" max="10011" width="2.7109375" customWidth="1"/>
    <col min="10012" max="10012" width="15.42578125" bestFit="1" customWidth="1"/>
    <col min="10013" max="10016" width="14.42578125" customWidth="1"/>
    <col min="10241" max="10241" width="2.42578125" customWidth="1"/>
    <col min="10242" max="10242" width="40.7109375" customWidth="1"/>
    <col min="10243" max="10243" width="2.7109375" customWidth="1"/>
    <col min="10244" max="10244" width="14" bestFit="1" customWidth="1"/>
    <col min="10245" max="10245" width="2" customWidth="1"/>
    <col min="10246" max="10253" width="15.28515625" bestFit="1" customWidth="1"/>
    <col min="10254" max="10254" width="2.7109375" customWidth="1"/>
    <col min="10255" max="10258" width="14" bestFit="1" customWidth="1"/>
    <col min="10259" max="10259" width="2.7109375" customWidth="1"/>
    <col min="10260" max="10260" width="62.140625" bestFit="1" customWidth="1"/>
    <col min="10261" max="10261" width="1.7109375" customWidth="1"/>
    <col min="10262" max="10266" width="15.7109375" customWidth="1"/>
    <col min="10267" max="10267" width="2.7109375" customWidth="1"/>
    <col min="10268" max="10268" width="15.42578125" bestFit="1" customWidth="1"/>
    <col min="10269" max="10272" width="14.42578125" customWidth="1"/>
    <col min="10497" max="10497" width="2.42578125" customWidth="1"/>
    <col min="10498" max="10498" width="40.7109375" customWidth="1"/>
    <col min="10499" max="10499" width="2.7109375" customWidth="1"/>
    <col min="10500" max="10500" width="14" bestFit="1" customWidth="1"/>
    <col min="10501" max="10501" width="2" customWidth="1"/>
    <col min="10502" max="10509" width="15.28515625" bestFit="1" customWidth="1"/>
    <col min="10510" max="10510" width="2.7109375" customWidth="1"/>
    <col min="10511" max="10514" width="14" bestFit="1" customWidth="1"/>
    <col min="10515" max="10515" width="2.7109375" customWidth="1"/>
    <col min="10516" max="10516" width="62.140625" bestFit="1" customWidth="1"/>
    <col min="10517" max="10517" width="1.7109375" customWidth="1"/>
    <col min="10518" max="10522" width="15.7109375" customWidth="1"/>
    <col min="10523" max="10523" width="2.7109375" customWidth="1"/>
    <col min="10524" max="10524" width="15.42578125" bestFit="1" customWidth="1"/>
    <col min="10525" max="10528" width="14.42578125" customWidth="1"/>
    <col min="10753" max="10753" width="2.42578125" customWidth="1"/>
    <col min="10754" max="10754" width="40.7109375" customWidth="1"/>
    <col min="10755" max="10755" width="2.7109375" customWidth="1"/>
    <col min="10756" max="10756" width="14" bestFit="1" customWidth="1"/>
    <col min="10757" max="10757" width="2" customWidth="1"/>
    <col min="10758" max="10765" width="15.28515625" bestFit="1" customWidth="1"/>
    <col min="10766" max="10766" width="2.7109375" customWidth="1"/>
    <col min="10767" max="10770" width="14" bestFit="1" customWidth="1"/>
    <col min="10771" max="10771" width="2.7109375" customWidth="1"/>
    <col min="10772" max="10772" width="62.140625" bestFit="1" customWidth="1"/>
    <col min="10773" max="10773" width="1.7109375" customWidth="1"/>
    <col min="10774" max="10778" width="15.7109375" customWidth="1"/>
    <col min="10779" max="10779" width="2.7109375" customWidth="1"/>
    <col min="10780" max="10780" width="15.42578125" bestFit="1" customWidth="1"/>
    <col min="10781" max="10784" width="14.42578125" customWidth="1"/>
    <col min="11009" max="11009" width="2.42578125" customWidth="1"/>
    <col min="11010" max="11010" width="40.7109375" customWidth="1"/>
    <col min="11011" max="11011" width="2.7109375" customWidth="1"/>
    <col min="11012" max="11012" width="14" bestFit="1" customWidth="1"/>
    <col min="11013" max="11013" width="2" customWidth="1"/>
    <col min="11014" max="11021" width="15.28515625" bestFit="1" customWidth="1"/>
    <col min="11022" max="11022" width="2.7109375" customWidth="1"/>
    <col min="11023" max="11026" width="14" bestFit="1" customWidth="1"/>
    <col min="11027" max="11027" width="2.7109375" customWidth="1"/>
    <col min="11028" max="11028" width="62.140625" bestFit="1" customWidth="1"/>
    <col min="11029" max="11029" width="1.7109375" customWidth="1"/>
    <col min="11030" max="11034" width="15.7109375" customWidth="1"/>
    <col min="11035" max="11035" width="2.7109375" customWidth="1"/>
    <col min="11036" max="11036" width="15.42578125" bestFit="1" customWidth="1"/>
    <col min="11037" max="11040" width="14.42578125" customWidth="1"/>
    <col min="11265" max="11265" width="2.42578125" customWidth="1"/>
    <col min="11266" max="11266" width="40.7109375" customWidth="1"/>
    <col min="11267" max="11267" width="2.7109375" customWidth="1"/>
    <col min="11268" max="11268" width="14" bestFit="1" customWidth="1"/>
    <col min="11269" max="11269" width="2" customWidth="1"/>
    <col min="11270" max="11277" width="15.28515625" bestFit="1" customWidth="1"/>
    <col min="11278" max="11278" width="2.7109375" customWidth="1"/>
    <col min="11279" max="11282" width="14" bestFit="1" customWidth="1"/>
    <col min="11283" max="11283" width="2.7109375" customWidth="1"/>
    <col min="11284" max="11284" width="62.140625" bestFit="1" customWidth="1"/>
    <col min="11285" max="11285" width="1.7109375" customWidth="1"/>
    <col min="11286" max="11290" width="15.7109375" customWidth="1"/>
    <col min="11291" max="11291" width="2.7109375" customWidth="1"/>
    <col min="11292" max="11292" width="15.42578125" bestFit="1" customWidth="1"/>
    <col min="11293" max="11296" width="14.42578125" customWidth="1"/>
    <col min="11521" max="11521" width="2.42578125" customWidth="1"/>
    <col min="11522" max="11522" width="40.7109375" customWidth="1"/>
    <col min="11523" max="11523" width="2.7109375" customWidth="1"/>
    <col min="11524" max="11524" width="14" bestFit="1" customWidth="1"/>
    <col min="11525" max="11525" width="2" customWidth="1"/>
    <col min="11526" max="11533" width="15.28515625" bestFit="1" customWidth="1"/>
    <col min="11534" max="11534" width="2.7109375" customWidth="1"/>
    <col min="11535" max="11538" width="14" bestFit="1" customWidth="1"/>
    <col min="11539" max="11539" width="2.7109375" customWidth="1"/>
    <col min="11540" max="11540" width="62.140625" bestFit="1" customWidth="1"/>
    <col min="11541" max="11541" width="1.7109375" customWidth="1"/>
    <col min="11542" max="11546" width="15.7109375" customWidth="1"/>
    <col min="11547" max="11547" width="2.7109375" customWidth="1"/>
    <col min="11548" max="11548" width="15.42578125" bestFit="1" customWidth="1"/>
    <col min="11549" max="11552" width="14.42578125" customWidth="1"/>
    <col min="11777" max="11777" width="2.42578125" customWidth="1"/>
    <col min="11778" max="11778" width="40.7109375" customWidth="1"/>
    <col min="11779" max="11779" width="2.7109375" customWidth="1"/>
    <col min="11780" max="11780" width="14" bestFit="1" customWidth="1"/>
    <col min="11781" max="11781" width="2" customWidth="1"/>
    <col min="11782" max="11789" width="15.28515625" bestFit="1" customWidth="1"/>
    <col min="11790" max="11790" width="2.7109375" customWidth="1"/>
    <col min="11791" max="11794" width="14" bestFit="1" customWidth="1"/>
    <col min="11795" max="11795" width="2.7109375" customWidth="1"/>
    <col min="11796" max="11796" width="62.140625" bestFit="1" customWidth="1"/>
    <col min="11797" max="11797" width="1.7109375" customWidth="1"/>
    <col min="11798" max="11802" width="15.7109375" customWidth="1"/>
    <col min="11803" max="11803" width="2.7109375" customWidth="1"/>
    <col min="11804" max="11804" width="15.42578125" bestFit="1" customWidth="1"/>
    <col min="11805" max="11808" width="14.42578125" customWidth="1"/>
    <col min="12033" max="12033" width="2.42578125" customWidth="1"/>
    <col min="12034" max="12034" width="40.7109375" customWidth="1"/>
    <col min="12035" max="12035" width="2.7109375" customWidth="1"/>
    <col min="12036" max="12036" width="14" bestFit="1" customWidth="1"/>
    <col min="12037" max="12037" width="2" customWidth="1"/>
    <col min="12038" max="12045" width="15.28515625" bestFit="1" customWidth="1"/>
    <col min="12046" max="12046" width="2.7109375" customWidth="1"/>
    <col min="12047" max="12050" width="14" bestFit="1" customWidth="1"/>
    <col min="12051" max="12051" width="2.7109375" customWidth="1"/>
    <col min="12052" max="12052" width="62.140625" bestFit="1" customWidth="1"/>
    <col min="12053" max="12053" width="1.7109375" customWidth="1"/>
    <col min="12054" max="12058" width="15.7109375" customWidth="1"/>
    <col min="12059" max="12059" width="2.7109375" customWidth="1"/>
    <col min="12060" max="12060" width="15.42578125" bestFit="1" customWidth="1"/>
    <col min="12061" max="12064" width="14.42578125" customWidth="1"/>
    <col min="12289" max="12289" width="2.42578125" customWidth="1"/>
    <col min="12290" max="12290" width="40.7109375" customWidth="1"/>
    <col min="12291" max="12291" width="2.7109375" customWidth="1"/>
    <col min="12292" max="12292" width="14" bestFit="1" customWidth="1"/>
    <col min="12293" max="12293" width="2" customWidth="1"/>
    <col min="12294" max="12301" width="15.28515625" bestFit="1" customWidth="1"/>
    <col min="12302" max="12302" width="2.7109375" customWidth="1"/>
    <col min="12303" max="12306" width="14" bestFit="1" customWidth="1"/>
    <col min="12307" max="12307" width="2.7109375" customWidth="1"/>
    <col min="12308" max="12308" width="62.140625" bestFit="1" customWidth="1"/>
    <col min="12309" max="12309" width="1.7109375" customWidth="1"/>
    <col min="12310" max="12314" width="15.7109375" customWidth="1"/>
    <col min="12315" max="12315" width="2.7109375" customWidth="1"/>
    <col min="12316" max="12316" width="15.42578125" bestFit="1" customWidth="1"/>
    <col min="12317" max="12320" width="14.42578125" customWidth="1"/>
    <col min="12545" max="12545" width="2.42578125" customWidth="1"/>
    <col min="12546" max="12546" width="40.7109375" customWidth="1"/>
    <col min="12547" max="12547" width="2.7109375" customWidth="1"/>
    <col min="12548" max="12548" width="14" bestFit="1" customWidth="1"/>
    <col min="12549" max="12549" width="2" customWidth="1"/>
    <col min="12550" max="12557" width="15.28515625" bestFit="1" customWidth="1"/>
    <col min="12558" max="12558" width="2.7109375" customWidth="1"/>
    <col min="12559" max="12562" width="14" bestFit="1" customWidth="1"/>
    <col min="12563" max="12563" width="2.7109375" customWidth="1"/>
    <col min="12564" max="12564" width="62.140625" bestFit="1" customWidth="1"/>
    <col min="12565" max="12565" width="1.7109375" customWidth="1"/>
    <col min="12566" max="12570" width="15.7109375" customWidth="1"/>
    <col min="12571" max="12571" width="2.7109375" customWidth="1"/>
    <col min="12572" max="12572" width="15.42578125" bestFit="1" customWidth="1"/>
    <col min="12573" max="12576" width="14.42578125" customWidth="1"/>
    <col min="12801" max="12801" width="2.42578125" customWidth="1"/>
    <col min="12802" max="12802" width="40.7109375" customWidth="1"/>
    <col min="12803" max="12803" width="2.7109375" customWidth="1"/>
    <col min="12804" max="12804" width="14" bestFit="1" customWidth="1"/>
    <col min="12805" max="12805" width="2" customWidth="1"/>
    <col min="12806" max="12813" width="15.28515625" bestFit="1" customWidth="1"/>
    <col min="12814" max="12814" width="2.7109375" customWidth="1"/>
    <col min="12815" max="12818" width="14" bestFit="1" customWidth="1"/>
    <col min="12819" max="12819" width="2.7109375" customWidth="1"/>
    <col min="12820" max="12820" width="62.140625" bestFit="1" customWidth="1"/>
    <col min="12821" max="12821" width="1.7109375" customWidth="1"/>
    <col min="12822" max="12826" width="15.7109375" customWidth="1"/>
    <col min="12827" max="12827" width="2.7109375" customWidth="1"/>
    <col min="12828" max="12828" width="15.42578125" bestFit="1" customWidth="1"/>
    <col min="12829" max="12832" width="14.42578125" customWidth="1"/>
    <col min="13057" max="13057" width="2.42578125" customWidth="1"/>
    <col min="13058" max="13058" width="40.7109375" customWidth="1"/>
    <col min="13059" max="13059" width="2.7109375" customWidth="1"/>
    <col min="13060" max="13060" width="14" bestFit="1" customWidth="1"/>
    <col min="13061" max="13061" width="2" customWidth="1"/>
    <col min="13062" max="13069" width="15.28515625" bestFit="1" customWidth="1"/>
    <col min="13070" max="13070" width="2.7109375" customWidth="1"/>
    <col min="13071" max="13074" width="14" bestFit="1" customWidth="1"/>
    <col min="13075" max="13075" width="2.7109375" customWidth="1"/>
    <col min="13076" max="13076" width="62.140625" bestFit="1" customWidth="1"/>
    <col min="13077" max="13077" width="1.7109375" customWidth="1"/>
    <col min="13078" max="13082" width="15.7109375" customWidth="1"/>
    <col min="13083" max="13083" width="2.7109375" customWidth="1"/>
    <col min="13084" max="13084" width="15.42578125" bestFit="1" customWidth="1"/>
    <col min="13085" max="13088" width="14.42578125" customWidth="1"/>
    <col min="13313" max="13313" width="2.42578125" customWidth="1"/>
    <col min="13314" max="13314" width="40.7109375" customWidth="1"/>
    <col min="13315" max="13315" width="2.7109375" customWidth="1"/>
    <col min="13316" max="13316" width="14" bestFit="1" customWidth="1"/>
    <col min="13317" max="13317" width="2" customWidth="1"/>
    <col min="13318" max="13325" width="15.28515625" bestFit="1" customWidth="1"/>
    <col min="13326" max="13326" width="2.7109375" customWidth="1"/>
    <col min="13327" max="13330" width="14" bestFit="1" customWidth="1"/>
    <col min="13331" max="13331" width="2.7109375" customWidth="1"/>
    <col min="13332" max="13332" width="62.140625" bestFit="1" customWidth="1"/>
    <col min="13333" max="13333" width="1.7109375" customWidth="1"/>
    <col min="13334" max="13338" width="15.7109375" customWidth="1"/>
    <col min="13339" max="13339" width="2.7109375" customWidth="1"/>
    <col min="13340" max="13340" width="15.42578125" bestFit="1" customWidth="1"/>
    <col min="13341" max="13344" width="14.42578125" customWidth="1"/>
    <col min="13569" max="13569" width="2.42578125" customWidth="1"/>
    <col min="13570" max="13570" width="40.7109375" customWidth="1"/>
    <col min="13571" max="13571" width="2.7109375" customWidth="1"/>
    <col min="13572" max="13572" width="14" bestFit="1" customWidth="1"/>
    <col min="13573" max="13573" width="2" customWidth="1"/>
    <col min="13574" max="13581" width="15.28515625" bestFit="1" customWidth="1"/>
    <col min="13582" max="13582" width="2.7109375" customWidth="1"/>
    <col min="13583" max="13586" width="14" bestFit="1" customWidth="1"/>
    <col min="13587" max="13587" width="2.7109375" customWidth="1"/>
    <col min="13588" max="13588" width="62.140625" bestFit="1" customWidth="1"/>
    <col min="13589" max="13589" width="1.7109375" customWidth="1"/>
    <col min="13590" max="13594" width="15.7109375" customWidth="1"/>
    <col min="13595" max="13595" width="2.7109375" customWidth="1"/>
    <col min="13596" max="13596" width="15.42578125" bestFit="1" customWidth="1"/>
    <col min="13597" max="13600" width="14.42578125" customWidth="1"/>
    <col min="13825" max="13825" width="2.42578125" customWidth="1"/>
    <col min="13826" max="13826" width="40.7109375" customWidth="1"/>
    <col min="13827" max="13827" width="2.7109375" customWidth="1"/>
    <col min="13828" max="13828" width="14" bestFit="1" customWidth="1"/>
    <col min="13829" max="13829" width="2" customWidth="1"/>
    <col min="13830" max="13837" width="15.28515625" bestFit="1" customWidth="1"/>
    <col min="13838" max="13838" width="2.7109375" customWidth="1"/>
    <col min="13839" max="13842" width="14" bestFit="1" customWidth="1"/>
    <col min="13843" max="13843" width="2.7109375" customWidth="1"/>
    <col min="13844" max="13844" width="62.140625" bestFit="1" customWidth="1"/>
    <col min="13845" max="13845" width="1.7109375" customWidth="1"/>
    <col min="13846" max="13850" width="15.7109375" customWidth="1"/>
    <col min="13851" max="13851" width="2.7109375" customWidth="1"/>
    <col min="13852" max="13852" width="15.42578125" bestFit="1" customWidth="1"/>
    <col min="13853" max="13856" width="14.42578125" customWidth="1"/>
    <col min="14081" max="14081" width="2.42578125" customWidth="1"/>
    <col min="14082" max="14082" width="40.7109375" customWidth="1"/>
    <col min="14083" max="14083" width="2.7109375" customWidth="1"/>
    <col min="14084" max="14084" width="14" bestFit="1" customWidth="1"/>
    <col min="14085" max="14085" width="2" customWidth="1"/>
    <col min="14086" max="14093" width="15.28515625" bestFit="1" customWidth="1"/>
    <col min="14094" max="14094" width="2.7109375" customWidth="1"/>
    <col min="14095" max="14098" width="14" bestFit="1" customWidth="1"/>
    <col min="14099" max="14099" width="2.7109375" customWidth="1"/>
    <col min="14100" max="14100" width="62.140625" bestFit="1" customWidth="1"/>
    <col min="14101" max="14101" width="1.7109375" customWidth="1"/>
    <col min="14102" max="14106" width="15.7109375" customWidth="1"/>
    <col min="14107" max="14107" width="2.7109375" customWidth="1"/>
    <col min="14108" max="14108" width="15.42578125" bestFit="1" customWidth="1"/>
    <col min="14109" max="14112" width="14.42578125" customWidth="1"/>
    <col min="14337" max="14337" width="2.42578125" customWidth="1"/>
    <col min="14338" max="14338" width="40.7109375" customWidth="1"/>
    <col min="14339" max="14339" width="2.7109375" customWidth="1"/>
    <col min="14340" max="14340" width="14" bestFit="1" customWidth="1"/>
    <col min="14341" max="14341" width="2" customWidth="1"/>
    <col min="14342" max="14349" width="15.28515625" bestFit="1" customWidth="1"/>
    <col min="14350" max="14350" width="2.7109375" customWidth="1"/>
    <col min="14351" max="14354" width="14" bestFit="1" customWidth="1"/>
    <col min="14355" max="14355" width="2.7109375" customWidth="1"/>
    <col min="14356" max="14356" width="62.140625" bestFit="1" customWidth="1"/>
    <col min="14357" max="14357" width="1.7109375" customWidth="1"/>
    <col min="14358" max="14362" width="15.7109375" customWidth="1"/>
    <col min="14363" max="14363" width="2.7109375" customWidth="1"/>
    <col min="14364" max="14364" width="15.42578125" bestFit="1" customWidth="1"/>
    <col min="14365" max="14368" width="14.42578125" customWidth="1"/>
    <col min="14593" max="14593" width="2.42578125" customWidth="1"/>
    <col min="14594" max="14594" width="40.7109375" customWidth="1"/>
    <col min="14595" max="14595" width="2.7109375" customWidth="1"/>
    <col min="14596" max="14596" width="14" bestFit="1" customWidth="1"/>
    <col min="14597" max="14597" width="2" customWidth="1"/>
    <col min="14598" max="14605" width="15.28515625" bestFit="1" customWidth="1"/>
    <col min="14606" max="14606" width="2.7109375" customWidth="1"/>
    <col min="14607" max="14610" width="14" bestFit="1" customWidth="1"/>
    <col min="14611" max="14611" width="2.7109375" customWidth="1"/>
    <col min="14612" max="14612" width="62.140625" bestFit="1" customWidth="1"/>
    <col min="14613" max="14613" width="1.7109375" customWidth="1"/>
    <col min="14614" max="14618" width="15.7109375" customWidth="1"/>
    <col min="14619" max="14619" width="2.7109375" customWidth="1"/>
    <col min="14620" max="14620" width="15.42578125" bestFit="1" customWidth="1"/>
    <col min="14621" max="14624" width="14.42578125" customWidth="1"/>
    <col min="14849" max="14849" width="2.42578125" customWidth="1"/>
    <col min="14850" max="14850" width="40.7109375" customWidth="1"/>
    <col min="14851" max="14851" width="2.7109375" customWidth="1"/>
    <col min="14852" max="14852" width="14" bestFit="1" customWidth="1"/>
    <col min="14853" max="14853" width="2" customWidth="1"/>
    <col min="14854" max="14861" width="15.28515625" bestFit="1" customWidth="1"/>
    <col min="14862" max="14862" width="2.7109375" customWidth="1"/>
    <col min="14863" max="14866" width="14" bestFit="1" customWidth="1"/>
    <col min="14867" max="14867" width="2.7109375" customWidth="1"/>
    <col min="14868" max="14868" width="62.140625" bestFit="1" customWidth="1"/>
    <col min="14869" max="14869" width="1.7109375" customWidth="1"/>
    <col min="14870" max="14874" width="15.7109375" customWidth="1"/>
    <col min="14875" max="14875" width="2.7109375" customWidth="1"/>
    <col min="14876" max="14876" width="15.42578125" bestFit="1" customWidth="1"/>
    <col min="14877" max="14880" width="14.42578125" customWidth="1"/>
    <col min="15105" max="15105" width="2.42578125" customWidth="1"/>
    <col min="15106" max="15106" width="40.7109375" customWidth="1"/>
    <col min="15107" max="15107" width="2.7109375" customWidth="1"/>
    <col min="15108" max="15108" width="14" bestFit="1" customWidth="1"/>
    <col min="15109" max="15109" width="2" customWidth="1"/>
    <col min="15110" max="15117" width="15.28515625" bestFit="1" customWidth="1"/>
    <col min="15118" max="15118" width="2.7109375" customWidth="1"/>
    <col min="15119" max="15122" width="14" bestFit="1" customWidth="1"/>
    <col min="15123" max="15123" width="2.7109375" customWidth="1"/>
    <col min="15124" max="15124" width="62.140625" bestFit="1" customWidth="1"/>
    <col min="15125" max="15125" width="1.7109375" customWidth="1"/>
    <col min="15126" max="15130" width="15.7109375" customWidth="1"/>
    <col min="15131" max="15131" width="2.7109375" customWidth="1"/>
    <col min="15132" max="15132" width="15.42578125" bestFit="1" customWidth="1"/>
    <col min="15133" max="15136" width="14.42578125" customWidth="1"/>
    <col min="15361" max="15361" width="2.42578125" customWidth="1"/>
    <col min="15362" max="15362" width="40.7109375" customWidth="1"/>
    <col min="15363" max="15363" width="2.7109375" customWidth="1"/>
    <col min="15364" max="15364" width="14" bestFit="1" customWidth="1"/>
    <col min="15365" max="15365" width="2" customWidth="1"/>
    <col min="15366" max="15373" width="15.28515625" bestFit="1" customWidth="1"/>
    <col min="15374" max="15374" width="2.7109375" customWidth="1"/>
    <col min="15375" max="15378" width="14" bestFit="1" customWidth="1"/>
    <col min="15379" max="15379" width="2.7109375" customWidth="1"/>
    <col min="15380" max="15380" width="62.140625" bestFit="1" customWidth="1"/>
    <col min="15381" max="15381" width="1.7109375" customWidth="1"/>
    <col min="15382" max="15386" width="15.7109375" customWidth="1"/>
    <col min="15387" max="15387" width="2.7109375" customWidth="1"/>
    <col min="15388" max="15388" width="15.42578125" bestFit="1" customWidth="1"/>
    <col min="15389" max="15392" width="14.42578125" customWidth="1"/>
    <col min="15617" max="15617" width="2.42578125" customWidth="1"/>
    <col min="15618" max="15618" width="40.7109375" customWidth="1"/>
    <col min="15619" max="15619" width="2.7109375" customWidth="1"/>
    <col min="15620" max="15620" width="14" bestFit="1" customWidth="1"/>
    <col min="15621" max="15621" width="2" customWidth="1"/>
    <col min="15622" max="15629" width="15.28515625" bestFit="1" customWidth="1"/>
    <col min="15630" max="15630" width="2.7109375" customWidth="1"/>
    <col min="15631" max="15634" width="14" bestFit="1" customWidth="1"/>
    <col min="15635" max="15635" width="2.7109375" customWidth="1"/>
    <col min="15636" max="15636" width="62.140625" bestFit="1" customWidth="1"/>
    <col min="15637" max="15637" width="1.7109375" customWidth="1"/>
    <col min="15638" max="15642" width="15.7109375" customWidth="1"/>
    <col min="15643" max="15643" width="2.7109375" customWidth="1"/>
    <col min="15644" max="15644" width="15.42578125" bestFit="1" customWidth="1"/>
    <col min="15645" max="15648" width="14.42578125" customWidth="1"/>
    <col min="15873" max="15873" width="2.42578125" customWidth="1"/>
    <col min="15874" max="15874" width="40.7109375" customWidth="1"/>
    <col min="15875" max="15875" width="2.7109375" customWidth="1"/>
    <col min="15876" max="15876" width="14" bestFit="1" customWidth="1"/>
    <col min="15877" max="15877" width="2" customWidth="1"/>
    <col min="15878" max="15885" width="15.28515625" bestFit="1" customWidth="1"/>
    <col min="15886" max="15886" width="2.7109375" customWidth="1"/>
    <col min="15887" max="15890" width="14" bestFit="1" customWidth="1"/>
    <col min="15891" max="15891" width="2.7109375" customWidth="1"/>
    <col min="15892" max="15892" width="62.140625" bestFit="1" customWidth="1"/>
    <col min="15893" max="15893" width="1.7109375" customWidth="1"/>
    <col min="15894" max="15898" width="15.7109375" customWidth="1"/>
    <col min="15899" max="15899" width="2.7109375" customWidth="1"/>
    <col min="15900" max="15900" width="15.42578125" bestFit="1" customWidth="1"/>
    <col min="15901" max="15904" width="14.42578125" customWidth="1"/>
    <col min="16129" max="16129" width="2.42578125" customWidth="1"/>
    <col min="16130" max="16130" width="40.7109375" customWidth="1"/>
    <col min="16131" max="16131" width="2.7109375" customWidth="1"/>
    <col min="16132" max="16132" width="14" bestFit="1" customWidth="1"/>
    <col min="16133" max="16133" width="2" customWidth="1"/>
    <col min="16134" max="16141" width="15.28515625" bestFit="1" customWidth="1"/>
    <col min="16142" max="16142" width="2.7109375" customWidth="1"/>
    <col min="16143" max="16146" width="14" bestFit="1" customWidth="1"/>
    <col min="16147" max="16147" width="2.7109375" customWidth="1"/>
    <col min="16148" max="16148" width="62.140625" bestFit="1" customWidth="1"/>
    <col min="16149" max="16149" width="1.7109375" customWidth="1"/>
    <col min="16150" max="16154" width="15.7109375" customWidth="1"/>
    <col min="16155" max="16155" width="2.7109375" customWidth="1"/>
    <col min="16156" max="16156" width="15.42578125" bestFit="1" customWidth="1"/>
    <col min="16157" max="16160" width="14.42578125" customWidth="1"/>
  </cols>
  <sheetData>
    <row r="1" spans="1:21" s="31" customFormat="1" ht="15">
      <c r="A1" s="145"/>
      <c r="B1" s="145"/>
      <c r="C1" s="145"/>
      <c r="D1" s="145"/>
      <c r="E1" s="145"/>
      <c r="F1" s="145"/>
      <c r="G1" s="145"/>
      <c r="H1" s="145"/>
      <c r="I1" s="145"/>
      <c r="J1" s="145"/>
      <c r="K1" s="145"/>
      <c r="L1" s="145"/>
      <c r="M1" s="145"/>
      <c r="N1" s="145"/>
      <c r="O1" s="145"/>
      <c r="P1" s="145"/>
      <c r="Q1" s="145"/>
      <c r="R1" s="145"/>
      <c r="S1" s="145"/>
      <c r="T1" s="452"/>
    </row>
    <row r="2" spans="1:21" s="31" customFormat="1" ht="21">
      <c r="A2" s="572"/>
      <c r="B2" s="176" t="str">
        <f>IF(School="",Mssg1,School)</f>
        <v>Please enter school name on tab - "1) Name of School"</v>
      </c>
      <c r="C2" s="176"/>
      <c r="D2" s="49"/>
      <c r="E2" s="49"/>
      <c r="F2" s="49"/>
      <c r="G2" s="49"/>
      <c r="H2" s="49"/>
      <c r="I2" s="49"/>
      <c r="J2" s="49"/>
      <c r="K2" s="49"/>
      <c r="L2" s="49"/>
      <c r="M2" s="49"/>
      <c r="N2" s="49"/>
      <c r="O2" s="49"/>
      <c r="P2" s="49"/>
      <c r="Q2" s="49"/>
      <c r="R2" s="49"/>
      <c r="S2" s="49"/>
      <c r="T2" s="49"/>
    </row>
    <row r="3" spans="1:21" s="31" customFormat="1" ht="18.75" customHeight="1">
      <c r="A3" s="573"/>
      <c r="B3" s="176" t="str">
        <f>IF(CONTROL!J12=0,Mssg2,AcadYr1)</f>
        <v>2023-24</v>
      </c>
      <c r="C3" s="176"/>
      <c r="D3" s="49"/>
      <c r="E3" s="49"/>
      <c r="F3" s="49"/>
      <c r="G3" s="49"/>
      <c r="H3" s="49"/>
      <c r="I3" s="49"/>
      <c r="J3" s="49"/>
      <c r="K3" s="49"/>
      <c r="L3" s="49"/>
      <c r="M3" s="49"/>
      <c r="N3" s="49"/>
      <c r="O3" s="49"/>
      <c r="P3" s="49"/>
      <c r="Q3" s="49"/>
      <c r="R3" s="49"/>
      <c r="S3" s="49"/>
      <c r="T3" s="49"/>
      <c r="U3" s="150"/>
    </row>
    <row r="4" spans="1:21" s="31" customFormat="1" ht="10.5" customHeight="1">
      <c r="A4" s="573"/>
      <c r="B4" s="574"/>
      <c r="C4" s="574"/>
      <c r="D4" s="49"/>
      <c r="E4" s="49"/>
      <c r="F4" s="49"/>
      <c r="G4" s="49"/>
      <c r="H4" s="49"/>
      <c r="I4" s="49"/>
      <c r="J4" s="49"/>
      <c r="K4" s="49"/>
      <c r="L4" s="49"/>
      <c r="M4" s="49"/>
      <c r="N4" s="49"/>
      <c r="O4" s="49"/>
      <c r="P4" s="49"/>
      <c r="Q4" s="49"/>
      <c r="R4" s="49"/>
      <c r="S4" s="49"/>
      <c r="T4" s="49"/>
    </row>
    <row r="5" spans="1:21" s="31" customFormat="1" ht="9" customHeight="1">
      <c r="A5" s="573"/>
      <c r="B5" s="574"/>
      <c r="C5" s="574"/>
      <c r="D5" s="574"/>
      <c r="E5" s="574"/>
      <c r="F5" s="574"/>
      <c r="G5" s="574"/>
      <c r="H5" s="574"/>
      <c r="I5" s="574"/>
      <c r="J5" s="574"/>
      <c r="K5" s="574"/>
      <c r="L5" s="574"/>
      <c r="M5" s="574"/>
      <c r="N5" s="574"/>
      <c r="O5" s="574"/>
      <c r="P5" s="574"/>
      <c r="Q5" s="574"/>
      <c r="R5" s="574"/>
      <c r="S5" s="574"/>
    </row>
    <row r="6" spans="1:21" s="31" customFormat="1" ht="21">
      <c r="A6" s="573"/>
      <c r="B6" s="538" t="s">
        <v>319</v>
      </c>
      <c r="C6" s="539"/>
      <c r="D6" s="536"/>
      <c r="E6" s="536"/>
      <c r="F6" s="536"/>
      <c r="G6" s="536"/>
      <c r="H6" s="536"/>
      <c r="I6" s="536"/>
      <c r="J6" s="536"/>
      <c r="K6" s="536"/>
      <c r="L6" s="536"/>
      <c r="M6" s="536"/>
      <c r="N6" s="536"/>
      <c r="O6" s="536"/>
      <c r="P6" s="536"/>
      <c r="Q6" s="536"/>
      <c r="R6" s="536"/>
      <c r="S6" s="536"/>
      <c r="T6" s="540"/>
    </row>
    <row r="7" spans="1:21" s="31" customFormat="1" ht="15.75" customHeight="1">
      <c r="A7" s="146"/>
      <c r="B7" s="177"/>
      <c r="C7" s="567"/>
      <c r="D7" s="175"/>
      <c r="E7" s="146"/>
      <c r="F7" s="146"/>
      <c r="G7" s="146"/>
      <c r="H7" s="146"/>
      <c r="I7" s="146"/>
      <c r="J7" s="146"/>
      <c r="K7" s="146"/>
      <c r="L7" s="146"/>
      <c r="M7" s="146"/>
      <c r="N7" s="146"/>
      <c r="O7" s="146"/>
      <c r="P7" s="146"/>
      <c r="Q7" s="146"/>
      <c r="R7" s="146"/>
      <c r="S7" s="146"/>
    </row>
    <row r="8" spans="1:21" s="31" customFormat="1" ht="30">
      <c r="A8" s="146"/>
      <c r="B8" s="799" t="s">
        <v>343</v>
      </c>
      <c r="F8" s="1055" t="s">
        <v>514</v>
      </c>
      <c r="G8" s="1058"/>
      <c r="H8" s="1058"/>
      <c r="I8" s="1058"/>
      <c r="J8" s="1058"/>
      <c r="K8" s="1058"/>
      <c r="L8" s="1058"/>
      <c r="M8" s="1057"/>
      <c r="O8" s="1055" t="s">
        <v>515</v>
      </c>
      <c r="P8" s="1056"/>
      <c r="Q8" s="1056"/>
      <c r="R8" s="1057"/>
      <c r="S8"/>
      <c r="T8" s="799" t="s">
        <v>513</v>
      </c>
    </row>
    <row r="9" spans="1:21" s="31" customFormat="1" ht="15">
      <c r="A9" s="145"/>
      <c r="B9" s="800"/>
      <c r="C9" s="148"/>
      <c r="D9" s="148"/>
      <c r="E9" s="146"/>
      <c r="F9" s="146"/>
      <c r="G9" s="146"/>
      <c r="H9" s="146"/>
      <c r="I9" s="146"/>
      <c r="J9" s="146"/>
      <c r="K9" s="146"/>
      <c r="L9" s="146"/>
      <c r="M9" s="146"/>
      <c r="N9" s="146"/>
      <c r="O9" s="146"/>
      <c r="P9" s="146"/>
      <c r="Q9" s="146"/>
      <c r="R9" s="146"/>
      <c r="S9" s="146"/>
      <c r="T9" s="28"/>
    </row>
    <row r="10" spans="1:21" s="31" customFormat="1" ht="15">
      <c r="A10" s="145"/>
      <c r="B10" s="768" t="s">
        <v>158</v>
      </c>
      <c r="C10" s="148"/>
      <c r="D10" s="768" t="s">
        <v>327</v>
      </c>
      <c r="F10" s="605" t="s">
        <v>341</v>
      </c>
      <c r="G10" s="605"/>
      <c r="H10" s="605"/>
      <c r="I10" s="605"/>
      <c r="J10" s="605"/>
      <c r="K10" s="605"/>
      <c r="L10" s="605"/>
      <c r="M10" s="772"/>
      <c r="N10" s="146"/>
      <c r="O10" s="605" t="s">
        <v>342</v>
      </c>
      <c r="P10" s="774"/>
      <c r="Q10" s="774"/>
      <c r="R10" s="775"/>
      <c r="S10"/>
      <c r="T10" s="537" t="s">
        <v>163</v>
      </c>
    </row>
    <row r="11" spans="1:21" s="31" customFormat="1" ht="15" customHeight="1">
      <c r="A11" s="145"/>
      <c r="B11" s="1059"/>
      <c r="C11" s="29"/>
      <c r="D11" s="769" t="str">
        <f>PriorPeriod</f>
        <v>2022-23</v>
      </c>
      <c r="F11" s="604" t="s">
        <v>194</v>
      </c>
      <c r="G11" s="603"/>
      <c r="H11" s="604" t="s">
        <v>195</v>
      </c>
      <c r="I11" s="603"/>
      <c r="J11" s="604" t="s">
        <v>196</v>
      </c>
      <c r="K11" s="603"/>
      <c r="L11" s="604" t="s">
        <v>197</v>
      </c>
      <c r="M11" s="603"/>
      <c r="O11" s="604" t="s">
        <v>194</v>
      </c>
      <c r="P11" s="604" t="s">
        <v>195</v>
      </c>
      <c r="Q11" s="604" t="s">
        <v>196</v>
      </c>
      <c r="R11" s="604" t="s">
        <v>197</v>
      </c>
      <c r="S11"/>
      <c r="T11" s="170"/>
    </row>
    <row r="12" spans="1:21" s="31" customFormat="1" ht="15" customHeight="1">
      <c r="A12" s="145"/>
      <c r="B12" s="1060"/>
      <c r="C12" s="29"/>
      <c r="D12" s="770" t="s">
        <v>326</v>
      </c>
      <c r="F12" s="604" t="s">
        <v>344</v>
      </c>
      <c r="G12" s="604" t="s">
        <v>345</v>
      </c>
      <c r="H12" s="604" t="s">
        <v>344</v>
      </c>
      <c r="I12" s="604" t="s">
        <v>345</v>
      </c>
      <c r="J12" s="604" t="s">
        <v>344</v>
      </c>
      <c r="K12" s="604" t="s">
        <v>345</v>
      </c>
      <c r="L12" s="604" t="s">
        <v>344</v>
      </c>
      <c r="M12" s="604" t="s">
        <v>345</v>
      </c>
      <c r="O12" s="606" t="s">
        <v>307</v>
      </c>
      <c r="P12" s="606" t="s">
        <v>307</v>
      </c>
      <c r="Q12" s="606" t="s">
        <v>307</v>
      </c>
      <c r="R12" s="606" t="s">
        <v>307</v>
      </c>
      <c r="S12"/>
      <c r="T12" s="170"/>
    </row>
    <row r="13" spans="1:21" s="31" customFormat="1" ht="15">
      <c r="A13" s="145"/>
      <c r="B13" s="777" t="s">
        <v>110</v>
      </c>
      <c r="C13" s="541"/>
      <c r="D13" s="626"/>
      <c r="F13" s="626"/>
      <c r="G13" s="626"/>
      <c r="H13" s="626"/>
      <c r="I13" s="626"/>
      <c r="J13" s="626"/>
      <c r="K13" s="626"/>
      <c r="L13" s="626"/>
      <c r="M13" s="626"/>
      <c r="O13" s="626"/>
      <c r="P13" s="626"/>
      <c r="Q13" s="626"/>
      <c r="R13" s="626"/>
      <c r="S13"/>
      <c r="T13" s="170"/>
    </row>
    <row r="14" spans="1:21" s="31" customFormat="1" ht="15">
      <c r="A14" s="145"/>
      <c r="B14" s="777" t="s">
        <v>111</v>
      </c>
      <c r="C14" s="541"/>
      <c r="D14" s="626"/>
      <c r="F14" s="626"/>
      <c r="G14" s="626"/>
      <c r="H14" s="626"/>
      <c r="I14" s="626"/>
      <c r="J14" s="626"/>
      <c r="K14" s="626"/>
      <c r="L14" s="626"/>
      <c r="M14" s="626"/>
      <c r="O14" s="626"/>
      <c r="P14" s="626"/>
      <c r="Q14" s="626"/>
      <c r="R14" s="626"/>
      <c r="S14"/>
      <c r="T14" s="170"/>
    </row>
    <row r="15" spans="1:21" s="31" customFormat="1" ht="15">
      <c r="A15" s="145"/>
      <c r="B15" s="777" t="s">
        <v>112</v>
      </c>
      <c r="C15" s="541"/>
      <c r="D15" s="626"/>
      <c r="F15" s="626"/>
      <c r="G15" s="626"/>
      <c r="H15" s="626"/>
      <c r="I15" s="626"/>
      <c r="J15" s="626"/>
      <c r="K15" s="626"/>
      <c r="L15" s="626"/>
      <c r="M15" s="626"/>
      <c r="O15" s="626"/>
      <c r="P15" s="626"/>
      <c r="Q15" s="626"/>
      <c r="R15" s="626"/>
      <c r="S15"/>
      <c r="T15" s="170"/>
    </row>
    <row r="16" spans="1:21" s="31" customFormat="1" ht="15">
      <c r="A16" s="145"/>
      <c r="B16" s="777" t="s">
        <v>98</v>
      </c>
      <c r="C16" s="541"/>
      <c r="D16" s="626"/>
      <c r="F16" s="626"/>
      <c r="G16" s="626"/>
      <c r="H16" s="626"/>
      <c r="I16" s="626"/>
      <c r="J16" s="626"/>
      <c r="K16" s="626"/>
      <c r="L16" s="626"/>
      <c r="M16" s="626"/>
      <c r="O16" s="626"/>
      <c r="P16" s="626"/>
      <c r="Q16" s="626"/>
      <c r="R16" s="626"/>
      <c r="S16"/>
      <c r="T16" s="170"/>
    </row>
    <row r="17" spans="1:20" s="31" customFormat="1" ht="15">
      <c r="A17" s="145"/>
      <c r="B17" s="777" t="s">
        <v>99</v>
      </c>
      <c r="C17" s="541"/>
      <c r="D17" s="626"/>
      <c r="F17" s="626"/>
      <c r="G17" s="626"/>
      <c r="H17" s="626"/>
      <c r="I17" s="626"/>
      <c r="J17" s="626"/>
      <c r="K17" s="626"/>
      <c r="L17" s="626"/>
      <c r="M17" s="626"/>
      <c r="O17" s="626"/>
      <c r="P17" s="626"/>
      <c r="Q17" s="626"/>
      <c r="R17" s="626"/>
      <c r="S17"/>
      <c r="T17" s="170"/>
    </row>
    <row r="18" spans="1:20" s="31" customFormat="1" ht="15">
      <c r="A18" s="145"/>
      <c r="B18" s="777" t="s">
        <v>113</v>
      </c>
      <c r="C18" s="541"/>
      <c r="D18" s="626"/>
      <c r="F18" s="626"/>
      <c r="G18" s="626"/>
      <c r="H18" s="626"/>
      <c r="I18" s="626"/>
      <c r="J18" s="626"/>
      <c r="K18" s="626"/>
      <c r="L18" s="626"/>
      <c r="M18" s="626"/>
      <c r="O18" s="626"/>
      <c r="P18" s="626"/>
      <c r="Q18" s="626"/>
      <c r="R18" s="626"/>
      <c r="S18"/>
      <c r="T18" s="170"/>
    </row>
    <row r="19" spans="1:20" s="31" customFormat="1" ht="15">
      <c r="A19" s="145"/>
      <c r="B19" s="778" t="s">
        <v>75</v>
      </c>
      <c r="C19" s="542"/>
      <c r="D19" s="607">
        <f>SUM(D13:D18)</f>
        <v>0</v>
      </c>
      <c r="F19" s="607">
        <f t="shared" ref="F19:M19" si="0">SUM(F13:F18)</f>
        <v>0</v>
      </c>
      <c r="G19" s="607">
        <f t="shared" si="0"/>
        <v>0</v>
      </c>
      <c r="H19" s="607">
        <f t="shared" si="0"/>
        <v>0</v>
      </c>
      <c r="I19" s="607">
        <f t="shared" si="0"/>
        <v>0</v>
      </c>
      <c r="J19" s="607">
        <f t="shared" si="0"/>
        <v>0</v>
      </c>
      <c r="K19" s="607">
        <f t="shared" si="0"/>
        <v>0</v>
      </c>
      <c r="L19" s="607">
        <f t="shared" si="0"/>
        <v>0</v>
      </c>
      <c r="M19" s="607">
        <f t="shared" si="0"/>
        <v>0</v>
      </c>
      <c r="O19" s="607">
        <f>SUM(O13:O18)</f>
        <v>0</v>
      </c>
      <c r="P19" s="607">
        <f>SUM(P13:P18)</f>
        <v>0</v>
      </c>
      <c r="Q19" s="607">
        <f>SUM(Q13:Q18)</f>
        <v>0</v>
      </c>
      <c r="R19" s="607">
        <f>SUM(R13:R18)</f>
        <v>0</v>
      </c>
      <c r="S19" s="173"/>
      <c r="T19" s="170"/>
    </row>
    <row r="20" spans="1:20" s="31" customFormat="1" ht="15" customHeight="1">
      <c r="A20" s="145"/>
      <c r="B20" s="771"/>
      <c r="C20" s="26"/>
      <c r="D20" s="771"/>
      <c r="E20" s="521"/>
      <c r="F20" s="773"/>
      <c r="G20" s="773"/>
      <c r="H20" s="773"/>
      <c r="I20" s="773"/>
      <c r="J20" s="773"/>
      <c r="K20" s="773"/>
      <c r="L20" s="773"/>
      <c r="M20" s="773"/>
      <c r="N20" s="521"/>
      <c r="O20" s="776"/>
      <c r="P20" s="776"/>
      <c r="Q20" s="776"/>
      <c r="R20" s="776"/>
    </row>
    <row r="21" spans="1:20" s="31" customFormat="1" ht="15" customHeight="1">
      <c r="A21" s="145"/>
      <c r="B21" s="768" t="s">
        <v>159</v>
      </c>
      <c r="C21" s="26"/>
      <c r="D21" s="768" t="s">
        <v>327</v>
      </c>
      <c r="E21" s="521"/>
      <c r="F21" s="605" t="s">
        <v>341</v>
      </c>
      <c r="G21" s="605"/>
      <c r="H21" s="605"/>
      <c r="I21" s="605"/>
      <c r="J21" s="605"/>
      <c r="K21" s="605"/>
      <c r="L21" s="605"/>
      <c r="M21" s="772"/>
      <c r="N21" s="146"/>
      <c r="O21" s="605" t="s">
        <v>342</v>
      </c>
      <c r="P21" s="774"/>
      <c r="Q21" s="774"/>
      <c r="R21" s="775"/>
      <c r="T21" s="537" t="s">
        <v>163</v>
      </c>
    </row>
    <row r="22" spans="1:20" s="31" customFormat="1" ht="15" customHeight="1">
      <c r="A22" s="145"/>
      <c r="B22" s="1059"/>
      <c r="C22" s="26"/>
      <c r="D22" s="769" t="str">
        <f>PriorPeriod</f>
        <v>2022-23</v>
      </c>
      <c r="E22" s="521"/>
      <c r="F22" s="604" t="s">
        <v>194</v>
      </c>
      <c r="G22" s="603"/>
      <c r="H22" s="604" t="s">
        <v>195</v>
      </c>
      <c r="I22" s="603"/>
      <c r="J22" s="604" t="s">
        <v>196</v>
      </c>
      <c r="K22" s="603"/>
      <c r="L22" s="604" t="s">
        <v>197</v>
      </c>
      <c r="M22" s="603"/>
      <c r="N22" s="521"/>
      <c r="O22" s="604" t="s">
        <v>194</v>
      </c>
      <c r="P22" s="604" t="s">
        <v>195</v>
      </c>
      <c r="Q22" s="604" t="s">
        <v>196</v>
      </c>
      <c r="R22" s="604" t="s">
        <v>197</v>
      </c>
      <c r="S22" s="173"/>
      <c r="T22" s="170"/>
    </row>
    <row r="23" spans="1:20" s="31" customFormat="1" ht="15">
      <c r="A23" s="145"/>
      <c r="B23" s="1060"/>
      <c r="C23" s="29"/>
      <c r="D23" s="770" t="s">
        <v>326</v>
      </c>
      <c r="F23" s="604" t="s">
        <v>344</v>
      </c>
      <c r="G23" s="604" t="s">
        <v>345</v>
      </c>
      <c r="H23" s="604" t="s">
        <v>344</v>
      </c>
      <c r="I23" s="604" t="s">
        <v>345</v>
      </c>
      <c r="J23" s="604" t="s">
        <v>344</v>
      </c>
      <c r="K23" s="604" t="s">
        <v>345</v>
      </c>
      <c r="L23" s="604" t="s">
        <v>344</v>
      </c>
      <c r="M23" s="604" t="s">
        <v>345</v>
      </c>
      <c r="O23" s="606" t="s">
        <v>307</v>
      </c>
      <c r="P23" s="606" t="s">
        <v>307</v>
      </c>
      <c r="Q23" s="606" t="s">
        <v>307</v>
      </c>
      <c r="R23" s="606" t="s">
        <v>307</v>
      </c>
      <c r="T23" s="170"/>
    </row>
    <row r="24" spans="1:20" s="31" customFormat="1" ht="15" customHeight="1">
      <c r="A24" s="145"/>
      <c r="B24" s="777" t="s">
        <v>51</v>
      </c>
      <c r="C24" s="29"/>
      <c r="D24" s="626"/>
      <c r="F24" s="626"/>
      <c r="G24" s="626"/>
      <c r="H24" s="626"/>
      <c r="I24" s="626"/>
      <c r="J24" s="626"/>
      <c r="K24" s="626"/>
      <c r="L24" s="626"/>
      <c r="M24" s="626"/>
      <c r="O24" s="626"/>
      <c r="P24" s="626"/>
      <c r="Q24" s="626"/>
      <c r="R24" s="626"/>
      <c r="T24" s="170"/>
    </row>
    <row r="25" spans="1:20" s="31" customFormat="1" ht="15" customHeight="1">
      <c r="A25" s="145"/>
      <c r="B25" s="777" t="s">
        <v>52</v>
      </c>
      <c r="C25" s="29"/>
      <c r="D25" s="626"/>
      <c r="F25" s="626"/>
      <c r="G25" s="626"/>
      <c r="H25" s="626"/>
      <c r="I25" s="626"/>
      <c r="J25" s="626"/>
      <c r="K25" s="626"/>
      <c r="L25" s="626"/>
      <c r="M25" s="626"/>
      <c r="O25" s="626"/>
      <c r="P25" s="626"/>
      <c r="Q25" s="626"/>
      <c r="R25" s="626"/>
      <c r="T25" s="170"/>
    </row>
    <row r="26" spans="1:20" s="31" customFormat="1" ht="15" customHeight="1">
      <c r="A26" s="145"/>
      <c r="B26" s="777" t="s">
        <v>10</v>
      </c>
      <c r="C26" s="29"/>
      <c r="D26" s="626"/>
      <c r="F26" s="626"/>
      <c r="G26" s="626"/>
      <c r="H26" s="626"/>
      <c r="I26" s="626"/>
      <c r="J26" s="626"/>
      <c r="K26" s="626"/>
      <c r="L26" s="626"/>
      <c r="M26" s="626"/>
      <c r="O26" s="626"/>
      <c r="P26" s="626"/>
      <c r="Q26" s="626"/>
      <c r="R26" s="626"/>
      <c r="T26" s="170"/>
    </row>
    <row r="27" spans="1:20" s="31" customFormat="1" ht="15" customHeight="1">
      <c r="A27" s="145"/>
      <c r="B27" s="777" t="s">
        <v>11</v>
      </c>
      <c r="C27" s="29"/>
      <c r="D27" s="626"/>
      <c r="F27" s="626"/>
      <c r="G27" s="626"/>
      <c r="H27" s="626"/>
      <c r="I27" s="626"/>
      <c r="J27" s="626"/>
      <c r="K27" s="626"/>
      <c r="L27" s="626"/>
      <c r="M27" s="626"/>
      <c r="O27" s="626"/>
      <c r="P27" s="626"/>
      <c r="Q27" s="626"/>
      <c r="R27" s="626"/>
      <c r="T27" s="170"/>
    </row>
    <row r="28" spans="1:20" s="31" customFormat="1" ht="15" customHeight="1">
      <c r="A28" s="145"/>
      <c r="B28" s="777" t="s">
        <v>12</v>
      </c>
      <c r="C28" s="29"/>
      <c r="D28" s="626"/>
      <c r="F28" s="626"/>
      <c r="G28" s="626"/>
      <c r="H28" s="626"/>
      <c r="I28" s="626"/>
      <c r="J28" s="626"/>
      <c r="K28" s="626"/>
      <c r="L28" s="626"/>
      <c r="M28" s="626"/>
      <c r="O28" s="626"/>
      <c r="P28" s="626"/>
      <c r="Q28" s="626"/>
      <c r="R28" s="626"/>
      <c r="T28" s="170"/>
    </row>
    <row r="29" spans="1:20" s="31" customFormat="1" ht="15">
      <c r="A29" s="145"/>
      <c r="B29" s="777" t="s">
        <v>13</v>
      </c>
      <c r="C29" s="29"/>
      <c r="D29" s="626"/>
      <c r="F29" s="626"/>
      <c r="G29" s="626"/>
      <c r="H29" s="626"/>
      <c r="I29" s="626"/>
      <c r="J29" s="626"/>
      <c r="K29" s="626"/>
      <c r="L29" s="626"/>
      <c r="M29" s="626"/>
      <c r="O29" s="626"/>
      <c r="P29" s="626"/>
      <c r="Q29" s="626"/>
      <c r="R29" s="626"/>
      <c r="T29" s="170"/>
    </row>
    <row r="30" spans="1:20" s="31" customFormat="1" ht="15" customHeight="1">
      <c r="A30" s="145"/>
      <c r="B30" s="777" t="s">
        <v>73</v>
      </c>
      <c r="C30" s="29"/>
      <c r="D30" s="626"/>
      <c r="F30" s="626"/>
      <c r="G30" s="626"/>
      <c r="H30" s="626"/>
      <c r="I30" s="626"/>
      <c r="J30" s="626"/>
      <c r="K30" s="626"/>
      <c r="L30" s="626"/>
      <c r="M30" s="626"/>
      <c r="O30" s="626"/>
      <c r="P30" s="626"/>
      <c r="Q30" s="626"/>
      <c r="R30" s="626"/>
      <c r="T30" s="170"/>
    </row>
    <row r="31" spans="1:20" s="31" customFormat="1" ht="15" customHeight="1">
      <c r="A31" s="145"/>
      <c r="B31" s="777" t="s">
        <v>29</v>
      </c>
      <c r="C31" s="29"/>
      <c r="D31" s="626"/>
      <c r="F31" s="626"/>
      <c r="G31" s="626"/>
      <c r="H31" s="626"/>
      <c r="I31" s="626"/>
      <c r="J31" s="626"/>
      <c r="K31" s="626"/>
      <c r="L31" s="626"/>
      <c r="M31" s="626"/>
      <c r="O31" s="626"/>
      <c r="P31" s="626"/>
      <c r="Q31" s="626"/>
      <c r="R31" s="626"/>
      <c r="T31" s="170"/>
    </row>
    <row r="32" spans="1:20" s="31" customFormat="1" ht="20.100000000000001" customHeight="1">
      <c r="A32" s="145"/>
      <c r="B32" s="777" t="s">
        <v>78</v>
      </c>
      <c r="C32" s="29"/>
      <c r="D32" s="602">
        <f>SUM(D24:D31)</f>
        <v>0</v>
      </c>
      <c r="F32" s="602">
        <f t="shared" ref="F32:L32" si="1">SUM(F24:F31)</f>
        <v>0</v>
      </c>
      <c r="G32" s="602">
        <f t="shared" si="1"/>
        <v>0</v>
      </c>
      <c r="H32" s="602">
        <f t="shared" si="1"/>
        <v>0</v>
      </c>
      <c r="I32" s="602">
        <f t="shared" si="1"/>
        <v>0</v>
      </c>
      <c r="J32" s="602">
        <f t="shared" si="1"/>
        <v>0</v>
      </c>
      <c r="K32" s="602">
        <f t="shared" si="1"/>
        <v>0</v>
      </c>
      <c r="L32" s="602">
        <f t="shared" si="1"/>
        <v>0</v>
      </c>
      <c r="M32" s="602">
        <f>SUM(M24:M31)</f>
        <v>0</v>
      </c>
      <c r="O32" s="602">
        <f>SUM(O24:O31)</f>
        <v>0</v>
      </c>
      <c r="P32" s="602">
        <f>SUM(P24:P31)</f>
        <v>0</v>
      </c>
      <c r="Q32" s="602">
        <f>SUM(Q24:Q31)</f>
        <v>0</v>
      </c>
      <c r="R32" s="602">
        <f>SUM(R24:R31)</f>
        <v>0</v>
      </c>
      <c r="T32" s="170"/>
    </row>
    <row r="33" spans="1:20" s="31" customFormat="1" ht="15">
      <c r="A33" s="145"/>
      <c r="B33" s="771"/>
      <c r="C33" s="26"/>
      <c r="D33" s="771"/>
      <c r="E33" s="521"/>
      <c r="F33" s="773"/>
      <c r="G33" s="773"/>
      <c r="H33" s="773"/>
      <c r="I33" s="773"/>
      <c r="J33" s="773"/>
      <c r="K33" s="773"/>
      <c r="L33" s="773"/>
      <c r="M33" s="773"/>
      <c r="N33" s="521"/>
      <c r="O33" s="776"/>
      <c r="P33" s="776"/>
      <c r="Q33" s="776"/>
      <c r="R33" s="776"/>
      <c r="S33" s="521"/>
      <c r="T33" s="27"/>
    </row>
    <row r="34" spans="1:20" s="31" customFormat="1" ht="15">
      <c r="A34" s="145"/>
      <c r="B34" s="768" t="s">
        <v>160</v>
      </c>
      <c r="C34" s="26"/>
      <c r="D34" s="768" t="s">
        <v>327</v>
      </c>
      <c r="E34" s="521"/>
      <c r="F34" s="605" t="s">
        <v>341</v>
      </c>
      <c r="G34" s="605"/>
      <c r="H34" s="605"/>
      <c r="I34" s="605"/>
      <c r="J34" s="605"/>
      <c r="K34" s="605"/>
      <c r="L34" s="605"/>
      <c r="M34" s="772"/>
      <c r="N34" s="521"/>
      <c r="O34" s="605" t="s">
        <v>342</v>
      </c>
      <c r="P34" s="774"/>
      <c r="Q34" s="774"/>
      <c r="R34" s="775"/>
      <c r="S34" s="521"/>
      <c r="T34" s="537" t="s">
        <v>163</v>
      </c>
    </row>
    <row r="35" spans="1:20" s="31" customFormat="1" ht="15" customHeight="1">
      <c r="A35" s="145"/>
      <c r="B35" s="1059"/>
      <c r="C35" s="26"/>
      <c r="D35" s="769" t="str">
        <f>PriorPeriod</f>
        <v>2022-23</v>
      </c>
      <c r="E35" s="521"/>
      <c r="F35" s="604" t="s">
        <v>194</v>
      </c>
      <c r="G35" s="603"/>
      <c r="H35" s="604" t="s">
        <v>195</v>
      </c>
      <c r="I35" s="603"/>
      <c r="J35" s="604" t="s">
        <v>196</v>
      </c>
      <c r="K35" s="603"/>
      <c r="L35" s="604" t="s">
        <v>197</v>
      </c>
      <c r="M35" s="603"/>
      <c r="N35" s="521"/>
      <c r="O35" s="604" t="s">
        <v>194</v>
      </c>
      <c r="P35" s="604" t="s">
        <v>195</v>
      </c>
      <c r="Q35" s="604" t="s">
        <v>196</v>
      </c>
      <c r="R35" s="604" t="s">
        <v>197</v>
      </c>
      <c r="S35" s="521"/>
      <c r="T35" s="170"/>
    </row>
    <row r="36" spans="1:20" s="31" customFormat="1" ht="15">
      <c r="A36" s="145"/>
      <c r="B36" s="1060"/>
      <c r="C36" s="29"/>
      <c r="D36" s="770" t="s">
        <v>326</v>
      </c>
      <c r="E36" s="520"/>
      <c r="F36" s="604" t="s">
        <v>344</v>
      </c>
      <c r="G36" s="604" t="s">
        <v>345</v>
      </c>
      <c r="H36" s="604" t="s">
        <v>344</v>
      </c>
      <c r="I36" s="604" t="s">
        <v>345</v>
      </c>
      <c r="J36" s="604" t="s">
        <v>344</v>
      </c>
      <c r="K36" s="604" t="s">
        <v>345</v>
      </c>
      <c r="L36" s="604" t="s">
        <v>344</v>
      </c>
      <c r="M36" s="604" t="s">
        <v>345</v>
      </c>
      <c r="O36" s="606" t="s">
        <v>307</v>
      </c>
      <c r="P36" s="606" t="s">
        <v>307</v>
      </c>
      <c r="Q36" s="606" t="s">
        <v>307</v>
      </c>
      <c r="R36" s="606" t="s">
        <v>307</v>
      </c>
      <c r="S36" s="520"/>
      <c r="T36" s="170"/>
    </row>
    <row r="37" spans="1:20" s="31" customFormat="1" ht="15" customHeight="1">
      <c r="A37" s="145"/>
      <c r="B37" s="777" t="s">
        <v>100</v>
      </c>
      <c r="C37" s="29"/>
      <c r="D37" s="626"/>
      <c r="E37" s="520"/>
      <c r="F37" s="626"/>
      <c r="G37" s="626"/>
      <c r="H37" s="626"/>
      <c r="I37" s="626"/>
      <c r="J37" s="626"/>
      <c r="K37" s="626"/>
      <c r="L37" s="626"/>
      <c r="M37" s="626"/>
      <c r="N37" s="520"/>
      <c r="O37" s="626"/>
      <c r="P37" s="626"/>
      <c r="Q37" s="626"/>
      <c r="R37" s="626"/>
      <c r="S37" s="149"/>
      <c r="T37" s="170"/>
    </row>
    <row r="38" spans="1:20" s="31" customFormat="1" ht="15" customHeight="1">
      <c r="A38" s="145"/>
      <c r="B38" s="777" t="s">
        <v>101</v>
      </c>
      <c r="C38" s="29"/>
      <c r="D38" s="626"/>
      <c r="E38" s="520"/>
      <c r="F38" s="626"/>
      <c r="G38" s="626"/>
      <c r="H38" s="626"/>
      <c r="I38" s="626"/>
      <c r="J38" s="626"/>
      <c r="K38" s="626"/>
      <c r="L38" s="626"/>
      <c r="M38" s="626"/>
      <c r="N38" s="520"/>
      <c r="O38" s="626"/>
      <c r="P38" s="626"/>
      <c r="Q38" s="626"/>
      <c r="R38" s="626"/>
      <c r="S38" s="149"/>
      <c r="T38" s="170"/>
    </row>
    <row r="39" spans="1:20" s="31" customFormat="1" ht="15" customHeight="1">
      <c r="A39" s="145"/>
      <c r="B39" s="777" t="s">
        <v>102</v>
      </c>
      <c r="C39" s="29"/>
      <c r="D39" s="626"/>
      <c r="E39" s="520"/>
      <c r="F39" s="626"/>
      <c r="G39" s="626"/>
      <c r="H39" s="626"/>
      <c r="I39" s="626"/>
      <c r="J39" s="626"/>
      <c r="K39" s="626"/>
      <c r="L39" s="626"/>
      <c r="M39" s="626"/>
      <c r="N39" s="520"/>
      <c r="O39" s="626"/>
      <c r="P39" s="626"/>
      <c r="Q39" s="626"/>
      <c r="R39" s="626"/>
      <c r="S39" s="149"/>
      <c r="T39" s="170"/>
    </row>
    <row r="40" spans="1:20" s="31" customFormat="1" ht="15" customHeight="1">
      <c r="A40" s="145"/>
      <c r="B40" s="777" t="s">
        <v>7</v>
      </c>
      <c r="C40" s="29"/>
      <c r="D40" s="626"/>
      <c r="E40" s="520"/>
      <c r="F40" s="626"/>
      <c r="G40" s="626"/>
      <c r="H40" s="626"/>
      <c r="I40" s="626"/>
      <c r="J40" s="626"/>
      <c r="K40" s="626"/>
      <c r="L40" s="626"/>
      <c r="M40" s="626"/>
      <c r="N40" s="520"/>
      <c r="O40" s="626"/>
      <c r="P40" s="626"/>
      <c r="Q40" s="626"/>
      <c r="R40" s="626"/>
      <c r="S40" s="149"/>
      <c r="T40" s="170"/>
    </row>
    <row r="41" spans="1:20" s="31" customFormat="1" ht="15" customHeight="1">
      <c r="A41" s="145"/>
      <c r="B41" s="777" t="s">
        <v>29</v>
      </c>
      <c r="C41" s="29"/>
      <c r="D41" s="626"/>
      <c r="E41" s="520"/>
      <c r="F41" s="626"/>
      <c r="G41" s="626"/>
      <c r="H41" s="626"/>
      <c r="I41" s="626"/>
      <c r="J41" s="626"/>
      <c r="K41" s="626"/>
      <c r="L41" s="626"/>
      <c r="M41" s="626"/>
      <c r="N41" s="520"/>
      <c r="O41" s="626"/>
      <c r="P41" s="626"/>
      <c r="Q41" s="626"/>
      <c r="R41" s="626"/>
      <c r="S41" s="149"/>
      <c r="T41" s="170"/>
    </row>
    <row r="42" spans="1:20" s="31" customFormat="1" ht="20.100000000000001" customHeight="1">
      <c r="A42" s="145"/>
      <c r="B42" s="778" t="s">
        <v>80</v>
      </c>
      <c r="C42" s="29"/>
      <c r="D42" s="607">
        <f t="shared" ref="D42:M42" si="2">SUM(D37:D41)</f>
        <v>0</v>
      </c>
      <c r="E42" s="520"/>
      <c r="F42" s="607">
        <f t="shared" si="2"/>
        <v>0</v>
      </c>
      <c r="G42" s="607">
        <f t="shared" si="2"/>
        <v>0</v>
      </c>
      <c r="H42" s="607">
        <f t="shared" si="2"/>
        <v>0</v>
      </c>
      <c r="I42" s="607">
        <f t="shared" si="2"/>
        <v>0</v>
      </c>
      <c r="J42" s="607">
        <f t="shared" si="2"/>
        <v>0</v>
      </c>
      <c r="K42" s="607">
        <f t="shared" si="2"/>
        <v>0</v>
      </c>
      <c r="L42" s="607">
        <f t="shared" si="2"/>
        <v>0</v>
      </c>
      <c r="M42" s="607">
        <f t="shared" si="2"/>
        <v>0</v>
      </c>
      <c r="N42" s="520"/>
      <c r="O42" s="607">
        <f>SUM(O37:O41)</f>
        <v>0</v>
      </c>
      <c r="P42" s="607">
        <f>SUM(P37:P41)</f>
        <v>0</v>
      </c>
      <c r="Q42" s="607">
        <f>SUM(Q37:Q41)</f>
        <v>0</v>
      </c>
      <c r="R42" s="607">
        <f>SUM(R37:R41)</f>
        <v>0</v>
      </c>
      <c r="S42" s="149"/>
      <c r="T42" s="170"/>
    </row>
    <row r="43" spans="1:20" s="31" customFormat="1" ht="15">
      <c r="A43" s="145"/>
      <c r="B43" s="771"/>
      <c r="C43" s="26"/>
      <c r="D43" s="771"/>
      <c r="E43" s="521"/>
      <c r="F43" s="773"/>
      <c r="G43" s="773"/>
      <c r="H43" s="773"/>
      <c r="I43" s="773"/>
      <c r="J43" s="773"/>
      <c r="K43" s="773"/>
      <c r="L43" s="773"/>
      <c r="M43" s="773"/>
      <c r="N43" s="521"/>
      <c r="O43" s="776"/>
      <c r="P43" s="776"/>
      <c r="Q43" s="776"/>
      <c r="R43" s="776"/>
      <c r="S43" s="521"/>
      <c r="T43" s="27"/>
    </row>
    <row r="44" spans="1:20" s="31" customFormat="1" ht="20.100000000000001" customHeight="1">
      <c r="A44" s="147"/>
      <c r="B44" s="779" t="s">
        <v>157</v>
      </c>
      <c r="C44" s="29"/>
      <c r="D44" s="607">
        <f>D19+D32+D42</f>
        <v>0</v>
      </c>
      <c r="E44" s="520"/>
      <c r="F44" s="607">
        <f t="shared" ref="F44:M44" si="3">F19+F32+F42</f>
        <v>0</v>
      </c>
      <c r="G44" s="607">
        <f t="shared" si="3"/>
        <v>0</v>
      </c>
      <c r="H44" s="607">
        <f t="shared" si="3"/>
        <v>0</v>
      </c>
      <c r="I44" s="607">
        <f t="shared" si="3"/>
        <v>0</v>
      </c>
      <c r="J44" s="607">
        <f t="shared" si="3"/>
        <v>0</v>
      </c>
      <c r="K44" s="607">
        <f t="shared" si="3"/>
        <v>0</v>
      </c>
      <c r="L44" s="607">
        <f t="shared" si="3"/>
        <v>0</v>
      </c>
      <c r="M44" s="607">
        <f t="shared" si="3"/>
        <v>0</v>
      </c>
      <c r="N44" s="520"/>
      <c r="O44" s="607">
        <f>O19+O32+O42</f>
        <v>0</v>
      </c>
      <c r="P44" s="607">
        <f>P19+P32+P42</f>
        <v>0</v>
      </c>
      <c r="Q44" s="607">
        <f>Q19+Q32+Q42</f>
        <v>0</v>
      </c>
      <c r="R44" s="607">
        <f>R19+R32+R42</f>
        <v>0</v>
      </c>
      <c r="S44" s="149"/>
      <c r="T44" s="170"/>
    </row>
    <row r="45" spans="1:20" s="31" customFormat="1" ht="15">
      <c r="A45" s="147"/>
      <c r="B45" s="172"/>
      <c r="C45" s="172"/>
      <c r="D45" s="173"/>
      <c r="E45" s="174"/>
      <c r="F45" s="174"/>
      <c r="G45" s="174"/>
      <c r="H45" s="174"/>
      <c r="I45" s="174"/>
      <c r="J45" s="174"/>
      <c r="K45" s="174"/>
      <c r="L45" s="174"/>
      <c r="M45" s="174"/>
      <c r="N45" s="174"/>
      <c r="O45" s="174"/>
      <c r="P45" s="174"/>
      <c r="Q45" s="174"/>
      <c r="R45" s="174"/>
      <c r="S45" s="174"/>
      <c r="T45" s="173"/>
    </row>
    <row r="46" spans="1:20" s="31" customFormat="1">
      <c r="A46"/>
      <c r="B46"/>
      <c r="C46"/>
      <c r="D46"/>
      <c r="E46"/>
      <c r="F46"/>
      <c r="G46"/>
      <c r="H46"/>
      <c r="I46"/>
      <c r="J46"/>
      <c r="K46"/>
      <c r="L46"/>
      <c r="M46"/>
      <c r="N46"/>
      <c r="O46"/>
      <c r="P46"/>
      <c r="Q46"/>
      <c r="R46"/>
      <c r="S46"/>
      <c r="T46"/>
    </row>
    <row r="47" spans="1:20" s="31" customFormat="1">
      <c r="B47"/>
      <c r="C47"/>
      <c r="D47"/>
      <c r="E47"/>
      <c r="F47"/>
      <c r="G47"/>
      <c r="H47"/>
      <c r="I47"/>
      <c r="J47"/>
      <c r="K47"/>
      <c r="L47"/>
      <c r="M47"/>
      <c r="N47"/>
      <c r="O47"/>
      <c r="P47"/>
      <c r="Q47"/>
      <c r="R47"/>
      <c r="S47"/>
      <c r="T47"/>
    </row>
    <row r="48" spans="1:20" s="31" customFormat="1" ht="15" customHeight="1">
      <c r="B48"/>
      <c r="C48"/>
      <c r="D48"/>
      <c r="E48"/>
      <c r="F48"/>
      <c r="G48"/>
      <c r="H48"/>
      <c r="I48"/>
      <c r="J48"/>
      <c r="K48"/>
      <c r="L48"/>
      <c r="M48"/>
      <c r="N48"/>
      <c r="O48"/>
      <c r="P48"/>
      <c r="Q48"/>
      <c r="R48"/>
      <c r="S48"/>
      <c r="T48"/>
    </row>
    <row r="49" spans="2:20" s="31" customFormat="1" ht="15" customHeight="1">
      <c r="B49"/>
      <c r="C49"/>
      <c r="D49"/>
      <c r="E49"/>
      <c r="F49"/>
      <c r="G49"/>
      <c r="H49"/>
      <c r="I49"/>
      <c r="J49"/>
      <c r="K49"/>
      <c r="L49"/>
      <c r="M49"/>
      <c r="N49"/>
      <c r="O49"/>
      <c r="P49"/>
      <c r="Q49"/>
      <c r="R49"/>
      <c r="S49"/>
      <c r="T49"/>
    </row>
    <row r="50" spans="2:20" s="31" customFormat="1" ht="15" customHeight="1">
      <c r="B50"/>
      <c r="C50"/>
      <c r="D50"/>
      <c r="E50"/>
      <c r="F50"/>
      <c r="G50"/>
      <c r="H50"/>
      <c r="I50"/>
      <c r="J50"/>
      <c r="K50"/>
      <c r="L50"/>
      <c r="M50"/>
      <c r="N50"/>
      <c r="O50"/>
      <c r="P50"/>
      <c r="Q50"/>
      <c r="R50"/>
      <c r="S50"/>
      <c r="T50"/>
    </row>
    <row r="51" spans="2:20" s="31" customFormat="1" ht="15" customHeight="1">
      <c r="B51"/>
      <c r="C51"/>
      <c r="D51"/>
      <c r="E51"/>
      <c r="F51"/>
      <c r="G51"/>
      <c r="H51"/>
      <c r="I51"/>
      <c r="J51"/>
      <c r="K51"/>
      <c r="L51"/>
      <c r="M51"/>
      <c r="N51"/>
      <c r="O51"/>
      <c r="P51"/>
      <c r="Q51"/>
      <c r="R51"/>
      <c r="S51"/>
      <c r="T51"/>
    </row>
    <row r="52" spans="2:20" s="31" customFormat="1">
      <c r="B52"/>
      <c r="C52"/>
      <c r="D52"/>
      <c r="E52"/>
      <c r="F52"/>
      <c r="G52"/>
      <c r="H52"/>
      <c r="I52"/>
      <c r="J52"/>
      <c r="K52"/>
      <c r="L52"/>
      <c r="M52"/>
      <c r="N52"/>
      <c r="O52"/>
      <c r="P52"/>
      <c r="Q52"/>
      <c r="R52"/>
      <c r="S52"/>
      <c r="T52"/>
    </row>
    <row r="53" spans="2:20" s="31" customFormat="1">
      <c r="B53"/>
      <c r="C53"/>
      <c r="D53"/>
      <c r="E53"/>
      <c r="F53"/>
      <c r="G53"/>
      <c r="H53"/>
      <c r="I53"/>
      <c r="J53"/>
      <c r="K53"/>
      <c r="L53"/>
      <c r="M53"/>
      <c r="N53"/>
      <c r="O53"/>
      <c r="P53"/>
      <c r="Q53"/>
      <c r="R53"/>
      <c r="S53"/>
      <c r="T53"/>
    </row>
    <row r="54" spans="2:20" s="31" customFormat="1">
      <c r="B54"/>
      <c r="C54"/>
      <c r="D54"/>
      <c r="E54"/>
      <c r="F54"/>
      <c r="G54"/>
      <c r="H54"/>
      <c r="I54"/>
      <c r="J54"/>
      <c r="K54"/>
      <c r="L54"/>
      <c r="M54"/>
      <c r="N54"/>
      <c r="O54"/>
      <c r="P54"/>
      <c r="Q54"/>
      <c r="R54"/>
      <c r="S54"/>
      <c r="T54"/>
    </row>
    <row r="55" spans="2:20" s="31" customFormat="1">
      <c r="B55"/>
      <c r="C55"/>
      <c r="D55"/>
      <c r="E55"/>
      <c r="F55"/>
      <c r="G55"/>
      <c r="H55"/>
      <c r="I55"/>
      <c r="J55"/>
      <c r="K55"/>
      <c r="L55"/>
      <c r="M55"/>
      <c r="N55"/>
      <c r="O55"/>
      <c r="P55"/>
      <c r="Q55"/>
      <c r="R55"/>
      <c r="S55"/>
      <c r="T55"/>
    </row>
    <row r="56" spans="2:20" s="31" customFormat="1">
      <c r="B56"/>
      <c r="C56"/>
      <c r="D56"/>
      <c r="E56"/>
      <c r="F56"/>
      <c r="G56"/>
      <c r="H56"/>
      <c r="I56"/>
      <c r="J56"/>
      <c r="K56"/>
      <c r="L56"/>
      <c r="M56"/>
      <c r="N56"/>
      <c r="O56"/>
      <c r="P56"/>
      <c r="Q56"/>
      <c r="R56"/>
      <c r="S56"/>
      <c r="T56"/>
    </row>
    <row r="57" spans="2:20" s="31" customFormat="1">
      <c r="B57"/>
      <c r="C57"/>
      <c r="D57"/>
      <c r="E57"/>
      <c r="F57"/>
      <c r="G57"/>
      <c r="H57"/>
      <c r="I57"/>
      <c r="J57"/>
      <c r="K57"/>
      <c r="L57"/>
      <c r="M57"/>
      <c r="N57"/>
      <c r="O57"/>
      <c r="P57"/>
      <c r="Q57"/>
      <c r="R57"/>
      <c r="S57"/>
      <c r="T57"/>
    </row>
    <row r="58" spans="2:20" s="31" customFormat="1">
      <c r="B58"/>
      <c r="C58"/>
      <c r="D58"/>
      <c r="E58"/>
      <c r="F58"/>
      <c r="G58"/>
      <c r="H58"/>
      <c r="I58"/>
      <c r="J58"/>
      <c r="K58"/>
      <c r="L58"/>
      <c r="M58"/>
      <c r="N58"/>
      <c r="O58"/>
      <c r="P58"/>
      <c r="Q58"/>
      <c r="R58"/>
      <c r="S58"/>
      <c r="T58"/>
    </row>
    <row r="59" spans="2:20" s="31" customFormat="1">
      <c r="B59"/>
      <c r="C59"/>
      <c r="D59"/>
      <c r="E59"/>
      <c r="F59"/>
      <c r="G59"/>
      <c r="H59"/>
      <c r="I59"/>
      <c r="J59"/>
      <c r="K59"/>
      <c r="L59"/>
      <c r="M59"/>
      <c r="N59"/>
      <c r="O59"/>
      <c r="P59"/>
      <c r="Q59"/>
      <c r="R59"/>
      <c r="S59"/>
      <c r="T59"/>
    </row>
    <row r="60" spans="2:20" s="31" customFormat="1" ht="15" customHeight="1">
      <c r="B60"/>
      <c r="C60"/>
      <c r="D60"/>
      <c r="E60"/>
      <c r="F60"/>
      <c r="G60"/>
      <c r="H60"/>
      <c r="I60"/>
      <c r="J60"/>
      <c r="K60"/>
      <c r="L60"/>
      <c r="M60"/>
      <c r="N60"/>
      <c r="O60"/>
      <c r="P60"/>
      <c r="Q60"/>
      <c r="R60"/>
      <c r="S60"/>
      <c r="T60"/>
    </row>
    <row r="61" spans="2:20" s="31" customFormat="1">
      <c r="B61"/>
      <c r="C61"/>
      <c r="D61"/>
      <c r="E61"/>
      <c r="F61"/>
      <c r="G61"/>
      <c r="H61"/>
      <c r="I61"/>
      <c r="J61"/>
      <c r="K61"/>
      <c r="L61"/>
      <c r="M61"/>
      <c r="N61"/>
      <c r="O61"/>
      <c r="P61"/>
      <c r="Q61"/>
      <c r="R61"/>
      <c r="S61"/>
      <c r="T61"/>
    </row>
    <row r="62" spans="2:20" s="31" customFormat="1">
      <c r="B62"/>
      <c r="C62"/>
      <c r="D62"/>
      <c r="E62"/>
      <c r="F62"/>
      <c r="G62"/>
      <c r="H62"/>
      <c r="I62"/>
      <c r="J62"/>
      <c r="K62"/>
      <c r="L62"/>
      <c r="M62"/>
      <c r="N62"/>
      <c r="O62"/>
      <c r="P62"/>
      <c r="Q62"/>
      <c r="R62"/>
      <c r="S62"/>
      <c r="T62"/>
    </row>
    <row r="63" spans="2:20" s="31" customFormat="1">
      <c r="B63"/>
      <c r="C63"/>
      <c r="D63"/>
      <c r="E63"/>
      <c r="F63"/>
      <c r="G63"/>
      <c r="H63"/>
      <c r="I63"/>
      <c r="J63"/>
      <c r="K63"/>
      <c r="L63"/>
      <c r="M63"/>
      <c r="N63"/>
      <c r="O63"/>
      <c r="P63"/>
      <c r="Q63"/>
      <c r="R63"/>
      <c r="S63"/>
      <c r="T63"/>
    </row>
    <row r="64" spans="2:20" s="31" customFormat="1">
      <c r="B64"/>
      <c r="C64"/>
      <c r="D64"/>
      <c r="E64"/>
      <c r="F64"/>
      <c r="G64"/>
      <c r="H64"/>
      <c r="I64"/>
      <c r="J64"/>
      <c r="K64"/>
      <c r="L64"/>
      <c r="M64"/>
      <c r="N64"/>
      <c r="O64"/>
      <c r="P64"/>
      <c r="Q64"/>
      <c r="R64"/>
      <c r="S64"/>
      <c r="T64"/>
    </row>
    <row r="65" spans="2:20" s="31" customFormat="1">
      <c r="B65"/>
      <c r="C65"/>
      <c r="D65"/>
      <c r="E65"/>
      <c r="F65"/>
      <c r="G65"/>
      <c r="H65"/>
      <c r="I65"/>
      <c r="J65"/>
      <c r="K65"/>
      <c r="L65"/>
      <c r="M65"/>
      <c r="N65"/>
      <c r="O65"/>
      <c r="P65"/>
      <c r="Q65"/>
      <c r="R65"/>
      <c r="S65"/>
      <c r="T65"/>
    </row>
    <row r="66" spans="2:20" s="31" customFormat="1">
      <c r="B66"/>
      <c r="C66"/>
      <c r="D66"/>
      <c r="E66"/>
      <c r="F66"/>
      <c r="G66"/>
      <c r="H66"/>
      <c r="I66"/>
      <c r="J66"/>
      <c r="K66"/>
      <c r="L66"/>
      <c r="M66"/>
      <c r="N66"/>
      <c r="O66"/>
      <c r="P66"/>
      <c r="Q66"/>
      <c r="R66"/>
      <c r="S66"/>
      <c r="T66"/>
    </row>
    <row r="67" spans="2:20" s="31" customFormat="1">
      <c r="B67"/>
      <c r="C67"/>
      <c r="D67"/>
      <c r="E67"/>
      <c r="F67"/>
      <c r="G67"/>
      <c r="H67"/>
      <c r="I67"/>
      <c r="J67"/>
      <c r="K67"/>
      <c r="L67"/>
      <c r="M67"/>
      <c r="N67"/>
      <c r="O67"/>
      <c r="P67"/>
      <c r="Q67"/>
      <c r="R67"/>
      <c r="S67"/>
      <c r="T67"/>
    </row>
    <row r="68" spans="2:20" s="31" customFormat="1">
      <c r="B68"/>
      <c r="C68"/>
      <c r="D68"/>
      <c r="E68"/>
      <c r="F68"/>
      <c r="G68"/>
      <c r="H68"/>
      <c r="I68"/>
      <c r="J68"/>
      <c r="K68"/>
      <c r="L68"/>
      <c r="M68"/>
      <c r="N68"/>
      <c r="O68"/>
      <c r="P68"/>
      <c r="Q68"/>
      <c r="R68"/>
      <c r="S68"/>
      <c r="T68"/>
    </row>
    <row r="69" spans="2:20" s="31" customFormat="1">
      <c r="B69"/>
      <c r="C69"/>
      <c r="D69"/>
      <c r="E69"/>
      <c r="F69"/>
      <c r="G69"/>
      <c r="H69"/>
      <c r="I69"/>
      <c r="J69"/>
      <c r="K69"/>
      <c r="L69"/>
      <c r="M69"/>
      <c r="N69"/>
      <c r="O69"/>
      <c r="P69"/>
      <c r="Q69"/>
      <c r="R69"/>
      <c r="S69"/>
      <c r="T69"/>
    </row>
    <row r="70" spans="2:20" s="31" customFormat="1">
      <c r="B70"/>
      <c r="C70"/>
      <c r="D70"/>
      <c r="E70"/>
      <c r="F70"/>
      <c r="G70"/>
      <c r="H70"/>
      <c r="I70"/>
      <c r="J70"/>
      <c r="K70"/>
      <c r="L70"/>
      <c r="M70"/>
      <c r="N70"/>
      <c r="O70"/>
      <c r="P70"/>
      <c r="Q70"/>
      <c r="R70"/>
      <c r="S70"/>
      <c r="T70"/>
    </row>
    <row r="71" spans="2:20" s="31" customFormat="1">
      <c r="B71"/>
      <c r="C71"/>
      <c r="D71"/>
      <c r="E71"/>
      <c r="F71"/>
      <c r="G71"/>
      <c r="H71"/>
      <c r="I71"/>
      <c r="J71"/>
      <c r="K71"/>
      <c r="L71"/>
      <c r="M71"/>
      <c r="N71"/>
      <c r="O71"/>
      <c r="P71"/>
      <c r="Q71"/>
      <c r="R71"/>
      <c r="S71"/>
      <c r="T71"/>
    </row>
    <row r="72" spans="2:20" s="31" customFormat="1">
      <c r="B72"/>
      <c r="C72"/>
      <c r="D72"/>
      <c r="E72"/>
      <c r="F72"/>
      <c r="G72"/>
      <c r="H72"/>
      <c r="I72"/>
      <c r="J72"/>
      <c r="K72"/>
      <c r="L72"/>
      <c r="M72"/>
      <c r="N72"/>
      <c r="O72"/>
      <c r="P72"/>
      <c r="Q72"/>
      <c r="R72"/>
      <c r="S72"/>
      <c r="T72"/>
    </row>
    <row r="73" spans="2:20" s="31" customFormat="1">
      <c r="B73"/>
      <c r="C73"/>
      <c r="D73"/>
      <c r="E73"/>
      <c r="F73"/>
      <c r="G73"/>
      <c r="H73"/>
      <c r="I73"/>
      <c r="J73"/>
      <c r="K73"/>
      <c r="L73"/>
      <c r="M73"/>
      <c r="N73"/>
      <c r="O73"/>
      <c r="P73"/>
      <c r="Q73"/>
      <c r="R73"/>
      <c r="S73"/>
      <c r="T73"/>
    </row>
    <row r="74" spans="2:20" s="31" customFormat="1">
      <c r="B74"/>
      <c r="C74"/>
      <c r="D74"/>
      <c r="E74"/>
      <c r="F74"/>
      <c r="G74"/>
      <c r="H74"/>
      <c r="I74"/>
      <c r="J74"/>
      <c r="K74"/>
      <c r="L74"/>
      <c r="M74"/>
      <c r="N74"/>
      <c r="O74"/>
      <c r="P74"/>
      <c r="Q74"/>
      <c r="R74"/>
      <c r="S74"/>
      <c r="T74"/>
    </row>
    <row r="75" spans="2:20" s="31" customFormat="1">
      <c r="B75"/>
      <c r="C75"/>
      <c r="D75"/>
      <c r="E75"/>
      <c r="F75"/>
      <c r="G75"/>
      <c r="H75"/>
      <c r="I75"/>
      <c r="J75"/>
      <c r="K75"/>
      <c r="L75"/>
      <c r="M75"/>
      <c r="N75"/>
      <c r="O75"/>
      <c r="P75"/>
      <c r="Q75"/>
      <c r="R75"/>
      <c r="S75"/>
      <c r="T75"/>
    </row>
    <row r="76" spans="2:20" s="31" customFormat="1">
      <c r="B76"/>
      <c r="C76"/>
      <c r="D76"/>
      <c r="E76"/>
      <c r="F76"/>
      <c r="G76"/>
      <c r="H76"/>
      <c r="I76"/>
      <c r="J76"/>
      <c r="K76"/>
      <c r="L76"/>
      <c r="M76"/>
      <c r="N76"/>
      <c r="O76"/>
      <c r="P76"/>
      <c r="Q76"/>
      <c r="R76"/>
      <c r="S76"/>
      <c r="T76"/>
    </row>
    <row r="77" spans="2:20" s="31" customFormat="1">
      <c r="B77"/>
      <c r="C77"/>
      <c r="D77"/>
      <c r="E77"/>
      <c r="F77"/>
      <c r="G77"/>
      <c r="H77"/>
      <c r="I77"/>
      <c r="J77"/>
      <c r="K77"/>
      <c r="L77"/>
      <c r="M77"/>
      <c r="N77"/>
      <c r="O77"/>
      <c r="P77"/>
      <c r="Q77"/>
      <c r="R77"/>
      <c r="S77"/>
      <c r="T77"/>
    </row>
    <row r="78" spans="2:20" s="31" customFormat="1">
      <c r="B78"/>
      <c r="C78"/>
      <c r="D78"/>
      <c r="E78"/>
      <c r="F78"/>
      <c r="G78"/>
      <c r="H78"/>
      <c r="I78"/>
      <c r="J78"/>
      <c r="K78"/>
      <c r="L78"/>
      <c r="M78"/>
      <c r="N78"/>
      <c r="O78"/>
      <c r="P78"/>
      <c r="Q78"/>
      <c r="R78"/>
      <c r="S78"/>
      <c r="T78"/>
    </row>
    <row r="79" spans="2:20" s="31" customFormat="1" ht="15">
      <c r="B79" s="26"/>
      <c r="C79" s="26"/>
      <c r="D79" s="26"/>
      <c r="T79" s="27"/>
    </row>
    <row r="80" spans="2:20" s="31" customFormat="1">
      <c r="T80"/>
    </row>
  </sheetData>
  <sheetProtection algorithmName="SHA-512" hashValue="8fsuvhwAXHml4VZvLnyjZAbRiNdC+YMS+qIUyosTlCtu2YrdH3m684/JNdcN8UqQ8zHgiepKcmMUflrVG366Bg==" saltValue="cvsUxbVasu/uXWXuY6AmTA==" spinCount="100000" sheet="1" objects="1" scenarios="1"/>
  <mergeCells count="5">
    <mergeCell ref="O8:R8"/>
    <mergeCell ref="F8:M8"/>
    <mergeCell ref="B11:B12"/>
    <mergeCell ref="B22:B23"/>
    <mergeCell ref="B35:B36"/>
  </mergeCells>
  <conditionalFormatting sqref="B2:T2">
    <cfRule type="expression" dxfId="67" priority="8">
      <formula>$B$2=Mssg1</formula>
    </cfRule>
  </conditionalFormatting>
  <conditionalFormatting sqref="B3:T3">
    <cfRule type="expression" dxfId="66" priority="1">
      <formula>$B$3=Mssg2</formula>
    </cfRule>
  </conditionalFormatting>
  <printOptions horizontalCentered="1"/>
  <pageMargins left="0.49" right="0.45" top="0.31" bottom="0.28000000000000003" header="0.3" footer="0.3"/>
  <pageSetup paperSize="5" scale="50" fitToHeight="2" orientation="landscape" r:id="rId1"/>
  <headerFooter>
    <oddFooter>&amp;CPage &amp;P of &amp;N&amp;R&amp;F</oddFooter>
  </headerFooter>
  <rowBreaks count="1" manualBreakCount="1">
    <brk id="45" min="1"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3366"/>
  </sheetPr>
  <dimension ref="A1:AB207"/>
  <sheetViews>
    <sheetView view="pageBreakPreview" zoomScale="70" zoomScaleNormal="70" zoomScaleSheetLayoutView="70" workbookViewId="0">
      <pane xSplit="8" ySplit="13" topLeftCell="I14" activePane="bottomRight" state="frozen"/>
      <selection activeCell="J16" sqref="J16"/>
      <selection pane="topRight" activeCell="J16" sqref="J16"/>
      <selection pane="bottomLeft" activeCell="J16" sqref="J16"/>
      <selection pane="bottomRight" activeCell="I21" sqref="I21"/>
    </sheetView>
  </sheetViews>
  <sheetFormatPr defaultRowHeight="12.75"/>
  <cols>
    <col min="1" max="1" width="4.28515625" style="468" hidden="1" customWidth="1"/>
    <col min="2" max="4" width="2.28515625" customWidth="1"/>
    <col min="5" max="5" width="44.28515625" customWidth="1"/>
    <col min="6" max="6" width="2.140625" customWidth="1"/>
    <col min="7" max="7" width="11.85546875" customWidth="1"/>
    <col min="8" max="8" width="2.7109375" customWidth="1"/>
    <col min="9" max="9" width="16.140625" customWidth="1"/>
    <col min="10" max="21" width="12.7109375" customWidth="1"/>
    <col min="22" max="23" width="13.140625" bestFit="1" customWidth="1"/>
    <col min="24" max="26" width="12.7109375" customWidth="1"/>
    <col min="27" max="27" width="51.28515625" customWidth="1"/>
  </cols>
  <sheetData>
    <row r="1" spans="1:28" ht="13.5" hidden="1" thickBot="1">
      <c r="A1" s="478">
        <v>1</v>
      </c>
      <c r="B1" s="262"/>
      <c r="C1" s="262"/>
      <c r="D1" s="262"/>
      <c r="E1" s="261"/>
      <c r="F1" s="261"/>
      <c r="G1" s="260"/>
      <c r="H1" s="259"/>
      <c r="I1" s="259">
        <v>1</v>
      </c>
      <c r="J1" s="259">
        <f>I1+1</f>
        <v>2</v>
      </c>
      <c r="K1" s="259">
        <f t="shared" ref="K1:AA1" si="0">J1+1</f>
        <v>3</v>
      </c>
      <c r="L1" s="259">
        <f t="shared" si="0"/>
        <v>4</v>
      </c>
      <c r="M1" s="259">
        <f t="shared" si="0"/>
        <v>5</v>
      </c>
      <c r="N1" s="259">
        <f t="shared" si="0"/>
        <v>6</v>
      </c>
      <c r="O1" s="259">
        <f t="shared" si="0"/>
        <v>7</v>
      </c>
      <c r="P1" s="259">
        <f t="shared" si="0"/>
        <v>8</v>
      </c>
      <c r="Q1" s="259">
        <f t="shared" si="0"/>
        <v>9</v>
      </c>
      <c r="R1" s="259">
        <f t="shared" si="0"/>
        <v>10</v>
      </c>
      <c r="S1" s="259">
        <f t="shared" si="0"/>
        <v>11</v>
      </c>
      <c r="T1" s="259">
        <f t="shared" si="0"/>
        <v>12</v>
      </c>
      <c r="U1" s="259">
        <f t="shared" si="0"/>
        <v>13</v>
      </c>
      <c r="V1" s="259">
        <f t="shared" si="0"/>
        <v>14</v>
      </c>
      <c r="W1" s="259">
        <f t="shared" si="0"/>
        <v>15</v>
      </c>
      <c r="X1" s="259">
        <f t="shared" si="0"/>
        <v>16</v>
      </c>
      <c r="Y1" s="259">
        <f t="shared" si="0"/>
        <v>17</v>
      </c>
      <c r="Z1" s="259">
        <f t="shared" si="0"/>
        <v>18</v>
      </c>
      <c r="AA1" s="259">
        <f t="shared" si="0"/>
        <v>19</v>
      </c>
    </row>
    <row r="2" spans="1:28" ht="19.5" customHeight="1" thickTop="1">
      <c r="A2" s="479">
        <f>A1+1</f>
        <v>2</v>
      </c>
      <c r="B2" s="643"/>
      <c r="C2" s="644"/>
      <c r="D2" s="644"/>
      <c r="E2" s="644"/>
      <c r="F2" s="644"/>
      <c r="G2" s="644"/>
      <c r="H2" s="645"/>
      <c r="I2" s="644" t="str">
        <f>IF(School="",Mssg1,School)</f>
        <v>Please enter school name on tab - "1) Name of School"</v>
      </c>
      <c r="J2" s="644"/>
      <c r="K2" s="644"/>
      <c r="L2" s="644"/>
      <c r="M2" s="644"/>
      <c r="N2" s="644"/>
      <c r="O2" s="644"/>
      <c r="P2" s="644"/>
      <c r="Q2" s="644"/>
      <c r="R2" s="644"/>
      <c r="S2" s="644"/>
      <c r="T2" s="644"/>
      <c r="U2" s="646"/>
      <c r="V2" s="263" t="str">
        <f>I2</f>
        <v>Please enter school name on tab - "1) Name of School"</v>
      </c>
      <c r="W2" s="264"/>
      <c r="X2" s="264"/>
      <c r="Y2" s="264"/>
      <c r="Z2" s="265"/>
      <c r="AA2" s="647"/>
      <c r="AB2" s="641"/>
    </row>
    <row r="3" spans="1:28" ht="18.75">
      <c r="A3" s="479">
        <f t="shared" ref="A3:A67" si="1">A2+1</f>
        <v>3</v>
      </c>
      <c r="B3" s="640"/>
      <c r="C3" s="255"/>
      <c r="D3" s="255"/>
      <c r="E3" s="255"/>
      <c r="F3" s="255"/>
      <c r="G3" s="255"/>
      <c r="H3" s="500"/>
      <c r="I3" s="255" t="s">
        <v>227</v>
      </c>
      <c r="J3" s="255"/>
      <c r="K3" s="255"/>
      <c r="L3" s="255"/>
      <c r="M3" s="255"/>
      <c r="N3" s="255"/>
      <c r="O3" s="255"/>
      <c r="P3" s="255"/>
      <c r="Q3" s="255"/>
      <c r="R3" s="255"/>
      <c r="S3" s="255"/>
      <c r="T3" s="255"/>
      <c r="U3" s="254"/>
      <c r="V3" s="1062" t="s">
        <v>227</v>
      </c>
      <c r="W3" s="1063"/>
      <c r="X3" s="1063"/>
      <c r="Y3" s="1063"/>
      <c r="Z3" s="1064"/>
      <c r="AA3" s="642"/>
      <c r="AB3" s="641"/>
    </row>
    <row r="4" spans="1:28" ht="18.75">
      <c r="A4" s="479">
        <f t="shared" si="1"/>
        <v>4</v>
      </c>
      <c r="B4" s="640"/>
      <c r="C4" s="255"/>
      <c r="D4" s="255"/>
      <c r="E4" s="255"/>
      <c r="F4" s="255"/>
      <c r="G4" s="255"/>
      <c r="H4" s="500"/>
      <c r="I4" s="255" t="str">
        <f>IF(CONTROL!J12=0,Mssg2,AcadYr1)</f>
        <v>2023-24</v>
      </c>
      <c r="J4" s="255"/>
      <c r="K4" s="255"/>
      <c r="L4" s="255"/>
      <c r="M4" s="255"/>
      <c r="N4" s="255"/>
      <c r="O4" s="255"/>
      <c r="P4" s="255"/>
      <c r="Q4" s="255"/>
      <c r="R4" s="255"/>
      <c r="S4" s="255"/>
      <c r="T4" s="255"/>
      <c r="U4" s="254"/>
      <c r="V4" s="517" t="str">
        <f>IF(I4=Mssg2,"",I4)</f>
        <v>2023-24</v>
      </c>
      <c r="W4" s="188"/>
      <c r="X4" s="188"/>
      <c r="Y4" s="188"/>
      <c r="Z4" s="518"/>
      <c r="AA4" s="519"/>
      <c r="AB4" s="641"/>
    </row>
    <row r="5" spans="1:28" ht="15">
      <c r="A5" s="552">
        <f t="shared" si="1"/>
        <v>5</v>
      </c>
      <c r="B5" s="648"/>
      <c r="C5" s="251"/>
      <c r="D5" s="251"/>
      <c r="E5" s="250"/>
      <c r="F5" s="250"/>
      <c r="G5" s="67"/>
      <c r="H5" s="501"/>
      <c r="I5" s="249"/>
      <c r="J5" s="248"/>
      <c r="K5" s="248"/>
      <c r="L5" s="248"/>
      <c r="M5" s="248"/>
      <c r="N5" s="248"/>
      <c r="O5" s="248"/>
      <c r="P5" s="248"/>
      <c r="Q5" s="248"/>
      <c r="R5" s="248"/>
      <c r="S5" s="249"/>
      <c r="T5" s="249"/>
      <c r="U5" s="247"/>
      <c r="V5" s="635"/>
      <c r="W5" s="317"/>
      <c r="X5" s="317"/>
      <c r="Y5" s="75"/>
      <c r="Z5" s="636"/>
      <c r="AA5" s="246"/>
      <c r="AB5" s="641"/>
    </row>
    <row r="6" spans="1:28" ht="15">
      <c r="A6" s="479">
        <f t="shared" si="1"/>
        <v>6</v>
      </c>
      <c r="B6" s="590" t="s">
        <v>23</v>
      </c>
      <c r="C6" s="576"/>
      <c r="D6" s="576"/>
      <c r="E6" s="577"/>
      <c r="F6" s="577"/>
      <c r="G6" s="578"/>
      <c r="H6" s="649"/>
      <c r="I6" s="579">
        <f>I66</f>
        <v>0</v>
      </c>
      <c r="J6" s="580">
        <f>J66</f>
        <v>0</v>
      </c>
      <c r="K6" s="579">
        <f>IF(K$18+K$35&lt;&gt;0,K66,0)</f>
        <v>0</v>
      </c>
      <c r="L6" s="650">
        <f>IF(K$18+K$35&lt;&gt;0,L66,0)</f>
        <v>0</v>
      </c>
      <c r="M6" s="580">
        <f>M66</f>
        <v>0</v>
      </c>
      <c r="N6" s="579">
        <f>IF(N$18+N$35&lt;&gt;0,N66,0)</f>
        <v>0</v>
      </c>
      <c r="O6" s="650">
        <f>IF(N$18+N$35&lt;&gt;0,O66,0)</f>
        <v>0</v>
      </c>
      <c r="P6" s="580">
        <f>P66</f>
        <v>0</v>
      </c>
      <c r="Q6" s="579">
        <f>IF(Q$18+Q$35&lt;&gt;0,Q66,0)</f>
        <v>0</v>
      </c>
      <c r="R6" s="650">
        <f>IF(Q$18+Q$35&lt;&gt;0,R66,0)</f>
        <v>0</v>
      </c>
      <c r="S6" s="580">
        <f>S66</f>
        <v>0</v>
      </c>
      <c r="T6" s="579">
        <f>IF(T$18+T$35&lt;&gt;0,T66,0)</f>
        <v>0</v>
      </c>
      <c r="U6" s="651">
        <f>IF(T$18+T$35&lt;&gt;0,U66,0)</f>
        <v>0</v>
      </c>
      <c r="V6" s="579">
        <f>V66</f>
        <v>0</v>
      </c>
      <c r="W6" s="579">
        <f>W66</f>
        <v>0</v>
      </c>
      <c r="X6" s="650">
        <f>X66</f>
        <v>0</v>
      </c>
      <c r="Y6" s="580">
        <f>Y66</f>
        <v>0</v>
      </c>
      <c r="Z6" s="586">
        <f>Z66</f>
        <v>0</v>
      </c>
      <c r="AA6" s="245"/>
      <c r="AB6" s="641"/>
    </row>
    <row r="7" spans="1:28" ht="18.75">
      <c r="A7" s="479">
        <f t="shared" si="1"/>
        <v>7</v>
      </c>
      <c r="B7" s="65" t="s">
        <v>0</v>
      </c>
      <c r="C7" s="569"/>
      <c r="D7" s="66"/>
      <c r="E7" s="69"/>
      <c r="F7" s="69"/>
      <c r="G7" s="59"/>
      <c r="H7" s="241"/>
      <c r="I7" s="71">
        <f>I157</f>
        <v>0</v>
      </c>
      <c r="J7" s="244">
        <f>J157</f>
        <v>0</v>
      </c>
      <c r="K7" s="71">
        <f>IF(K$18+K$35&lt;&gt;0,K157,0)</f>
        <v>0</v>
      </c>
      <c r="L7" s="243">
        <f>IF(K$18+K$35&lt;&gt;0,L157,0)</f>
        <v>0</v>
      </c>
      <c r="M7" s="244">
        <f>M157</f>
        <v>0</v>
      </c>
      <c r="N7" s="71">
        <f>IF(N$18+N$35&lt;&gt;0,N157,0)</f>
        <v>0</v>
      </c>
      <c r="O7" s="243">
        <f>IF(N$18+N$35&lt;&gt;0,O157,0)</f>
        <v>0</v>
      </c>
      <c r="P7" s="244">
        <f>P157</f>
        <v>0</v>
      </c>
      <c r="Q7" s="71">
        <f>IF(Q$18+Q$35&lt;&gt;0,Q157,0)</f>
        <v>0</v>
      </c>
      <c r="R7" s="243">
        <f>IF(Q$18+Q$35&lt;&gt;0,R157,0)</f>
        <v>0</v>
      </c>
      <c r="S7" s="244">
        <f>S157</f>
        <v>0</v>
      </c>
      <c r="T7" s="71">
        <f>IF(T$18+T$35&lt;&gt;0,T157,0)</f>
        <v>0</v>
      </c>
      <c r="U7" s="242">
        <f>IF(T$18+T$35&lt;&gt;0,U157,0)</f>
        <v>0</v>
      </c>
      <c r="V7" s="71">
        <f>V157</f>
        <v>0</v>
      </c>
      <c r="W7" s="71">
        <f>W157</f>
        <v>0</v>
      </c>
      <c r="X7" s="243">
        <f>X157</f>
        <v>0</v>
      </c>
      <c r="Y7" s="244">
        <f>Y157</f>
        <v>0</v>
      </c>
      <c r="Z7" s="362">
        <f>Z157</f>
        <v>0</v>
      </c>
      <c r="AA7" s="245"/>
    </row>
    <row r="8" spans="1:28" ht="15">
      <c r="A8" s="479">
        <f t="shared" si="1"/>
        <v>8</v>
      </c>
      <c r="B8" s="65" t="s">
        <v>22</v>
      </c>
      <c r="C8" s="66"/>
      <c r="D8" s="66"/>
      <c r="E8" s="69"/>
      <c r="F8" s="69"/>
      <c r="G8" s="59"/>
      <c r="H8" s="241"/>
      <c r="I8" s="71">
        <f>I6-I7</f>
        <v>0</v>
      </c>
      <c r="J8" s="244">
        <f>J159</f>
        <v>0</v>
      </c>
      <c r="K8" s="71">
        <f>IF(K$18+K$35&lt;&gt;0,K159,0)</f>
        <v>0</v>
      </c>
      <c r="L8" s="241">
        <f>IF(K$18+K$35&lt;&gt;0,L159,0)</f>
        <v>0</v>
      </c>
      <c r="M8" s="244">
        <f>M159</f>
        <v>0</v>
      </c>
      <c r="N8" s="71">
        <f>IF(N$18+N$35&lt;&gt;0,N159,0)</f>
        <v>0</v>
      </c>
      <c r="O8" s="241">
        <f>IF(N$18+N$35&lt;&gt;0,O159,0)</f>
        <v>0</v>
      </c>
      <c r="P8" s="244">
        <f>P159</f>
        <v>0</v>
      </c>
      <c r="Q8" s="71">
        <f>IF(Q$18+Q$35&lt;&gt;0,Q159,0)</f>
        <v>0</v>
      </c>
      <c r="R8" s="241">
        <f>IF(Q$18+Q$35&lt;&gt;0,R159,0)</f>
        <v>0</v>
      </c>
      <c r="S8" s="244">
        <f>S159</f>
        <v>0</v>
      </c>
      <c r="T8" s="71">
        <f>IF(T$18+T$35&lt;&gt;0,T159,0)</f>
        <v>0</v>
      </c>
      <c r="U8" s="72">
        <f>IF(T$18+T$35&lt;&gt;0,U159,0)</f>
        <v>0</v>
      </c>
      <c r="V8" s="71">
        <f>V159</f>
        <v>0</v>
      </c>
      <c r="W8" s="71">
        <f>W159</f>
        <v>0</v>
      </c>
      <c r="X8" s="241">
        <f>X159</f>
        <v>0</v>
      </c>
      <c r="Y8" s="244">
        <f>Y159</f>
        <v>0</v>
      </c>
      <c r="Z8" s="362">
        <f>Z159</f>
        <v>0</v>
      </c>
      <c r="AA8" s="245"/>
    </row>
    <row r="9" spans="1:28" ht="15">
      <c r="A9" s="479">
        <f t="shared" si="1"/>
        <v>9</v>
      </c>
      <c r="B9" s="65" t="s">
        <v>228</v>
      </c>
      <c r="C9" s="66"/>
      <c r="D9" s="66"/>
      <c r="E9" s="69"/>
      <c r="F9" s="69"/>
      <c r="G9" s="59"/>
      <c r="H9" s="241"/>
      <c r="I9" s="71">
        <f>I179</f>
        <v>0</v>
      </c>
      <c r="J9" s="244">
        <f>J179</f>
        <v>0</v>
      </c>
      <c r="K9" s="71">
        <f>IF(K$163&lt;&gt;0,K179,0)</f>
        <v>0</v>
      </c>
      <c r="L9" s="243">
        <f>IF(K$163&lt;&gt;0,K179-J9,0)</f>
        <v>0</v>
      </c>
      <c r="M9" s="244">
        <f>M179</f>
        <v>0</v>
      </c>
      <c r="N9" s="71">
        <f>IF(N$163&lt;&gt;0,N179,0)</f>
        <v>0</v>
      </c>
      <c r="O9" s="243">
        <f>IF(N$163&lt;&gt;0,N179-M9,0)</f>
        <v>0</v>
      </c>
      <c r="P9" s="244">
        <f>P179</f>
        <v>0</v>
      </c>
      <c r="Q9" s="71">
        <f>IF(Q$163&lt;&gt;0,Q179,0)</f>
        <v>0</v>
      </c>
      <c r="R9" s="243">
        <f>IF(Q$163&lt;&gt;0,Q179-P9,0)</f>
        <v>0</v>
      </c>
      <c r="S9" s="244">
        <f>S179</f>
        <v>0</v>
      </c>
      <c r="T9" s="71">
        <f>IF(T$163&lt;&gt;0,T179,0)</f>
        <v>0</v>
      </c>
      <c r="U9" s="242">
        <f>IF(T$163&lt;&gt;0,T179-S9,0)</f>
        <v>0</v>
      </c>
      <c r="V9" s="71"/>
      <c r="W9" s="71"/>
      <c r="X9" s="240"/>
      <c r="Y9" s="239"/>
      <c r="Z9" s="362"/>
      <c r="AA9" s="245"/>
    </row>
    <row r="10" spans="1:28" ht="15" hidden="1">
      <c r="A10" s="479">
        <f t="shared" si="1"/>
        <v>10</v>
      </c>
      <c r="B10" s="73" t="s">
        <v>229</v>
      </c>
      <c r="C10" s="74"/>
      <c r="D10" s="74"/>
      <c r="E10" s="75"/>
      <c r="F10" s="75"/>
      <c r="G10" s="76"/>
      <c r="H10" s="236"/>
      <c r="I10" s="550">
        <v>0</v>
      </c>
      <c r="J10" s="238">
        <v>0</v>
      </c>
      <c r="K10" s="237">
        <v>0</v>
      </c>
      <c r="L10" s="236">
        <f>IF(K163&gt;0,K10-J10,0)</f>
        <v>0</v>
      </c>
      <c r="M10" s="238">
        <v>0</v>
      </c>
      <c r="N10" s="237">
        <v>0</v>
      </c>
      <c r="O10" s="236">
        <f>IF(N163&gt;0,N10-M10,0)</f>
        <v>0</v>
      </c>
      <c r="P10" s="238">
        <v>0</v>
      </c>
      <c r="Q10" s="237">
        <v>0</v>
      </c>
      <c r="R10" s="236">
        <f>IF(Q163&gt;0,Q10-P10,0)</f>
        <v>0</v>
      </c>
      <c r="S10" s="238">
        <v>0</v>
      </c>
      <c r="T10" s="237">
        <v>0</v>
      </c>
      <c r="U10" s="80">
        <f>IF(T163&gt;0,T10-S10,0)</f>
        <v>0</v>
      </c>
      <c r="V10" s="78"/>
      <c r="W10" s="78"/>
      <c r="X10" s="236"/>
      <c r="Y10" s="266"/>
      <c r="Z10" s="370"/>
      <c r="AA10" s="245"/>
    </row>
    <row r="11" spans="1:28" ht="15">
      <c r="A11" s="479">
        <f t="shared" si="1"/>
        <v>11</v>
      </c>
      <c r="B11" s="81"/>
      <c r="C11" s="82"/>
      <c r="D11" s="82"/>
      <c r="E11" s="69"/>
      <c r="F11" s="69"/>
      <c r="G11" s="59"/>
      <c r="H11" s="502"/>
      <c r="I11" s="83"/>
      <c r="J11" s="83"/>
      <c r="K11" s="83"/>
      <c r="L11" s="83"/>
      <c r="M11" s="83"/>
      <c r="N11" s="83"/>
      <c r="O11" s="83"/>
      <c r="P11" s="83"/>
      <c r="Q11" s="83"/>
      <c r="R11" s="83"/>
      <c r="S11" s="83"/>
      <c r="T11" s="83"/>
      <c r="U11" s="84"/>
      <c r="V11" s="316"/>
      <c r="W11" s="316"/>
      <c r="X11" s="316"/>
      <c r="Y11" s="316"/>
      <c r="Z11" s="316"/>
      <c r="AA11" s="246"/>
    </row>
    <row r="12" spans="1:28" ht="15" customHeight="1">
      <c r="A12" s="479">
        <f t="shared" si="1"/>
        <v>12</v>
      </c>
      <c r="B12" s="1073"/>
      <c r="C12" s="1074"/>
      <c r="D12" s="1074"/>
      <c r="E12" s="1074"/>
      <c r="F12" s="629"/>
      <c r="G12" s="1077"/>
      <c r="H12" s="1079"/>
      <c r="I12" s="579" t="s">
        <v>230</v>
      </c>
      <c r="J12" s="1066" t="s">
        <v>231</v>
      </c>
      <c r="K12" s="1067"/>
      <c r="L12" s="1067"/>
      <c r="M12" s="1066" t="s">
        <v>232</v>
      </c>
      <c r="N12" s="1067"/>
      <c r="O12" s="1081"/>
      <c r="P12" s="1066" t="s">
        <v>233</v>
      </c>
      <c r="Q12" s="1067"/>
      <c r="R12" s="1081"/>
      <c r="S12" s="1066" t="s">
        <v>234</v>
      </c>
      <c r="T12" s="1067"/>
      <c r="U12" s="1068"/>
      <c r="V12" s="1069" t="s">
        <v>235</v>
      </c>
      <c r="W12" s="1070"/>
      <c r="X12" s="1071"/>
      <c r="Y12" s="1070" t="s">
        <v>236</v>
      </c>
      <c r="Z12" s="1072"/>
      <c r="AA12" s="246"/>
    </row>
    <row r="13" spans="1:28" ht="49.5" customHeight="1">
      <c r="A13" s="479">
        <f t="shared" si="1"/>
        <v>13</v>
      </c>
      <c r="B13" s="1075"/>
      <c r="C13" s="1076"/>
      <c r="D13" s="1076"/>
      <c r="E13" s="1076"/>
      <c r="F13" s="630"/>
      <c r="G13" s="1078"/>
      <c r="H13" s="1080"/>
      <c r="I13" s="268" t="str">
        <f>PriorPeriod&amp;" Revenue Per Pupil"</f>
        <v>2022-23 Revenue Per Pupil</v>
      </c>
      <c r="J13" s="267" t="s">
        <v>288</v>
      </c>
      <c r="K13" s="268" t="s">
        <v>289</v>
      </c>
      <c r="L13" s="268" t="s">
        <v>237</v>
      </c>
      <c r="M13" s="267" t="s">
        <v>288</v>
      </c>
      <c r="N13" s="268" t="s">
        <v>289</v>
      </c>
      <c r="O13" s="269" t="s">
        <v>237</v>
      </c>
      <c r="P13" s="267" t="s">
        <v>288</v>
      </c>
      <c r="Q13" s="268" t="s">
        <v>289</v>
      </c>
      <c r="R13" s="269" t="s">
        <v>237</v>
      </c>
      <c r="S13" s="267" t="s">
        <v>288</v>
      </c>
      <c r="T13" s="268" t="s">
        <v>289</v>
      </c>
      <c r="U13" s="270" t="s">
        <v>237</v>
      </c>
      <c r="V13" s="267" t="s">
        <v>288</v>
      </c>
      <c r="W13" s="268" t="s">
        <v>289</v>
      </c>
      <c r="X13" s="269" t="s">
        <v>237</v>
      </c>
      <c r="Y13" s="547" t="s">
        <v>290</v>
      </c>
      <c r="Z13" s="548" t="s">
        <v>291</v>
      </c>
      <c r="AA13" s="253" t="s">
        <v>97</v>
      </c>
    </row>
    <row r="14" spans="1:28" ht="15">
      <c r="A14" s="479">
        <f t="shared" si="1"/>
        <v>14</v>
      </c>
      <c r="B14" s="652"/>
      <c r="C14" s="653"/>
      <c r="D14" s="653"/>
      <c r="E14" s="654"/>
      <c r="F14" s="654"/>
      <c r="G14" s="655"/>
      <c r="H14" s="656"/>
      <c r="I14" s="1082" t="s">
        <v>529</v>
      </c>
      <c r="J14" s="1085" t="s">
        <v>517</v>
      </c>
      <c r="K14" s="1085"/>
      <c r="L14" s="1085"/>
      <c r="M14" s="1085"/>
      <c r="N14" s="1085"/>
      <c r="O14" s="1085"/>
      <c r="P14" s="1085"/>
      <c r="Q14" s="1085"/>
      <c r="R14" s="1085"/>
      <c r="S14" s="1085"/>
      <c r="T14" s="1085"/>
      <c r="U14" s="1086"/>
      <c r="V14" s="638"/>
      <c r="W14" s="637"/>
      <c r="X14" s="637"/>
      <c r="Y14" s="637"/>
      <c r="Z14" s="657"/>
      <c r="AA14" s="272"/>
    </row>
    <row r="15" spans="1:28" ht="15" customHeight="1">
      <c r="A15" s="479">
        <f t="shared" si="1"/>
        <v>15</v>
      </c>
      <c r="B15" s="92" t="s">
        <v>24</v>
      </c>
      <c r="C15" s="93"/>
      <c r="D15" s="93"/>
      <c r="E15" s="94"/>
      <c r="F15" s="94"/>
      <c r="G15" s="57"/>
      <c r="H15" s="240"/>
      <c r="I15" s="1083"/>
      <c r="J15" s="1087"/>
      <c r="K15" s="1087"/>
      <c r="L15" s="1087"/>
      <c r="M15" s="1087"/>
      <c r="N15" s="1087"/>
      <c r="O15" s="1087"/>
      <c r="P15" s="1087"/>
      <c r="Q15" s="1087"/>
      <c r="R15" s="1087"/>
      <c r="S15" s="1087"/>
      <c r="T15" s="1087"/>
      <c r="U15" s="1088"/>
      <c r="V15" s="372"/>
      <c r="W15" s="273"/>
      <c r="X15" s="273"/>
      <c r="Y15" s="273"/>
      <c r="Z15" s="274"/>
      <c r="AA15" s="275"/>
    </row>
    <row r="16" spans="1:28" ht="19.5" customHeight="1">
      <c r="A16" s="479">
        <f t="shared" si="1"/>
        <v>16</v>
      </c>
      <c r="B16" s="92"/>
      <c r="C16" s="93" t="s">
        <v>25</v>
      </c>
      <c r="D16" s="93"/>
      <c r="E16" s="94"/>
      <c r="F16" s="94"/>
      <c r="G16" s="544" t="str">
        <f>PPR_Tbl_Date</f>
        <v>2023-24</v>
      </c>
      <c r="H16" s="240"/>
      <c r="I16" s="1084"/>
      <c r="J16" s="1089"/>
      <c r="K16" s="1089"/>
      <c r="L16" s="1089"/>
      <c r="M16" s="1089"/>
      <c r="N16" s="1089"/>
      <c r="O16" s="1089"/>
      <c r="P16" s="1089"/>
      <c r="Q16" s="1089"/>
      <c r="R16" s="1089"/>
      <c r="S16" s="1089"/>
      <c r="T16" s="1089"/>
      <c r="U16" s="1090"/>
      <c r="V16" s="372"/>
      <c r="W16" s="273"/>
      <c r="X16" s="273"/>
      <c r="Y16" s="273"/>
      <c r="Z16" s="274"/>
      <c r="AA16" s="275"/>
    </row>
    <row r="17" spans="1:27" ht="15">
      <c r="A17" s="479">
        <f t="shared" si="1"/>
        <v>17</v>
      </c>
      <c r="B17" s="96"/>
      <c r="C17" s="50"/>
      <c r="D17" s="93" t="s">
        <v>21</v>
      </c>
      <c r="E17" s="94"/>
      <c r="F17" s="94"/>
      <c r="G17" s="953" t="s">
        <v>118</v>
      </c>
      <c r="H17" s="240"/>
      <c r="I17" s="845" t="s">
        <v>518</v>
      </c>
      <c r="J17" s="990">
        <v>0.25</v>
      </c>
      <c r="K17" s="991">
        <v>0.25</v>
      </c>
      <c r="L17" s="992"/>
      <c r="M17" s="990">
        <v>0.25</v>
      </c>
      <c r="N17" s="991">
        <v>0.25</v>
      </c>
      <c r="O17" s="993"/>
      <c r="P17" s="990">
        <v>0.25</v>
      </c>
      <c r="Q17" s="991">
        <v>0.25</v>
      </c>
      <c r="R17" s="993"/>
      <c r="S17" s="994">
        <f>1-(J17+M17+P17)</f>
        <v>0.25</v>
      </c>
      <c r="T17" s="995">
        <f>1-(K17+N17+Q17)</f>
        <v>0.25</v>
      </c>
      <c r="U17" s="996"/>
      <c r="V17" s="639"/>
      <c r="W17" s="98"/>
      <c r="X17" s="98"/>
      <c r="Y17" s="98"/>
      <c r="Z17" s="99"/>
      <c r="AA17" s="275"/>
    </row>
    <row r="18" spans="1:27" ht="15">
      <c r="A18" s="479">
        <f t="shared" si="1"/>
        <v>18</v>
      </c>
      <c r="B18" s="96"/>
      <c r="C18" s="50"/>
      <c r="D18" s="558"/>
      <c r="E18" s="319" t="str">
        <f>CONTROL!B52</f>
        <v>-</v>
      </c>
      <c r="F18" s="53"/>
      <c r="G18" s="658">
        <f>CONTROL!C52</f>
        <v>0</v>
      </c>
      <c r="H18" s="240"/>
      <c r="I18" s="846"/>
      <c r="J18" s="659">
        <f>CONTROL!$F52</f>
        <v>0</v>
      </c>
      <c r="K18" s="660">
        <f>CONTROL!L52</f>
        <v>0</v>
      </c>
      <c r="L18" s="847">
        <f t="shared" ref="L18:L33" si="2">IF(K$18&lt;&gt;0,K18-J18,0)</f>
        <v>0</v>
      </c>
      <c r="M18" s="659">
        <f>CONTROL!G52</f>
        <v>0</v>
      </c>
      <c r="N18" s="660">
        <f>CONTROL!M52</f>
        <v>0</v>
      </c>
      <c r="O18" s="847">
        <f t="shared" ref="O18:O33" si="3">IF(N$18&lt;&gt;0,N18-M18,0)</f>
        <v>0</v>
      </c>
      <c r="P18" s="659">
        <f>CONTROL!H52</f>
        <v>0</v>
      </c>
      <c r="Q18" s="660">
        <f>CONTROL!N52</f>
        <v>0</v>
      </c>
      <c r="R18" s="847">
        <f t="shared" ref="R18:R33" si="4">IF(Q$18&lt;&gt;0,Q18-P18,0)</f>
        <v>0</v>
      </c>
      <c r="S18" s="659">
        <f>CONTROL!I52</f>
        <v>0</v>
      </c>
      <c r="T18" s="660">
        <f>CONTROL!O52</f>
        <v>0</v>
      </c>
      <c r="U18" s="662">
        <f t="shared" ref="U18:U33" si="5">IF(T$18&lt;&gt;0,T18-S18,0)</f>
        <v>0</v>
      </c>
      <c r="V18" s="663">
        <f t="shared" ref="V18:V33" si="6">J18+M18+P18+S18</f>
        <v>0</v>
      </c>
      <c r="W18" s="664">
        <f t="shared" ref="W18:W33" si="7">SUM(IF(K$6&lt;&gt;0,K18,J18)+IF(N$6&lt;&gt;0,N18,M18)+IF(Q$6&lt;&gt;0,Q18,P18)+IF(T$6&lt;&gt;0,T18,S18))</f>
        <v>0</v>
      </c>
      <c r="X18" s="661">
        <f t="shared" ref="X18:X33" si="8">W18-V18</f>
        <v>0</v>
      </c>
      <c r="Y18" s="665">
        <f t="shared" ref="Y18:Y33" si="9">V18-I18</f>
        <v>0</v>
      </c>
      <c r="Z18" s="666">
        <f t="shared" ref="Z18:Z33" si="10">W18-I18</f>
        <v>0</v>
      </c>
      <c r="AA18" s="278"/>
    </row>
    <row r="19" spans="1:27" ht="15">
      <c r="A19" s="479">
        <f t="shared" si="1"/>
        <v>19</v>
      </c>
      <c r="B19" s="96"/>
      <c r="C19" s="50"/>
      <c r="D19" s="558"/>
      <c r="E19" s="319" t="str">
        <f>CONTROL!B53</f>
        <v>-</v>
      </c>
      <c r="F19" s="53"/>
      <c r="G19" s="658">
        <f>CONTROL!C53</f>
        <v>0</v>
      </c>
      <c r="H19" s="240"/>
      <c r="I19" s="625"/>
      <c r="J19" s="659">
        <f>CONTROL!$F53</f>
        <v>0</v>
      </c>
      <c r="K19" s="660">
        <f>CONTROL!L53</f>
        <v>0</v>
      </c>
      <c r="L19" s="661">
        <f t="shared" si="2"/>
        <v>0</v>
      </c>
      <c r="M19" s="659">
        <f>CONTROL!G53</f>
        <v>0</v>
      </c>
      <c r="N19" s="660">
        <f>CONTROL!M53</f>
        <v>0</v>
      </c>
      <c r="O19" s="661">
        <f t="shared" si="3"/>
        <v>0</v>
      </c>
      <c r="P19" s="659">
        <f>CONTROL!H53</f>
        <v>0</v>
      </c>
      <c r="Q19" s="660">
        <f>CONTROL!N53</f>
        <v>0</v>
      </c>
      <c r="R19" s="661">
        <f t="shared" si="4"/>
        <v>0</v>
      </c>
      <c r="S19" s="659">
        <f>CONTROL!I53</f>
        <v>0</v>
      </c>
      <c r="T19" s="660">
        <f>CONTROL!O53</f>
        <v>0</v>
      </c>
      <c r="U19" s="662">
        <f t="shared" si="5"/>
        <v>0</v>
      </c>
      <c r="V19" s="663">
        <f t="shared" si="6"/>
        <v>0</v>
      </c>
      <c r="W19" s="664">
        <f t="shared" si="7"/>
        <v>0</v>
      </c>
      <c r="X19" s="661">
        <f t="shared" si="8"/>
        <v>0</v>
      </c>
      <c r="Y19" s="665">
        <f t="shared" si="9"/>
        <v>0</v>
      </c>
      <c r="Z19" s="666">
        <f t="shared" si="10"/>
        <v>0</v>
      </c>
      <c r="AA19" s="278"/>
    </row>
    <row r="20" spans="1:27" ht="15">
      <c r="A20" s="479">
        <f t="shared" si="1"/>
        <v>20</v>
      </c>
      <c r="B20" s="96"/>
      <c r="C20" s="50"/>
      <c r="D20" s="558"/>
      <c r="E20" s="319" t="str">
        <f>CONTROL!B54</f>
        <v>-</v>
      </c>
      <c r="F20" s="53"/>
      <c r="G20" s="658">
        <f>CONTROL!C54</f>
        <v>0</v>
      </c>
      <c r="H20" s="240"/>
      <c r="I20" s="625"/>
      <c r="J20" s="659">
        <f>CONTROL!$F54</f>
        <v>0</v>
      </c>
      <c r="K20" s="660">
        <f>CONTROL!L54</f>
        <v>0</v>
      </c>
      <c r="L20" s="661">
        <f t="shared" si="2"/>
        <v>0</v>
      </c>
      <c r="M20" s="659">
        <f>CONTROL!G54</f>
        <v>0</v>
      </c>
      <c r="N20" s="660">
        <f>CONTROL!M54</f>
        <v>0</v>
      </c>
      <c r="O20" s="661">
        <f t="shared" si="3"/>
        <v>0</v>
      </c>
      <c r="P20" s="659">
        <f>CONTROL!H54</f>
        <v>0</v>
      </c>
      <c r="Q20" s="660">
        <f>CONTROL!N54</f>
        <v>0</v>
      </c>
      <c r="R20" s="661">
        <f t="shared" si="4"/>
        <v>0</v>
      </c>
      <c r="S20" s="659">
        <f>CONTROL!I54</f>
        <v>0</v>
      </c>
      <c r="T20" s="660">
        <f>CONTROL!O54</f>
        <v>0</v>
      </c>
      <c r="U20" s="662">
        <f t="shared" si="5"/>
        <v>0</v>
      </c>
      <c r="V20" s="663">
        <f t="shared" si="6"/>
        <v>0</v>
      </c>
      <c r="W20" s="664">
        <f t="shared" si="7"/>
        <v>0</v>
      </c>
      <c r="X20" s="661">
        <f t="shared" si="8"/>
        <v>0</v>
      </c>
      <c r="Y20" s="665">
        <f t="shared" si="9"/>
        <v>0</v>
      </c>
      <c r="Z20" s="666">
        <f t="shared" si="10"/>
        <v>0</v>
      </c>
      <c r="AA20" s="278"/>
    </row>
    <row r="21" spans="1:27" ht="15">
      <c r="A21" s="479">
        <f t="shared" si="1"/>
        <v>21</v>
      </c>
      <c r="B21" s="96"/>
      <c r="C21" s="50"/>
      <c r="D21" s="558"/>
      <c r="E21" s="319" t="str">
        <f>CONTROL!B55</f>
        <v>-</v>
      </c>
      <c r="F21" s="53"/>
      <c r="G21" s="658">
        <f>CONTROL!C55</f>
        <v>0</v>
      </c>
      <c r="H21" s="240"/>
      <c r="I21" s="667"/>
      <c r="J21" s="659">
        <f>CONTROL!$F55</f>
        <v>0</v>
      </c>
      <c r="K21" s="660">
        <f>CONTROL!L55</f>
        <v>0</v>
      </c>
      <c r="L21" s="661">
        <f t="shared" si="2"/>
        <v>0</v>
      </c>
      <c r="M21" s="659">
        <f>CONTROL!G55</f>
        <v>0</v>
      </c>
      <c r="N21" s="660">
        <f>CONTROL!M55</f>
        <v>0</v>
      </c>
      <c r="O21" s="661">
        <f t="shared" si="3"/>
        <v>0</v>
      </c>
      <c r="P21" s="659">
        <f>CONTROL!H55</f>
        <v>0</v>
      </c>
      <c r="Q21" s="660">
        <f>CONTROL!N55</f>
        <v>0</v>
      </c>
      <c r="R21" s="661">
        <f t="shared" si="4"/>
        <v>0</v>
      </c>
      <c r="S21" s="659">
        <f>CONTROL!I55</f>
        <v>0</v>
      </c>
      <c r="T21" s="660">
        <f>CONTROL!O55</f>
        <v>0</v>
      </c>
      <c r="U21" s="662">
        <f t="shared" si="5"/>
        <v>0</v>
      </c>
      <c r="V21" s="663">
        <f t="shared" si="6"/>
        <v>0</v>
      </c>
      <c r="W21" s="664">
        <f t="shared" si="7"/>
        <v>0</v>
      </c>
      <c r="X21" s="661">
        <f t="shared" si="8"/>
        <v>0</v>
      </c>
      <c r="Y21" s="665">
        <f t="shared" si="9"/>
        <v>0</v>
      </c>
      <c r="Z21" s="666">
        <f t="shared" si="10"/>
        <v>0</v>
      </c>
      <c r="AA21" s="278"/>
    </row>
    <row r="22" spans="1:27" ht="15">
      <c r="A22" s="479">
        <f t="shared" si="1"/>
        <v>22</v>
      </c>
      <c r="B22" s="96"/>
      <c r="C22" s="50"/>
      <c r="D22" s="558"/>
      <c r="E22" s="319" t="str">
        <f>CONTROL!B56</f>
        <v>-</v>
      </c>
      <c r="F22" s="53"/>
      <c r="G22" s="658">
        <f>CONTROL!C56</f>
        <v>0</v>
      </c>
      <c r="H22" s="240"/>
      <c r="I22" s="667"/>
      <c r="J22" s="659">
        <f>CONTROL!$F56</f>
        <v>0</v>
      </c>
      <c r="K22" s="660">
        <f>CONTROL!L56</f>
        <v>0</v>
      </c>
      <c r="L22" s="661">
        <f t="shared" si="2"/>
        <v>0</v>
      </c>
      <c r="M22" s="659">
        <f>CONTROL!G56</f>
        <v>0</v>
      </c>
      <c r="N22" s="660">
        <f>CONTROL!M56</f>
        <v>0</v>
      </c>
      <c r="O22" s="661">
        <f t="shared" si="3"/>
        <v>0</v>
      </c>
      <c r="P22" s="659">
        <f>CONTROL!H56</f>
        <v>0</v>
      </c>
      <c r="Q22" s="660">
        <f>CONTROL!N56</f>
        <v>0</v>
      </c>
      <c r="R22" s="661">
        <f t="shared" si="4"/>
        <v>0</v>
      </c>
      <c r="S22" s="659">
        <f>CONTROL!I56</f>
        <v>0</v>
      </c>
      <c r="T22" s="660">
        <f>CONTROL!O56</f>
        <v>0</v>
      </c>
      <c r="U22" s="662">
        <f t="shared" si="5"/>
        <v>0</v>
      </c>
      <c r="V22" s="663">
        <f t="shared" si="6"/>
        <v>0</v>
      </c>
      <c r="W22" s="664">
        <f t="shared" si="7"/>
        <v>0</v>
      </c>
      <c r="X22" s="661">
        <f t="shared" si="8"/>
        <v>0</v>
      </c>
      <c r="Y22" s="665">
        <f t="shared" si="9"/>
        <v>0</v>
      </c>
      <c r="Z22" s="666">
        <f t="shared" si="10"/>
        <v>0</v>
      </c>
      <c r="AA22" s="278"/>
    </row>
    <row r="23" spans="1:27" ht="15">
      <c r="A23" s="479">
        <f t="shared" si="1"/>
        <v>23</v>
      </c>
      <c r="B23" s="96"/>
      <c r="C23" s="50"/>
      <c r="D23" s="558"/>
      <c r="E23" s="319" t="str">
        <f>CONTROL!B57</f>
        <v>-</v>
      </c>
      <c r="F23" s="53"/>
      <c r="G23" s="658">
        <f>CONTROL!C57</f>
        <v>0</v>
      </c>
      <c r="H23" s="240"/>
      <c r="I23" s="667"/>
      <c r="J23" s="659">
        <f>CONTROL!$F57</f>
        <v>0</v>
      </c>
      <c r="K23" s="660">
        <f>CONTROL!L57</f>
        <v>0</v>
      </c>
      <c r="L23" s="661">
        <f t="shared" si="2"/>
        <v>0</v>
      </c>
      <c r="M23" s="659">
        <f>CONTROL!G57</f>
        <v>0</v>
      </c>
      <c r="N23" s="660">
        <f>CONTROL!M57</f>
        <v>0</v>
      </c>
      <c r="O23" s="661">
        <f t="shared" si="3"/>
        <v>0</v>
      </c>
      <c r="P23" s="659">
        <f>CONTROL!H57</f>
        <v>0</v>
      </c>
      <c r="Q23" s="660">
        <f>CONTROL!N57</f>
        <v>0</v>
      </c>
      <c r="R23" s="661">
        <f t="shared" si="4"/>
        <v>0</v>
      </c>
      <c r="S23" s="659">
        <f>CONTROL!I57</f>
        <v>0</v>
      </c>
      <c r="T23" s="660">
        <f>CONTROL!O57</f>
        <v>0</v>
      </c>
      <c r="U23" s="662">
        <f t="shared" si="5"/>
        <v>0</v>
      </c>
      <c r="V23" s="663">
        <f t="shared" si="6"/>
        <v>0</v>
      </c>
      <c r="W23" s="664">
        <f t="shared" si="7"/>
        <v>0</v>
      </c>
      <c r="X23" s="661">
        <f t="shared" si="8"/>
        <v>0</v>
      </c>
      <c r="Y23" s="665">
        <f t="shared" si="9"/>
        <v>0</v>
      </c>
      <c r="Z23" s="666">
        <f t="shared" si="10"/>
        <v>0</v>
      </c>
      <c r="AA23" s="278"/>
    </row>
    <row r="24" spans="1:27" ht="15">
      <c r="A24" s="479">
        <f t="shared" si="1"/>
        <v>24</v>
      </c>
      <c r="B24" s="96"/>
      <c r="C24" s="50"/>
      <c r="D24" s="558"/>
      <c r="E24" s="319" t="str">
        <f>CONTROL!B58</f>
        <v>-</v>
      </c>
      <c r="F24" s="53"/>
      <c r="G24" s="658">
        <f>CONTROL!C58</f>
        <v>0</v>
      </c>
      <c r="H24" s="240"/>
      <c r="I24" s="667"/>
      <c r="J24" s="659">
        <f>CONTROL!$F58</f>
        <v>0</v>
      </c>
      <c r="K24" s="660">
        <f>CONTROL!L58</f>
        <v>0</v>
      </c>
      <c r="L24" s="661">
        <f t="shared" si="2"/>
        <v>0</v>
      </c>
      <c r="M24" s="659">
        <f>CONTROL!G58</f>
        <v>0</v>
      </c>
      <c r="N24" s="660">
        <f>CONTROL!M58</f>
        <v>0</v>
      </c>
      <c r="O24" s="661">
        <f t="shared" si="3"/>
        <v>0</v>
      </c>
      <c r="P24" s="659">
        <f>CONTROL!H58</f>
        <v>0</v>
      </c>
      <c r="Q24" s="660">
        <f>CONTROL!N58</f>
        <v>0</v>
      </c>
      <c r="R24" s="661">
        <f t="shared" si="4"/>
        <v>0</v>
      </c>
      <c r="S24" s="659">
        <f>CONTROL!I58</f>
        <v>0</v>
      </c>
      <c r="T24" s="660">
        <f>CONTROL!O58</f>
        <v>0</v>
      </c>
      <c r="U24" s="662">
        <f t="shared" si="5"/>
        <v>0</v>
      </c>
      <c r="V24" s="663">
        <f t="shared" si="6"/>
        <v>0</v>
      </c>
      <c r="W24" s="664">
        <f t="shared" si="7"/>
        <v>0</v>
      </c>
      <c r="X24" s="661">
        <f t="shared" si="8"/>
        <v>0</v>
      </c>
      <c r="Y24" s="665">
        <f t="shared" si="9"/>
        <v>0</v>
      </c>
      <c r="Z24" s="666">
        <f t="shared" si="10"/>
        <v>0</v>
      </c>
      <c r="AA24" s="278"/>
    </row>
    <row r="25" spans="1:27" ht="15">
      <c r="A25" s="479">
        <f t="shared" si="1"/>
        <v>25</v>
      </c>
      <c r="B25" s="96"/>
      <c r="C25" s="50"/>
      <c r="D25" s="558"/>
      <c r="E25" s="319" t="str">
        <f>CONTROL!B59</f>
        <v>-</v>
      </c>
      <c r="F25" s="53"/>
      <c r="G25" s="658">
        <f>CONTROL!C59</f>
        <v>0</v>
      </c>
      <c r="H25" s="240"/>
      <c r="I25" s="667"/>
      <c r="J25" s="659">
        <f>CONTROL!$F59</f>
        <v>0</v>
      </c>
      <c r="K25" s="660">
        <f>CONTROL!L59</f>
        <v>0</v>
      </c>
      <c r="L25" s="661">
        <f t="shared" si="2"/>
        <v>0</v>
      </c>
      <c r="M25" s="659">
        <f>CONTROL!G59</f>
        <v>0</v>
      </c>
      <c r="N25" s="660">
        <f>CONTROL!M59</f>
        <v>0</v>
      </c>
      <c r="O25" s="661">
        <f t="shared" si="3"/>
        <v>0</v>
      </c>
      <c r="P25" s="659">
        <f>CONTROL!H59</f>
        <v>0</v>
      </c>
      <c r="Q25" s="660">
        <f>CONTROL!N59</f>
        <v>0</v>
      </c>
      <c r="R25" s="661">
        <f t="shared" si="4"/>
        <v>0</v>
      </c>
      <c r="S25" s="659">
        <f>CONTROL!I59</f>
        <v>0</v>
      </c>
      <c r="T25" s="660">
        <f>CONTROL!O59</f>
        <v>0</v>
      </c>
      <c r="U25" s="662">
        <f t="shared" si="5"/>
        <v>0</v>
      </c>
      <c r="V25" s="663">
        <f t="shared" si="6"/>
        <v>0</v>
      </c>
      <c r="W25" s="664">
        <f t="shared" si="7"/>
        <v>0</v>
      </c>
      <c r="X25" s="661">
        <f t="shared" si="8"/>
        <v>0</v>
      </c>
      <c r="Y25" s="665">
        <f t="shared" si="9"/>
        <v>0</v>
      </c>
      <c r="Z25" s="666">
        <f t="shared" si="10"/>
        <v>0</v>
      </c>
      <c r="AA25" s="278"/>
    </row>
    <row r="26" spans="1:27" ht="15">
      <c r="A26" s="479">
        <f t="shared" si="1"/>
        <v>26</v>
      </c>
      <c r="B26" s="96"/>
      <c r="C26" s="50"/>
      <c r="D26" s="558"/>
      <c r="E26" s="319" t="str">
        <f>CONTROL!B60</f>
        <v>-</v>
      </c>
      <c r="F26" s="53"/>
      <c r="G26" s="658">
        <f>CONTROL!C60</f>
        <v>0</v>
      </c>
      <c r="H26" s="240"/>
      <c r="I26" s="667"/>
      <c r="J26" s="659">
        <f>CONTROL!$F60</f>
        <v>0</v>
      </c>
      <c r="K26" s="660">
        <f>CONTROL!L60</f>
        <v>0</v>
      </c>
      <c r="L26" s="661">
        <f t="shared" si="2"/>
        <v>0</v>
      </c>
      <c r="M26" s="659">
        <f>CONTROL!G60</f>
        <v>0</v>
      </c>
      <c r="N26" s="660">
        <f>CONTROL!M60</f>
        <v>0</v>
      </c>
      <c r="O26" s="661">
        <f t="shared" si="3"/>
        <v>0</v>
      </c>
      <c r="P26" s="659">
        <f>CONTROL!H60</f>
        <v>0</v>
      </c>
      <c r="Q26" s="660">
        <f>CONTROL!N60</f>
        <v>0</v>
      </c>
      <c r="R26" s="661">
        <f t="shared" si="4"/>
        <v>0</v>
      </c>
      <c r="S26" s="659">
        <f>CONTROL!I60</f>
        <v>0</v>
      </c>
      <c r="T26" s="660">
        <f>CONTROL!O60</f>
        <v>0</v>
      </c>
      <c r="U26" s="662">
        <f t="shared" si="5"/>
        <v>0</v>
      </c>
      <c r="V26" s="663">
        <f t="shared" si="6"/>
        <v>0</v>
      </c>
      <c r="W26" s="664">
        <f t="shared" si="7"/>
        <v>0</v>
      </c>
      <c r="X26" s="661">
        <f t="shared" si="8"/>
        <v>0</v>
      </c>
      <c r="Y26" s="665">
        <f t="shared" si="9"/>
        <v>0</v>
      </c>
      <c r="Z26" s="666">
        <f t="shared" si="10"/>
        <v>0</v>
      </c>
      <c r="AA26" s="278"/>
    </row>
    <row r="27" spans="1:27" ht="15">
      <c r="A27" s="479">
        <f t="shared" si="1"/>
        <v>27</v>
      </c>
      <c r="B27" s="96"/>
      <c r="C27" s="50"/>
      <c r="D27" s="558"/>
      <c r="E27" s="319" t="str">
        <f>CONTROL!B61</f>
        <v>-</v>
      </c>
      <c r="F27" s="53"/>
      <c r="G27" s="658">
        <f>CONTROL!C61</f>
        <v>0</v>
      </c>
      <c r="H27" s="240"/>
      <c r="I27" s="667"/>
      <c r="J27" s="659">
        <f>CONTROL!$F61</f>
        <v>0</v>
      </c>
      <c r="K27" s="660">
        <f>CONTROL!L61</f>
        <v>0</v>
      </c>
      <c r="L27" s="661">
        <f t="shared" si="2"/>
        <v>0</v>
      </c>
      <c r="M27" s="659">
        <f>CONTROL!G61</f>
        <v>0</v>
      </c>
      <c r="N27" s="660">
        <f>CONTROL!M61</f>
        <v>0</v>
      </c>
      <c r="O27" s="661">
        <f t="shared" si="3"/>
        <v>0</v>
      </c>
      <c r="P27" s="659">
        <f>CONTROL!H61</f>
        <v>0</v>
      </c>
      <c r="Q27" s="660">
        <f>CONTROL!N61</f>
        <v>0</v>
      </c>
      <c r="R27" s="661">
        <f t="shared" si="4"/>
        <v>0</v>
      </c>
      <c r="S27" s="659">
        <f>CONTROL!I61</f>
        <v>0</v>
      </c>
      <c r="T27" s="660">
        <f>CONTROL!O61</f>
        <v>0</v>
      </c>
      <c r="U27" s="662">
        <f t="shared" si="5"/>
        <v>0</v>
      </c>
      <c r="V27" s="663">
        <f t="shared" si="6"/>
        <v>0</v>
      </c>
      <c r="W27" s="664">
        <f t="shared" si="7"/>
        <v>0</v>
      </c>
      <c r="X27" s="661">
        <f t="shared" si="8"/>
        <v>0</v>
      </c>
      <c r="Y27" s="665">
        <f t="shared" si="9"/>
        <v>0</v>
      </c>
      <c r="Z27" s="666">
        <f t="shared" si="10"/>
        <v>0</v>
      </c>
      <c r="AA27" s="278"/>
    </row>
    <row r="28" spans="1:27" ht="15">
      <c r="A28" s="479">
        <f t="shared" si="1"/>
        <v>28</v>
      </c>
      <c r="B28" s="96"/>
      <c r="C28" s="50"/>
      <c r="D28" s="558"/>
      <c r="E28" s="319" t="str">
        <f>CONTROL!B62</f>
        <v>-</v>
      </c>
      <c r="F28" s="53"/>
      <c r="G28" s="658">
        <f>CONTROL!C62</f>
        <v>0</v>
      </c>
      <c r="H28" s="240"/>
      <c r="I28" s="667"/>
      <c r="J28" s="659">
        <f>CONTROL!$F62</f>
        <v>0</v>
      </c>
      <c r="K28" s="660">
        <f>CONTROL!L62</f>
        <v>0</v>
      </c>
      <c r="L28" s="661">
        <f t="shared" si="2"/>
        <v>0</v>
      </c>
      <c r="M28" s="659">
        <f>CONTROL!G62</f>
        <v>0</v>
      </c>
      <c r="N28" s="660">
        <f>CONTROL!M62</f>
        <v>0</v>
      </c>
      <c r="O28" s="661">
        <f t="shared" si="3"/>
        <v>0</v>
      </c>
      <c r="P28" s="659">
        <f>CONTROL!H62</f>
        <v>0</v>
      </c>
      <c r="Q28" s="660">
        <f>CONTROL!N62</f>
        <v>0</v>
      </c>
      <c r="R28" s="661">
        <f t="shared" si="4"/>
        <v>0</v>
      </c>
      <c r="S28" s="659">
        <f>CONTROL!I62</f>
        <v>0</v>
      </c>
      <c r="T28" s="660">
        <f>CONTROL!O62</f>
        <v>0</v>
      </c>
      <c r="U28" s="662">
        <f t="shared" si="5"/>
        <v>0</v>
      </c>
      <c r="V28" s="663">
        <f t="shared" si="6"/>
        <v>0</v>
      </c>
      <c r="W28" s="664">
        <f t="shared" si="7"/>
        <v>0</v>
      </c>
      <c r="X28" s="661">
        <f t="shared" si="8"/>
        <v>0</v>
      </c>
      <c r="Y28" s="665">
        <f t="shared" si="9"/>
        <v>0</v>
      </c>
      <c r="Z28" s="666">
        <f t="shared" si="10"/>
        <v>0</v>
      </c>
      <c r="AA28" s="278"/>
    </row>
    <row r="29" spans="1:27" ht="15">
      <c r="A29" s="479">
        <f t="shared" si="1"/>
        <v>29</v>
      </c>
      <c r="B29" s="96"/>
      <c r="C29" s="50"/>
      <c r="D29" s="558"/>
      <c r="E29" s="319" t="str">
        <f>CONTROL!B63</f>
        <v>-</v>
      </c>
      <c r="F29" s="53"/>
      <c r="G29" s="658">
        <f>CONTROL!C63</f>
        <v>0</v>
      </c>
      <c r="H29" s="240"/>
      <c r="I29" s="667"/>
      <c r="J29" s="659">
        <f>CONTROL!$F63</f>
        <v>0</v>
      </c>
      <c r="K29" s="660">
        <f>CONTROL!L63</f>
        <v>0</v>
      </c>
      <c r="L29" s="661">
        <f t="shared" si="2"/>
        <v>0</v>
      </c>
      <c r="M29" s="659">
        <f>CONTROL!G63</f>
        <v>0</v>
      </c>
      <c r="N29" s="660">
        <f>CONTROL!M63</f>
        <v>0</v>
      </c>
      <c r="O29" s="661">
        <f t="shared" si="3"/>
        <v>0</v>
      </c>
      <c r="P29" s="659">
        <f>CONTROL!H63</f>
        <v>0</v>
      </c>
      <c r="Q29" s="660">
        <f>CONTROL!N63</f>
        <v>0</v>
      </c>
      <c r="R29" s="661">
        <f t="shared" si="4"/>
        <v>0</v>
      </c>
      <c r="S29" s="659">
        <f>CONTROL!I63</f>
        <v>0</v>
      </c>
      <c r="T29" s="660">
        <f>CONTROL!O63</f>
        <v>0</v>
      </c>
      <c r="U29" s="662">
        <f t="shared" si="5"/>
        <v>0</v>
      </c>
      <c r="V29" s="663">
        <f t="shared" si="6"/>
        <v>0</v>
      </c>
      <c r="W29" s="664">
        <f t="shared" si="7"/>
        <v>0</v>
      </c>
      <c r="X29" s="661">
        <f t="shared" si="8"/>
        <v>0</v>
      </c>
      <c r="Y29" s="665">
        <f t="shared" si="9"/>
        <v>0</v>
      </c>
      <c r="Z29" s="666">
        <f t="shared" si="10"/>
        <v>0</v>
      </c>
      <c r="AA29" s="278"/>
    </row>
    <row r="30" spans="1:27" ht="15">
      <c r="A30" s="479">
        <f t="shared" si="1"/>
        <v>30</v>
      </c>
      <c r="B30" s="96"/>
      <c r="C30" s="50"/>
      <c r="D30" s="558"/>
      <c r="E30" s="319" t="str">
        <f>CONTROL!B64</f>
        <v>-</v>
      </c>
      <c r="F30" s="53"/>
      <c r="G30" s="658">
        <f>CONTROL!C64</f>
        <v>0</v>
      </c>
      <c r="H30" s="240"/>
      <c r="I30" s="667"/>
      <c r="J30" s="659">
        <f>CONTROL!$F64</f>
        <v>0</v>
      </c>
      <c r="K30" s="660">
        <f>CONTROL!L64</f>
        <v>0</v>
      </c>
      <c r="L30" s="661">
        <f t="shared" si="2"/>
        <v>0</v>
      </c>
      <c r="M30" s="659">
        <f>CONTROL!G64</f>
        <v>0</v>
      </c>
      <c r="N30" s="660">
        <f>CONTROL!M64</f>
        <v>0</v>
      </c>
      <c r="O30" s="661">
        <f t="shared" si="3"/>
        <v>0</v>
      </c>
      <c r="P30" s="659">
        <f>CONTROL!H64</f>
        <v>0</v>
      </c>
      <c r="Q30" s="660">
        <f>CONTROL!N64</f>
        <v>0</v>
      </c>
      <c r="R30" s="661">
        <f t="shared" si="4"/>
        <v>0</v>
      </c>
      <c r="S30" s="659">
        <f>CONTROL!I64</f>
        <v>0</v>
      </c>
      <c r="T30" s="660">
        <f>CONTROL!O64</f>
        <v>0</v>
      </c>
      <c r="U30" s="662">
        <f t="shared" si="5"/>
        <v>0</v>
      </c>
      <c r="V30" s="663">
        <f t="shared" si="6"/>
        <v>0</v>
      </c>
      <c r="W30" s="664">
        <f t="shared" si="7"/>
        <v>0</v>
      </c>
      <c r="X30" s="661">
        <f t="shared" si="8"/>
        <v>0</v>
      </c>
      <c r="Y30" s="665">
        <f t="shared" si="9"/>
        <v>0</v>
      </c>
      <c r="Z30" s="666">
        <f t="shared" si="10"/>
        <v>0</v>
      </c>
      <c r="AA30" s="278"/>
    </row>
    <row r="31" spans="1:27" ht="15">
      <c r="A31" s="479">
        <f t="shared" si="1"/>
        <v>31</v>
      </c>
      <c r="B31" s="96"/>
      <c r="C31" s="50"/>
      <c r="D31" s="558"/>
      <c r="E31" s="319" t="str">
        <f>CONTROL!B65</f>
        <v>-</v>
      </c>
      <c r="F31" s="53"/>
      <c r="G31" s="658">
        <f>CONTROL!C65</f>
        <v>0</v>
      </c>
      <c r="H31" s="240"/>
      <c r="I31" s="667"/>
      <c r="J31" s="659">
        <f>CONTROL!$F65</f>
        <v>0</v>
      </c>
      <c r="K31" s="660">
        <f>CONTROL!L65</f>
        <v>0</v>
      </c>
      <c r="L31" s="661">
        <f t="shared" si="2"/>
        <v>0</v>
      </c>
      <c r="M31" s="659">
        <f>CONTROL!G65</f>
        <v>0</v>
      </c>
      <c r="N31" s="660">
        <f>CONTROL!M65</f>
        <v>0</v>
      </c>
      <c r="O31" s="661">
        <f t="shared" si="3"/>
        <v>0</v>
      </c>
      <c r="P31" s="659">
        <f>CONTROL!H65</f>
        <v>0</v>
      </c>
      <c r="Q31" s="660">
        <f>CONTROL!N65</f>
        <v>0</v>
      </c>
      <c r="R31" s="661">
        <f t="shared" si="4"/>
        <v>0</v>
      </c>
      <c r="S31" s="659">
        <f>CONTROL!I65</f>
        <v>0</v>
      </c>
      <c r="T31" s="660">
        <f>CONTROL!O65</f>
        <v>0</v>
      </c>
      <c r="U31" s="662">
        <f t="shared" si="5"/>
        <v>0</v>
      </c>
      <c r="V31" s="663">
        <f t="shared" si="6"/>
        <v>0</v>
      </c>
      <c r="W31" s="664">
        <f t="shared" si="7"/>
        <v>0</v>
      </c>
      <c r="X31" s="661">
        <f t="shared" si="8"/>
        <v>0</v>
      </c>
      <c r="Y31" s="665">
        <f t="shared" si="9"/>
        <v>0</v>
      </c>
      <c r="Z31" s="666">
        <f t="shared" si="10"/>
        <v>0</v>
      </c>
      <c r="AA31" s="278"/>
    </row>
    <row r="32" spans="1:27" ht="15">
      <c r="A32" s="479">
        <f t="shared" si="1"/>
        <v>32</v>
      </c>
      <c r="B32" s="96"/>
      <c r="C32" s="50"/>
      <c r="D32" s="558"/>
      <c r="E32" s="319" t="str">
        <f>CONTROL!B66</f>
        <v>-</v>
      </c>
      <c r="F32" s="53"/>
      <c r="G32" s="658">
        <f>CONTROL!C66</f>
        <v>0</v>
      </c>
      <c r="H32" s="240"/>
      <c r="I32" s="667"/>
      <c r="J32" s="659">
        <f>CONTROL!$F66</f>
        <v>0</v>
      </c>
      <c r="K32" s="660">
        <f>CONTROL!L66</f>
        <v>0</v>
      </c>
      <c r="L32" s="661">
        <f t="shared" si="2"/>
        <v>0</v>
      </c>
      <c r="M32" s="659">
        <f>CONTROL!G66</f>
        <v>0</v>
      </c>
      <c r="N32" s="660">
        <f>CONTROL!M66</f>
        <v>0</v>
      </c>
      <c r="O32" s="661">
        <f t="shared" si="3"/>
        <v>0</v>
      </c>
      <c r="P32" s="659">
        <f>CONTROL!H66</f>
        <v>0</v>
      </c>
      <c r="Q32" s="660">
        <f>CONTROL!N66</f>
        <v>0</v>
      </c>
      <c r="R32" s="661">
        <f t="shared" si="4"/>
        <v>0</v>
      </c>
      <c r="S32" s="659">
        <f>CONTROL!I66</f>
        <v>0</v>
      </c>
      <c r="T32" s="660">
        <f>CONTROL!O66</f>
        <v>0</v>
      </c>
      <c r="U32" s="662">
        <f t="shared" si="5"/>
        <v>0</v>
      </c>
      <c r="V32" s="663">
        <f t="shared" si="6"/>
        <v>0</v>
      </c>
      <c r="W32" s="664">
        <f t="shared" si="7"/>
        <v>0</v>
      </c>
      <c r="X32" s="661">
        <f t="shared" si="8"/>
        <v>0</v>
      </c>
      <c r="Y32" s="665">
        <f t="shared" si="9"/>
        <v>0</v>
      </c>
      <c r="Z32" s="666">
        <f t="shared" si="10"/>
        <v>0</v>
      </c>
      <c r="AA32" s="278"/>
    </row>
    <row r="33" spans="1:27" ht="15">
      <c r="A33" s="479">
        <f t="shared" si="1"/>
        <v>33</v>
      </c>
      <c r="B33" s="96"/>
      <c r="C33" s="50"/>
      <c r="D33" s="50"/>
      <c r="E33" s="53" t="s">
        <v>351</v>
      </c>
      <c r="F33" s="53"/>
      <c r="G33" s="668">
        <f>CONTROL!F105</f>
        <v>0</v>
      </c>
      <c r="H33" s="240"/>
      <c r="I33" s="667"/>
      <c r="J33" s="659">
        <f>SUM(CONTROL!F67:F101)</f>
        <v>0</v>
      </c>
      <c r="K33" s="660">
        <f>SUM(CONTROL!L67:L101)</f>
        <v>0</v>
      </c>
      <c r="L33" s="661">
        <f t="shared" si="2"/>
        <v>0</v>
      </c>
      <c r="M33" s="659">
        <f>SUM(CONTROL!G67:G101)</f>
        <v>0</v>
      </c>
      <c r="N33" s="660">
        <f>SUM(CONTROL!M67:M101)</f>
        <v>0</v>
      </c>
      <c r="O33" s="661">
        <f t="shared" si="3"/>
        <v>0</v>
      </c>
      <c r="P33" s="659">
        <f>SUM(CONTROL!H67:H101)</f>
        <v>0</v>
      </c>
      <c r="Q33" s="660">
        <f>SUM(CONTROL!N67:N101)</f>
        <v>0</v>
      </c>
      <c r="R33" s="661">
        <f t="shared" si="4"/>
        <v>0</v>
      </c>
      <c r="S33" s="659">
        <f>SUM(CONTROL!I67:I101)</f>
        <v>0</v>
      </c>
      <c r="T33" s="660">
        <f>SUM(CONTROL!O67:O101)</f>
        <v>0</v>
      </c>
      <c r="U33" s="662">
        <f t="shared" si="5"/>
        <v>0</v>
      </c>
      <c r="V33" s="663">
        <f t="shared" si="6"/>
        <v>0</v>
      </c>
      <c r="W33" s="664">
        <f t="shared" si="7"/>
        <v>0</v>
      </c>
      <c r="X33" s="661">
        <f t="shared" si="8"/>
        <v>0</v>
      </c>
      <c r="Y33" s="665">
        <f t="shared" si="9"/>
        <v>0</v>
      </c>
      <c r="Z33" s="666">
        <f t="shared" si="10"/>
        <v>0</v>
      </c>
      <c r="AA33" s="278"/>
    </row>
    <row r="34" spans="1:27" ht="30" customHeight="1">
      <c r="A34" s="480">
        <f t="shared" si="1"/>
        <v>34</v>
      </c>
      <c r="B34" s="280"/>
      <c r="C34" s="140"/>
      <c r="D34" s="1065" t="s">
        <v>350</v>
      </c>
      <c r="E34" s="1065"/>
      <c r="F34" s="559"/>
      <c r="G34" s="560">
        <f>IFERROR(SUMPRODUCT(G18:G33,G163:G178)/SUM(G163:G178),0)</f>
        <v>0</v>
      </c>
      <c r="H34" s="240"/>
      <c r="I34" s="659">
        <f t="shared" ref="I34:Z34" si="11">SUM(I18:I33)</f>
        <v>0</v>
      </c>
      <c r="J34" s="659">
        <f t="shared" si="11"/>
        <v>0</v>
      </c>
      <c r="K34" s="669">
        <f t="shared" si="11"/>
        <v>0</v>
      </c>
      <c r="L34" s="669">
        <f t="shared" si="11"/>
        <v>0</v>
      </c>
      <c r="M34" s="659">
        <f t="shared" si="11"/>
        <v>0</v>
      </c>
      <c r="N34" s="669">
        <f t="shared" si="11"/>
        <v>0</v>
      </c>
      <c r="O34" s="669">
        <f t="shared" si="11"/>
        <v>0</v>
      </c>
      <c r="P34" s="659">
        <f t="shared" si="11"/>
        <v>0</v>
      </c>
      <c r="Q34" s="669">
        <f t="shared" si="11"/>
        <v>0</v>
      </c>
      <c r="R34" s="669">
        <f t="shared" si="11"/>
        <v>0</v>
      </c>
      <c r="S34" s="659">
        <f t="shared" si="11"/>
        <v>0</v>
      </c>
      <c r="T34" s="669">
        <f t="shared" si="11"/>
        <v>0</v>
      </c>
      <c r="U34" s="670">
        <f t="shared" si="11"/>
        <v>0</v>
      </c>
      <c r="V34" s="663">
        <f t="shared" si="11"/>
        <v>0</v>
      </c>
      <c r="W34" s="669">
        <f t="shared" si="11"/>
        <v>0</v>
      </c>
      <c r="X34" s="671">
        <f t="shared" si="11"/>
        <v>0</v>
      </c>
      <c r="Y34" s="665">
        <f t="shared" si="11"/>
        <v>0</v>
      </c>
      <c r="Z34" s="666">
        <f t="shared" si="11"/>
        <v>0</v>
      </c>
      <c r="AA34" s="282"/>
    </row>
    <row r="35" spans="1:27" ht="15">
      <c r="A35" s="479">
        <f t="shared" si="1"/>
        <v>35</v>
      </c>
      <c r="B35" s="96"/>
      <c r="C35" s="50"/>
      <c r="D35" s="97" t="s">
        <v>26</v>
      </c>
      <c r="E35" s="94"/>
      <c r="F35" s="94"/>
      <c r="G35" s="57"/>
      <c r="H35" s="240"/>
      <c r="I35" s="667"/>
      <c r="J35" s="672"/>
      <c r="K35" s="673"/>
      <c r="L35" s="661">
        <f>IF(K$18&lt;&gt;0,K35-J35,0)</f>
        <v>0</v>
      </c>
      <c r="M35" s="674"/>
      <c r="N35" s="675"/>
      <c r="O35" s="661">
        <f>IF(N$18&lt;&gt;0,N35-M35,0)</f>
        <v>0</v>
      </c>
      <c r="P35" s="674"/>
      <c r="Q35" s="675"/>
      <c r="R35" s="661">
        <f>IF(Q$18&lt;&gt;0,Q35-P35,0)</f>
        <v>0</v>
      </c>
      <c r="S35" s="674"/>
      <c r="T35" s="675"/>
      <c r="U35" s="662">
        <f>IF(T$18&lt;&gt;0,T35-S35,0)</f>
        <v>0</v>
      </c>
      <c r="V35" s="663">
        <f>J35+M35+P35+S35</f>
        <v>0</v>
      </c>
      <c r="W35" s="664">
        <f>SUM(IF(K$6&lt;&gt;0,K35,J35)+IF(N$6&lt;&gt;0,N35,M35)+IF(Q$6&lt;&gt;0,Q35,P35)+IF(T$6&lt;&gt;0,T35,S35))</f>
        <v>0</v>
      </c>
      <c r="X35" s="661">
        <f>W35-V35</f>
        <v>0</v>
      </c>
      <c r="Y35" s="665">
        <f>V35-I35</f>
        <v>0</v>
      </c>
      <c r="Z35" s="666">
        <f>W35-I35</f>
        <v>0</v>
      </c>
      <c r="AA35" s="278"/>
    </row>
    <row r="36" spans="1:27" ht="15">
      <c r="A36" s="479">
        <f t="shared" si="1"/>
        <v>36</v>
      </c>
      <c r="B36" s="96"/>
      <c r="C36" s="50"/>
      <c r="D36" s="97" t="s">
        <v>27</v>
      </c>
      <c r="E36" s="94"/>
      <c r="F36" s="94"/>
      <c r="G36" s="57"/>
      <c r="H36" s="240"/>
      <c r="I36" s="676"/>
      <c r="J36" s="676"/>
      <c r="K36" s="676"/>
      <c r="L36" s="676"/>
      <c r="M36" s="676"/>
      <c r="N36" s="676"/>
      <c r="O36" s="676"/>
      <c r="P36" s="676"/>
      <c r="Q36" s="676"/>
      <c r="R36" s="676"/>
      <c r="S36" s="676"/>
      <c r="T36" s="676"/>
      <c r="U36" s="666"/>
      <c r="V36" s="677"/>
      <c r="W36" s="676"/>
      <c r="X36" s="676"/>
      <c r="Y36" s="676"/>
      <c r="Z36" s="666"/>
      <c r="AA36" s="278"/>
    </row>
    <row r="37" spans="1:27" ht="15">
      <c r="A37" s="479">
        <f t="shared" si="1"/>
        <v>37</v>
      </c>
      <c r="B37" s="96"/>
      <c r="C37" s="50"/>
      <c r="D37" s="50"/>
      <c r="E37" s="120" t="s">
        <v>28</v>
      </c>
      <c r="F37" s="120"/>
      <c r="G37" s="56"/>
      <c r="H37" s="240"/>
      <c r="I37" s="667"/>
      <c r="J37" s="672"/>
      <c r="K37" s="673"/>
      <c r="L37" s="661">
        <f>IF(K$18&lt;&gt;0,K37-J37,0)</f>
        <v>0</v>
      </c>
      <c r="M37" s="674"/>
      <c r="N37" s="675"/>
      <c r="O37" s="661">
        <f>IF(N$18&lt;&gt;0,N37-M37,0)</f>
        <v>0</v>
      </c>
      <c r="P37" s="674"/>
      <c r="Q37" s="675"/>
      <c r="R37" s="661">
        <f>IF(Q$18&lt;&gt;0,Q37-P37,0)</f>
        <v>0</v>
      </c>
      <c r="S37" s="674"/>
      <c r="T37" s="675"/>
      <c r="U37" s="662">
        <f>IF(T$18&lt;&gt;0,T37-S37,0)</f>
        <v>0</v>
      </c>
      <c r="V37" s="663">
        <f>J37+M37+P37+S37</f>
        <v>0</v>
      </c>
      <c r="W37" s="664">
        <f>SUM(IF(K$6&lt;&gt;0,K37,J37)+IF(N$6&lt;&gt;0,N37,M37)+IF(Q$6&lt;&gt;0,Q37,P37)+IF(T$6&lt;&gt;0,T37,S37))</f>
        <v>0</v>
      </c>
      <c r="X37" s="661">
        <f>W37-V37</f>
        <v>0</v>
      </c>
      <c r="Y37" s="665">
        <f>V37-I37</f>
        <v>0</v>
      </c>
      <c r="Z37" s="666">
        <f>W37-I37</f>
        <v>0</v>
      </c>
      <c r="AA37" s="278"/>
    </row>
    <row r="38" spans="1:27" ht="15">
      <c r="A38" s="479">
        <f t="shared" si="1"/>
        <v>38</v>
      </c>
      <c r="B38" s="96"/>
      <c r="C38" s="50"/>
      <c r="D38" s="50"/>
      <c r="E38" s="120" t="s">
        <v>155</v>
      </c>
      <c r="F38" s="120"/>
      <c r="G38" s="56"/>
      <c r="H38" s="240"/>
      <c r="I38" s="667"/>
      <c r="J38" s="672"/>
      <c r="K38" s="673"/>
      <c r="L38" s="661">
        <f>IF(K$18&lt;&gt;0,K38-J38,0)</f>
        <v>0</v>
      </c>
      <c r="M38" s="674"/>
      <c r="N38" s="675"/>
      <c r="O38" s="661">
        <f>IF(N$18&lt;&gt;0,N38-M38,0)</f>
        <v>0</v>
      </c>
      <c r="P38" s="674"/>
      <c r="Q38" s="675"/>
      <c r="R38" s="661">
        <f>IF(Q$18&lt;&gt;0,Q38-P38,0)</f>
        <v>0</v>
      </c>
      <c r="S38" s="674"/>
      <c r="T38" s="675"/>
      <c r="U38" s="662">
        <f>IF(T$18&lt;&gt;0,T38-S38,0)</f>
        <v>0</v>
      </c>
      <c r="V38" s="663">
        <f>J38+M38+P38+S38</f>
        <v>0</v>
      </c>
      <c r="W38" s="664">
        <f>SUM(IF(K$6&lt;&gt;0,K38,J38)+IF(N$6&lt;&gt;0,N38,M38)+IF(Q$6&lt;&gt;0,Q38,P38)+IF(T$6&lt;&gt;0,T38,S38))</f>
        <v>0</v>
      </c>
      <c r="X38" s="661">
        <f>W38-V38</f>
        <v>0</v>
      </c>
      <c r="Y38" s="665">
        <f>V38-I38</f>
        <v>0</v>
      </c>
      <c r="Z38" s="666">
        <f>W38-I38</f>
        <v>0</v>
      </c>
      <c r="AA38" s="278"/>
    </row>
    <row r="39" spans="1:27" ht="15">
      <c r="A39" s="479">
        <f t="shared" si="1"/>
        <v>39</v>
      </c>
      <c r="B39" s="96"/>
      <c r="C39" s="50"/>
      <c r="D39" s="50"/>
      <c r="E39" s="120" t="s">
        <v>29</v>
      </c>
      <c r="F39" s="120"/>
      <c r="G39" s="56"/>
      <c r="H39" s="240"/>
      <c r="I39" s="667"/>
      <c r="J39" s="672"/>
      <c r="K39" s="673"/>
      <c r="L39" s="661">
        <f>IF(K$18&lt;&gt;0,K39-J39,0)</f>
        <v>0</v>
      </c>
      <c r="M39" s="674"/>
      <c r="N39" s="675"/>
      <c r="O39" s="661">
        <f>IF(N$18&lt;&gt;0,N39-M39,0)</f>
        <v>0</v>
      </c>
      <c r="P39" s="674"/>
      <c r="Q39" s="675"/>
      <c r="R39" s="661">
        <f>IF(Q$18&lt;&gt;0,Q39-P39,0)</f>
        <v>0</v>
      </c>
      <c r="S39" s="674"/>
      <c r="T39" s="675"/>
      <c r="U39" s="662">
        <f>IF(T$18&lt;&gt;0,T39-S39,0)</f>
        <v>0</v>
      </c>
      <c r="V39" s="663">
        <f>J39+M39+P39+S39</f>
        <v>0</v>
      </c>
      <c r="W39" s="664">
        <f>SUM(IF(K$6&lt;&gt;0,K39,J39)+IF(N$6&lt;&gt;0,N39,M39)+IF(Q$6&lt;&gt;0,Q39,P39)+IF(T$6&lt;&gt;0,T39,S39))</f>
        <v>0</v>
      </c>
      <c r="X39" s="661">
        <f>W39-V39</f>
        <v>0</v>
      </c>
      <c r="Y39" s="665">
        <f>V39-I39</f>
        <v>0</v>
      </c>
      <c r="Z39" s="666">
        <f>W39-I39</f>
        <v>0</v>
      </c>
      <c r="AA39" s="278"/>
    </row>
    <row r="40" spans="1:27" ht="15">
      <c r="A40" s="479">
        <f t="shared" si="1"/>
        <v>40</v>
      </c>
      <c r="B40" s="96"/>
      <c r="C40" s="50"/>
      <c r="D40" s="50" t="s">
        <v>554</v>
      </c>
      <c r="E40" s="120"/>
      <c r="F40" s="120"/>
      <c r="G40" s="56"/>
      <c r="H40" s="240"/>
      <c r="I40" s="667"/>
      <c r="J40" s="672"/>
      <c r="K40" s="673"/>
      <c r="L40" s="661"/>
      <c r="M40" s="674"/>
      <c r="N40" s="675"/>
      <c r="O40" s="661"/>
      <c r="P40" s="674"/>
      <c r="Q40" s="675"/>
      <c r="R40" s="661"/>
      <c r="S40" s="674"/>
      <c r="T40" s="675"/>
      <c r="U40" s="662"/>
      <c r="V40" s="663">
        <f>J40+M40+P40+S40</f>
        <v>0</v>
      </c>
      <c r="W40" s="664">
        <f>SUM(IF(K$6&lt;&gt;0,K40,J40)+IF(N$6&lt;&gt;0,N40,M40)+IF(Q$6&lt;&gt;0,Q40,P40)+IF(T$6&lt;&gt;0,T40,S40))</f>
        <v>0</v>
      </c>
      <c r="X40" s="661">
        <f>W40-V40</f>
        <v>0</v>
      </c>
      <c r="Y40" s="665">
        <f>V40-I40</f>
        <v>0</v>
      </c>
      <c r="Z40" s="666">
        <f>W40-I40</f>
        <v>0</v>
      </c>
      <c r="AA40" s="278"/>
    </row>
    <row r="41" spans="1:27" ht="17.25">
      <c r="A41" s="479">
        <f t="shared" si="1"/>
        <v>41</v>
      </c>
      <c r="B41" s="96"/>
      <c r="C41" s="50"/>
      <c r="D41" s="97" t="s">
        <v>29</v>
      </c>
      <c r="E41" s="94"/>
      <c r="F41" s="94"/>
      <c r="G41" s="57"/>
      <c r="H41" s="240"/>
      <c r="I41" s="678"/>
      <c r="J41" s="679"/>
      <c r="K41" s="680"/>
      <c r="L41" s="681">
        <f>IF(K$18&lt;&gt;0,K41-J41,0)</f>
        <v>0</v>
      </c>
      <c r="M41" s="682"/>
      <c r="N41" s="683"/>
      <c r="O41" s="681">
        <f>IF(N$18&lt;&gt;0,N41-M41,0)</f>
        <v>0</v>
      </c>
      <c r="P41" s="682"/>
      <c r="Q41" s="683"/>
      <c r="R41" s="681">
        <f>IF(Q$18&lt;&gt;0,Q41-P41,0)</f>
        <v>0</v>
      </c>
      <c r="S41" s="682"/>
      <c r="T41" s="683"/>
      <c r="U41" s="684">
        <f>IF(T$18&lt;&gt;0,T41-S41,0)</f>
        <v>0</v>
      </c>
      <c r="V41" s="685">
        <f>J41+M41+P41+S41</f>
        <v>0</v>
      </c>
      <c r="W41" s="686">
        <f>SUM(IF(K$6&lt;&gt;0,K41,J41)+IF(N$6&lt;&gt;0,N41,M41)+IF(Q$6&lt;&gt;0,Q41,P41)+IF(T$6&lt;&gt;0,T41,S41))</f>
        <v>0</v>
      </c>
      <c r="X41" s="681">
        <f>W41-V41</f>
        <v>0</v>
      </c>
      <c r="Y41" s="687">
        <f>V41-I41</f>
        <v>0</v>
      </c>
      <c r="Z41" s="688">
        <f>W41-I41</f>
        <v>0</v>
      </c>
      <c r="AA41" s="278"/>
    </row>
    <row r="42" spans="1:27" ht="15">
      <c r="A42" s="479">
        <f t="shared" si="1"/>
        <v>42</v>
      </c>
      <c r="B42" s="96"/>
      <c r="C42" s="50" t="s">
        <v>30</v>
      </c>
      <c r="D42" s="97"/>
      <c r="E42" s="94"/>
      <c r="F42" s="94"/>
      <c r="G42" s="57"/>
      <c r="H42" s="240"/>
      <c r="I42" s="676">
        <f t="shared" ref="I42:Z42" si="12">SUM(I34:I41)</f>
        <v>0</v>
      </c>
      <c r="J42" s="659">
        <f t="shared" si="12"/>
        <v>0</v>
      </c>
      <c r="K42" s="669">
        <f t="shared" si="12"/>
        <v>0</v>
      </c>
      <c r="L42" s="669">
        <f t="shared" si="12"/>
        <v>0</v>
      </c>
      <c r="M42" s="659">
        <f t="shared" si="12"/>
        <v>0</v>
      </c>
      <c r="N42" s="669">
        <f t="shared" si="12"/>
        <v>0</v>
      </c>
      <c r="O42" s="669">
        <f t="shared" si="12"/>
        <v>0</v>
      </c>
      <c r="P42" s="659">
        <f t="shared" si="12"/>
        <v>0</v>
      </c>
      <c r="Q42" s="669">
        <f t="shared" si="12"/>
        <v>0</v>
      </c>
      <c r="R42" s="669">
        <f t="shared" si="12"/>
        <v>0</v>
      </c>
      <c r="S42" s="659">
        <f t="shared" si="12"/>
        <v>0</v>
      </c>
      <c r="T42" s="669">
        <f t="shared" si="12"/>
        <v>0</v>
      </c>
      <c r="U42" s="670">
        <f t="shared" si="12"/>
        <v>0</v>
      </c>
      <c r="V42" s="663">
        <f t="shared" si="12"/>
        <v>0</v>
      </c>
      <c r="W42" s="669">
        <f t="shared" si="12"/>
        <v>0</v>
      </c>
      <c r="X42" s="671">
        <f t="shared" si="12"/>
        <v>0</v>
      </c>
      <c r="Y42" s="665">
        <f t="shared" si="12"/>
        <v>0</v>
      </c>
      <c r="Z42" s="666">
        <f t="shared" si="12"/>
        <v>0</v>
      </c>
      <c r="AA42" s="278"/>
    </row>
    <row r="43" spans="1:27" ht="15">
      <c r="A43" s="479">
        <f t="shared" si="1"/>
        <v>43</v>
      </c>
      <c r="B43" s="96"/>
      <c r="C43" s="50"/>
      <c r="D43" s="50"/>
      <c r="E43" s="53"/>
      <c r="F43" s="53"/>
      <c r="G43" s="51"/>
      <c r="H43" s="240"/>
      <c r="I43" s="689"/>
      <c r="J43" s="689"/>
      <c r="K43" s="689"/>
      <c r="L43" s="689"/>
      <c r="M43" s="689"/>
      <c r="N43" s="689"/>
      <c r="O43" s="689"/>
      <c r="P43" s="689"/>
      <c r="Q43" s="689"/>
      <c r="R43" s="689"/>
      <c r="S43" s="689"/>
      <c r="T43" s="689"/>
      <c r="U43" s="690"/>
      <c r="V43" s="689"/>
      <c r="W43" s="689"/>
      <c r="X43" s="689"/>
      <c r="Y43" s="689"/>
      <c r="Z43" s="690"/>
      <c r="AA43" s="278"/>
    </row>
    <row r="44" spans="1:27" ht="15">
      <c r="A44" s="479">
        <f t="shared" si="1"/>
        <v>44</v>
      </c>
      <c r="B44" s="92"/>
      <c r="C44" s="93" t="s">
        <v>31</v>
      </c>
      <c r="D44" s="93"/>
      <c r="E44" s="53"/>
      <c r="F44" s="53"/>
      <c r="G44" s="51"/>
      <c r="H44" s="240"/>
      <c r="I44" s="98"/>
      <c r="J44" s="98"/>
      <c r="K44" s="98"/>
      <c r="L44" s="98"/>
      <c r="M44" s="98"/>
      <c r="N44" s="98"/>
      <c r="O44" s="98"/>
      <c r="P44" s="98"/>
      <c r="Q44" s="98"/>
      <c r="R44" s="98"/>
      <c r="S44" s="98"/>
      <c r="T44" s="98"/>
      <c r="U44" s="99"/>
      <c r="V44" s="98"/>
      <c r="W44" s="98"/>
      <c r="X44" s="98"/>
      <c r="Y44" s="98"/>
      <c r="Z44" s="99"/>
      <c r="AA44" s="278"/>
    </row>
    <row r="45" spans="1:27" ht="15">
      <c r="A45" s="479">
        <f t="shared" si="1"/>
        <v>45</v>
      </c>
      <c r="B45" s="96"/>
      <c r="C45" s="50"/>
      <c r="D45" s="97" t="s">
        <v>32</v>
      </c>
      <c r="E45" s="94"/>
      <c r="F45" s="94"/>
      <c r="G45" s="57"/>
      <c r="H45" s="240"/>
      <c r="I45" s="667"/>
      <c r="J45" s="672"/>
      <c r="K45" s="673"/>
      <c r="L45" s="661">
        <f>IF(K$18&lt;&gt;0,K45-J45,0)</f>
        <v>0</v>
      </c>
      <c r="M45" s="674"/>
      <c r="N45" s="675"/>
      <c r="O45" s="661">
        <f>IF(N$18&lt;&gt;0,N45-M45,0)</f>
        <v>0</v>
      </c>
      <c r="P45" s="674"/>
      <c r="Q45" s="675"/>
      <c r="R45" s="661">
        <f>IF(Q$18&lt;&gt;0,Q45-P45,0)</f>
        <v>0</v>
      </c>
      <c r="S45" s="674"/>
      <c r="T45" s="675"/>
      <c r="U45" s="662">
        <f>IF(T$18&lt;&gt;0,T45-S45,0)</f>
        <v>0</v>
      </c>
      <c r="V45" s="663">
        <f>J45+M45+P45+S45</f>
        <v>0</v>
      </c>
      <c r="W45" s="664">
        <f>SUM(IF(K$6&lt;&gt;0,K45,J45)+IF(N$6&lt;&gt;0,N45,M45)+IF(Q$6&lt;&gt;0,Q45,P45)+IF(T$6&lt;&gt;0,T45,S45))</f>
        <v>0</v>
      </c>
      <c r="X45" s="661">
        <f>W45-V45</f>
        <v>0</v>
      </c>
      <c r="Y45" s="665">
        <f>V45-I45</f>
        <v>0</v>
      </c>
      <c r="Z45" s="666">
        <f>W45-I45</f>
        <v>0</v>
      </c>
      <c r="AA45" s="278"/>
    </row>
    <row r="46" spans="1:27" ht="15">
      <c r="A46" s="479">
        <f t="shared" si="1"/>
        <v>46</v>
      </c>
      <c r="B46" s="96"/>
      <c r="C46" s="50"/>
      <c r="D46" s="97" t="s">
        <v>33</v>
      </c>
      <c r="E46" s="94"/>
      <c r="F46" s="94"/>
      <c r="G46" s="57"/>
      <c r="H46" s="240"/>
      <c r="I46" s="667"/>
      <c r="J46" s="672"/>
      <c r="K46" s="673"/>
      <c r="L46" s="661">
        <f>IF(K$18&lt;&gt;0,K46-J46,0)</f>
        <v>0</v>
      </c>
      <c r="M46" s="674"/>
      <c r="N46" s="675"/>
      <c r="O46" s="661">
        <f>IF(N$18&lt;&gt;0,N46-M46,0)</f>
        <v>0</v>
      </c>
      <c r="P46" s="674"/>
      <c r="Q46" s="675"/>
      <c r="R46" s="661">
        <f>IF(Q$18&lt;&gt;0,Q46-P46,0)</f>
        <v>0</v>
      </c>
      <c r="S46" s="674"/>
      <c r="T46" s="675"/>
      <c r="U46" s="662">
        <f>IF(T$18&lt;&gt;0,T46-S46,0)</f>
        <v>0</v>
      </c>
      <c r="V46" s="663">
        <f>J46+M46+P46+S46</f>
        <v>0</v>
      </c>
      <c r="W46" s="664">
        <f>SUM(IF(K$6&lt;&gt;0,K46,J46)+IF(N$6&lt;&gt;0,N46,M46)+IF(Q$6&lt;&gt;0,Q46,P46)+IF(T$6&lt;&gt;0,T46,S46))</f>
        <v>0</v>
      </c>
      <c r="X46" s="661">
        <f>W46-V46</f>
        <v>0</v>
      </c>
      <c r="Y46" s="665">
        <f>V46-I46</f>
        <v>0</v>
      </c>
      <c r="Z46" s="666">
        <f>W46-I46</f>
        <v>0</v>
      </c>
      <c r="AA46" s="278"/>
    </row>
    <row r="47" spans="1:27" ht="15">
      <c r="A47" s="479">
        <f t="shared" si="1"/>
        <v>47</v>
      </c>
      <c r="B47" s="96"/>
      <c r="C47" s="50"/>
      <c r="D47" s="97" t="s">
        <v>34</v>
      </c>
      <c r="E47" s="94"/>
      <c r="F47" s="94"/>
      <c r="G47" s="57"/>
      <c r="H47" s="240"/>
      <c r="I47" s="667"/>
      <c r="J47" s="672"/>
      <c r="K47" s="673"/>
      <c r="L47" s="661">
        <f>IF(K$18&lt;&gt;0,K47-J47,0)</f>
        <v>0</v>
      </c>
      <c r="M47" s="674"/>
      <c r="N47" s="675"/>
      <c r="O47" s="661">
        <f>IF(N$18&lt;&gt;0,N47-M47,0)</f>
        <v>0</v>
      </c>
      <c r="P47" s="674"/>
      <c r="Q47" s="675"/>
      <c r="R47" s="661">
        <f>IF(Q$18&lt;&gt;0,Q47-P47,0)</f>
        <v>0</v>
      </c>
      <c r="S47" s="674"/>
      <c r="T47" s="675"/>
      <c r="U47" s="662">
        <f>IF(T$18&lt;&gt;0,T47-S47,0)</f>
        <v>0</v>
      </c>
      <c r="V47" s="663">
        <f>J47+M47+P47+S47</f>
        <v>0</v>
      </c>
      <c r="W47" s="664">
        <f>SUM(IF(K$6&lt;&gt;0,K47,J47)+IF(N$6&lt;&gt;0,N47,M47)+IF(Q$6&lt;&gt;0,Q47,P47)+IF(T$6&lt;&gt;0,T47,S47))</f>
        <v>0</v>
      </c>
      <c r="X47" s="661">
        <f>W47-V47</f>
        <v>0</v>
      </c>
      <c r="Y47" s="665">
        <f>V47-I47</f>
        <v>0</v>
      </c>
      <c r="Z47" s="666">
        <f>W47-I47</f>
        <v>0</v>
      </c>
      <c r="AA47" s="278"/>
    </row>
    <row r="48" spans="1:27" ht="15">
      <c r="A48" s="479">
        <f t="shared" si="1"/>
        <v>48</v>
      </c>
      <c r="B48" s="96"/>
      <c r="C48" s="50"/>
      <c r="D48" s="97" t="s">
        <v>35</v>
      </c>
      <c r="E48" s="94"/>
      <c r="F48" s="94"/>
      <c r="G48" s="57"/>
      <c r="H48" s="240"/>
      <c r="I48" s="667"/>
      <c r="J48" s="672"/>
      <c r="K48" s="673"/>
      <c r="L48" s="661">
        <f>IF(K$18&lt;&gt;0,K48-J48,0)</f>
        <v>0</v>
      </c>
      <c r="M48" s="674"/>
      <c r="N48" s="675"/>
      <c r="O48" s="661">
        <f>IF(N$18&lt;&gt;0,N48-M48,0)</f>
        <v>0</v>
      </c>
      <c r="P48" s="674"/>
      <c r="Q48" s="675"/>
      <c r="R48" s="661">
        <f>IF(Q$18&lt;&gt;0,Q48-P48,0)</f>
        <v>0</v>
      </c>
      <c r="S48" s="674"/>
      <c r="T48" s="675"/>
      <c r="U48" s="662">
        <f>IF(T$18&lt;&gt;0,T48-S48,0)</f>
        <v>0</v>
      </c>
      <c r="V48" s="663">
        <f>J48+M48+P48+S48</f>
        <v>0</v>
      </c>
      <c r="W48" s="664">
        <f>SUM(IF(K$6&lt;&gt;0,K48,J48)+IF(N$6&lt;&gt;0,N48,M48)+IF(Q$6&lt;&gt;0,Q48,P48)+IF(T$6&lt;&gt;0,T48,S48))</f>
        <v>0</v>
      </c>
      <c r="X48" s="661">
        <f>W48-V48</f>
        <v>0</v>
      </c>
      <c r="Y48" s="665">
        <f>V48-I48</f>
        <v>0</v>
      </c>
      <c r="Z48" s="666">
        <f>W48-I48</f>
        <v>0</v>
      </c>
      <c r="AA48" s="278"/>
    </row>
    <row r="49" spans="1:27" ht="15">
      <c r="A49" s="479">
        <f t="shared" si="1"/>
        <v>49</v>
      </c>
      <c r="B49" s="96"/>
      <c r="C49" s="50"/>
      <c r="D49" s="97" t="s">
        <v>27</v>
      </c>
      <c r="E49" s="94"/>
      <c r="F49" s="94"/>
      <c r="G49" s="57"/>
      <c r="H49" s="240"/>
      <c r="I49" s="676"/>
      <c r="J49" s="676"/>
      <c r="K49" s="676"/>
      <c r="L49" s="676"/>
      <c r="M49" s="676"/>
      <c r="N49" s="676"/>
      <c r="O49" s="676"/>
      <c r="P49" s="676"/>
      <c r="Q49" s="676"/>
      <c r="R49" s="676"/>
      <c r="S49" s="676"/>
      <c r="T49" s="676"/>
      <c r="U49" s="666"/>
      <c r="V49" s="677"/>
      <c r="W49" s="676"/>
      <c r="X49" s="676"/>
      <c r="Y49" s="676"/>
      <c r="Z49" s="666"/>
      <c r="AA49" s="278"/>
    </row>
    <row r="50" spans="1:27" ht="15">
      <c r="A50" s="479">
        <f t="shared" si="1"/>
        <v>50</v>
      </c>
      <c r="B50" s="96"/>
      <c r="C50" s="50"/>
      <c r="D50" s="50"/>
      <c r="E50" s="120" t="s">
        <v>36</v>
      </c>
      <c r="F50" s="120"/>
      <c r="G50" s="56"/>
      <c r="H50" s="240"/>
      <c r="I50" s="625"/>
      <c r="J50" s="624"/>
      <c r="K50" s="673"/>
      <c r="L50" s="661">
        <f>IF(K$18&lt;&gt;0,K50-J50,0)</f>
        <v>0</v>
      </c>
      <c r="M50" s="624"/>
      <c r="N50" s="675"/>
      <c r="O50" s="661">
        <f>IF(N$18&lt;&gt;0,N50-M50,0)</f>
        <v>0</v>
      </c>
      <c r="P50" s="624"/>
      <c r="Q50" s="675"/>
      <c r="R50" s="661">
        <f>IF(Q$18&lt;&gt;0,Q50-P50,0)</f>
        <v>0</v>
      </c>
      <c r="S50" s="624"/>
      <c r="T50" s="675"/>
      <c r="U50" s="662">
        <f>IF(T$18&lt;&gt;0,T50-S50,0)</f>
        <v>0</v>
      </c>
      <c r="V50" s="663">
        <f>J50+M50+P50+S50</f>
        <v>0</v>
      </c>
      <c r="W50" s="664">
        <f>SUM(IF(K$6&lt;&gt;0,K50,J50)+IF(N$6&lt;&gt;0,N50,M50)+IF(Q$6&lt;&gt;0,Q50,P50)+IF(T$6&lt;&gt;0,T50,S50))</f>
        <v>0</v>
      </c>
      <c r="X50" s="661">
        <f>W50-V50</f>
        <v>0</v>
      </c>
      <c r="Y50" s="665">
        <f>V50-I50</f>
        <v>0</v>
      </c>
      <c r="Z50" s="666">
        <f>W50-I50</f>
        <v>0</v>
      </c>
      <c r="AA50" s="278"/>
    </row>
    <row r="51" spans="1:27" ht="15">
      <c r="A51" s="479">
        <f t="shared" si="1"/>
        <v>51</v>
      </c>
      <c r="B51" s="96"/>
      <c r="C51" s="50"/>
      <c r="D51" s="50"/>
      <c r="E51" s="120" t="s">
        <v>29</v>
      </c>
      <c r="F51" s="120"/>
      <c r="G51" s="56"/>
      <c r="H51" s="240"/>
      <c r="I51" s="625"/>
      <c r="J51" s="624"/>
      <c r="K51" s="673"/>
      <c r="L51" s="661">
        <f>IF(K$18&lt;&gt;0,K51-J51,0)</f>
        <v>0</v>
      </c>
      <c r="M51" s="674"/>
      <c r="N51" s="675"/>
      <c r="O51" s="661">
        <f>IF(N$18&lt;&gt;0,N51-M51,0)</f>
        <v>0</v>
      </c>
      <c r="P51" s="674"/>
      <c r="Q51" s="675"/>
      <c r="R51" s="661">
        <f>IF(Q$18&lt;&gt;0,Q51-P51,0)</f>
        <v>0</v>
      </c>
      <c r="S51" s="674"/>
      <c r="T51" s="675"/>
      <c r="U51" s="662">
        <f>IF(T$18&lt;&gt;0,T51-S51,0)</f>
        <v>0</v>
      </c>
      <c r="V51" s="663">
        <f>J51+M51+P51+S51</f>
        <v>0</v>
      </c>
      <c r="W51" s="664">
        <f>SUM(IF(K$6&lt;&gt;0,K51,J51)+IF(N$6&lt;&gt;0,N51,M51)+IF(Q$6&lt;&gt;0,Q51,P51)+IF(T$6&lt;&gt;0,T51,S51))</f>
        <v>0</v>
      </c>
      <c r="X51" s="661">
        <f>W51-V51</f>
        <v>0</v>
      </c>
      <c r="Y51" s="665">
        <f>V51-I51</f>
        <v>0</v>
      </c>
      <c r="Z51" s="666">
        <f>W51-I51</f>
        <v>0</v>
      </c>
      <c r="AA51" s="278"/>
    </row>
    <row r="52" spans="1:27" ht="17.25">
      <c r="A52" s="479">
        <f t="shared" si="1"/>
        <v>52</v>
      </c>
      <c r="B52" s="96"/>
      <c r="C52" s="50"/>
      <c r="D52" s="97" t="s">
        <v>37</v>
      </c>
      <c r="E52" s="94"/>
      <c r="F52" s="94"/>
      <c r="G52" s="57"/>
      <c r="H52" s="240"/>
      <c r="I52" s="678"/>
      <c r="J52" s="679"/>
      <c r="K52" s="680"/>
      <c r="L52" s="681">
        <f>IF(K$18&lt;&gt;0,K52-J52,0)</f>
        <v>0</v>
      </c>
      <c r="M52" s="682"/>
      <c r="N52" s="683"/>
      <c r="O52" s="681">
        <f>IF(N$18&lt;&gt;0,N52-M52,0)</f>
        <v>0</v>
      </c>
      <c r="P52" s="682"/>
      <c r="Q52" s="683"/>
      <c r="R52" s="681">
        <f>IF(Q$18&lt;&gt;0,Q52-P52,0)</f>
        <v>0</v>
      </c>
      <c r="S52" s="682"/>
      <c r="T52" s="683"/>
      <c r="U52" s="684">
        <f>IF(T$18&lt;&gt;0,T52-S52,0)</f>
        <v>0</v>
      </c>
      <c r="V52" s="685">
        <f>J52+M52+P52+S52</f>
        <v>0</v>
      </c>
      <c r="W52" s="686">
        <f>SUM(IF(K$6&lt;&gt;0,K52,J52)+IF(N$6&lt;&gt;0,N52,M52)+IF(Q$6&lt;&gt;0,Q52,P52)+IF(T$6&lt;&gt;0,T52,S52))</f>
        <v>0</v>
      </c>
      <c r="X52" s="681">
        <f>W52-V52</f>
        <v>0</v>
      </c>
      <c r="Y52" s="687">
        <f>V52-I52</f>
        <v>0</v>
      </c>
      <c r="Z52" s="688">
        <f>W52-I52</f>
        <v>0</v>
      </c>
      <c r="AA52" s="278"/>
    </row>
    <row r="53" spans="1:27" ht="15">
      <c r="A53" s="479">
        <f t="shared" si="1"/>
        <v>53</v>
      </c>
      <c r="B53" s="96"/>
      <c r="C53" s="50" t="s">
        <v>38</v>
      </c>
      <c r="D53" s="97"/>
      <c r="E53" s="94"/>
      <c r="F53" s="94"/>
      <c r="G53" s="57"/>
      <c r="H53" s="240"/>
      <c r="I53" s="676">
        <f t="shared" ref="I53:Z53" si="13">SUM(I45:I52)</f>
        <v>0</v>
      </c>
      <c r="J53" s="659">
        <f t="shared" si="13"/>
        <v>0</v>
      </c>
      <c r="K53" s="669">
        <f t="shared" si="13"/>
        <v>0</v>
      </c>
      <c r="L53" s="669">
        <f t="shared" si="13"/>
        <v>0</v>
      </c>
      <c r="M53" s="659">
        <f t="shared" si="13"/>
        <v>0</v>
      </c>
      <c r="N53" s="669">
        <f t="shared" si="13"/>
        <v>0</v>
      </c>
      <c r="O53" s="669">
        <f t="shared" si="13"/>
        <v>0</v>
      </c>
      <c r="P53" s="659">
        <f t="shared" si="13"/>
        <v>0</v>
      </c>
      <c r="Q53" s="669">
        <f t="shared" si="13"/>
        <v>0</v>
      </c>
      <c r="R53" s="669">
        <f t="shared" si="13"/>
        <v>0</v>
      </c>
      <c r="S53" s="659">
        <f t="shared" si="13"/>
        <v>0</v>
      </c>
      <c r="T53" s="669">
        <f t="shared" si="13"/>
        <v>0</v>
      </c>
      <c r="U53" s="670">
        <f t="shared" si="13"/>
        <v>0</v>
      </c>
      <c r="V53" s="663">
        <f t="shared" si="13"/>
        <v>0</v>
      </c>
      <c r="W53" s="669">
        <f t="shared" si="13"/>
        <v>0</v>
      </c>
      <c r="X53" s="671">
        <f t="shared" si="13"/>
        <v>0</v>
      </c>
      <c r="Y53" s="665">
        <f t="shared" si="13"/>
        <v>0</v>
      </c>
      <c r="Z53" s="666">
        <f t="shared" si="13"/>
        <v>0</v>
      </c>
      <c r="AA53" s="278"/>
    </row>
    <row r="54" spans="1:27" ht="15">
      <c r="A54" s="479">
        <f t="shared" si="1"/>
        <v>54</v>
      </c>
      <c r="B54" s="96"/>
      <c r="C54" s="50"/>
      <c r="D54" s="50"/>
      <c r="E54" s="53"/>
      <c r="F54" s="53"/>
      <c r="G54" s="51"/>
      <c r="H54" s="240"/>
      <c r="I54" s="689"/>
      <c r="J54" s="689"/>
      <c r="K54" s="689"/>
      <c r="L54" s="689"/>
      <c r="M54" s="689"/>
      <c r="N54" s="689"/>
      <c r="O54" s="689"/>
      <c r="P54" s="689"/>
      <c r="Q54" s="689"/>
      <c r="R54" s="689"/>
      <c r="S54" s="689"/>
      <c r="T54" s="689"/>
      <c r="U54" s="690"/>
      <c r="V54" s="689"/>
      <c r="W54" s="689"/>
      <c r="X54" s="689"/>
      <c r="Y54" s="689"/>
      <c r="Z54" s="690"/>
      <c r="AA54" s="278"/>
    </row>
    <row r="55" spans="1:27" ht="15">
      <c r="A55" s="479">
        <f t="shared" si="1"/>
        <v>55</v>
      </c>
      <c r="B55" s="92"/>
      <c r="C55" s="93" t="s">
        <v>39</v>
      </c>
      <c r="D55" s="93"/>
      <c r="E55" s="53"/>
      <c r="F55" s="53"/>
      <c r="G55" s="51"/>
      <c r="H55" s="240"/>
      <c r="I55" s="98"/>
      <c r="J55" s="98"/>
      <c r="K55" s="98"/>
      <c r="L55" s="98"/>
      <c r="M55" s="98"/>
      <c r="N55" s="98"/>
      <c r="O55" s="98"/>
      <c r="P55" s="98"/>
      <c r="Q55" s="98"/>
      <c r="R55" s="98"/>
      <c r="S55" s="98"/>
      <c r="T55" s="98"/>
      <c r="U55" s="99"/>
      <c r="V55" s="98"/>
      <c r="W55" s="98"/>
      <c r="X55" s="98"/>
      <c r="Y55" s="98"/>
      <c r="Z55" s="99"/>
      <c r="AA55" s="278"/>
    </row>
    <row r="56" spans="1:27" ht="15">
      <c r="A56" s="479">
        <f t="shared" si="1"/>
        <v>56</v>
      </c>
      <c r="B56" s="96"/>
      <c r="C56" s="50"/>
      <c r="D56" s="97" t="s">
        <v>40</v>
      </c>
      <c r="E56" s="94"/>
      <c r="F56" s="94"/>
      <c r="G56" s="57"/>
      <c r="H56" s="240"/>
      <c r="I56" s="667"/>
      <c r="J56" s="672"/>
      <c r="K56" s="673"/>
      <c r="L56" s="661">
        <f t="shared" ref="L56:L63" si="14">IF(K$18&lt;&gt;0,K56-J56,0)</f>
        <v>0</v>
      </c>
      <c r="M56" s="674"/>
      <c r="N56" s="675"/>
      <c r="O56" s="661">
        <f t="shared" ref="O56:O63" si="15">IF(N$18&lt;&gt;0,N56-M56,0)</f>
        <v>0</v>
      </c>
      <c r="P56" s="674"/>
      <c r="Q56" s="675"/>
      <c r="R56" s="661">
        <f t="shared" ref="R56:R63" si="16">IF(Q$18&lt;&gt;0,Q56-P56,0)</f>
        <v>0</v>
      </c>
      <c r="S56" s="674"/>
      <c r="T56" s="675"/>
      <c r="U56" s="662">
        <f t="shared" ref="U56:U63" si="17">IF(T$18&lt;&gt;0,T56-S56,0)</f>
        <v>0</v>
      </c>
      <c r="V56" s="663">
        <f t="shared" ref="V56:V63" si="18">J56+M56+P56+S56</f>
        <v>0</v>
      </c>
      <c r="W56" s="664">
        <f t="shared" ref="W56:W63" si="19">SUM(IF(K$6&lt;&gt;0,K56,J56)+IF(N$6&lt;&gt;0,N56,M56)+IF(Q$6&lt;&gt;0,Q56,P56)+IF(T$6&lt;&gt;0,T56,S56))</f>
        <v>0</v>
      </c>
      <c r="X56" s="661">
        <f t="shared" ref="X56:X63" si="20">W56-V56</f>
        <v>0</v>
      </c>
      <c r="Y56" s="665">
        <f t="shared" ref="Y56:Y63" si="21">V56-I56</f>
        <v>0</v>
      </c>
      <c r="Z56" s="666">
        <f t="shared" ref="Z56:Z63" si="22">W56-I56</f>
        <v>0</v>
      </c>
      <c r="AA56" s="278"/>
    </row>
    <row r="57" spans="1:27" ht="15">
      <c r="A57" s="479">
        <f t="shared" si="1"/>
        <v>57</v>
      </c>
      <c r="B57" s="96"/>
      <c r="C57" s="50"/>
      <c r="D57" s="97" t="s">
        <v>41</v>
      </c>
      <c r="E57" s="94"/>
      <c r="F57" s="94"/>
      <c r="G57" s="57"/>
      <c r="H57" s="240"/>
      <c r="I57" s="667"/>
      <c r="J57" s="672"/>
      <c r="K57" s="673"/>
      <c r="L57" s="661">
        <f t="shared" si="14"/>
        <v>0</v>
      </c>
      <c r="M57" s="674"/>
      <c r="N57" s="675"/>
      <c r="O57" s="661">
        <f t="shared" si="15"/>
        <v>0</v>
      </c>
      <c r="P57" s="674"/>
      <c r="Q57" s="675"/>
      <c r="R57" s="661">
        <f t="shared" si="16"/>
        <v>0</v>
      </c>
      <c r="S57" s="674"/>
      <c r="T57" s="675"/>
      <c r="U57" s="662">
        <f t="shared" si="17"/>
        <v>0</v>
      </c>
      <c r="V57" s="663">
        <f t="shared" si="18"/>
        <v>0</v>
      </c>
      <c r="W57" s="664">
        <f t="shared" si="19"/>
        <v>0</v>
      </c>
      <c r="X57" s="661">
        <f t="shared" si="20"/>
        <v>0</v>
      </c>
      <c r="Y57" s="665">
        <f t="shared" si="21"/>
        <v>0</v>
      </c>
      <c r="Z57" s="666">
        <f t="shared" si="22"/>
        <v>0</v>
      </c>
      <c r="AA57" s="278"/>
    </row>
    <row r="58" spans="1:27" ht="15">
      <c r="A58" s="479">
        <f t="shared" si="1"/>
        <v>58</v>
      </c>
      <c r="B58" s="96"/>
      <c r="C58" s="50"/>
      <c r="D58" s="97" t="s">
        <v>42</v>
      </c>
      <c r="E58" s="94"/>
      <c r="F58" s="94"/>
      <c r="G58" s="57"/>
      <c r="H58" s="240"/>
      <c r="I58" s="667"/>
      <c r="J58" s="672"/>
      <c r="K58" s="673"/>
      <c r="L58" s="661">
        <f t="shared" si="14"/>
        <v>0</v>
      </c>
      <c r="M58" s="674"/>
      <c r="N58" s="675"/>
      <c r="O58" s="661">
        <f t="shared" si="15"/>
        <v>0</v>
      </c>
      <c r="P58" s="674"/>
      <c r="Q58" s="675"/>
      <c r="R58" s="661">
        <f t="shared" si="16"/>
        <v>0</v>
      </c>
      <c r="S58" s="674"/>
      <c r="T58" s="675"/>
      <c r="U58" s="662">
        <f t="shared" si="17"/>
        <v>0</v>
      </c>
      <c r="V58" s="663">
        <f t="shared" si="18"/>
        <v>0</v>
      </c>
      <c r="W58" s="664">
        <f t="shared" si="19"/>
        <v>0</v>
      </c>
      <c r="X58" s="661">
        <f t="shared" si="20"/>
        <v>0</v>
      </c>
      <c r="Y58" s="665">
        <f t="shared" si="21"/>
        <v>0</v>
      </c>
      <c r="Z58" s="666">
        <f t="shared" si="22"/>
        <v>0</v>
      </c>
      <c r="AA58" s="278"/>
    </row>
    <row r="59" spans="1:27" ht="15">
      <c r="A59" s="479">
        <f t="shared" si="1"/>
        <v>59</v>
      </c>
      <c r="B59" s="96"/>
      <c r="C59" s="50"/>
      <c r="D59" s="97" t="s">
        <v>43</v>
      </c>
      <c r="E59" s="94"/>
      <c r="F59" s="94"/>
      <c r="G59" s="57"/>
      <c r="H59" s="240"/>
      <c r="I59" s="667"/>
      <c r="J59" s="672"/>
      <c r="K59" s="673"/>
      <c r="L59" s="661">
        <f t="shared" si="14"/>
        <v>0</v>
      </c>
      <c r="M59" s="674"/>
      <c r="N59" s="675"/>
      <c r="O59" s="661">
        <f t="shared" si="15"/>
        <v>0</v>
      </c>
      <c r="P59" s="674"/>
      <c r="Q59" s="675"/>
      <c r="R59" s="661">
        <f t="shared" si="16"/>
        <v>0</v>
      </c>
      <c r="S59" s="674"/>
      <c r="T59" s="675"/>
      <c r="U59" s="662">
        <f t="shared" si="17"/>
        <v>0</v>
      </c>
      <c r="V59" s="663">
        <f t="shared" si="18"/>
        <v>0</v>
      </c>
      <c r="W59" s="664">
        <f t="shared" si="19"/>
        <v>0</v>
      </c>
      <c r="X59" s="661">
        <f t="shared" si="20"/>
        <v>0</v>
      </c>
      <c r="Y59" s="665">
        <f t="shared" si="21"/>
        <v>0</v>
      </c>
      <c r="Z59" s="666">
        <f t="shared" si="22"/>
        <v>0</v>
      </c>
      <c r="AA59" s="278"/>
    </row>
    <row r="60" spans="1:27" ht="15">
      <c r="A60" s="479">
        <f t="shared" si="1"/>
        <v>60</v>
      </c>
      <c r="B60" s="96"/>
      <c r="C60" s="50"/>
      <c r="D60" s="97" t="s">
        <v>44</v>
      </c>
      <c r="E60" s="94"/>
      <c r="F60" s="94"/>
      <c r="G60" s="57"/>
      <c r="H60" s="240"/>
      <c r="I60" s="667"/>
      <c r="J60" s="672"/>
      <c r="K60" s="673"/>
      <c r="L60" s="661">
        <f t="shared" si="14"/>
        <v>0</v>
      </c>
      <c r="M60" s="674"/>
      <c r="N60" s="675"/>
      <c r="O60" s="661">
        <f t="shared" si="15"/>
        <v>0</v>
      </c>
      <c r="P60" s="674"/>
      <c r="Q60" s="675"/>
      <c r="R60" s="661">
        <f t="shared" si="16"/>
        <v>0</v>
      </c>
      <c r="S60" s="674"/>
      <c r="T60" s="675"/>
      <c r="U60" s="662">
        <f t="shared" si="17"/>
        <v>0</v>
      </c>
      <c r="V60" s="663">
        <f t="shared" si="18"/>
        <v>0</v>
      </c>
      <c r="W60" s="664">
        <f t="shared" si="19"/>
        <v>0</v>
      </c>
      <c r="X60" s="661">
        <f t="shared" si="20"/>
        <v>0</v>
      </c>
      <c r="Y60" s="665">
        <f t="shared" si="21"/>
        <v>0</v>
      </c>
      <c r="Z60" s="666">
        <f t="shared" si="22"/>
        <v>0</v>
      </c>
      <c r="AA60" s="278"/>
    </row>
    <row r="61" spans="1:27" ht="15">
      <c r="A61" s="479">
        <f t="shared" si="1"/>
        <v>61</v>
      </c>
      <c r="B61" s="96"/>
      <c r="C61" s="50"/>
      <c r="D61" s="97" t="s">
        <v>45</v>
      </c>
      <c r="E61" s="94"/>
      <c r="F61" s="94"/>
      <c r="G61" s="57"/>
      <c r="H61" s="240"/>
      <c r="I61" s="625"/>
      <c r="J61" s="624"/>
      <c r="K61" s="673"/>
      <c r="L61" s="661">
        <f t="shared" si="14"/>
        <v>0</v>
      </c>
      <c r="M61" s="624"/>
      <c r="N61" s="675"/>
      <c r="O61" s="661">
        <f t="shared" si="15"/>
        <v>0</v>
      </c>
      <c r="P61" s="624"/>
      <c r="Q61" s="675"/>
      <c r="R61" s="661">
        <f t="shared" si="16"/>
        <v>0</v>
      </c>
      <c r="S61" s="624"/>
      <c r="T61" s="675"/>
      <c r="U61" s="662">
        <f t="shared" si="17"/>
        <v>0</v>
      </c>
      <c r="V61" s="663">
        <f t="shared" si="18"/>
        <v>0</v>
      </c>
      <c r="W61" s="664">
        <f t="shared" si="19"/>
        <v>0</v>
      </c>
      <c r="X61" s="661">
        <f t="shared" si="20"/>
        <v>0</v>
      </c>
      <c r="Y61" s="665">
        <f t="shared" si="21"/>
        <v>0</v>
      </c>
      <c r="Z61" s="666">
        <f t="shared" si="22"/>
        <v>0</v>
      </c>
      <c r="AA61" s="278"/>
    </row>
    <row r="62" spans="1:27" ht="15">
      <c r="A62" s="479">
        <f t="shared" si="1"/>
        <v>62</v>
      </c>
      <c r="B62" s="96"/>
      <c r="C62" s="50"/>
      <c r="D62" s="97" t="s">
        <v>46</v>
      </c>
      <c r="E62" s="94"/>
      <c r="F62" s="94"/>
      <c r="G62" s="57"/>
      <c r="H62" s="240"/>
      <c r="I62" s="667"/>
      <c r="J62" s="672"/>
      <c r="K62" s="673"/>
      <c r="L62" s="661">
        <f t="shared" si="14"/>
        <v>0</v>
      </c>
      <c r="M62" s="674"/>
      <c r="N62" s="675"/>
      <c r="O62" s="661">
        <f t="shared" si="15"/>
        <v>0</v>
      </c>
      <c r="P62" s="674"/>
      <c r="Q62" s="675"/>
      <c r="R62" s="661">
        <f t="shared" si="16"/>
        <v>0</v>
      </c>
      <c r="S62" s="674"/>
      <c r="T62" s="675"/>
      <c r="U62" s="662">
        <f t="shared" si="17"/>
        <v>0</v>
      </c>
      <c r="V62" s="663">
        <f t="shared" si="18"/>
        <v>0</v>
      </c>
      <c r="W62" s="664">
        <f t="shared" si="19"/>
        <v>0</v>
      </c>
      <c r="X62" s="661">
        <f t="shared" si="20"/>
        <v>0</v>
      </c>
      <c r="Y62" s="665">
        <f t="shared" si="21"/>
        <v>0</v>
      </c>
      <c r="Z62" s="666">
        <f t="shared" si="22"/>
        <v>0</v>
      </c>
      <c r="AA62" s="278"/>
    </row>
    <row r="63" spans="1:27" ht="17.25">
      <c r="A63" s="479">
        <f t="shared" si="1"/>
        <v>63</v>
      </c>
      <c r="B63" s="96"/>
      <c r="C63" s="50"/>
      <c r="D63" s="97" t="s">
        <v>47</v>
      </c>
      <c r="E63" s="94"/>
      <c r="F63" s="94"/>
      <c r="G63" s="57"/>
      <c r="H63" s="240"/>
      <c r="I63" s="678"/>
      <c r="J63" s="679"/>
      <c r="K63" s="680"/>
      <c r="L63" s="681">
        <f t="shared" si="14"/>
        <v>0</v>
      </c>
      <c r="M63" s="682"/>
      <c r="N63" s="683"/>
      <c r="O63" s="681">
        <f t="shared" si="15"/>
        <v>0</v>
      </c>
      <c r="P63" s="682"/>
      <c r="Q63" s="683"/>
      <c r="R63" s="681">
        <f t="shared" si="16"/>
        <v>0</v>
      </c>
      <c r="S63" s="682"/>
      <c r="T63" s="683"/>
      <c r="U63" s="684">
        <f t="shared" si="17"/>
        <v>0</v>
      </c>
      <c r="V63" s="685">
        <f t="shared" si="18"/>
        <v>0</v>
      </c>
      <c r="W63" s="686">
        <f t="shared" si="19"/>
        <v>0</v>
      </c>
      <c r="X63" s="681">
        <f t="shared" si="20"/>
        <v>0</v>
      </c>
      <c r="Y63" s="687">
        <f t="shared" si="21"/>
        <v>0</v>
      </c>
      <c r="Z63" s="688">
        <f t="shared" si="22"/>
        <v>0</v>
      </c>
      <c r="AA63" s="278"/>
    </row>
    <row r="64" spans="1:27" ht="15">
      <c r="A64" s="479">
        <f t="shared" si="1"/>
        <v>64</v>
      </c>
      <c r="B64" s="96"/>
      <c r="C64" s="50" t="s">
        <v>48</v>
      </c>
      <c r="D64" s="97"/>
      <c r="E64" s="94"/>
      <c r="F64" s="94"/>
      <c r="G64" s="57"/>
      <c r="H64" s="240"/>
      <c r="I64" s="676">
        <f t="shared" ref="I64:Z64" si="23">SUM(I56:I63)</f>
        <v>0</v>
      </c>
      <c r="J64" s="659">
        <f t="shared" si="23"/>
        <v>0</v>
      </c>
      <c r="K64" s="669">
        <f t="shared" si="23"/>
        <v>0</v>
      </c>
      <c r="L64" s="669">
        <f t="shared" si="23"/>
        <v>0</v>
      </c>
      <c r="M64" s="659">
        <f t="shared" si="23"/>
        <v>0</v>
      </c>
      <c r="N64" s="669">
        <f t="shared" si="23"/>
        <v>0</v>
      </c>
      <c r="O64" s="669">
        <f t="shared" si="23"/>
        <v>0</v>
      </c>
      <c r="P64" s="659">
        <f t="shared" si="23"/>
        <v>0</v>
      </c>
      <c r="Q64" s="669">
        <f t="shared" si="23"/>
        <v>0</v>
      </c>
      <c r="R64" s="669">
        <f t="shared" si="23"/>
        <v>0</v>
      </c>
      <c r="S64" s="659">
        <f t="shared" si="23"/>
        <v>0</v>
      </c>
      <c r="T64" s="669">
        <f t="shared" si="23"/>
        <v>0</v>
      </c>
      <c r="U64" s="670">
        <f t="shared" si="23"/>
        <v>0</v>
      </c>
      <c r="V64" s="663">
        <f t="shared" si="23"/>
        <v>0</v>
      </c>
      <c r="W64" s="669">
        <f t="shared" si="23"/>
        <v>0</v>
      </c>
      <c r="X64" s="671">
        <f t="shared" si="23"/>
        <v>0</v>
      </c>
      <c r="Y64" s="665">
        <f t="shared" si="23"/>
        <v>0</v>
      </c>
      <c r="Z64" s="666">
        <f t="shared" si="23"/>
        <v>0</v>
      </c>
      <c r="AA64" s="278"/>
    </row>
    <row r="65" spans="1:27" ht="15">
      <c r="A65" s="479">
        <f t="shared" si="1"/>
        <v>65</v>
      </c>
      <c r="B65" s="96"/>
      <c r="C65" s="50"/>
      <c r="D65" s="97"/>
      <c r="E65" s="94"/>
      <c r="F65" s="94"/>
      <c r="G65" s="57"/>
      <c r="H65" s="240"/>
      <c r="I65" s="676"/>
      <c r="J65" s="676"/>
      <c r="K65" s="676"/>
      <c r="L65" s="676"/>
      <c r="M65" s="676"/>
      <c r="N65" s="676"/>
      <c r="O65" s="676"/>
      <c r="P65" s="676"/>
      <c r="Q65" s="676"/>
      <c r="R65" s="676"/>
      <c r="S65" s="676"/>
      <c r="T65" s="676"/>
      <c r="U65" s="691"/>
      <c r="V65" s="692"/>
      <c r="W65" s="676"/>
      <c r="X65" s="676"/>
      <c r="Y65" s="676"/>
      <c r="Z65" s="666"/>
      <c r="AA65" s="278"/>
    </row>
    <row r="66" spans="1:27" ht="18" thickBot="1">
      <c r="A66" s="479">
        <f t="shared" si="1"/>
        <v>66</v>
      </c>
      <c r="B66" s="109" t="s">
        <v>49</v>
      </c>
      <c r="C66" s="110"/>
      <c r="D66" s="110"/>
      <c r="E66" s="111"/>
      <c r="F66" s="127"/>
      <c r="G66" s="112"/>
      <c r="H66" s="503"/>
      <c r="I66" s="693">
        <f t="shared" ref="I66:Z66" si="24">I64+I53+I42</f>
        <v>0</v>
      </c>
      <c r="J66" s="694">
        <f t="shared" si="24"/>
        <v>0</v>
      </c>
      <c r="K66" s="695">
        <f t="shared" si="24"/>
        <v>0</v>
      </c>
      <c r="L66" s="693">
        <f t="shared" si="24"/>
        <v>0</v>
      </c>
      <c r="M66" s="696">
        <f t="shared" si="24"/>
        <v>0</v>
      </c>
      <c r="N66" s="697">
        <f t="shared" si="24"/>
        <v>0</v>
      </c>
      <c r="O66" s="693">
        <f t="shared" si="24"/>
        <v>0</v>
      </c>
      <c r="P66" s="696">
        <f t="shared" si="24"/>
        <v>0</v>
      </c>
      <c r="Q66" s="697">
        <f t="shared" si="24"/>
        <v>0</v>
      </c>
      <c r="R66" s="693">
        <f t="shared" si="24"/>
        <v>0</v>
      </c>
      <c r="S66" s="696">
        <f t="shared" si="24"/>
        <v>0</v>
      </c>
      <c r="T66" s="697">
        <f t="shared" si="24"/>
        <v>0</v>
      </c>
      <c r="U66" s="698">
        <f t="shared" si="24"/>
        <v>0</v>
      </c>
      <c r="V66" s="699">
        <f t="shared" si="24"/>
        <v>0</v>
      </c>
      <c r="W66" s="700">
        <f t="shared" si="24"/>
        <v>0</v>
      </c>
      <c r="X66" s="701">
        <f t="shared" si="24"/>
        <v>0</v>
      </c>
      <c r="Y66" s="702">
        <f t="shared" si="24"/>
        <v>0</v>
      </c>
      <c r="Z66" s="703">
        <f t="shared" si="24"/>
        <v>0</v>
      </c>
      <c r="AA66" s="288"/>
    </row>
    <row r="67" spans="1:27" ht="19.5" thickTop="1">
      <c r="A67" s="479">
        <f t="shared" si="1"/>
        <v>67</v>
      </c>
      <c r="B67" s="257"/>
      <c r="C67" s="93"/>
      <c r="D67" s="93"/>
      <c r="E67" s="94"/>
      <c r="F67" s="94"/>
      <c r="G67" s="57"/>
      <c r="H67" s="240"/>
      <c r="I67" s="95"/>
      <c r="J67" s="95"/>
      <c r="K67" s="95"/>
      <c r="L67" s="95"/>
      <c r="M67" s="95"/>
      <c r="N67" s="95"/>
      <c r="O67" s="95"/>
      <c r="P67" s="95"/>
      <c r="Q67" s="95"/>
      <c r="R67" s="95"/>
      <c r="S67" s="95"/>
      <c r="T67" s="95"/>
      <c r="U67" s="496"/>
      <c r="V67" s="497"/>
      <c r="W67" s="289"/>
      <c r="X67" s="290"/>
      <c r="Y67" s="289"/>
      <c r="Z67" s="499"/>
      <c r="AA67" s="493"/>
    </row>
    <row r="68" spans="1:27" ht="15">
      <c r="A68" s="479">
        <f t="shared" ref="A68:A131" si="25">A67+1</f>
        <v>68</v>
      </c>
      <c r="B68" s="92"/>
      <c r="C68" s="93"/>
      <c r="D68" s="93"/>
      <c r="E68" s="94"/>
      <c r="F68" s="94"/>
      <c r="G68" s="57"/>
      <c r="H68" s="240"/>
      <c r="I68" s="95"/>
      <c r="J68" s="95"/>
      <c r="K68" s="95"/>
      <c r="L68" s="95"/>
      <c r="M68" s="95"/>
      <c r="N68" s="95"/>
      <c r="O68" s="95"/>
      <c r="P68" s="95"/>
      <c r="Q68" s="95"/>
      <c r="R68" s="95"/>
      <c r="S68" s="95"/>
      <c r="T68" s="95"/>
      <c r="U68" s="496"/>
      <c r="V68" s="498"/>
      <c r="W68" s="292"/>
      <c r="X68" s="95"/>
      <c r="Y68" s="292"/>
      <c r="Z68" s="374"/>
      <c r="AA68" s="278"/>
    </row>
    <row r="69" spans="1:27" ht="15">
      <c r="A69" s="479">
        <f t="shared" si="25"/>
        <v>69</v>
      </c>
      <c r="B69" s="92" t="s">
        <v>50</v>
      </c>
      <c r="C69" s="93"/>
      <c r="D69" s="93"/>
      <c r="E69" s="94"/>
      <c r="F69" s="94"/>
      <c r="G69" s="57"/>
      <c r="H69" s="240"/>
      <c r="I69" s="95"/>
      <c r="J69" s="95"/>
      <c r="K69" s="95"/>
      <c r="L69" s="95"/>
      <c r="M69" s="95"/>
      <c r="N69" s="95"/>
      <c r="O69" s="95"/>
      <c r="P69" s="95"/>
      <c r="Q69" s="95"/>
      <c r="R69" s="95"/>
      <c r="S69" s="95"/>
      <c r="T69" s="95"/>
      <c r="U69" s="118"/>
      <c r="V69" s="292"/>
      <c r="W69" s="292"/>
      <c r="X69" s="95"/>
      <c r="Y69" s="292"/>
      <c r="Z69" s="374"/>
      <c r="AA69" s="878"/>
    </row>
    <row r="70" spans="1:27" ht="30">
      <c r="A70" s="479">
        <f t="shared" si="25"/>
        <v>70</v>
      </c>
      <c r="B70" s="96"/>
      <c r="C70" s="119" t="s">
        <v>76</v>
      </c>
      <c r="D70" s="50"/>
      <c r="E70" s="94"/>
      <c r="F70" s="94"/>
      <c r="G70" s="57" t="s">
        <v>361</v>
      </c>
      <c r="H70" s="240"/>
      <c r="I70" s="95"/>
      <c r="J70" s="95"/>
      <c r="K70" s="95"/>
      <c r="L70" s="95"/>
      <c r="M70" s="95"/>
      <c r="N70" s="95"/>
      <c r="O70" s="95"/>
      <c r="P70" s="95"/>
      <c r="Q70" s="95"/>
      <c r="R70" s="95"/>
      <c r="S70" s="95"/>
      <c r="T70" s="95"/>
      <c r="U70" s="118"/>
      <c r="V70" s="95"/>
      <c r="W70" s="95"/>
      <c r="X70" s="95"/>
      <c r="Y70" s="293"/>
      <c r="Z70" s="118"/>
      <c r="AA70" s="278"/>
    </row>
    <row r="71" spans="1:27" ht="15">
      <c r="A71" s="479">
        <f t="shared" si="25"/>
        <v>71</v>
      </c>
      <c r="B71" s="96"/>
      <c r="C71" s="94"/>
      <c r="D71" s="54" t="s">
        <v>110</v>
      </c>
      <c r="E71" s="120"/>
      <c r="F71" s="120"/>
      <c r="G71" s="704">
        <f>(IF('3.) Staffing Plan'!G13&gt;0,'3.) Staffing Plan'!G13,'3.) Staffing Plan'!F13)+IF('3.) Staffing Plan'!I13&gt;0,'3.) Staffing Plan'!I13,'3.) Staffing Plan'!H13)+IF('3.) Staffing Plan'!K13&gt;0,'3.) Staffing Plan'!K13,'3.) Staffing Plan'!J13)+IF('3.) Staffing Plan'!M13&gt;0,'3.) Staffing Plan'!M13,'3.) Staffing Plan'!L13))/4</f>
        <v>0</v>
      </c>
      <c r="H71" s="240"/>
      <c r="I71" s="705"/>
      <c r="J71" s="672"/>
      <c r="K71" s="673"/>
      <c r="L71" s="707">
        <f t="shared" ref="L71:L76" si="26">IF(K$18&lt;&gt;0,J71-K71,0)</f>
        <v>0</v>
      </c>
      <c r="M71" s="672"/>
      <c r="N71" s="673"/>
      <c r="O71" s="707">
        <f t="shared" ref="O71:O76" si="27">IF(N$18&lt;&gt;0,M71-N71,0)</f>
        <v>0</v>
      </c>
      <c r="P71" s="672"/>
      <c r="Q71" s="673"/>
      <c r="R71" s="707">
        <f t="shared" ref="R71:R76" si="28">IF(Q$18&lt;&gt;0,P71-Q71,0)</f>
        <v>0</v>
      </c>
      <c r="S71" s="672"/>
      <c r="T71" s="673"/>
      <c r="U71" s="662">
        <f t="shared" ref="U71:U76" si="29">IF(T$18&lt;&gt;0,S71-T71,0)</f>
        <v>0</v>
      </c>
      <c r="V71" s="663">
        <f t="shared" ref="V71:V76" si="30">J71+M71+P71+S71</f>
        <v>0</v>
      </c>
      <c r="W71" s="664">
        <f t="shared" ref="W71:W76" si="31">SUM(IF(K$6&lt;&gt;0,K71,J71)+IF(N$6&lt;&gt;0,N71,M71)+IF(Q$6&lt;&gt;0,Q71,P71)+IF(T$6&lt;&gt;0,T71,S71))</f>
        <v>0</v>
      </c>
      <c r="X71" s="661">
        <f t="shared" ref="X71:X76" si="32">V71-W71</f>
        <v>0</v>
      </c>
      <c r="Y71" s="665">
        <f t="shared" ref="Y71:Y76" si="33">I71-V71</f>
        <v>0</v>
      </c>
      <c r="Z71" s="666">
        <f t="shared" ref="Z71:Z76" si="34">I71-W71</f>
        <v>0</v>
      </c>
      <c r="AA71" s="278"/>
    </row>
    <row r="72" spans="1:27" ht="15">
      <c r="A72" s="479">
        <f t="shared" si="25"/>
        <v>72</v>
      </c>
      <c r="B72" s="96"/>
      <c r="C72" s="94"/>
      <c r="D72" s="54" t="s">
        <v>111</v>
      </c>
      <c r="E72" s="120"/>
      <c r="F72" s="120"/>
      <c r="G72" s="704">
        <f>(IF('3.) Staffing Plan'!G14&gt;0,'3.) Staffing Plan'!G14,'3.) Staffing Plan'!F14)+IF('3.) Staffing Plan'!I14&gt;0,'3.) Staffing Plan'!I14,'3.) Staffing Plan'!H14)+IF('3.) Staffing Plan'!K14&gt;0,'3.) Staffing Plan'!K14,'3.) Staffing Plan'!J14)+IF('3.) Staffing Plan'!M14&gt;0,'3.) Staffing Plan'!M14,'3.) Staffing Plan'!L14))/4</f>
        <v>0</v>
      </c>
      <c r="H72" s="240"/>
      <c r="I72" s="705"/>
      <c r="J72" s="672"/>
      <c r="K72" s="673"/>
      <c r="L72" s="707">
        <f t="shared" si="26"/>
        <v>0</v>
      </c>
      <c r="M72" s="672"/>
      <c r="N72" s="673"/>
      <c r="O72" s="707">
        <f t="shared" si="27"/>
        <v>0</v>
      </c>
      <c r="P72" s="672"/>
      <c r="Q72" s="673"/>
      <c r="R72" s="707">
        <f t="shared" si="28"/>
        <v>0</v>
      </c>
      <c r="S72" s="672"/>
      <c r="T72" s="673"/>
      <c r="U72" s="662">
        <f t="shared" si="29"/>
        <v>0</v>
      </c>
      <c r="V72" s="663">
        <f t="shared" si="30"/>
        <v>0</v>
      </c>
      <c r="W72" s="664">
        <f t="shared" si="31"/>
        <v>0</v>
      </c>
      <c r="X72" s="661">
        <f t="shared" si="32"/>
        <v>0</v>
      </c>
      <c r="Y72" s="665">
        <f t="shared" si="33"/>
        <v>0</v>
      </c>
      <c r="Z72" s="666">
        <f t="shared" si="34"/>
        <v>0</v>
      </c>
      <c r="AA72" s="278"/>
    </row>
    <row r="73" spans="1:27" ht="15">
      <c r="A73" s="479">
        <f t="shared" si="25"/>
        <v>73</v>
      </c>
      <c r="B73" s="96"/>
      <c r="C73" s="94"/>
      <c r="D73" s="54" t="s">
        <v>112</v>
      </c>
      <c r="E73" s="120"/>
      <c r="F73" s="120"/>
      <c r="G73" s="704">
        <f>(IF('3.) Staffing Plan'!G15&gt;0,'3.) Staffing Plan'!G15,'3.) Staffing Plan'!F15)+IF('3.) Staffing Plan'!I15&gt;0,'3.) Staffing Plan'!I15,'3.) Staffing Plan'!H15)+IF('3.) Staffing Plan'!K15&gt;0,'3.) Staffing Plan'!K15,'3.) Staffing Plan'!J15)+IF('3.) Staffing Plan'!M15&gt;0,'3.) Staffing Plan'!M15,'3.) Staffing Plan'!L15))/4</f>
        <v>0</v>
      </c>
      <c r="H73" s="240"/>
      <c r="I73" s="705"/>
      <c r="J73" s="672"/>
      <c r="K73" s="673"/>
      <c r="L73" s="707">
        <f t="shared" si="26"/>
        <v>0</v>
      </c>
      <c r="M73" s="672"/>
      <c r="N73" s="673"/>
      <c r="O73" s="707">
        <f t="shared" si="27"/>
        <v>0</v>
      </c>
      <c r="P73" s="672"/>
      <c r="Q73" s="673"/>
      <c r="R73" s="707">
        <f t="shared" si="28"/>
        <v>0</v>
      </c>
      <c r="S73" s="672"/>
      <c r="T73" s="673"/>
      <c r="U73" s="662">
        <f t="shared" si="29"/>
        <v>0</v>
      </c>
      <c r="V73" s="663">
        <f t="shared" si="30"/>
        <v>0</v>
      </c>
      <c r="W73" s="664">
        <f t="shared" si="31"/>
        <v>0</v>
      </c>
      <c r="X73" s="661">
        <f t="shared" si="32"/>
        <v>0</v>
      </c>
      <c r="Y73" s="665">
        <f t="shared" si="33"/>
        <v>0</v>
      </c>
      <c r="Z73" s="666">
        <f t="shared" si="34"/>
        <v>0</v>
      </c>
      <c r="AA73" s="278"/>
    </row>
    <row r="74" spans="1:27" ht="15">
      <c r="A74" s="479">
        <f t="shared" si="25"/>
        <v>74</v>
      </c>
      <c r="B74" s="96"/>
      <c r="C74" s="94"/>
      <c r="D74" s="54" t="s">
        <v>98</v>
      </c>
      <c r="E74" s="120"/>
      <c r="F74" s="120"/>
      <c r="G74" s="704">
        <f>(IF('3.) Staffing Plan'!G16&gt;0,'3.) Staffing Plan'!G16,'3.) Staffing Plan'!F16)+IF('3.) Staffing Plan'!I16&gt;0,'3.) Staffing Plan'!I16,'3.) Staffing Plan'!H16)+IF('3.) Staffing Plan'!K16&gt;0,'3.) Staffing Plan'!K16,'3.) Staffing Plan'!J16)+IF('3.) Staffing Plan'!M16&gt;0,'3.) Staffing Plan'!M16,'3.) Staffing Plan'!L16))/4</f>
        <v>0</v>
      </c>
      <c r="H74" s="240"/>
      <c r="I74" s="705"/>
      <c r="J74" s="624"/>
      <c r="K74" s="673"/>
      <c r="L74" s="707">
        <f t="shared" si="26"/>
        <v>0</v>
      </c>
      <c r="M74" s="624"/>
      <c r="N74" s="673"/>
      <c r="O74" s="707">
        <f t="shared" si="27"/>
        <v>0</v>
      </c>
      <c r="P74" s="624"/>
      <c r="Q74" s="673"/>
      <c r="R74" s="707">
        <f t="shared" si="28"/>
        <v>0</v>
      </c>
      <c r="S74" s="624"/>
      <c r="T74" s="673"/>
      <c r="U74" s="662">
        <f t="shared" si="29"/>
        <v>0</v>
      </c>
      <c r="V74" s="663">
        <f t="shared" si="30"/>
        <v>0</v>
      </c>
      <c r="W74" s="664">
        <f t="shared" si="31"/>
        <v>0</v>
      </c>
      <c r="X74" s="661">
        <f t="shared" si="32"/>
        <v>0</v>
      </c>
      <c r="Y74" s="665">
        <f t="shared" si="33"/>
        <v>0</v>
      </c>
      <c r="Z74" s="666">
        <f t="shared" si="34"/>
        <v>0</v>
      </c>
      <c r="AA74" s="278"/>
    </row>
    <row r="75" spans="1:27" ht="15">
      <c r="A75" s="479">
        <f t="shared" si="25"/>
        <v>75</v>
      </c>
      <c r="B75" s="96"/>
      <c r="C75" s="94"/>
      <c r="D75" s="54" t="s">
        <v>99</v>
      </c>
      <c r="E75" s="120"/>
      <c r="F75" s="120"/>
      <c r="G75" s="704">
        <f>(IF('3.) Staffing Plan'!G17&gt;0,'3.) Staffing Plan'!G17,'3.) Staffing Plan'!F17)+IF('3.) Staffing Plan'!I17&gt;0,'3.) Staffing Plan'!I17,'3.) Staffing Plan'!H17)+IF('3.) Staffing Plan'!K17&gt;0,'3.) Staffing Plan'!K17,'3.) Staffing Plan'!J17)+IF('3.) Staffing Plan'!M17&gt;0,'3.) Staffing Plan'!M17,'3.) Staffing Plan'!L17))/4</f>
        <v>0</v>
      </c>
      <c r="H75" s="240"/>
      <c r="I75" s="705"/>
      <c r="J75" s="672"/>
      <c r="K75" s="673"/>
      <c r="L75" s="707">
        <f t="shared" si="26"/>
        <v>0</v>
      </c>
      <c r="M75" s="672"/>
      <c r="N75" s="673"/>
      <c r="O75" s="707">
        <f t="shared" si="27"/>
        <v>0</v>
      </c>
      <c r="P75" s="672"/>
      <c r="Q75" s="673"/>
      <c r="R75" s="707">
        <f t="shared" si="28"/>
        <v>0</v>
      </c>
      <c r="S75" s="672"/>
      <c r="T75" s="673"/>
      <c r="U75" s="662">
        <f t="shared" si="29"/>
        <v>0</v>
      </c>
      <c r="V75" s="663">
        <f t="shared" si="30"/>
        <v>0</v>
      </c>
      <c r="W75" s="664">
        <f t="shared" si="31"/>
        <v>0</v>
      </c>
      <c r="X75" s="661">
        <f t="shared" si="32"/>
        <v>0</v>
      </c>
      <c r="Y75" s="665">
        <f t="shared" si="33"/>
        <v>0</v>
      </c>
      <c r="Z75" s="666">
        <f t="shared" si="34"/>
        <v>0</v>
      </c>
      <c r="AA75" s="278"/>
    </row>
    <row r="76" spans="1:27" ht="17.25">
      <c r="A76" s="479">
        <f t="shared" si="25"/>
        <v>76</v>
      </c>
      <c r="B76" s="96"/>
      <c r="C76" s="94"/>
      <c r="D76" s="54" t="s">
        <v>113</v>
      </c>
      <c r="E76" s="120"/>
      <c r="F76" s="120"/>
      <c r="G76" s="708">
        <f>(IF('3.) Staffing Plan'!G18&gt;0,'3.) Staffing Plan'!G18,'3.) Staffing Plan'!F18)+IF('3.) Staffing Plan'!I18&gt;0,'3.) Staffing Plan'!I18,'3.) Staffing Plan'!H18)+IF('3.) Staffing Plan'!K18&gt;0,'3.) Staffing Plan'!K18,'3.) Staffing Plan'!J18)+IF('3.) Staffing Plan'!M18&gt;0,'3.) Staffing Plan'!M18,'3.) Staffing Plan'!L18))/4</f>
        <v>0</v>
      </c>
      <c r="H76" s="240"/>
      <c r="I76" s="678"/>
      <c r="J76" s="679"/>
      <c r="K76" s="680"/>
      <c r="L76" s="709">
        <f t="shared" si="26"/>
        <v>0</v>
      </c>
      <c r="M76" s="679"/>
      <c r="N76" s="680"/>
      <c r="O76" s="709">
        <f t="shared" si="27"/>
        <v>0</v>
      </c>
      <c r="P76" s="679"/>
      <c r="Q76" s="680"/>
      <c r="R76" s="709">
        <f t="shared" si="28"/>
        <v>0</v>
      </c>
      <c r="S76" s="679"/>
      <c r="T76" s="680"/>
      <c r="U76" s="684">
        <f t="shared" si="29"/>
        <v>0</v>
      </c>
      <c r="V76" s="685">
        <f t="shared" si="30"/>
        <v>0</v>
      </c>
      <c r="W76" s="686">
        <f t="shared" si="31"/>
        <v>0</v>
      </c>
      <c r="X76" s="681">
        <f t="shared" si="32"/>
        <v>0</v>
      </c>
      <c r="Y76" s="687">
        <f t="shared" si="33"/>
        <v>0</v>
      </c>
      <c r="Z76" s="688">
        <f t="shared" si="34"/>
        <v>0</v>
      </c>
      <c r="AA76" s="278"/>
    </row>
    <row r="77" spans="1:27" ht="15">
      <c r="A77" s="479">
        <f t="shared" si="25"/>
        <v>77</v>
      </c>
      <c r="B77" s="96"/>
      <c r="C77" s="55" t="s">
        <v>75</v>
      </c>
      <c r="D77" s="94"/>
      <c r="E77" s="120"/>
      <c r="F77" s="120"/>
      <c r="G77" s="704">
        <f>SUM(G71:G76)</f>
        <v>0</v>
      </c>
      <c r="H77" s="240"/>
      <c r="I77" s="710">
        <f t="shared" ref="I77:Z77" si="35">SUM(I71:I76)</f>
        <v>0</v>
      </c>
      <c r="J77" s="627">
        <f t="shared" si="35"/>
        <v>0</v>
      </c>
      <c r="K77" s="711">
        <f t="shared" si="35"/>
        <v>0</v>
      </c>
      <c r="L77" s="712">
        <f t="shared" si="35"/>
        <v>0</v>
      </c>
      <c r="M77" s="627">
        <f t="shared" si="35"/>
        <v>0</v>
      </c>
      <c r="N77" s="711">
        <f t="shared" si="35"/>
        <v>0</v>
      </c>
      <c r="O77" s="712">
        <f t="shared" si="35"/>
        <v>0</v>
      </c>
      <c r="P77" s="627">
        <f t="shared" si="35"/>
        <v>0</v>
      </c>
      <c r="Q77" s="711">
        <f t="shared" si="35"/>
        <v>0</v>
      </c>
      <c r="R77" s="712">
        <f t="shared" si="35"/>
        <v>0</v>
      </c>
      <c r="S77" s="627">
        <f t="shared" si="35"/>
        <v>0</v>
      </c>
      <c r="T77" s="711">
        <f t="shared" si="35"/>
        <v>0</v>
      </c>
      <c r="U77" s="713">
        <f t="shared" si="35"/>
        <v>0</v>
      </c>
      <c r="V77" s="714">
        <f t="shared" si="35"/>
        <v>0</v>
      </c>
      <c r="W77" s="711">
        <f t="shared" si="35"/>
        <v>0</v>
      </c>
      <c r="X77" s="715">
        <f t="shared" si="35"/>
        <v>0</v>
      </c>
      <c r="Y77" s="710">
        <f t="shared" si="35"/>
        <v>0</v>
      </c>
      <c r="Z77" s="716">
        <f t="shared" si="35"/>
        <v>0</v>
      </c>
      <c r="AA77" s="278"/>
    </row>
    <row r="78" spans="1:27" ht="15">
      <c r="A78" s="479">
        <f t="shared" si="25"/>
        <v>78</v>
      </c>
      <c r="B78" s="96"/>
      <c r="C78" s="94"/>
      <c r="D78" s="120"/>
      <c r="E78" s="120"/>
      <c r="F78" s="120"/>
      <c r="G78" s="295"/>
      <c r="H78" s="240"/>
      <c r="I78" s="95"/>
      <c r="J78" s="95"/>
      <c r="K78" s="95"/>
      <c r="L78" s="95"/>
      <c r="M78" s="95"/>
      <c r="N78" s="95"/>
      <c r="O78" s="95"/>
      <c r="P78" s="95"/>
      <c r="Q78" s="95"/>
      <c r="R78" s="95"/>
      <c r="S78" s="95"/>
      <c r="T78" s="95"/>
      <c r="U78" s="118"/>
      <c r="V78" s="95"/>
      <c r="W78" s="95"/>
      <c r="X78" s="95"/>
      <c r="Y78" s="95"/>
      <c r="Z78" s="118"/>
      <c r="AA78" s="278"/>
    </row>
    <row r="79" spans="1:27" ht="15">
      <c r="A79" s="479">
        <f t="shared" si="25"/>
        <v>79</v>
      </c>
      <c r="B79" s="96"/>
      <c r="C79" s="119" t="s">
        <v>77</v>
      </c>
      <c r="D79" s="50"/>
      <c r="E79" s="94"/>
      <c r="F79" s="94"/>
      <c r="G79" s="296"/>
      <c r="H79" s="240"/>
      <c r="I79" s="95"/>
      <c r="J79" s="95"/>
      <c r="K79" s="95"/>
      <c r="L79" s="95"/>
      <c r="M79" s="95"/>
      <c r="N79" s="95"/>
      <c r="O79" s="95"/>
      <c r="P79" s="95"/>
      <c r="Q79" s="95"/>
      <c r="R79" s="95"/>
      <c r="S79" s="95"/>
      <c r="T79" s="95"/>
      <c r="U79" s="118"/>
      <c r="V79" s="95"/>
      <c r="W79" s="95"/>
      <c r="X79" s="95"/>
      <c r="Y79" s="95"/>
      <c r="Z79" s="118"/>
      <c r="AA79" s="278"/>
    </row>
    <row r="80" spans="1:27" ht="15">
      <c r="A80" s="479">
        <f t="shared" si="25"/>
        <v>80</v>
      </c>
      <c r="B80" s="96"/>
      <c r="C80" s="94"/>
      <c r="D80" s="54" t="s">
        <v>51</v>
      </c>
      <c r="E80" s="120"/>
      <c r="F80" s="120"/>
      <c r="G80" s="704">
        <f>(IF('3.) Staffing Plan'!G24&gt;0,'3.) Staffing Plan'!G24,'3.) Staffing Plan'!F24)+IF('3.) Staffing Plan'!I24&gt;0,'3.) Staffing Plan'!I24,'3.) Staffing Plan'!H24)+IF('3.) Staffing Plan'!K24&gt;0,'3.) Staffing Plan'!K24,'3.) Staffing Plan'!J24)+IF('3.) Staffing Plan'!M24&gt;0,'3.) Staffing Plan'!M24,'3.) Staffing Plan'!L24))/4</f>
        <v>0</v>
      </c>
      <c r="H80" s="504"/>
      <c r="I80" s="667"/>
      <c r="J80" s="672"/>
      <c r="K80" s="673"/>
      <c r="L80" s="661">
        <f t="shared" ref="L80:L87" si="36">IF(K$18&lt;&gt;0,J80-K80,0)</f>
        <v>0</v>
      </c>
      <c r="M80" s="672"/>
      <c r="N80" s="673"/>
      <c r="O80" s="661">
        <f t="shared" ref="O80:O87" si="37">IF(N$18&lt;&gt;0,M80-N80,0)</f>
        <v>0</v>
      </c>
      <c r="P80" s="672"/>
      <c r="Q80" s="673"/>
      <c r="R80" s="661">
        <f t="shared" ref="R80:R87" si="38">IF(Q$18&lt;&gt;0,P80-Q80,0)</f>
        <v>0</v>
      </c>
      <c r="S80" s="672"/>
      <c r="T80" s="673"/>
      <c r="U80" s="662">
        <f t="shared" ref="U80:U87" si="39">IF(T$18&lt;&gt;0,S80-T80,0)</f>
        <v>0</v>
      </c>
      <c r="V80" s="663">
        <f t="shared" ref="V80:V87" si="40">J80+M80+P80+S80</f>
        <v>0</v>
      </c>
      <c r="W80" s="664">
        <f t="shared" ref="W80:W87" si="41">SUM(IF(K$6&lt;&gt;0,K80,J80)+IF(N$6&lt;&gt;0,N80,M80)+IF(Q$6&lt;&gt;0,Q80,P80)+IF(T$6&lt;&gt;0,T80,S80))</f>
        <v>0</v>
      </c>
      <c r="X80" s="661">
        <f t="shared" ref="X80:X87" si="42">V80-W80</f>
        <v>0</v>
      </c>
      <c r="Y80" s="665">
        <f t="shared" ref="Y80:Y87" si="43">I80-V80</f>
        <v>0</v>
      </c>
      <c r="Z80" s="666">
        <f t="shared" ref="Z80:Z87" si="44">I80-W80</f>
        <v>0</v>
      </c>
      <c r="AA80" s="278"/>
    </row>
    <row r="81" spans="1:27" ht="15">
      <c r="A81" s="479">
        <f t="shared" si="25"/>
        <v>81</v>
      </c>
      <c r="B81" s="96"/>
      <c r="C81" s="94"/>
      <c r="D81" s="54" t="s">
        <v>52</v>
      </c>
      <c r="E81" s="120"/>
      <c r="F81" s="120"/>
      <c r="G81" s="704">
        <f>(IF('3.) Staffing Plan'!G25&gt;0,'3.) Staffing Plan'!G25,'3.) Staffing Plan'!F25)+IF('3.) Staffing Plan'!I25&gt;0,'3.) Staffing Plan'!I25,'3.) Staffing Plan'!H25)+IF('3.) Staffing Plan'!K25&gt;0,'3.) Staffing Plan'!K25,'3.) Staffing Plan'!J25)+IF('3.) Staffing Plan'!M25&gt;0,'3.) Staffing Plan'!M25,'3.) Staffing Plan'!L25))/4</f>
        <v>0</v>
      </c>
      <c r="H81" s="504"/>
      <c r="I81" s="667"/>
      <c r="J81" s="672"/>
      <c r="K81" s="673"/>
      <c r="L81" s="661">
        <f t="shared" si="36"/>
        <v>0</v>
      </c>
      <c r="M81" s="672"/>
      <c r="N81" s="673"/>
      <c r="O81" s="661">
        <f t="shared" si="37"/>
        <v>0</v>
      </c>
      <c r="P81" s="672"/>
      <c r="Q81" s="673"/>
      <c r="R81" s="661">
        <f t="shared" si="38"/>
        <v>0</v>
      </c>
      <c r="S81" s="672"/>
      <c r="T81" s="673"/>
      <c r="U81" s="662">
        <f t="shared" si="39"/>
        <v>0</v>
      </c>
      <c r="V81" s="663">
        <f t="shared" si="40"/>
        <v>0</v>
      </c>
      <c r="W81" s="664">
        <f t="shared" si="41"/>
        <v>0</v>
      </c>
      <c r="X81" s="661">
        <f t="shared" si="42"/>
        <v>0</v>
      </c>
      <c r="Y81" s="665">
        <f t="shared" si="43"/>
        <v>0</v>
      </c>
      <c r="Z81" s="666">
        <f t="shared" si="44"/>
        <v>0</v>
      </c>
      <c r="AA81" s="278"/>
    </row>
    <row r="82" spans="1:27" ht="15">
      <c r="A82" s="479">
        <f t="shared" si="25"/>
        <v>82</v>
      </c>
      <c r="B82" s="96"/>
      <c r="C82" s="94"/>
      <c r="D82" s="54" t="s">
        <v>10</v>
      </c>
      <c r="E82" s="120"/>
      <c r="F82" s="120"/>
      <c r="G82" s="704">
        <f>(IF('3.) Staffing Plan'!G26&gt;0,'3.) Staffing Plan'!G26,'3.) Staffing Plan'!F26)+IF('3.) Staffing Plan'!I26&gt;0,'3.) Staffing Plan'!I26,'3.) Staffing Plan'!H26)+IF('3.) Staffing Plan'!K26&gt;0,'3.) Staffing Plan'!K26,'3.) Staffing Plan'!J26)+IF('3.) Staffing Plan'!M26&gt;0,'3.) Staffing Plan'!M26,'3.) Staffing Plan'!L26))/4</f>
        <v>0</v>
      </c>
      <c r="H82" s="504"/>
      <c r="I82" s="667"/>
      <c r="J82" s="672"/>
      <c r="K82" s="673"/>
      <c r="L82" s="661">
        <f t="shared" si="36"/>
        <v>0</v>
      </c>
      <c r="M82" s="672"/>
      <c r="N82" s="673"/>
      <c r="O82" s="661">
        <f t="shared" si="37"/>
        <v>0</v>
      </c>
      <c r="P82" s="672"/>
      <c r="Q82" s="673"/>
      <c r="R82" s="661">
        <f t="shared" si="38"/>
        <v>0</v>
      </c>
      <c r="S82" s="672"/>
      <c r="T82" s="673"/>
      <c r="U82" s="662">
        <f t="shared" si="39"/>
        <v>0</v>
      </c>
      <c r="V82" s="663">
        <f t="shared" si="40"/>
        <v>0</v>
      </c>
      <c r="W82" s="664">
        <f t="shared" si="41"/>
        <v>0</v>
      </c>
      <c r="X82" s="661">
        <f t="shared" si="42"/>
        <v>0</v>
      </c>
      <c r="Y82" s="665">
        <f t="shared" si="43"/>
        <v>0</v>
      </c>
      <c r="Z82" s="666">
        <f t="shared" si="44"/>
        <v>0</v>
      </c>
      <c r="AA82" s="278"/>
    </row>
    <row r="83" spans="1:27" ht="15">
      <c r="A83" s="479">
        <f t="shared" si="25"/>
        <v>83</v>
      </c>
      <c r="B83" s="96"/>
      <c r="C83" s="94"/>
      <c r="D83" s="54" t="s">
        <v>11</v>
      </c>
      <c r="E83" s="120"/>
      <c r="F83" s="120"/>
      <c r="G83" s="704">
        <f>(IF('3.) Staffing Plan'!G27&gt;0,'3.) Staffing Plan'!G27,'3.) Staffing Plan'!F27)+IF('3.) Staffing Plan'!I27&gt;0,'3.) Staffing Plan'!I27,'3.) Staffing Plan'!H27)+IF('3.) Staffing Plan'!K27&gt;0,'3.) Staffing Plan'!K27,'3.) Staffing Plan'!J27)+IF('3.) Staffing Plan'!M27&gt;0,'3.) Staffing Plan'!M27,'3.) Staffing Plan'!L27))/4</f>
        <v>0</v>
      </c>
      <c r="H83" s="504"/>
      <c r="I83" s="667"/>
      <c r="J83" s="672"/>
      <c r="K83" s="673"/>
      <c r="L83" s="661">
        <f t="shared" si="36"/>
        <v>0</v>
      </c>
      <c r="M83" s="672"/>
      <c r="N83" s="673"/>
      <c r="O83" s="661">
        <f t="shared" si="37"/>
        <v>0</v>
      </c>
      <c r="P83" s="672"/>
      <c r="Q83" s="673"/>
      <c r="R83" s="661">
        <f t="shared" si="38"/>
        <v>0</v>
      </c>
      <c r="S83" s="672"/>
      <c r="T83" s="673"/>
      <c r="U83" s="662">
        <f t="shared" si="39"/>
        <v>0</v>
      </c>
      <c r="V83" s="663">
        <f t="shared" si="40"/>
        <v>0</v>
      </c>
      <c r="W83" s="664">
        <f t="shared" si="41"/>
        <v>0</v>
      </c>
      <c r="X83" s="661">
        <f t="shared" si="42"/>
        <v>0</v>
      </c>
      <c r="Y83" s="665">
        <f t="shared" si="43"/>
        <v>0</v>
      </c>
      <c r="Z83" s="666">
        <f t="shared" si="44"/>
        <v>0</v>
      </c>
      <c r="AA83" s="278"/>
    </row>
    <row r="84" spans="1:27" ht="15">
      <c r="A84" s="479">
        <f t="shared" si="25"/>
        <v>84</v>
      </c>
      <c r="B84" s="96"/>
      <c r="C84" s="94"/>
      <c r="D84" s="54" t="s">
        <v>12</v>
      </c>
      <c r="E84" s="120"/>
      <c r="F84" s="120"/>
      <c r="G84" s="704">
        <f>(IF('3.) Staffing Plan'!G28&gt;0,'3.) Staffing Plan'!G28,'3.) Staffing Plan'!F28)+IF('3.) Staffing Plan'!I28&gt;0,'3.) Staffing Plan'!I28,'3.) Staffing Plan'!H28)+IF('3.) Staffing Plan'!K28&gt;0,'3.) Staffing Plan'!K28,'3.) Staffing Plan'!J28)+IF('3.) Staffing Plan'!M28&gt;0,'3.) Staffing Plan'!M28,'3.) Staffing Plan'!L28))/4</f>
        <v>0</v>
      </c>
      <c r="H84" s="504"/>
      <c r="I84" s="667"/>
      <c r="J84" s="672"/>
      <c r="K84" s="673"/>
      <c r="L84" s="661">
        <f t="shared" si="36"/>
        <v>0</v>
      </c>
      <c r="M84" s="672"/>
      <c r="N84" s="673"/>
      <c r="O84" s="661">
        <f t="shared" si="37"/>
        <v>0</v>
      </c>
      <c r="P84" s="672"/>
      <c r="Q84" s="673"/>
      <c r="R84" s="661">
        <f t="shared" si="38"/>
        <v>0</v>
      </c>
      <c r="S84" s="672"/>
      <c r="T84" s="673"/>
      <c r="U84" s="662">
        <f t="shared" si="39"/>
        <v>0</v>
      </c>
      <c r="V84" s="663">
        <f t="shared" si="40"/>
        <v>0</v>
      </c>
      <c r="W84" s="664">
        <f t="shared" si="41"/>
        <v>0</v>
      </c>
      <c r="X84" s="661">
        <f t="shared" si="42"/>
        <v>0</v>
      </c>
      <c r="Y84" s="665">
        <f t="shared" si="43"/>
        <v>0</v>
      </c>
      <c r="Z84" s="666">
        <f t="shared" si="44"/>
        <v>0</v>
      </c>
      <c r="AA84" s="278"/>
    </row>
    <row r="85" spans="1:27" ht="15">
      <c r="A85" s="479">
        <f t="shared" si="25"/>
        <v>85</v>
      </c>
      <c r="B85" s="96"/>
      <c r="C85" s="94"/>
      <c r="D85" s="54" t="s">
        <v>13</v>
      </c>
      <c r="E85" s="120"/>
      <c r="F85" s="120"/>
      <c r="G85" s="704">
        <f>(IF('3.) Staffing Plan'!G29&gt;0,'3.) Staffing Plan'!G29,'3.) Staffing Plan'!F29)+IF('3.) Staffing Plan'!I29&gt;0,'3.) Staffing Plan'!I29,'3.) Staffing Plan'!H29)+IF('3.) Staffing Plan'!K29&gt;0,'3.) Staffing Plan'!K29,'3.) Staffing Plan'!J29)+IF('3.) Staffing Plan'!M29&gt;0,'3.) Staffing Plan'!M29,'3.) Staffing Plan'!L29))/4</f>
        <v>0</v>
      </c>
      <c r="H85" s="504"/>
      <c r="I85" s="667"/>
      <c r="J85" s="624"/>
      <c r="K85" s="673"/>
      <c r="L85" s="661">
        <f t="shared" si="36"/>
        <v>0</v>
      </c>
      <c r="M85" s="624"/>
      <c r="N85" s="673"/>
      <c r="O85" s="661">
        <f t="shared" si="37"/>
        <v>0</v>
      </c>
      <c r="P85" s="624"/>
      <c r="Q85" s="673"/>
      <c r="R85" s="661">
        <f t="shared" si="38"/>
        <v>0</v>
      </c>
      <c r="S85" s="624"/>
      <c r="T85" s="673"/>
      <c r="U85" s="662">
        <f t="shared" si="39"/>
        <v>0</v>
      </c>
      <c r="V85" s="663">
        <f t="shared" si="40"/>
        <v>0</v>
      </c>
      <c r="W85" s="664">
        <f t="shared" si="41"/>
        <v>0</v>
      </c>
      <c r="X85" s="661">
        <f t="shared" si="42"/>
        <v>0</v>
      </c>
      <c r="Y85" s="665">
        <f t="shared" si="43"/>
        <v>0</v>
      </c>
      <c r="Z85" s="666">
        <f t="shared" si="44"/>
        <v>0</v>
      </c>
      <c r="AA85" s="278"/>
    </row>
    <row r="86" spans="1:27" ht="15">
      <c r="A86" s="479">
        <f t="shared" si="25"/>
        <v>86</v>
      </c>
      <c r="B86" s="96"/>
      <c r="C86" s="94"/>
      <c r="D86" s="54" t="s">
        <v>73</v>
      </c>
      <c r="E86" s="120"/>
      <c r="F86" s="120"/>
      <c r="G86" s="704">
        <f>(IF('3.) Staffing Plan'!G30&gt;0,'3.) Staffing Plan'!G30,'3.) Staffing Plan'!F30)+IF('3.) Staffing Plan'!I30&gt;0,'3.) Staffing Plan'!I30,'3.) Staffing Plan'!H30)+IF('3.) Staffing Plan'!K30&gt;0,'3.) Staffing Plan'!K30,'3.) Staffing Plan'!J30)+IF('3.) Staffing Plan'!M30&gt;0,'3.) Staffing Plan'!M30,'3.) Staffing Plan'!L30))/4</f>
        <v>0</v>
      </c>
      <c r="H86" s="504"/>
      <c r="I86" s="667"/>
      <c r="J86" s="672"/>
      <c r="K86" s="673"/>
      <c r="L86" s="661">
        <f t="shared" si="36"/>
        <v>0</v>
      </c>
      <c r="M86" s="672"/>
      <c r="N86" s="673"/>
      <c r="O86" s="661">
        <f t="shared" si="37"/>
        <v>0</v>
      </c>
      <c r="P86" s="672"/>
      <c r="Q86" s="673"/>
      <c r="R86" s="661">
        <f t="shared" si="38"/>
        <v>0</v>
      </c>
      <c r="S86" s="672"/>
      <c r="T86" s="673"/>
      <c r="U86" s="662">
        <f t="shared" si="39"/>
        <v>0</v>
      </c>
      <c r="V86" s="663">
        <f t="shared" si="40"/>
        <v>0</v>
      </c>
      <c r="W86" s="664">
        <f t="shared" si="41"/>
        <v>0</v>
      </c>
      <c r="X86" s="661">
        <f t="shared" si="42"/>
        <v>0</v>
      </c>
      <c r="Y86" s="665">
        <f t="shared" si="43"/>
        <v>0</v>
      </c>
      <c r="Z86" s="666">
        <f t="shared" si="44"/>
        <v>0</v>
      </c>
      <c r="AA86" s="278"/>
    </row>
    <row r="87" spans="1:27" ht="17.25">
      <c r="A87" s="479">
        <f t="shared" si="25"/>
        <v>87</v>
      </c>
      <c r="B87" s="96"/>
      <c r="C87" s="94"/>
      <c r="D87" s="58" t="s">
        <v>29</v>
      </c>
      <c r="E87" s="120"/>
      <c r="F87" s="120"/>
      <c r="G87" s="708">
        <f>(IF('3.) Staffing Plan'!G31&gt;0,'3.) Staffing Plan'!G31,'3.) Staffing Plan'!F31)+IF('3.) Staffing Plan'!I31&gt;0,'3.) Staffing Plan'!I31,'3.) Staffing Plan'!H31)+IF('3.) Staffing Plan'!K31&gt;0,'3.) Staffing Plan'!K31,'3.) Staffing Plan'!J31)+IF('3.) Staffing Plan'!M31&gt;0,'3.) Staffing Plan'!M31,'3.) Staffing Plan'!L31))/4</f>
        <v>0</v>
      </c>
      <c r="H87" s="504"/>
      <c r="I87" s="678"/>
      <c r="J87" s="679"/>
      <c r="K87" s="680"/>
      <c r="L87" s="681">
        <f t="shared" si="36"/>
        <v>0</v>
      </c>
      <c r="M87" s="679"/>
      <c r="N87" s="680"/>
      <c r="O87" s="681">
        <f t="shared" si="37"/>
        <v>0</v>
      </c>
      <c r="P87" s="679"/>
      <c r="Q87" s="680"/>
      <c r="R87" s="681">
        <f t="shared" si="38"/>
        <v>0</v>
      </c>
      <c r="S87" s="679"/>
      <c r="T87" s="680"/>
      <c r="U87" s="684">
        <f t="shared" si="39"/>
        <v>0</v>
      </c>
      <c r="V87" s="685">
        <f t="shared" si="40"/>
        <v>0</v>
      </c>
      <c r="W87" s="686">
        <f t="shared" si="41"/>
        <v>0</v>
      </c>
      <c r="X87" s="681">
        <f t="shared" si="42"/>
        <v>0</v>
      </c>
      <c r="Y87" s="687">
        <f t="shared" si="43"/>
        <v>0</v>
      </c>
      <c r="Z87" s="688">
        <f t="shared" si="44"/>
        <v>0</v>
      </c>
      <c r="AA87" s="278"/>
    </row>
    <row r="88" spans="1:27" ht="15">
      <c r="A88" s="479">
        <f t="shared" si="25"/>
        <v>88</v>
      </c>
      <c r="B88" s="96"/>
      <c r="C88" s="55" t="s">
        <v>78</v>
      </c>
      <c r="D88" s="94"/>
      <c r="E88" s="120"/>
      <c r="F88" s="120"/>
      <c r="G88" s="704">
        <f>SUM(G80:G87)</f>
        <v>0</v>
      </c>
      <c r="H88" s="504"/>
      <c r="I88" s="717">
        <f t="shared" ref="I88:Z88" si="45">SUM(I80:I87)</f>
        <v>0</v>
      </c>
      <c r="J88" s="718">
        <f t="shared" si="45"/>
        <v>0</v>
      </c>
      <c r="K88" s="711">
        <f t="shared" si="45"/>
        <v>0</v>
      </c>
      <c r="L88" s="711">
        <f t="shared" si="45"/>
        <v>0</v>
      </c>
      <c r="M88" s="718">
        <f t="shared" si="45"/>
        <v>0</v>
      </c>
      <c r="N88" s="711">
        <f t="shared" si="45"/>
        <v>0</v>
      </c>
      <c r="O88" s="711">
        <f t="shared" si="45"/>
        <v>0</v>
      </c>
      <c r="P88" s="718">
        <f t="shared" si="45"/>
        <v>0</v>
      </c>
      <c r="Q88" s="711">
        <f t="shared" si="45"/>
        <v>0</v>
      </c>
      <c r="R88" s="711">
        <f t="shared" si="45"/>
        <v>0</v>
      </c>
      <c r="S88" s="718">
        <f t="shared" si="45"/>
        <v>0</v>
      </c>
      <c r="T88" s="711">
        <f t="shared" si="45"/>
        <v>0</v>
      </c>
      <c r="U88" s="713">
        <f t="shared" si="45"/>
        <v>0</v>
      </c>
      <c r="V88" s="714">
        <f t="shared" si="45"/>
        <v>0</v>
      </c>
      <c r="W88" s="711">
        <f t="shared" si="45"/>
        <v>0</v>
      </c>
      <c r="X88" s="715">
        <f t="shared" si="45"/>
        <v>0</v>
      </c>
      <c r="Y88" s="710">
        <f t="shared" si="45"/>
        <v>0</v>
      </c>
      <c r="Z88" s="716">
        <f t="shared" si="45"/>
        <v>0</v>
      </c>
      <c r="AA88" s="278"/>
    </row>
    <row r="89" spans="1:27" ht="15">
      <c r="A89" s="479">
        <f t="shared" si="25"/>
        <v>89</v>
      </c>
      <c r="B89" s="96"/>
      <c r="C89" s="94"/>
      <c r="D89" s="120"/>
      <c r="E89" s="120"/>
      <c r="F89" s="120"/>
      <c r="G89" s="295"/>
      <c r="H89" s="240"/>
      <c r="I89" s="95"/>
      <c r="J89" s="95"/>
      <c r="K89" s="95"/>
      <c r="L89" s="95"/>
      <c r="M89" s="95"/>
      <c r="N89" s="95"/>
      <c r="O89" s="95"/>
      <c r="P89" s="95"/>
      <c r="Q89" s="95"/>
      <c r="R89" s="95"/>
      <c r="S89" s="95"/>
      <c r="T89" s="95"/>
      <c r="U89" s="118"/>
      <c r="V89" s="95"/>
      <c r="W89" s="95"/>
      <c r="X89" s="95"/>
      <c r="Y89" s="95"/>
      <c r="Z89" s="118"/>
      <c r="AA89" s="278"/>
    </row>
    <row r="90" spans="1:27" ht="15">
      <c r="A90" s="479">
        <f t="shared" si="25"/>
        <v>90</v>
      </c>
      <c r="B90" s="96"/>
      <c r="C90" s="119" t="s">
        <v>79</v>
      </c>
      <c r="D90" s="50"/>
      <c r="E90" s="94"/>
      <c r="F90" s="94"/>
      <c r="G90" s="298"/>
      <c r="H90" s="240"/>
      <c r="I90" s="95"/>
      <c r="J90" s="95"/>
      <c r="K90" s="95"/>
      <c r="L90" s="95"/>
      <c r="M90" s="95"/>
      <c r="N90" s="95"/>
      <c r="O90" s="95"/>
      <c r="P90" s="95"/>
      <c r="Q90" s="95"/>
      <c r="R90" s="95"/>
      <c r="S90" s="95"/>
      <c r="T90" s="95"/>
      <c r="U90" s="118"/>
      <c r="V90" s="95"/>
      <c r="W90" s="95"/>
      <c r="X90" s="95"/>
      <c r="Y90" s="95"/>
      <c r="Z90" s="118"/>
      <c r="AA90" s="278"/>
    </row>
    <row r="91" spans="1:27" ht="15">
      <c r="A91" s="479">
        <f t="shared" si="25"/>
        <v>91</v>
      </c>
      <c r="B91" s="96"/>
      <c r="C91" s="94"/>
      <c r="D91" s="54" t="s">
        <v>100</v>
      </c>
      <c r="E91" s="120"/>
      <c r="F91" s="120"/>
      <c r="G91" s="704">
        <f>(IF('3.) Staffing Plan'!G37&gt;0,'3.) Staffing Plan'!G37,'3.) Staffing Plan'!F37)+IF('3.) Staffing Plan'!I37&gt;0,'3.) Staffing Plan'!I37,'3.) Staffing Plan'!H37)+IF('3.) Staffing Plan'!K37&gt;0,'3.) Staffing Plan'!K37,'3.) Staffing Plan'!J37)+IF('3.) Staffing Plan'!M37&gt;0,'3.) Staffing Plan'!M37,'3.) Staffing Plan'!L37))/4</f>
        <v>0</v>
      </c>
      <c r="H91" s="240"/>
      <c r="I91" s="667"/>
      <c r="J91" s="672"/>
      <c r="K91" s="673"/>
      <c r="L91" s="661">
        <f>IF(K$18&lt;&gt;0,J91-K91,0)</f>
        <v>0</v>
      </c>
      <c r="M91" s="672"/>
      <c r="N91" s="673"/>
      <c r="O91" s="661">
        <f>IF(N$18&lt;&gt;0,M91-N91,0)</f>
        <v>0</v>
      </c>
      <c r="P91" s="672"/>
      <c r="Q91" s="673"/>
      <c r="R91" s="661">
        <f>IF(Q$18&lt;&gt;0,P91-Q91,0)</f>
        <v>0</v>
      </c>
      <c r="S91" s="672"/>
      <c r="T91" s="673"/>
      <c r="U91" s="662">
        <f>IF(T$18&lt;&gt;0,S91-T91,0)</f>
        <v>0</v>
      </c>
      <c r="V91" s="663">
        <f>J91+M91+P91+S91</f>
        <v>0</v>
      </c>
      <c r="W91" s="664">
        <f>SUM(IF(K$6&lt;&gt;0,K91,J91)+IF(N$6&lt;&gt;0,N91,M91)+IF(Q$6&lt;&gt;0,Q91,P91)+IF(T$6&lt;&gt;0,T91,S91))</f>
        <v>0</v>
      </c>
      <c r="X91" s="661">
        <f>V91-W91</f>
        <v>0</v>
      </c>
      <c r="Y91" s="665">
        <f>I91-V91</f>
        <v>0</v>
      </c>
      <c r="Z91" s="666">
        <f>I91-W91</f>
        <v>0</v>
      </c>
      <c r="AA91" s="278"/>
    </row>
    <row r="92" spans="1:27" ht="15">
      <c r="A92" s="479">
        <f t="shared" si="25"/>
        <v>92</v>
      </c>
      <c r="B92" s="96"/>
      <c r="C92" s="94"/>
      <c r="D92" s="54" t="s">
        <v>101</v>
      </c>
      <c r="E92" s="120"/>
      <c r="F92" s="120"/>
      <c r="G92" s="704">
        <f>(IF('3.) Staffing Plan'!G38&gt;0,'3.) Staffing Plan'!G38,'3.) Staffing Plan'!F38)+IF('3.) Staffing Plan'!I38&gt;0,'3.) Staffing Plan'!I38,'3.) Staffing Plan'!H38)+IF('3.) Staffing Plan'!K38&gt;0,'3.) Staffing Plan'!K38,'3.) Staffing Plan'!J38)+IF('3.) Staffing Plan'!M38&gt;0,'3.) Staffing Plan'!M38,'3.) Staffing Plan'!L38))/4</f>
        <v>0</v>
      </c>
      <c r="H92" s="240"/>
      <c r="I92" s="667"/>
      <c r="J92" s="672"/>
      <c r="K92" s="673"/>
      <c r="L92" s="661">
        <f>IF(K$18&lt;&gt;0,J92-K92,0)</f>
        <v>0</v>
      </c>
      <c r="M92" s="672"/>
      <c r="N92" s="673"/>
      <c r="O92" s="661">
        <f>IF(N$18&lt;&gt;0,M92-N92,0)</f>
        <v>0</v>
      </c>
      <c r="P92" s="672"/>
      <c r="Q92" s="673"/>
      <c r="R92" s="661">
        <f>IF(Q$18&lt;&gt;0,P92-Q92,0)</f>
        <v>0</v>
      </c>
      <c r="S92" s="672"/>
      <c r="T92" s="673"/>
      <c r="U92" s="662">
        <f>IF(T$18&lt;&gt;0,S92-T92,0)</f>
        <v>0</v>
      </c>
      <c r="V92" s="663">
        <f>J92+M92+P92+S92</f>
        <v>0</v>
      </c>
      <c r="W92" s="664">
        <f>SUM(IF(K$6&lt;&gt;0,K92,J92)+IF(N$6&lt;&gt;0,N92,M92)+IF(Q$6&lt;&gt;0,Q92,P92)+IF(T$6&lt;&gt;0,T92,S92))</f>
        <v>0</v>
      </c>
      <c r="X92" s="661">
        <f>V92-W92</f>
        <v>0</v>
      </c>
      <c r="Y92" s="665">
        <f>I92-V92</f>
        <v>0</v>
      </c>
      <c r="Z92" s="666">
        <f>I92-W92</f>
        <v>0</v>
      </c>
      <c r="AA92" s="278"/>
    </row>
    <row r="93" spans="1:27" ht="15">
      <c r="A93" s="479">
        <f t="shared" si="25"/>
        <v>93</v>
      </c>
      <c r="B93" s="96"/>
      <c r="C93" s="94"/>
      <c r="D93" s="54" t="s">
        <v>102</v>
      </c>
      <c r="E93" s="120"/>
      <c r="F93" s="120"/>
      <c r="G93" s="704">
        <f>(IF('3.) Staffing Plan'!G39&gt;0,'3.) Staffing Plan'!G39,'3.) Staffing Plan'!F39)+IF('3.) Staffing Plan'!I39&gt;0,'3.) Staffing Plan'!I39,'3.) Staffing Plan'!H39)+IF('3.) Staffing Plan'!K39&gt;0,'3.) Staffing Plan'!K39,'3.) Staffing Plan'!J39)+IF('3.) Staffing Plan'!M39&gt;0,'3.) Staffing Plan'!M39,'3.) Staffing Plan'!L39))/4</f>
        <v>0</v>
      </c>
      <c r="H93" s="240"/>
      <c r="I93" s="667"/>
      <c r="J93" s="624"/>
      <c r="K93" s="673"/>
      <c r="L93" s="661">
        <f>IF(K$18&lt;&gt;0,J93-K93,0)</f>
        <v>0</v>
      </c>
      <c r="M93" s="624"/>
      <c r="N93" s="673"/>
      <c r="O93" s="661">
        <f>IF(N$18&lt;&gt;0,M93-N93,0)</f>
        <v>0</v>
      </c>
      <c r="P93" s="624"/>
      <c r="Q93" s="673"/>
      <c r="R93" s="661">
        <f>IF(Q$18&lt;&gt;0,P93-Q93,0)</f>
        <v>0</v>
      </c>
      <c r="S93" s="624"/>
      <c r="T93" s="673"/>
      <c r="U93" s="662">
        <f>IF(T$18&lt;&gt;0,S93-T93,0)</f>
        <v>0</v>
      </c>
      <c r="V93" s="663">
        <f>J93+M93+P93+S93</f>
        <v>0</v>
      </c>
      <c r="W93" s="664">
        <f>SUM(IF(K$6&lt;&gt;0,K93,J93)+IF(N$6&lt;&gt;0,N93,M93)+IF(Q$6&lt;&gt;0,Q93,P93)+IF(T$6&lt;&gt;0,T93,S93))</f>
        <v>0</v>
      </c>
      <c r="X93" s="661">
        <f>V93-W93</f>
        <v>0</v>
      </c>
      <c r="Y93" s="665">
        <f>I93-V93</f>
        <v>0</v>
      </c>
      <c r="Z93" s="666">
        <f>I93-W93</f>
        <v>0</v>
      </c>
      <c r="AA93" s="278"/>
    </row>
    <row r="94" spans="1:27" ht="15">
      <c r="A94" s="479">
        <f t="shared" si="25"/>
        <v>94</v>
      </c>
      <c r="B94" s="96"/>
      <c r="C94" s="94"/>
      <c r="D94" s="54" t="s">
        <v>7</v>
      </c>
      <c r="E94" s="120"/>
      <c r="F94" s="120"/>
      <c r="G94" s="704">
        <f>(IF('3.) Staffing Plan'!G40&gt;0,'3.) Staffing Plan'!G40,'3.) Staffing Plan'!F40)+IF('3.) Staffing Plan'!I40&gt;0,'3.) Staffing Plan'!I40,'3.) Staffing Plan'!H40)+IF('3.) Staffing Plan'!K40&gt;0,'3.) Staffing Plan'!K40,'3.) Staffing Plan'!J40)+IF('3.) Staffing Plan'!M40&gt;0,'3.) Staffing Plan'!M40,'3.) Staffing Plan'!L40))/4</f>
        <v>0</v>
      </c>
      <c r="H94" s="240"/>
      <c r="I94" s="667"/>
      <c r="J94" s="672"/>
      <c r="K94" s="673"/>
      <c r="L94" s="661">
        <f>IF(K$18&lt;&gt;0,J94-K94,0)</f>
        <v>0</v>
      </c>
      <c r="M94" s="672"/>
      <c r="N94" s="673"/>
      <c r="O94" s="661">
        <f>IF(N$18&lt;&gt;0,M94-N94,0)</f>
        <v>0</v>
      </c>
      <c r="P94" s="672"/>
      <c r="Q94" s="673"/>
      <c r="R94" s="661">
        <f>IF(Q$18&lt;&gt;0,P94-Q94,0)</f>
        <v>0</v>
      </c>
      <c r="S94" s="672"/>
      <c r="T94" s="673"/>
      <c r="U94" s="662">
        <f>IF(T$18&lt;&gt;0,S94-T94,0)</f>
        <v>0</v>
      </c>
      <c r="V94" s="663">
        <f>J94+M94+P94+S94</f>
        <v>0</v>
      </c>
      <c r="W94" s="664">
        <f>SUM(IF(K$6&lt;&gt;0,K94,J94)+IF(N$6&lt;&gt;0,N94,M94)+IF(Q$6&lt;&gt;0,Q94,P94)+IF(T$6&lt;&gt;0,T94,S94))</f>
        <v>0</v>
      </c>
      <c r="X94" s="661">
        <f>V94-W94</f>
        <v>0</v>
      </c>
      <c r="Y94" s="665">
        <f>I94-V94</f>
        <v>0</v>
      </c>
      <c r="Z94" s="666">
        <f>I94-W94</f>
        <v>0</v>
      </c>
      <c r="AA94" s="278"/>
    </row>
    <row r="95" spans="1:27" ht="17.25">
      <c r="A95" s="479">
        <f t="shared" si="25"/>
        <v>95</v>
      </c>
      <c r="B95" s="96"/>
      <c r="C95" s="94"/>
      <c r="D95" s="54" t="s">
        <v>29</v>
      </c>
      <c r="E95" s="120"/>
      <c r="F95" s="120"/>
      <c r="G95" s="708">
        <f>(IF('3.) Staffing Plan'!G41&gt;0,'3.) Staffing Plan'!G41,'3.) Staffing Plan'!F41)+IF('3.) Staffing Plan'!I41&gt;0,'3.) Staffing Plan'!I41,'3.) Staffing Plan'!H41)+IF('3.) Staffing Plan'!K41&gt;0,'3.) Staffing Plan'!K41,'3.) Staffing Plan'!J41)+IF('3.) Staffing Plan'!M41&gt;0,'3.) Staffing Plan'!M41,'3.) Staffing Plan'!L41))/4</f>
        <v>0</v>
      </c>
      <c r="H95" s="240"/>
      <c r="I95" s="678"/>
      <c r="J95" s="679"/>
      <c r="K95" s="680"/>
      <c r="L95" s="681">
        <f>IF(K$18&lt;&gt;0,J95-K95,0)</f>
        <v>0</v>
      </c>
      <c r="M95" s="679"/>
      <c r="N95" s="680"/>
      <c r="O95" s="681">
        <f>IF(N$18&lt;&gt;0,M95-N95,0)</f>
        <v>0</v>
      </c>
      <c r="P95" s="679"/>
      <c r="Q95" s="680"/>
      <c r="R95" s="681">
        <f>IF(Q$18&lt;&gt;0,P95-Q95,0)</f>
        <v>0</v>
      </c>
      <c r="S95" s="679"/>
      <c r="T95" s="680"/>
      <c r="U95" s="684">
        <f>IF(T$18&lt;&gt;0,S95-T95,0)</f>
        <v>0</v>
      </c>
      <c r="V95" s="685">
        <f>J95+M95+P95+S95</f>
        <v>0</v>
      </c>
      <c r="W95" s="686">
        <f>SUM(IF(K$6&lt;&gt;0,K95,J95)+IF(N$6&lt;&gt;0,N95,M95)+IF(Q$6&lt;&gt;0,Q95,P95)+IF(T$6&lt;&gt;0,T95,S95))</f>
        <v>0</v>
      </c>
      <c r="X95" s="681">
        <f>V95-W95</f>
        <v>0</v>
      </c>
      <c r="Y95" s="687">
        <f>I95-V95</f>
        <v>0</v>
      </c>
      <c r="Z95" s="688">
        <f>I95-W95</f>
        <v>0</v>
      </c>
      <c r="AA95" s="278"/>
    </row>
    <row r="96" spans="1:27" ht="15">
      <c r="A96" s="479">
        <f t="shared" si="25"/>
        <v>96</v>
      </c>
      <c r="B96" s="96"/>
      <c r="C96" s="55" t="s">
        <v>80</v>
      </c>
      <c r="D96" s="94"/>
      <c r="E96" s="120"/>
      <c r="F96" s="120"/>
      <c r="G96" s="704">
        <f>SUM(G91:G95)</f>
        <v>0</v>
      </c>
      <c r="H96" s="240"/>
      <c r="I96" s="717">
        <f t="shared" ref="I96:Z96" si="46">SUM(I91:I95)</f>
        <v>0</v>
      </c>
      <c r="J96" s="711">
        <f t="shared" si="46"/>
        <v>0</v>
      </c>
      <c r="K96" s="711">
        <f t="shared" si="46"/>
        <v>0</v>
      </c>
      <c r="L96" s="711">
        <f t="shared" si="46"/>
        <v>0</v>
      </c>
      <c r="M96" s="711">
        <f t="shared" si="46"/>
        <v>0</v>
      </c>
      <c r="N96" s="711">
        <f t="shared" si="46"/>
        <v>0</v>
      </c>
      <c r="O96" s="711">
        <f t="shared" si="46"/>
        <v>0</v>
      </c>
      <c r="P96" s="711">
        <f t="shared" si="46"/>
        <v>0</v>
      </c>
      <c r="Q96" s="711">
        <f t="shared" si="46"/>
        <v>0</v>
      </c>
      <c r="R96" s="711">
        <f t="shared" si="46"/>
        <v>0</v>
      </c>
      <c r="S96" s="711">
        <f t="shared" si="46"/>
        <v>0</v>
      </c>
      <c r="T96" s="711">
        <f t="shared" si="46"/>
        <v>0</v>
      </c>
      <c r="U96" s="713">
        <f t="shared" si="46"/>
        <v>0</v>
      </c>
      <c r="V96" s="714">
        <f t="shared" si="46"/>
        <v>0</v>
      </c>
      <c r="W96" s="711">
        <f t="shared" si="46"/>
        <v>0</v>
      </c>
      <c r="X96" s="715">
        <f t="shared" si="46"/>
        <v>0</v>
      </c>
      <c r="Y96" s="710">
        <f t="shared" si="46"/>
        <v>0</v>
      </c>
      <c r="Z96" s="716">
        <f t="shared" si="46"/>
        <v>0</v>
      </c>
      <c r="AA96" s="278"/>
    </row>
    <row r="97" spans="1:27" ht="15">
      <c r="A97" s="479">
        <f t="shared" si="25"/>
        <v>97</v>
      </c>
      <c r="B97" s="96"/>
      <c r="C97" s="94"/>
      <c r="D97" s="120"/>
      <c r="E97" s="120"/>
      <c r="F97" s="120"/>
      <c r="G97" s="295"/>
      <c r="H97" s="240"/>
      <c r="I97" s="689"/>
      <c r="J97" s="689"/>
      <c r="K97" s="689"/>
      <c r="L97" s="689"/>
      <c r="M97" s="689"/>
      <c r="N97" s="689"/>
      <c r="O97" s="689"/>
      <c r="P97" s="689"/>
      <c r="Q97" s="689"/>
      <c r="R97" s="689"/>
      <c r="S97" s="689"/>
      <c r="T97" s="689"/>
      <c r="U97" s="690"/>
      <c r="V97" s="689"/>
      <c r="W97" s="689"/>
      <c r="X97" s="689"/>
      <c r="Y97" s="689"/>
      <c r="Z97" s="690"/>
      <c r="AA97" s="278"/>
    </row>
    <row r="98" spans="1:27" ht="15">
      <c r="A98" s="479">
        <f t="shared" si="25"/>
        <v>98</v>
      </c>
      <c r="B98" s="96"/>
      <c r="C98" s="60" t="s">
        <v>81</v>
      </c>
      <c r="D98" s="50"/>
      <c r="E98" s="50"/>
      <c r="F98" s="50"/>
      <c r="G98" s="704">
        <f>G77+G88+G96</f>
        <v>0</v>
      </c>
      <c r="H98" s="240"/>
      <c r="I98" s="676">
        <f t="shared" ref="I98:Z98" si="47">I77+I88+I96</f>
        <v>0</v>
      </c>
      <c r="J98" s="659">
        <f t="shared" si="47"/>
        <v>0</v>
      </c>
      <c r="K98" s="669">
        <f t="shared" si="47"/>
        <v>0</v>
      </c>
      <c r="L98" s="669">
        <f t="shared" si="47"/>
        <v>0</v>
      </c>
      <c r="M98" s="659">
        <f t="shared" si="47"/>
        <v>0</v>
      </c>
      <c r="N98" s="669">
        <f t="shared" si="47"/>
        <v>0</v>
      </c>
      <c r="O98" s="669">
        <f t="shared" si="47"/>
        <v>0</v>
      </c>
      <c r="P98" s="659">
        <f t="shared" si="47"/>
        <v>0</v>
      </c>
      <c r="Q98" s="669">
        <f t="shared" si="47"/>
        <v>0</v>
      </c>
      <c r="R98" s="669">
        <f t="shared" si="47"/>
        <v>0</v>
      </c>
      <c r="S98" s="659">
        <f t="shared" si="47"/>
        <v>0</v>
      </c>
      <c r="T98" s="669">
        <f t="shared" si="47"/>
        <v>0</v>
      </c>
      <c r="U98" s="670">
        <f t="shared" si="47"/>
        <v>0</v>
      </c>
      <c r="V98" s="663">
        <f t="shared" si="47"/>
        <v>0</v>
      </c>
      <c r="W98" s="669">
        <f t="shared" si="47"/>
        <v>0</v>
      </c>
      <c r="X98" s="671">
        <f t="shared" si="47"/>
        <v>0</v>
      </c>
      <c r="Y98" s="665">
        <f t="shared" si="47"/>
        <v>0</v>
      </c>
      <c r="Z98" s="666">
        <f t="shared" si="47"/>
        <v>0</v>
      </c>
      <c r="AA98" s="278"/>
    </row>
    <row r="99" spans="1:27" ht="15">
      <c r="A99" s="479">
        <f t="shared" si="25"/>
        <v>99</v>
      </c>
      <c r="B99" s="96"/>
      <c r="C99" s="94"/>
      <c r="D99" s="120"/>
      <c r="E99" s="120"/>
      <c r="F99" s="120"/>
      <c r="G99" s="295"/>
      <c r="H99" s="240"/>
      <c r="I99" s="689"/>
      <c r="J99" s="689"/>
      <c r="K99" s="689"/>
      <c r="L99" s="689"/>
      <c r="M99" s="689"/>
      <c r="N99" s="689"/>
      <c r="O99" s="689"/>
      <c r="P99" s="689"/>
      <c r="Q99" s="689"/>
      <c r="R99" s="689"/>
      <c r="S99" s="689"/>
      <c r="T99" s="689"/>
      <c r="U99" s="690"/>
      <c r="V99" s="689"/>
      <c r="W99" s="689"/>
      <c r="X99" s="689"/>
      <c r="Y99" s="689"/>
      <c r="Z99" s="690"/>
      <c r="AA99" s="278"/>
    </row>
    <row r="100" spans="1:27" ht="15">
      <c r="A100" s="479">
        <f t="shared" si="25"/>
        <v>100</v>
      </c>
      <c r="B100" s="96"/>
      <c r="C100" s="119" t="s">
        <v>82</v>
      </c>
      <c r="D100" s="50"/>
      <c r="E100" s="50"/>
      <c r="F100" s="50"/>
      <c r="G100" s="298"/>
      <c r="H100" s="240"/>
      <c r="I100" s="95"/>
      <c r="J100" s="95"/>
      <c r="K100" s="95"/>
      <c r="L100" s="95"/>
      <c r="M100" s="95"/>
      <c r="N100" s="95"/>
      <c r="O100" s="95"/>
      <c r="P100" s="95"/>
      <c r="Q100" s="95"/>
      <c r="R100" s="95"/>
      <c r="S100" s="95"/>
      <c r="T100" s="95"/>
      <c r="U100" s="118"/>
      <c r="V100" s="95"/>
      <c r="W100" s="95"/>
      <c r="X100" s="95"/>
      <c r="Y100" s="95"/>
      <c r="Z100" s="118"/>
      <c r="AA100" s="278"/>
    </row>
    <row r="101" spans="1:27" ht="15">
      <c r="A101" s="479">
        <f t="shared" si="25"/>
        <v>101</v>
      </c>
      <c r="B101" s="96"/>
      <c r="C101" s="94"/>
      <c r="D101" s="54" t="s">
        <v>14</v>
      </c>
      <c r="E101" s="50"/>
      <c r="F101" s="50"/>
      <c r="G101" s="298"/>
      <c r="H101" s="240"/>
      <c r="I101" s="667"/>
      <c r="J101" s="624"/>
      <c r="K101" s="673"/>
      <c r="L101" s="661">
        <f>IF(K$18&lt;&gt;0,J101-K101,0)</f>
        <v>0</v>
      </c>
      <c r="M101" s="624"/>
      <c r="N101" s="673"/>
      <c r="O101" s="661">
        <f>IF(N$18&lt;&gt;0,M101-N101,0)</f>
        <v>0</v>
      </c>
      <c r="P101" s="624"/>
      <c r="Q101" s="673"/>
      <c r="R101" s="661">
        <f>IF(Q$18&lt;&gt;0,P101-Q101,0)</f>
        <v>0</v>
      </c>
      <c r="S101" s="624"/>
      <c r="T101" s="673"/>
      <c r="U101" s="662">
        <f>IF(T$18&lt;&gt;0,S101-T101,0)</f>
        <v>0</v>
      </c>
      <c r="V101" s="663">
        <f>J101+M101+P101+S101</f>
        <v>0</v>
      </c>
      <c r="W101" s="664">
        <f>SUM(IF(K$6&lt;&gt;0,K101,J101)+IF(N$6&lt;&gt;0,N101,M101)+IF(Q$6&lt;&gt;0,Q101,P101)+IF(T$6&lt;&gt;0,T101,S101))</f>
        <v>0</v>
      </c>
      <c r="X101" s="661">
        <f>V101-W101</f>
        <v>0</v>
      </c>
      <c r="Y101" s="665">
        <f>I101-V101</f>
        <v>0</v>
      </c>
      <c r="Z101" s="666">
        <f>I101-W101</f>
        <v>0</v>
      </c>
      <c r="AA101" s="278"/>
    </row>
    <row r="102" spans="1:27" ht="15">
      <c r="A102" s="479">
        <f t="shared" si="25"/>
        <v>102</v>
      </c>
      <c r="B102" s="96"/>
      <c r="C102" s="94"/>
      <c r="D102" s="120" t="s">
        <v>69</v>
      </c>
      <c r="E102" s="50"/>
      <c r="F102" s="50"/>
      <c r="G102" s="298"/>
      <c r="H102" s="240"/>
      <c r="I102" s="667"/>
      <c r="J102" s="624"/>
      <c r="K102" s="673"/>
      <c r="L102" s="661">
        <f>IF(K$18&lt;&gt;0,J102-K102,0)</f>
        <v>0</v>
      </c>
      <c r="M102" s="624"/>
      <c r="N102" s="673"/>
      <c r="O102" s="661">
        <f>IF(N$18&lt;&gt;0,M102-N102,0)</f>
        <v>0</v>
      </c>
      <c r="P102" s="624"/>
      <c r="Q102" s="673"/>
      <c r="R102" s="661">
        <f>IF(Q$18&lt;&gt;0,P102-Q102,0)</f>
        <v>0</v>
      </c>
      <c r="S102" s="624"/>
      <c r="T102" s="673"/>
      <c r="U102" s="662">
        <f>IF(T$18&lt;&gt;0,S102-T102,0)</f>
        <v>0</v>
      </c>
      <c r="V102" s="663">
        <f>J102+M102+P102+S102</f>
        <v>0</v>
      </c>
      <c r="W102" s="664">
        <f>SUM(IF(K$6&lt;&gt;0,K102,J102)+IF(N$6&lt;&gt;0,N102,M102)+IF(Q$6&lt;&gt;0,Q102,P102)+IF(T$6&lt;&gt;0,T102,S102))</f>
        <v>0</v>
      </c>
      <c r="X102" s="661">
        <f>V102-W102</f>
        <v>0</v>
      </c>
      <c r="Y102" s="665">
        <f>I102-V102</f>
        <v>0</v>
      </c>
      <c r="Z102" s="666">
        <f>I102-W102</f>
        <v>0</v>
      </c>
      <c r="AA102" s="278"/>
    </row>
    <row r="103" spans="1:27" ht="17.25">
      <c r="A103" s="479">
        <f t="shared" si="25"/>
        <v>103</v>
      </c>
      <c r="B103" s="96"/>
      <c r="C103" s="94"/>
      <c r="D103" s="54" t="s">
        <v>58</v>
      </c>
      <c r="E103" s="50"/>
      <c r="F103" s="50"/>
      <c r="G103" s="298"/>
      <c r="H103" s="240"/>
      <c r="I103" s="678"/>
      <c r="J103" s="679"/>
      <c r="K103" s="680"/>
      <c r="L103" s="681">
        <f>IF(K$18&lt;&gt;0,J103-K103,0)</f>
        <v>0</v>
      </c>
      <c r="M103" s="679"/>
      <c r="N103" s="680"/>
      <c r="O103" s="681">
        <f>IF(N$18&lt;&gt;0,M103-N103,0)</f>
        <v>0</v>
      </c>
      <c r="P103" s="679"/>
      <c r="Q103" s="680"/>
      <c r="R103" s="681">
        <f>IF(Q$18&lt;&gt;0,P103-Q103,0)</f>
        <v>0</v>
      </c>
      <c r="S103" s="679"/>
      <c r="T103" s="680"/>
      <c r="U103" s="684">
        <f>IF(T$18&lt;&gt;0,S103-T103,0)</f>
        <v>0</v>
      </c>
      <c r="V103" s="685">
        <f>J103+M103+P103+S103</f>
        <v>0</v>
      </c>
      <c r="W103" s="686">
        <f>SUM(IF(K$6&lt;&gt;0,K103,J103)+IF(N$6&lt;&gt;0,N103,M103)+IF(Q$6&lt;&gt;0,Q103,P103)+IF(T$6&lt;&gt;0,T103,S103))</f>
        <v>0</v>
      </c>
      <c r="X103" s="681">
        <f>V103-W103</f>
        <v>0</v>
      </c>
      <c r="Y103" s="687">
        <f>I103-V103</f>
        <v>0</v>
      </c>
      <c r="Z103" s="688">
        <f>I103-W103</f>
        <v>0</v>
      </c>
      <c r="AA103" s="278"/>
    </row>
    <row r="104" spans="1:27" ht="15">
      <c r="A104" s="479">
        <f t="shared" si="25"/>
        <v>104</v>
      </c>
      <c r="B104" s="96"/>
      <c r="C104" s="55" t="s">
        <v>83</v>
      </c>
      <c r="D104" s="50"/>
      <c r="E104" s="50"/>
      <c r="F104" s="50"/>
      <c r="G104" s="298"/>
      <c r="H104" s="240"/>
      <c r="I104" s="676">
        <f t="shared" ref="I104:Z104" si="48">SUM(I101:I103)</f>
        <v>0</v>
      </c>
      <c r="J104" s="659">
        <f t="shared" si="48"/>
        <v>0</v>
      </c>
      <c r="K104" s="669">
        <f t="shared" si="48"/>
        <v>0</v>
      </c>
      <c r="L104" s="669">
        <f t="shared" si="48"/>
        <v>0</v>
      </c>
      <c r="M104" s="659">
        <f t="shared" si="48"/>
        <v>0</v>
      </c>
      <c r="N104" s="669">
        <f t="shared" si="48"/>
        <v>0</v>
      </c>
      <c r="O104" s="669">
        <f t="shared" si="48"/>
        <v>0</v>
      </c>
      <c r="P104" s="659">
        <f t="shared" si="48"/>
        <v>0</v>
      </c>
      <c r="Q104" s="669">
        <f t="shared" si="48"/>
        <v>0</v>
      </c>
      <c r="R104" s="669">
        <f t="shared" si="48"/>
        <v>0</v>
      </c>
      <c r="S104" s="659">
        <f t="shared" si="48"/>
        <v>0</v>
      </c>
      <c r="T104" s="669">
        <f t="shared" si="48"/>
        <v>0</v>
      </c>
      <c r="U104" s="670">
        <f t="shared" si="48"/>
        <v>0</v>
      </c>
      <c r="V104" s="663">
        <f t="shared" si="48"/>
        <v>0</v>
      </c>
      <c r="W104" s="669">
        <f t="shared" si="48"/>
        <v>0</v>
      </c>
      <c r="X104" s="671">
        <f t="shared" si="48"/>
        <v>0</v>
      </c>
      <c r="Y104" s="665">
        <f t="shared" si="48"/>
        <v>0</v>
      </c>
      <c r="Z104" s="553">
        <f t="shared" si="48"/>
        <v>0</v>
      </c>
      <c r="AA104" s="278"/>
    </row>
    <row r="105" spans="1:27" ht="15">
      <c r="A105" s="479">
        <f t="shared" si="25"/>
        <v>105</v>
      </c>
      <c r="B105" s="96"/>
      <c r="C105" s="94"/>
      <c r="D105" s="120"/>
      <c r="E105" s="120"/>
      <c r="F105" s="120"/>
      <c r="G105" s="295"/>
      <c r="H105" s="240"/>
      <c r="I105" s="689"/>
      <c r="J105" s="689"/>
      <c r="K105" s="689"/>
      <c r="L105" s="689"/>
      <c r="M105" s="689"/>
      <c r="N105" s="689"/>
      <c r="O105" s="689"/>
      <c r="P105" s="689"/>
      <c r="Q105" s="689"/>
      <c r="R105" s="689"/>
      <c r="S105" s="689"/>
      <c r="T105" s="689"/>
      <c r="U105" s="690"/>
      <c r="V105" s="689"/>
      <c r="W105" s="689"/>
      <c r="X105" s="689"/>
      <c r="Y105" s="689"/>
      <c r="Z105" s="118"/>
      <c r="AA105" s="278"/>
    </row>
    <row r="106" spans="1:27" ht="15">
      <c r="A106" s="479">
        <f t="shared" si="25"/>
        <v>106</v>
      </c>
      <c r="B106" s="96"/>
      <c r="C106" s="60" t="s">
        <v>84</v>
      </c>
      <c r="D106" s="50"/>
      <c r="E106" s="50"/>
      <c r="F106" s="50"/>
      <c r="G106" s="704">
        <f>G98</f>
        <v>0</v>
      </c>
      <c r="H106" s="240"/>
      <c r="I106" s="676">
        <f t="shared" ref="I106:Z106" si="49">I98+I104</f>
        <v>0</v>
      </c>
      <c r="J106" s="659">
        <f t="shared" si="49"/>
        <v>0</v>
      </c>
      <c r="K106" s="669">
        <f t="shared" si="49"/>
        <v>0</v>
      </c>
      <c r="L106" s="669">
        <f t="shared" si="49"/>
        <v>0</v>
      </c>
      <c r="M106" s="659">
        <f t="shared" si="49"/>
        <v>0</v>
      </c>
      <c r="N106" s="669">
        <f t="shared" si="49"/>
        <v>0</v>
      </c>
      <c r="O106" s="669">
        <f t="shared" si="49"/>
        <v>0</v>
      </c>
      <c r="P106" s="659">
        <f t="shared" si="49"/>
        <v>0</v>
      </c>
      <c r="Q106" s="669">
        <f t="shared" si="49"/>
        <v>0</v>
      </c>
      <c r="R106" s="669">
        <f t="shared" si="49"/>
        <v>0</v>
      </c>
      <c r="S106" s="659">
        <f t="shared" si="49"/>
        <v>0</v>
      </c>
      <c r="T106" s="669">
        <f t="shared" si="49"/>
        <v>0</v>
      </c>
      <c r="U106" s="670">
        <f t="shared" si="49"/>
        <v>0</v>
      </c>
      <c r="V106" s="663">
        <f t="shared" si="49"/>
        <v>0</v>
      </c>
      <c r="W106" s="669">
        <f t="shared" si="49"/>
        <v>0</v>
      </c>
      <c r="X106" s="671">
        <f t="shared" si="49"/>
        <v>0</v>
      </c>
      <c r="Y106" s="665">
        <f t="shared" si="49"/>
        <v>0</v>
      </c>
      <c r="Z106" s="666">
        <f t="shared" si="49"/>
        <v>0</v>
      </c>
      <c r="AA106" s="278"/>
    </row>
    <row r="107" spans="1:27" ht="15">
      <c r="A107" s="479">
        <f t="shared" si="25"/>
        <v>107</v>
      </c>
      <c r="B107" s="96"/>
      <c r="C107" s="94"/>
      <c r="D107" s="94"/>
      <c r="E107" s="120"/>
      <c r="F107" s="120"/>
      <c r="G107" s="56"/>
      <c r="H107" s="240"/>
      <c r="I107" s="689"/>
      <c r="J107" s="689"/>
      <c r="K107" s="689"/>
      <c r="L107" s="689"/>
      <c r="M107" s="689"/>
      <c r="N107" s="689"/>
      <c r="O107" s="689"/>
      <c r="P107" s="689"/>
      <c r="Q107" s="689"/>
      <c r="R107" s="689"/>
      <c r="S107" s="689"/>
      <c r="T107" s="689"/>
      <c r="U107" s="690"/>
      <c r="V107" s="689"/>
      <c r="W107" s="689"/>
      <c r="X107" s="689"/>
      <c r="Y107" s="689"/>
      <c r="Z107" s="690"/>
      <c r="AA107" s="278"/>
    </row>
    <row r="108" spans="1:27" ht="15">
      <c r="A108" s="479">
        <f t="shared" si="25"/>
        <v>108</v>
      </c>
      <c r="B108" s="96"/>
      <c r="C108" s="119" t="s">
        <v>85</v>
      </c>
      <c r="D108" s="94"/>
      <c r="E108" s="120"/>
      <c r="F108" s="120"/>
      <c r="G108" s="56"/>
      <c r="H108" s="240"/>
      <c r="I108" s="95"/>
      <c r="J108" s="95"/>
      <c r="K108" s="95"/>
      <c r="L108" s="95"/>
      <c r="M108" s="95"/>
      <c r="N108" s="95"/>
      <c r="O108" s="95"/>
      <c r="P108" s="95"/>
      <c r="Q108" s="95"/>
      <c r="R108" s="95"/>
      <c r="S108" s="95"/>
      <c r="T108" s="95"/>
      <c r="U108" s="118"/>
      <c r="V108" s="95"/>
      <c r="W108" s="95"/>
      <c r="X108" s="95"/>
      <c r="Y108" s="95"/>
      <c r="Z108" s="118"/>
      <c r="AA108" s="278"/>
    </row>
    <row r="109" spans="1:27" ht="15">
      <c r="A109" s="479">
        <f t="shared" si="25"/>
        <v>109</v>
      </c>
      <c r="B109" s="96"/>
      <c r="C109" s="94"/>
      <c r="D109" s="50" t="s">
        <v>65</v>
      </c>
      <c r="E109" s="120"/>
      <c r="F109" s="120"/>
      <c r="G109" s="56"/>
      <c r="H109" s="240"/>
      <c r="I109" s="625"/>
      <c r="J109" s="672"/>
      <c r="K109" s="673"/>
      <c r="L109" s="661">
        <f t="shared" ref="L109:L117" si="50">IF(K$18&lt;&gt;0,J109-K109,0)</f>
        <v>0</v>
      </c>
      <c r="M109" s="674"/>
      <c r="N109" s="675"/>
      <c r="O109" s="661">
        <f t="shared" ref="O109:O117" si="51">IF(N$18&lt;&gt;0,M109-N109,0)</f>
        <v>0</v>
      </c>
      <c r="P109" s="674"/>
      <c r="Q109" s="675"/>
      <c r="R109" s="661">
        <f t="shared" ref="R109:R117" si="52">IF(Q$18&lt;&gt;0,P109-Q109,0)</f>
        <v>0</v>
      </c>
      <c r="S109" s="622"/>
      <c r="T109" s="675"/>
      <c r="U109" s="662">
        <f t="shared" ref="U109:U117" si="53">IF(T$18&lt;&gt;0,S109-T109,0)</f>
        <v>0</v>
      </c>
      <c r="V109" s="663">
        <f t="shared" ref="V109:V117" si="54">J109+M109+P109+S109</f>
        <v>0</v>
      </c>
      <c r="W109" s="664">
        <f t="shared" ref="W109:W117" si="55">SUM(IF(K$6&lt;&gt;0,K109,J109)+IF(N$6&lt;&gt;0,N109,M109)+IF(Q$6&lt;&gt;0,Q109,P109)+IF(T$6&lt;&gt;0,T109,S109))</f>
        <v>0</v>
      </c>
      <c r="X109" s="661">
        <f t="shared" ref="X109:X117" si="56">V109-W109</f>
        <v>0</v>
      </c>
      <c r="Y109" s="665">
        <f t="shared" ref="Y109:Y117" si="57">I109-V109</f>
        <v>0</v>
      </c>
      <c r="Z109" s="666">
        <f t="shared" ref="Z109:Z117" si="58">I109-W109</f>
        <v>0</v>
      </c>
      <c r="AA109" s="278"/>
    </row>
    <row r="110" spans="1:27" ht="15">
      <c r="A110" s="479">
        <f t="shared" si="25"/>
        <v>110</v>
      </c>
      <c r="B110" s="96"/>
      <c r="C110" s="94"/>
      <c r="D110" s="54" t="s">
        <v>5</v>
      </c>
      <c r="E110" s="120"/>
      <c r="F110" s="120"/>
      <c r="G110" s="56"/>
      <c r="H110" s="240"/>
      <c r="I110" s="625"/>
      <c r="J110" s="672"/>
      <c r="K110" s="673"/>
      <c r="L110" s="661">
        <f t="shared" si="50"/>
        <v>0</v>
      </c>
      <c r="M110" s="674"/>
      <c r="N110" s="675"/>
      <c r="O110" s="661">
        <f t="shared" si="51"/>
        <v>0</v>
      </c>
      <c r="P110" s="674"/>
      <c r="Q110" s="675"/>
      <c r="R110" s="661">
        <f t="shared" si="52"/>
        <v>0</v>
      </c>
      <c r="S110" s="622"/>
      <c r="T110" s="675"/>
      <c r="U110" s="662">
        <f t="shared" si="53"/>
        <v>0</v>
      </c>
      <c r="V110" s="663">
        <f t="shared" si="54"/>
        <v>0</v>
      </c>
      <c r="W110" s="664">
        <f t="shared" si="55"/>
        <v>0</v>
      </c>
      <c r="X110" s="661">
        <f t="shared" si="56"/>
        <v>0</v>
      </c>
      <c r="Y110" s="665">
        <f t="shared" si="57"/>
        <v>0</v>
      </c>
      <c r="Z110" s="666">
        <f t="shared" si="58"/>
        <v>0</v>
      </c>
      <c r="AA110" s="278"/>
    </row>
    <row r="111" spans="1:27" ht="15">
      <c r="A111" s="479">
        <f t="shared" si="25"/>
        <v>111</v>
      </c>
      <c r="B111" s="96"/>
      <c r="C111" s="94"/>
      <c r="D111" s="54" t="s">
        <v>66</v>
      </c>
      <c r="E111" s="120"/>
      <c r="F111" s="120"/>
      <c r="G111" s="56"/>
      <c r="H111" s="240"/>
      <c r="I111" s="625"/>
      <c r="J111" s="672"/>
      <c r="K111" s="673"/>
      <c r="L111" s="661">
        <f t="shared" si="50"/>
        <v>0</v>
      </c>
      <c r="M111" s="672"/>
      <c r="N111" s="675"/>
      <c r="O111" s="661">
        <f t="shared" si="51"/>
        <v>0</v>
      </c>
      <c r="P111" s="672"/>
      <c r="Q111" s="675"/>
      <c r="R111" s="661">
        <f t="shared" si="52"/>
        <v>0</v>
      </c>
      <c r="S111" s="672"/>
      <c r="T111" s="675"/>
      <c r="U111" s="662">
        <f t="shared" si="53"/>
        <v>0</v>
      </c>
      <c r="V111" s="663">
        <f t="shared" si="54"/>
        <v>0</v>
      </c>
      <c r="W111" s="664">
        <f t="shared" si="55"/>
        <v>0</v>
      </c>
      <c r="X111" s="661">
        <f t="shared" si="56"/>
        <v>0</v>
      </c>
      <c r="Y111" s="665">
        <f t="shared" si="57"/>
        <v>0</v>
      </c>
      <c r="Z111" s="666">
        <f t="shared" si="58"/>
        <v>0</v>
      </c>
      <c r="AA111" s="278"/>
    </row>
    <row r="112" spans="1:27" ht="15">
      <c r="A112" s="479">
        <f t="shared" si="25"/>
        <v>112</v>
      </c>
      <c r="B112" s="96"/>
      <c r="C112" s="94"/>
      <c r="D112" s="54" t="s">
        <v>15</v>
      </c>
      <c r="E112" s="120"/>
      <c r="F112" s="120"/>
      <c r="G112" s="56"/>
      <c r="H112" s="240"/>
      <c r="I112" s="625"/>
      <c r="J112" s="672"/>
      <c r="K112" s="673"/>
      <c r="L112" s="661">
        <f t="shared" si="50"/>
        <v>0</v>
      </c>
      <c r="M112" s="674"/>
      <c r="N112" s="675"/>
      <c r="O112" s="661">
        <f t="shared" si="51"/>
        <v>0</v>
      </c>
      <c r="P112" s="674"/>
      <c r="Q112" s="675"/>
      <c r="R112" s="661">
        <f t="shared" si="52"/>
        <v>0</v>
      </c>
      <c r="S112" s="622"/>
      <c r="T112" s="675"/>
      <c r="U112" s="662">
        <f t="shared" si="53"/>
        <v>0</v>
      </c>
      <c r="V112" s="663">
        <f t="shared" si="54"/>
        <v>0</v>
      </c>
      <c r="W112" s="664">
        <f t="shared" si="55"/>
        <v>0</v>
      </c>
      <c r="X112" s="661">
        <f t="shared" si="56"/>
        <v>0</v>
      </c>
      <c r="Y112" s="665">
        <f t="shared" si="57"/>
        <v>0</v>
      </c>
      <c r="Z112" s="666">
        <f t="shared" si="58"/>
        <v>0</v>
      </c>
      <c r="AA112" s="278"/>
    </row>
    <row r="113" spans="1:27" ht="15">
      <c r="A113" s="479">
        <f t="shared" si="25"/>
        <v>113</v>
      </c>
      <c r="B113" s="96"/>
      <c r="C113" s="94"/>
      <c r="D113" s="54" t="s">
        <v>57</v>
      </c>
      <c r="E113" s="120"/>
      <c r="F113" s="120"/>
      <c r="G113" s="56"/>
      <c r="H113" s="240"/>
      <c r="I113" s="625"/>
      <c r="J113" s="672"/>
      <c r="K113" s="673"/>
      <c r="L113" s="661">
        <f t="shared" si="50"/>
        <v>0</v>
      </c>
      <c r="M113" s="674"/>
      <c r="N113" s="675"/>
      <c r="O113" s="661">
        <f t="shared" si="51"/>
        <v>0</v>
      </c>
      <c r="P113" s="674"/>
      <c r="Q113" s="675"/>
      <c r="R113" s="661">
        <f t="shared" si="52"/>
        <v>0</v>
      </c>
      <c r="S113" s="622"/>
      <c r="T113" s="675"/>
      <c r="U113" s="662">
        <f t="shared" si="53"/>
        <v>0</v>
      </c>
      <c r="V113" s="663">
        <f t="shared" si="54"/>
        <v>0</v>
      </c>
      <c r="W113" s="664">
        <f t="shared" si="55"/>
        <v>0</v>
      </c>
      <c r="X113" s="661">
        <f t="shared" si="56"/>
        <v>0</v>
      </c>
      <c r="Y113" s="665">
        <f t="shared" si="57"/>
        <v>0</v>
      </c>
      <c r="Z113" s="666">
        <f t="shared" si="58"/>
        <v>0</v>
      </c>
      <c r="AA113" s="278"/>
    </row>
    <row r="114" spans="1:27" ht="15">
      <c r="A114" s="479">
        <f t="shared" si="25"/>
        <v>114</v>
      </c>
      <c r="B114" s="96"/>
      <c r="C114" s="94"/>
      <c r="D114" s="54" t="s">
        <v>16</v>
      </c>
      <c r="E114" s="120"/>
      <c r="F114" s="120"/>
      <c r="G114" s="56"/>
      <c r="H114" s="240"/>
      <c r="I114" s="625"/>
      <c r="J114" s="672"/>
      <c r="K114" s="673"/>
      <c r="L114" s="661">
        <f t="shared" si="50"/>
        <v>0</v>
      </c>
      <c r="M114" s="674"/>
      <c r="N114" s="675"/>
      <c r="O114" s="661">
        <f t="shared" si="51"/>
        <v>0</v>
      </c>
      <c r="P114" s="674"/>
      <c r="Q114" s="675"/>
      <c r="R114" s="661">
        <f t="shared" si="52"/>
        <v>0</v>
      </c>
      <c r="S114" s="622"/>
      <c r="T114" s="675"/>
      <c r="U114" s="662">
        <f t="shared" si="53"/>
        <v>0</v>
      </c>
      <c r="V114" s="663">
        <f t="shared" si="54"/>
        <v>0</v>
      </c>
      <c r="W114" s="664">
        <f t="shared" si="55"/>
        <v>0</v>
      </c>
      <c r="X114" s="661">
        <f t="shared" si="56"/>
        <v>0</v>
      </c>
      <c r="Y114" s="665">
        <f t="shared" si="57"/>
        <v>0</v>
      </c>
      <c r="Z114" s="666">
        <f t="shared" si="58"/>
        <v>0</v>
      </c>
      <c r="AA114" s="278"/>
    </row>
    <row r="115" spans="1:27" ht="15">
      <c r="A115" s="479">
        <f t="shared" si="25"/>
        <v>115</v>
      </c>
      <c r="B115" s="96"/>
      <c r="C115" s="94"/>
      <c r="D115" s="54" t="s">
        <v>17</v>
      </c>
      <c r="E115" s="120"/>
      <c r="F115" s="120"/>
      <c r="G115" s="56"/>
      <c r="H115" s="240"/>
      <c r="I115" s="625"/>
      <c r="J115" s="672"/>
      <c r="K115" s="673"/>
      <c r="L115" s="661">
        <f t="shared" si="50"/>
        <v>0</v>
      </c>
      <c r="M115" s="674"/>
      <c r="N115" s="675"/>
      <c r="O115" s="661">
        <f t="shared" si="51"/>
        <v>0</v>
      </c>
      <c r="P115" s="674"/>
      <c r="Q115" s="675"/>
      <c r="R115" s="661">
        <f t="shared" si="52"/>
        <v>0</v>
      </c>
      <c r="S115" s="622"/>
      <c r="T115" s="675"/>
      <c r="U115" s="662">
        <f t="shared" si="53"/>
        <v>0</v>
      </c>
      <c r="V115" s="663">
        <f t="shared" si="54"/>
        <v>0</v>
      </c>
      <c r="W115" s="664">
        <f t="shared" si="55"/>
        <v>0</v>
      </c>
      <c r="X115" s="661">
        <f t="shared" si="56"/>
        <v>0</v>
      </c>
      <c r="Y115" s="665">
        <f t="shared" si="57"/>
        <v>0</v>
      </c>
      <c r="Z115" s="666">
        <f t="shared" si="58"/>
        <v>0</v>
      </c>
      <c r="AA115" s="278"/>
    </row>
    <row r="116" spans="1:27" ht="15">
      <c r="A116" s="479">
        <f t="shared" si="25"/>
        <v>116</v>
      </c>
      <c r="B116" s="96"/>
      <c r="C116" s="94"/>
      <c r="D116" s="54" t="s">
        <v>68</v>
      </c>
      <c r="E116" s="120"/>
      <c r="F116" s="120"/>
      <c r="G116" s="56"/>
      <c r="H116" s="240"/>
      <c r="I116" s="625"/>
      <c r="J116" s="672"/>
      <c r="K116" s="673"/>
      <c r="L116" s="661">
        <f t="shared" si="50"/>
        <v>0</v>
      </c>
      <c r="M116" s="674"/>
      <c r="N116" s="675"/>
      <c r="O116" s="661">
        <f t="shared" si="51"/>
        <v>0</v>
      </c>
      <c r="P116" s="674"/>
      <c r="Q116" s="675"/>
      <c r="R116" s="661">
        <f t="shared" si="52"/>
        <v>0</v>
      </c>
      <c r="S116" s="622"/>
      <c r="T116" s="675"/>
      <c r="U116" s="662">
        <f t="shared" si="53"/>
        <v>0</v>
      </c>
      <c r="V116" s="663">
        <f t="shared" si="54"/>
        <v>0</v>
      </c>
      <c r="W116" s="664">
        <f t="shared" si="55"/>
        <v>0</v>
      </c>
      <c r="X116" s="661">
        <f t="shared" si="56"/>
        <v>0</v>
      </c>
      <c r="Y116" s="665">
        <f t="shared" si="57"/>
        <v>0</v>
      </c>
      <c r="Z116" s="666">
        <f t="shared" si="58"/>
        <v>0</v>
      </c>
      <c r="AA116" s="278"/>
    </row>
    <row r="117" spans="1:27" ht="17.25">
      <c r="A117" s="479">
        <f t="shared" si="25"/>
        <v>117</v>
      </c>
      <c r="B117" s="96"/>
      <c r="C117" s="94"/>
      <c r="D117" s="50" t="s">
        <v>67</v>
      </c>
      <c r="E117" s="120"/>
      <c r="F117" s="120"/>
      <c r="G117" s="56"/>
      <c r="H117" s="240"/>
      <c r="I117" s="620"/>
      <c r="J117" s="679"/>
      <c r="K117" s="680"/>
      <c r="L117" s="681">
        <f t="shared" si="50"/>
        <v>0</v>
      </c>
      <c r="M117" s="682"/>
      <c r="N117" s="683"/>
      <c r="O117" s="681">
        <f t="shared" si="51"/>
        <v>0</v>
      </c>
      <c r="P117" s="682"/>
      <c r="Q117" s="683"/>
      <c r="R117" s="681">
        <f t="shared" si="52"/>
        <v>0</v>
      </c>
      <c r="S117" s="682"/>
      <c r="T117" s="683"/>
      <c r="U117" s="684">
        <f t="shared" si="53"/>
        <v>0</v>
      </c>
      <c r="V117" s="685">
        <f t="shared" si="54"/>
        <v>0</v>
      </c>
      <c r="W117" s="686">
        <f t="shared" si="55"/>
        <v>0</v>
      </c>
      <c r="X117" s="681">
        <f t="shared" si="56"/>
        <v>0</v>
      </c>
      <c r="Y117" s="687">
        <f t="shared" si="57"/>
        <v>0</v>
      </c>
      <c r="Z117" s="688">
        <f t="shared" si="58"/>
        <v>0</v>
      </c>
      <c r="AA117" s="278"/>
    </row>
    <row r="118" spans="1:27" ht="15">
      <c r="A118" s="479">
        <f t="shared" si="25"/>
        <v>118</v>
      </c>
      <c r="B118" s="96"/>
      <c r="C118" s="55" t="s">
        <v>86</v>
      </c>
      <c r="D118" s="94"/>
      <c r="E118" s="120"/>
      <c r="F118" s="120"/>
      <c r="G118" s="56"/>
      <c r="H118" s="240"/>
      <c r="I118" s="676">
        <f t="shared" ref="I118:Z118" si="59">SUM(I109:I117)</f>
        <v>0</v>
      </c>
      <c r="J118" s="659">
        <f t="shared" si="59"/>
        <v>0</v>
      </c>
      <c r="K118" s="669">
        <f t="shared" si="59"/>
        <v>0</v>
      </c>
      <c r="L118" s="669">
        <f t="shared" si="59"/>
        <v>0</v>
      </c>
      <c r="M118" s="659">
        <f t="shared" si="59"/>
        <v>0</v>
      </c>
      <c r="N118" s="669">
        <f t="shared" si="59"/>
        <v>0</v>
      </c>
      <c r="O118" s="669">
        <f t="shared" si="59"/>
        <v>0</v>
      </c>
      <c r="P118" s="659">
        <f t="shared" si="59"/>
        <v>0</v>
      </c>
      <c r="Q118" s="669">
        <f t="shared" si="59"/>
        <v>0</v>
      </c>
      <c r="R118" s="669">
        <f t="shared" si="59"/>
        <v>0</v>
      </c>
      <c r="S118" s="659">
        <f t="shared" si="59"/>
        <v>0</v>
      </c>
      <c r="T118" s="669">
        <f t="shared" si="59"/>
        <v>0</v>
      </c>
      <c r="U118" s="670">
        <f t="shared" si="59"/>
        <v>0</v>
      </c>
      <c r="V118" s="663">
        <f t="shared" si="59"/>
        <v>0</v>
      </c>
      <c r="W118" s="669">
        <f t="shared" si="59"/>
        <v>0</v>
      </c>
      <c r="X118" s="671">
        <f t="shared" si="59"/>
        <v>0</v>
      </c>
      <c r="Y118" s="665">
        <f t="shared" si="59"/>
        <v>0</v>
      </c>
      <c r="Z118" s="666">
        <f t="shared" si="59"/>
        <v>0</v>
      </c>
      <c r="AA118" s="278"/>
    </row>
    <row r="119" spans="1:27" ht="15">
      <c r="A119" s="479">
        <f t="shared" si="25"/>
        <v>119</v>
      </c>
      <c r="B119" s="96"/>
      <c r="C119" s="94"/>
      <c r="D119" s="120"/>
      <c r="E119" s="120"/>
      <c r="F119" s="120"/>
      <c r="G119" s="56"/>
      <c r="H119" s="240"/>
      <c r="I119" s="689"/>
      <c r="J119" s="689"/>
      <c r="K119" s="689"/>
      <c r="L119" s="689"/>
      <c r="M119" s="689"/>
      <c r="N119" s="689"/>
      <c r="O119" s="689"/>
      <c r="P119" s="689"/>
      <c r="Q119" s="689"/>
      <c r="R119" s="689"/>
      <c r="S119" s="689"/>
      <c r="T119" s="689"/>
      <c r="U119" s="690"/>
      <c r="V119" s="689"/>
      <c r="W119" s="689"/>
      <c r="X119" s="689"/>
      <c r="Y119" s="689"/>
      <c r="Z119" s="690"/>
      <c r="AA119" s="278"/>
    </row>
    <row r="120" spans="1:27" ht="15">
      <c r="A120" s="479">
        <f t="shared" si="25"/>
        <v>120</v>
      </c>
      <c r="B120" s="96"/>
      <c r="C120" s="119" t="s">
        <v>87</v>
      </c>
      <c r="D120" s="120"/>
      <c r="E120" s="120"/>
      <c r="F120" s="120"/>
      <c r="G120" s="56"/>
      <c r="H120" s="240"/>
      <c r="I120" s="95"/>
      <c r="J120" s="95"/>
      <c r="K120" s="95"/>
      <c r="L120" s="95"/>
      <c r="M120" s="95"/>
      <c r="N120" s="95"/>
      <c r="O120" s="95"/>
      <c r="P120" s="95"/>
      <c r="Q120" s="95"/>
      <c r="R120" s="95"/>
      <c r="S120" s="95"/>
      <c r="T120" s="95"/>
      <c r="U120" s="118"/>
      <c r="V120" s="95"/>
      <c r="W120" s="95"/>
      <c r="X120" s="95"/>
      <c r="Y120" s="95"/>
      <c r="Z120" s="118"/>
      <c r="AA120" s="878"/>
    </row>
    <row r="121" spans="1:27" ht="15">
      <c r="A121" s="479">
        <f t="shared" si="25"/>
        <v>121</v>
      </c>
      <c r="B121" s="96"/>
      <c r="C121" s="94"/>
      <c r="D121" s="54" t="s">
        <v>1</v>
      </c>
      <c r="E121" s="50"/>
      <c r="F121" s="50"/>
      <c r="G121" s="59"/>
      <c r="H121" s="240"/>
      <c r="I121" s="625"/>
      <c r="J121" s="624"/>
      <c r="K121" s="673"/>
      <c r="L121" s="661">
        <f t="shared" ref="L121:L140" si="60">IF(K$18&lt;&gt;0,J121-K121,0)</f>
        <v>0</v>
      </c>
      <c r="M121" s="622"/>
      <c r="N121" s="675"/>
      <c r="O121" s="661">
        <f t="shared" ref="O121:O140" si="61">IF(N$18&lt;&gt;0,M121-N121,0)</f>
        <v>0</v>
      </c>
      <c r="P121" s="622"/>
      <c r="Q121" s="675"/>
      <c r="R121" s="661">
        <f t="shared" ref="R121:R140" si="62">IF(Q$18&lt;&gt;0,P121-Q121,0)</f>
        <v>0</v>
      </c>
      <c r="S121" s="622"/>
      <c r="T121" s="675"/>
      <c r="U121" s="662">
        <f t="shared" ref="U121:U140" si="63">IF(T$18&lt;&gt;0,S121-T121,0)</f>
        <v>0</v>
      </c>
      <c r="V121" s="663">
        <f t="shared" ref="V121:V140" si="64">J121+M121+P121+S121</f>
        <v>0</v>
      </c>
      <c r="W121" s="664">
        <f t="shared" ref="W121:W140" si="65">SUM(IF(K$6&lt;&gt;0,K121,J121)+IF(N$6&lt;&gt;0,N121,M121)+IF(Q$6&lt;&gt;0,Q121,P121)+IF(T$6&lt;&gt;0,T121,S121))</f>
        <v>0</v>
      </c>
      <c r="X121" s="661">
        <f t="shared" ref="X121:X140" si="66">V121-W121</f>
        <v>0</v>
      </c>
      <c r="Y121" s="665">
        <f t="shared" ref="Y121:Y140" si="67">I121-V121</f>
        <v>0</v>
      </c>
      <c r="Z121" s="666">
        <f t="shared" ref="Z121:Z140" si="68">I121-W121</f>
        <v>0</v>
      </c>
      <c r="AA121" s="278"/>
    </row>
    <row r="122" spans="1:27" ht="15">
      <c r="A122" s="479">
        <f t="shared" si="25"/>
        <v>122</v>
      </c>
      <c r="B122" s="96"/>
      <c r="C122" s="94"/>
      <c r="D122" s="54" t="s">
        <v>71</v>
      </c>
      <c r="E122" s="50"/>
      <c r="F122" s="50"/>
      <c r="G122" s="59"/>
      <c r="H122" s="240"/>
      <c r="I122" s="625"/>
      <c r="J122" s="624"/>
      <c r="K122" s="673"/>
      <c r="L122" s="661">
        <f t="shared" si="60"/>
        <v>0</v>
      </c>
      <c r="M122" s="622"/>
      <c r="N122" s="675"/>
      <c r="O122" s="661">
        <f t="shared" si="61"/>
        <v>0</v>
      </c>
      <c r="P122" s="622"/>
      <c r="Q122" s="675"/>
      <c r="R122" s="661">
        <f t="shared" si="62"/>
        <v>0</v>
      </c>
      <c r="S122" s="622"/>
      <c r="T122" s="675"/>
      <c r="U122" s="662">
        <f t="shared" si="63"/>
        <v>0</v>
      </c>
      <c r="V122" s="663">
        <f t="shared" si="64"/>
        <v>0</v>
      </c>
      <c r="W122" s="664">
        <f t="shared" si="65"/>
        <v>0</v>
      </c>
      <c r="X122" s="661">
        <f t="shared" si="66"/>
        <v>0</v>
      </c>
      <c r="Y122" s="665">
        <f t="shared" si="67"/>
        <v>0</v>
      </c>
      <c r="Z122" s="666">
        <f t="shared" si="68"/>
        <v>0</v>
      </c>
      <c r="AA122" s="278"/>
    </row>
    <row r="123" spans="1:27" ht="15">
      <c r="A123" s="479">
        <f t="shared" si="25"/>
        <v>123</v>
      </c>
      <c r="B123" s="96"/>
      <c r="C123" s="94"/>
      <c r="D123" s="54" t="s">
        <v>64</v>
      </c>
      <c r="E123" s="50"/>
      <c r="F123" s="50"/>
      <c r="G123" s="59"/>
      <c r="H123" s="240"/>
      <c r="I123" s="625"/>
      <c r="J123" s="624"/>
      <c r="K123" s="673"/>
      <c r="L123" s="661">
        <f t="shared" si="60"/>
        <v>0</v>
      </c>
      <c r="M123" s="622"/>
      <c r="N123" s="675"/>
      <c r="O123" s="661">
        <f t="shared" si="61"/>
        <v>0</v>
      </c>
      <c r="P123" s="622"/>
      <c r="Q123" s="675"/>
      <c r="R123" s="661">
        <f t="shared" si="62"/>
        <v>0</v>
      </c>
      <c r="S123" s="622"/>
      <c r="T123" s="675"/>
      <c r="U123" s="662">
        <f t="shared" si="63"/>
        <v>0</v>
      </c>
      <c r="V123" s="663">
        <f t="shared" si="64"/>
        <v>0</v>
      </c>
      <c r="W123" s="664">
        <f t="shared" si="65"/>
        <v>0</v>
      </c>
      <c r="X123" s="661">
        <f t="shared" si="66"/>
        <v>0</v>
      </c>
      <c r="Y123" s="665">
        <f t="shared" si="67"/>
        <v>0</v>
      </c>
      <c r="Z123" s="666">
        <f t="shared" si="68"/>
        <v>0</v>
      </c>
      <c r="AA123" s="278"/>
    </row>
    <row r="124" spans="1:27" ht="15">
      <c r="A124" s="479">
        <f t="shared" si="25"/>
        <v>124</v>
      </c>
      <c r="B124" s="96"/>
      <c r="C124" s="94"/>
      <c r="D124" s="54" t="s">
        <v>70</v>
      </c>
      <c r="E124" s="50"/>
      <c r="F124" s="50"/>
      <c r="G124" s="59"/>
      <c r="H124" s="240"/>
      <c r="I124" s="625"/>
      <c r="J124" s="624"/>
      <c r="K124" s="673"/>
      <c r="L124" s="661">
        <f t="shared" si="60"/>
        <v>0</v>
      </c>
      <c r="M124" s="622"/>
      <c r="N124" s="675"/>
      <c r="O124" s="661">
        <f t="shared" si="61"/>
        <v>0</v>
      </c>
      <c r="P124" s="622"/>
      <c r="Q124" s="675"/>
      <c r="R124" s="661">
        <f t="shared" si="62"/>
        <v>0</v>
      </c>
      <c r="S124" s="622"/>
      <c r="T124" s="675"/>
      <c r="U124" s="662">
        <f t="shared" si="63"/>
        <v>0</v>
      </c>
      <c r="V124" s="663">
        <f t="shared" si="64"/>
        <v>0</v>
      </c>
      <c r="W124" s="664">
        <f t="shared" si="65"/>
        <v>0</v>
      </c>
      <c r="X124" s="661">
        <f t="shared" si="66"/>
        <v>0</v>
      </c>
      <c r="Y124" s="665">
        <f t="shared" si="67"/>
        <v>0</v>
      </c>
      <c r="Z124" s="666">
        <f t="shared" si="68"/>
        <v>0</v>
      </c>
      <c r="AA124" s="278"/>
    </row>
    <row r="125" spans="1:27" ht="15">
      <c r="A125" s="479">
        <f t="shared" si="25"/>
        <v>125</v>
      </c>
      <c r="B125" s="96"/>
      <c r="C125" s="94"/>
      <c r="D125" s="50" t="s">
        <v>72</v>
      </c>
      <c r="E125" s="50"/>
      <c r="F125" s="50"/>
      <c r="G125" s="59"/>
      <c r="H125" s="240"/>
      <c r="I125" s="625"/>
      <c r="J125" s="624"/>
      <c r="K125" s="673"/>
      <c r="L125" s="661">
        <f t="shared" si="60"/>
        <v>0</v>
      </c>
      <c r="M125" s="622"/>
      <c r="N125" s="675"/>
      <c r="O125" s="661">
        <f t="shared" si="61"/>
        <v>0</v>
      </c>
      <c r="P125" s="622"/>
      <c r="Q125" s="675"/>
      <c r="R125" s="661">
        <f t="shared" si="62"/>
        <v>0</v>
      </c>
      <c r="S125" s="622"/>
      <c r="T125" s="675"/>
      <c r="U125" s="662">
        <f t="shared" si="63"/>
        <v>0</v>
      </c>
      <c r="V125" s="663">
        <f t="shared" si="64"/>
        <v>0</v>
      </c>
      <c r="W125" s="664">
        <f t="shared" si="65"/>
        <v>0</v>
      </c>
      <c r="X125" s="661">
        <f t="shared" si="66"/>
        <v>0</v>
      </c>
      <c r="Y125" s="665">
        <f t="shared" si="67"/>
        <v>0</v>
      </c>
      <c r="Z125" s="666">
        <f t="shared" si="68"/>
        <v>0</v>
      </c>
      <c r="AA125" s="278"/>
    </row>
    <row r="126" spans="1:27" ht="15">
      <c r="A126" s="479">
        <f t="shared" si="25"/>
        <v>126</v>
      </c>
      <c r="B126" s="96"/>
      <c r="C126" s="94"/>
      <c r="D126" s="50" t="s">
        <v>56</v>
      </c>
      <c r="E126" s="50"/>
      <c r="F126" s="50"/>
      <c r="G126" s="59"/>
      <c r="H126" s="240"/>
      <c r="I126" s="625"/>
      <c r="J126" s="624"/>
      <c r="K126" s="673"/>
      <c r="L126" s="661">
        <f t="shared" si="60"/>
        <v>0</v>
      </c>
      <c r="M126" s="622"/>
      <c r="N126" s="675"/>
      <c r="O126" s="661">
        <f t="shared" si="61"/>
        <v>0</v>
      </c>
      <c r="P126" s="622"/>
      <c r="Q126" s="675"/>
      <c r="R126" s="661">
        <f t="shared" si="62"/>
        <v>0</v>
      </c>
      <c r="S126" s="622"/>
      <c r="T126" s="675"/>
      <c r="U126" s="662">
        <f t="shared" si="63"/>
        <v>0</v>
      </c>
      <c r="V126" s="663">
        <f t="shared" si="64"/>
        <v>0</v>
      </c>
      <c r="W126" s="664">
        <f t="shared" si="65"/>
        <v>0</v>
      </c>
      <c r="X126" s="661">
        <f t="shared" si="66"/>
        <v>0</v>
      </c>
      <c r="Y126" s="665">
        <f t="shared" si="67"/>
        <v>0</v>
      </c>
      <c r="Z126" s="666">
        <f t="shared" si="68"/>
        <v>0</v>
      </c>
      <c r="AA126" s="278"/>
    </row>
    <row r="127" spans="1:27" ht="15">
      <c r="A127" s="479">
        <f t="shared" si="25"/>
        <v>127</v>
      </c>
      <c r="B127" s="96"/>
      <c r="C127" s="94"/>
      <c r="D127" s="54" t="s">
        <v>62</v>
      </c>
      <c r="E127" s="50"/>
      <c r="F127" s="50"/>
      <c r="G127" s="59"/>
      <c r="H127" s="240"/>
      <c r="I127" s="625"/>
      <c r="J127" s="624"/>
      <c r="K127" s="673"/>
      <c r="L127" s="661">
        <f t="shared" si="60"/>
        <v>0</v>
      </c>
      <c r="M127" s="622"/>
      <c r="N127" s="675"/>
      <c r="O127" s="661">
        <f t="shared" si="61"/>
        <v>0</v>
      </c>
      <c r="P127" s="622"/>
      <c r="Q127" s="675"/>
      <c r="R127" s="661">
        <f t="shared" si="62"/>
        <v>0</v>
      </c>
      <c r="S127" s="622"/>
      <c r="T127" s="675"/>
      <c r="U127" s="662">
        <f t="shared" si="63"/>
        <v>0</v>
      </c>
      <c r="V127" s="663">
        <f t="shared" si="64"/>
        <v>0</v>
      </c>
      <c r="W127" s="664">
        <f t="shared" si="65"/>
        <v>0</v>
      </c>
      <c r="X127" s="661">
        <f t="shared" si="66"/>
        <v>0</v>
      </c>
      <c r="Y127" s="665">
        <f t="shared" si="67"/>
        <v>0</v>
      </c>
      <c r="Z127" s="666">
        <f t="shared" si="68"/>
        <v>0</v>
      </c>
      <c r="AA127" s="278"/>
    </row>
    <row r="128" spans="1:27" ht="15">
      <c r="A128" s="479">
        <f t="shared" si="25"/>
        <v>128</v>
      </c>
      <c r="B128" s="96"/>
      <c r="C128" s="94"/>
      <c r="D128" s="50" t="s">
        <v>53</v>
      </c>
      <c r="E128" s="50"/>
      <c r="F128" s="50"/>
      <c r="G128" s="59"/>
      <c r="H128" s="240"/>
      <c r="I128" s="625"/>
      <c r="J128" s="624"/>
      <c r="K128" s="673"/>
      <c r="L128" s="661">
        <f t="shared" si="60"/>
        <v>0</v>
      </c>
      <c r="M128" s="624"/>
      <c r="N128" s="675"/>
      <c r="O128" s="661">
        <f t="shared" si="61"/>
        <v>0</v>
      </c>
      <c r="P128" s="624"/>
      <c r="Q128" s="675"/>
      <c r="R128" s="661">
        <f t="shared" si="62"/>
        <v>0</v>
      </c>
      <c r="S128" s="622"/>
      <c r="T128" s="675"/>
      <c r="U128" s="662">
        <f t="shared" si="63"/>
        <v>0</v>
      </c>
      <c r="V128" s="663">
        <f t="shared" si="64"/>
        <v>0</v>
      </c>
      <c r="W128" s="664">
        <f t="shared" si="65"/>
        <v>0</v>
      </c>
      <c r="X128" s="661">
        <f t="shared" si="66"/>
        <v>0</v>
      </c>
      <c r="Y128" s="665">
        <f t="shared" si="67"/>
        <v>0</v>
      </c>
      <c r="Z128" s="666">
        <f t="shared" si="68"/>
        <v>0</v>
      </c>
      <c r="AA128" s="278"/>
    </row>
    <row r="129" spans="1:27" ht="15">
      <c r="A129" s="479">
        <f t="shared" si="25"/>
        <v>129</v>
      </c>
      <c r="B129" s="96"/>
      <c r="C129" s="94"/>
      <c r="D129" s="54" t="s">
        <v>60</v>
      </c>
      <c r="E129" s="50"/>
      <c r="F129" s="50"/>
      <c r="G129" s="59"/>
      <c r="H129" s="240"/>
      <c r="I129" s="625"/>
      <c r="J129" s="624"/>
      <c r="K129" s="673"/>
      <c r="L129" s="661">
        <f t="shared" si="60"/>
        <v>0</v>
      </c>
      <c r="M129" s="622"/>
      <c r="N129" s="675"/>
      <c r="O129" s="661">
        <f t="shared" si="61"/>
        <v>0</v>
      </c>
      <c r="P129" s="622"/>
      <c r="Q129" s="675"/>
      <c r="R129" s="661">
        <f t="shared" si="62"/>
        <v>0</v>
      </c>
      <c r="S129" s="622"/>
      <c r="T129" s="675"/>
      <c r="U129" s="662">
        <f t="shared" si="63"/>
        <v>0</v>
      </c>
      <c r="V129" s="663">
        <f t="shared" si="64"/>
        <v>0</v>
      </c>
      <c r="W129" s="664">
        <f t="shared" si="65"/>
        <v>0</v>
      </c>
      <c r="X129" s="661">
        <f t="shared" si="66"/>
        <v>0</v>
      </c>
      <c r="Y129" s="665">
        <f t="shared" si="67"/>
        <v>0</v>
      </c>
      <c r="Z129" s="666">
        <f t="shared" si="68"/>
        <v>0</v>
      </c>
      <c r="AA129" s="278"/>
    </row>
    <row r="130" spans="1:27" ht="15">
      <c r="A130" s="479">
        <f t="shared" si="25"/>
        <v>130</v>
      </c>
      <c r="B130" s="96"/>
      <c r="C130" s="94"/>
      <c r="D130" s="54" t="s">
        <v>2</v>
      </c>
      <c r="E130" s="50"/>
      <c r="F130" s="50"/>
      <c r="G130" s="59"/>
      <c r="H130" s="240"/>
      <c r="I130" s="625"/>
      <c r="J130" s="624"/>
      <c r="K130" s="673"/>
      <c r="L130" s="661">
        <f t="shared" si="60"/>
        <v>0</v>
      </c>
      <c r="M130" s="622"/>
      <c r="N130" s="675"/>
      <c r="O130" s="661">
        <f t="shared" si="61"/>
        <v>0</v>
      </c>
      <c r="P130" s="622"/>
      <c r="Q130" s="675"/>
      <c r="R130" s="661">
        <f t="shared" si="62"/>
        <v>0</v>
      </c>
      <c r="S130" s="622"/>
      <c r="T130" s="675"/>
      <c r="U130" s="662">
        <f t="shared" si="63"/>
        <v>0</v>
      </c>
      <c r="V130" s="663">
        <f t="shared" si="64"/>
        <v>0</v>
      </c>
      <c r="W130" s="664">
        <f t="shared" si="65"/>
        <v>0</v>
      </c>
      <c r="X130" s="661">
        <f t="shared" si="66"/>
        <v>0</v>
      </c>
      <c r="Y130" s="665">
        <f t="shared" si="67"/>
        <v>0</v>
      </c>
      <c r="Z130" s="666">
        <f t="shared" si="68"/>
        <v>0</v>
      </c>
      <c r="AA130" s="278"/>
    </row>
    <row r="131" spans="1:27" ht="15">
      <c r="A131" s="479">
        <f t="shared" si="25"/>
        <v>131</v>
      </c>
      <c r="B131" s="96"/>
      <c r="C131" s="94"/>
      <c r="D131" s="54" t="s">
        <v>19</v>
      </c>
      <c r="E131" s="50"/>
      <c r="F131" s="50"/>
      <c r="G131" s="59"/>
      <c r="H131" s="240"/>
      <c r="I131" s="625"/>
      <c r="J131" s="624"/>
      <c r="K131" s="673"/>
      <c r="L131" s="661">
        <f t="shared" si="60"/>
        <v>0</v>
      </c>
      <c r="M131" s="622"/>
      <c r="N131" s="675"/>
      <c r="O131" s="661">
        <f t="shared" si="61"/>
        <v>0</v>
      </c>
      <c r="P131" s="622"/>
      <c r="Q131" s="675"/>
      <c r="R131" s="661">
        <f t="shared" si="62"/>
        <v>0</v>
      </c>
      <c r="S131" s="622"/>
      <c r="T131" s="675"/>
      <c r="U131" s="662">
        <f t="shared" si="63"/>
        <v>0</v>
      </c>
      <c r="V131" s="663">
        <f t="shared" si="64"/>
        <v>0</v>
      </c>
      <c r="W131" s="664">
        <f t="shared" si="65"/>
        <v>0</v>
      </c>
      <c r="X131" s="661">
        <f t="shared" si="66"/>
        <v>0</v>
      </c>
      <c r="Y131" s="665">
        <f t="shared" si="67"/>
        <v>0</v>
      </c>
      <c r="Z131" s="666">
        <f t="shared" si="68"/>
        <v>0</v>
      </c>
      <c r="AA131" s="278"/>
    </row>
    <row r="132" spans="1:27" ht="15">
      <c r="A132" s="479">
        <f t="shared" ref="A132:A195" si="69">A131+1</f>
        <v>132</v>
      </c>
      <c r="B132" s="96"/>
      <c r="C132" s="94"/>
      <c r="D132" s="54" t="s">
        <v>63</v>
      </c>
      <c r="E132" s="50"/>
      <c r="F132" s="50"/>
      <c r="G132" s="59"/>
      <c r="H132" s="240"/>
      <c r="I132" s="625"/>
      <c r="J132" s="624"/>
      <c r="K132" s="673"/>
      <c r="L132" s="661">
        <f t="shared" si="60"/>
        <v>0</v>
      </c>
      <c r="M132" s="622"/>
      <c r="N132" s="675"/>
      <c r="O132" s="661">
        <f t="shared" si="61"/>
        <v>0</v>
      </c>
      <c r="P132" s="622"/>
      <c r="Q132" s="675"/>
      <c r="R132" s="661">
        <f t="shared" si="62"/>
        <v>0</v>
      </c>
      <c r="S132" s="622"/>
      <c r="T132" s="675"/>
      <c r="U132" s="662">
        <f t="shared" si="63"/>
        <v>0</v>
      </c>
      <c r="V132" s="663">
        <f t="shared" si="64"/>
        <v>0</v>
      </c>
      <c r="W132" s="664">
        <f t="shared" si="65"/>
        <v>0</v>
      </c>
      <c r="X132" s="661">
        <f t="shared" si="66"/>
        <v>0</v>
      </c>
      <c r="Y132" s="665">
        <f t="shared" si="67"/>
        <v>0</v>
      </c>
      <c r="Z132" s="666">
        <f t="shared" si="68"/>
        <v>0</v>
      </c>
      <c r="AA132" s="278"/>
    </row>
    <row r="133" spans="1:27" ht="15">
      <c r="A133" s="479">
        <f t="shared" si="69"/>
        <v>133</v>
      </c>
      <c r="B133" s="96"/>
      <c r="C133" s="94"/>
      <c r="D133" s="50" t="s">
        <v>6</v>
      </c>
      <c r="E133" s="50"/>
      <c r="F133" s="50"/>
      <c r="G133" s="59"/>
      <c r="H133" s="240"/>
      <c r="I133" s="625"/>
      <c r="J133" s="624"/>
      <c r="K133" s="673"/>
      <c r="L133" s="661">
        <f t="shared" si="60"/>
        <v>0</v>
      </c>
      <c r="M133" s="622"/>
      <c r="N133" s="675"/>
      <c r="O133" s="661">
        <f t="shared" si="61"/>
        <v>0</v>
      </c>
      <c r="P133" s="622"/>
      <c r="Q133" s="675"/>
      <c r="R133" s="661">
        <f t="shared" si="62"/>
        <v>0</v>
      </c>
      <c r="S133" s="622"/>
      <c r="T133" s="675"/>
      <c r="U133" s="662">
        <f t="shared" si="63"/>
        <v>0</v>
      </c>
      <c r="V133" s="663">
        <f t="shared" si="64"/>
        <v>0</v>
      </c>
      <c r="W133" s="664">
        <f t="shared" si="65"/>
        <v>0</v>
      </c>
      <c r="X133" s="661">
        <f t="shared" si="66"/>
        <v>0</v>
      </c>
      <c r="Y133" s="665">
        <f t="shared" si="67"/>
        <v>0</v>
      </c>
      <c r="Z133" s="666">
        <f t="shared" si="68"/>
        <v>0</v>
      </c>
      <c r="AA133" s="278"/>
    </row>
    <row r="134" spans="1:27" ht="15">
      <c r="A134" s="479">
        <f t="shared" si="69"/>
        <v>134</v>
      </c>
      <c r="B134" s="96"/>
      <c r="C134" s="94"/>
      <c r="D134" s="50" t="s">
        <v>18</v>
      </c>
      <c r="E134" s="50"/>
      <c r="F134" s="50"/>
      <c r="G134" s="59"/>
      <c r="H134" s="240"/>
      <c r="I134" s="625"/>
      <c r="J134" s="624"/>
      <c r="K134" s="673"/>
      <c r="L134" s="661">
        <f t="shared" si="60"/>
        <v>0</v>
      </c>
      <c r="M134" s="622"/>
      <c r="N134" s="675"/>
      <c r="O134" s="661">
        <f t="shared" si="61"/>
        <v>0</v>
      </c>
      <c r="P134" s="622"/>
      <c r="Q134" s="675"/>
      <c r="R134" s="661">
        <f t="shared" si="62"/>
        <v>0</v>
      </c>
      <c r="S134" s="622"/>
      <c r="T134" s="675"/>
      <c r="U134" s="662">
        <f t="shared" si="63"/>
        <v>0</v>
      </c>
      <c r="V134" s="663">
        <f t="shared" si="64"/>
        <v>0</v>
      </c>
      <c r="W134" s="664">
        <f t="shared" si="65"/>
        <v>0</v>
      </c>
      <c r="X134" s="661">
        <f t="shared" si="66"/>
        <v>0</v>
      </c>
      <c r="Y134" s="665">
        <f t="shared" si="67"/>
        <v>0</v>
      </c>
      <c r="Z134" s="666">
        <f t="shared" si="68"/>
        <v>0</v>
      </c>
      <c r="AA134" s="278"/>
    </row>
    <row r="135" spans="1:27" ht="15">
      <c r="A135" s="479">
        <f t="shared" si="69"/>
        <v>135</v>
      </c>
      <c r="B135" s="96"/>
      <c r="C135" s="94"/>
      <c r="D135" s="54" t="s">
        <v>8</v>
      </c>
      <c r="E135" s="50"/>
      <c r="F135" s="50"/>
      <c r="G135" s="59"/>
      <c r="H135" s="240"/>
      <c r="I135" s="625"/>
      <c r="J135" s="624"/>
      <c r="K135" s="673"/>
      <c r="L135" s="661">
        <f t="shared" si="60"/>
        <v>0</v>
      </c>
      <c r="M135" s="622"/>
      <c r="N135" s="675"/>
      <c r="O135" s="661">
        <f t="shared" si="61"/>
        <v>0</v>
      </c>
      <c r="P135" s="622"/>
      <c r="Q135" s="675"/>
      <c r="R135" s="661">
        <f t="shared" si="62"/>
        <v>0</v>
      </c>
      <c r="S135" s="622"/>
      <c r="T135" s="675"/>
      <c r="U135" s="662">
        <f t="shared" si="63"/>
        <v>0</v>
      </c>
      <c r="V135" s="663">
        <f t="shared" si="64"/>
        <v>0</v>
      </c>
      <c r="W135" s="664">
        <f t="shared" si="65"/>
        <v>0</v>
      </c>
      <c r="X135" s="661">
        <f t="shared" si="66"/>
        <v>0</v>
      </c>
      <c r="Y135" s="665">
        <f t="shared" si="67"/>
        <v>0</v>
      </c>
      <c r="Z135" s="666">
        <f t="shared" si="68"/>
        <v>0</v>
      </c>
      <c r="AA135" s="278"/>
    </row>
    <row r="136" spans="1:27" ht="15">
      <c r="A136" s="479">
        <f t="shared" si="69"/>
        <v>136</v>
      </c>
      <c r="B136" s="96"/>
      <c r="C136" s="94"/>
      <c r="D136" s="54" t="s">
        <v>59</v>
      </c>
      <c r="E136" s="50"/>
      <c r="F136" s="50"/>
      <c r="G136" s="59"/>
      <c r="H136" s="240"/>
      <c r="I136" s="625"/>
      <c r="J136" s="624"/>
      <c r="K136" s="673"/>
      <c r="L136" s="661">
        <f t="shared" si="60"/>
        <v>0</v>
      </c>
      <c r="M136" s="622"/>
      <c r="N136" s="675"/>
      <c r="O136" s="661">
        <f t="shared" si="61"/>
        <v>0</v>
      </c>
      <c r="P136" s="622"/>
      <c r="Q136" s="675"/>
      <c r="R136" s="661">
        <f t="shared" si="62"/>
        <v>0</v>
      </c>
      <c r="S136" s="622"/>
      <c r="T136" s="675"/>
      <c r="U136" s="662">
        <f t="shared" si="63"/>
        <v>0</v>
      </c>
      <c r="V136" s="663">
        <f t="shared" si="64"/>
        <v>0</v>
      </c>
      <c r="W136" s="664">
        <f t="shared" si="65"/>
        <v>0</v>
      </c>
      <c r="X136" s="661">
        <f t="shared" si="66"/>
        <v>0</v>
      </c>
      <c r="Y136" s="665">
        <f t="shared" si="67"/>
        <v>0</v>
      </c>
      <c r="Z136" s="666">
        <f t="shared" si="68"/>
        <v>0</v>
      </c>
      <c r="AA136" s="278"/>
    </row>
    <row r="137" spans="1:27" ht="15">
      <c r="A137" s="479">
        <f t="shared" si="69"/>
        <v>137</v>
      </c>
      <c r="B137" s="96"/>
      <c r="C137" s="94"/>
      <c r="D137" s="54" t="s">
        <v>74</v>
      </c>
      <c r="E137" s="50"/>
      <c r="F137" s="50"/>
      <c r="G137" s="59"/>
      <c r="H137" s="240"/>
      <c r="I137" s="625"/>
      <c r="J137" s="624"/>
      <c r="K137" s="673"/>
      <c r="L137" s="661">
        <f t="shared" si="60"/>
        <v>0</v>
      </c>
      <c r="M137" s="624"/>
      <c r="N137" s="675"/>
      <c r="O137" s="661">
        <f t="shared" si="61"/>
        <v>0</v>
      </c>
      <c r="P137" s="624"/>
      <c r="Q137" s="675"/>
      <c r="R137" s="661">
        <f t="shared" si="62"/>
        <v>0</v>
      </c>
      <c r="S137" s="624"/>
      <c r="T137" s="675"/>
      <c r="U137" s="662">
        <f t="shared" si="63"/>
        <v>0</v>
      </c>
      <c r="V137" s="663">
        <f t="shared" si="64"/>
        <v>0</v>
      </c>
      <c r="W137" s="664">
        <f t="shared" si="65"/>
        <v>0</v>
      </c>
      <c r="X137" s="661">
        <f t="shared" si="66"/>
        <v>0</v>
      </c>
      <c r="Y137" s="665">
        <f t="shared" si="67"/>
        <v>0</v>
      </c>
      <c r="Z137" s="666">
        <f t="shared" si="68"/>
        <v>0</v>
      </c>
      <c r="AA137" s="278"/>
    </row>
    <row r="138" spans="1:27" ht="15">
      <c r="A138" s="479">
        <f t="shared" si="69"/>
        <v>138</v>
      </c>
      <c r="B138" s="96"/>
      <c r="C138" s="94"/>
      <c r="D138" s="54" t="s">
        <v>61</v>
      </c>
      <c r="E138" s="50"/>
      <c r="F138" s="50"/>
      <c r="G138" s="59"/>
      <c r="H138" s="240"/>
      <c r="I138" s="625"/>
      <c r="J138" s="624"/>
      <c r="K138" s="673"/>
      <c r="L138" s="661">
        <f t="shared" si="60"/>
        <v>0</v>
      </c>
      <c r="M138" s="674"/>
      <c r="N138" s="675"/>
      <c r="O138" s="661">
        <f t="shared" si="61"/>
        <v>0</v>
      </c>
      <c r="P138" s="674"/>
      <c r="Q138" s="675"/>
      <c r="R138" s="661">
        <f t="shared" si="62"/>
        <v>0</v>
      </c>
      <c r="S138" s="674"/>
      <c r="T138" s="675"/>
      <c r="U138" s="662">
        <f t="shared" si="63"/>
        <v>0</v>
      </c>
      <c r="V138" s="663">
        <f t="shared" si="64"/>
        <v>0</v>
      </c>
      <c r="W138" s="664">
        <f t="shared" si="65"/>
        <v>0</v>
      </c>
      <c r="X138" s="661">
        <f t="shared" si="66"/>
        <v>0</v>
      </c>
      <c r="Y138" s="665">
        <f t="shared" si="67"/>
        <v>0</v>
      </c>
      <c r="Z138" s="666">
        <f t="shared" si="68"/>
        <v>0</v>
      </c>
      <c r="AA138" s="278"/>
    </row>
    <row r="139" spans="1:27" ht="15">
      <c r="A139" s="479">
        <f t="shared" si="69"/>
        <v>139</v>
      </c>
      <c r="B139" s="96"/>
      <c r="C139" s="94"/>
      <c r="D139" s="54" t="s">
        <v>41</v>
      </c>
      <c r="E139" s="50"/>
      <c r="F139" s="50"/>
      <c r="G139" s="59"/>
      <c r="H139" s="240"/>
      <c r="I139" s="667"/>
      <c r="J139" s="672"/>
      <c r="K139" s="673"/>
      <c r="L139" s="661">
        <f t="shared" si="60"/>
        <v>0</v>
      </c>
      <c r="M139" s="674"/>
      <c r="N139" s="675"/>
      <c r="O139" s="661">
        <f t="shared" si="61"/>
        <v>0</v>
      </c>
      <c r="P139" s="674"/>
      <c r="Q139" s="675"/>
      <c r="R139" s="661">
        <f t="shared" si="62"/>
        <v>0</v>
      </c>
      <c r="S139" s="674"/>
      <c r="T139" s="675"/>
      <c r="U139" s="662">
        <f t="shared" si="63"/>
        <v>0</v>
      </c>
      <c r="V139" s="663">
        <f t="shared" si="64"/>
        <v>0</v>
      </c>
      <c r="W139" s="664">
        <f t="shared" si="65"/>
        <v>0</v>
      </c>
      <c r="X139" s="661">
        <f t="shared" si="66"/>
        <v>0</v>
      </c>
      <c r="Y139" s="665">
        <f t="shared" si="67"/>
        <v>0</v>
      </c>
      <c r="Z139" s="666">
        <f t="shared" si="68"/>
        <v>0</v>
      </c>
      <c r="AA139" s="278"/>
    </row>
    <row r="140" spans="1:27" ht="17.25">
      <c r="A140" s="479">
        <f t="shared" si="69"/>
        <v>140</v>
      </c>
      <c r="B140" s="96"/>
      <c r="C140" s="94"/>
      <c r="D140" s="50" t="s">
        <v>29</v>
      </c>
      <c r="E140" s="50"/>
      <c r="F140" s="50"/>
      <c r="G140" s="59"/>
      <c r="H140" s="240"/>
      <c r="I140" s="678"/>
      <c r="J140" s="679"/>
      <c r="K140" s="680"/>
      <c r="L140" s="681">
        <f t="shared" si="60"/>
        <v>0</v>
      </c>
      <c r="M140" s="679"/>
      <c r="N140" s="683"/>
      <c r="O140" s="681">
        <f t="shared" si="61"/>
        <v>0</v>
      </c>
      <c r="P140" s="679"/>
      <c r="Q140" s="683"/>
      <c r="R140" s="681">
        <f t="shared" si="62"/>
        <v>0</v>
      </c>
      <c r="S140" s="679"/>
      <c r="T140" s="683"/>
      <c r="U140" s="684">
        <f t="shared" si="63"/>
        <v>0</v>
      </c>
      <c r="V140" s="685">
        <f t="shared" si="64"/>
        <v>0</v>
      </c>
      <c r="W140" s="686">
        <f t="shared" si="65"/>
        <v>0</v>
      </c>
      <c r="X140" s="681">
        <f t="shared" si="66"/>
        <v>0</v>
      </c>
      <c r="Y140" s="687">
        <f t="shared" si="67"/>
        <v>0</v>
      </c>
      <c r="Z140" s="688">
        <f t="shared" si="68"/>
        <v>0</v>
      </c>
      <c r="AA140" s="278"/>
    </row>
    <row r="141" spans="1:27" ht="15">
      <c r="A141" s="479">
        <f t="shared" si="69"/>
        <v>141</v>
      </c>
      <c r="B141" s="96"/>
      <c r="C141" s="55" t="s">
        <v>88</v>
      </c>
      <c r="D141" s="50"/>
      <c r="E141" s="50"/>
      <c r="F141" s="50"/>
      <c r="G141" s="59"/>
      <c r="H141" s="240"/>
      <c r="I141" s="676">
        <f t="shared" ref="I141:Z141" si="70">SUM(I121:I140)</f>
        <v>0</v>
      </c>
      <c r="J141" s="659">
        <f t="shared" si="70"/>
        <v>0</v>
      </c>
      <c r="K141" s="669">
        <f t="shared" si="70"/>
        <v>0</v>
      </c>
      <c r="L141" s="669">
        <f t="shared" si="70"/>
        <v>0</v>
      </c>
      <c r="M141" s="659">
        <f t="shared" si="70"/>
        <v>0</v>
      </c>
      <c r="N141" s="669">
        <f t="shared" si="70"/>
        <v>0</v>
      </c>
      <c r="O141" s="669">
        <f t="shared" si="70"/>
        <v>0</v>
      </c>
      <c r="P141" s="659">
        <f t="shared" si="70"/>
        <v>0</v>
      </c>
      <c r="Q141" s="669">
        <f t="shared" si="70"/>
        <v>0</v>
      </c>
      <c r="R141" s="669">
        <f t="shared" si="70"/>
        <v>0</v>
      </c>
      <c r="S141" s="659">
        <f t="shared" si="70"/>
        <v>0</v>
      </c>
      <c r="T141" s="669">
        <f t="shared" si="70"/>
        <v>0</v>
      </c>
      <c r="U141" s="670">
        <f t="shared" si="70"/>
        <v>0</v>
      </c>
      <c r="V141" s="663">
        <f t="shared" si="70"/>
        <v>0</v>
      </c>
      <c r="W141" s="669">
        <f t="shared" si="70"/>
        <v>0</v>
      </c>
      <c r="X141" s="671">
        <f t="shared" si="70"/>
        <v>0</v>
      </c>
      <c r="Y141" s="665">
        <f t="shared" si="70"/>
        <v>0</v>
      </c>
      <c r="Z141" s="666">
        <f t="shared" si="70"/>
        <v>0</v>
      </c>
      <c r="AA141" s="278"/>
    </row>
    <row r="142" spans="1:27" ht="15">
      <c r="A142" s="479">
        <f t="shared" si="69"/>
        <v>142</v>
      </c>
      <c r="B142" s="96"/>
      <c r="C142" s="94"/>
      <c r="D142" s="120"/>
      <c r="E142" s="120"/>
      <c r="F142" s="120"/>
      <c r="G142" s="56"/>
      <c r="H142" s="240"/>
      <c r="I142" s="689"/>
      <c r="J142" s="689"/>
      <c r="K142" s="689"/>
      <c r="L142" s="689"/>
      <c r="M142" s="689"/>
      <c r="N142" s="689"/>
      <c r="O142" s="689"/>
      <c r="P142" s="689"/>
      <c r="Q142" s="689"/>
      <c r="R142" s="689"/>
      <c r="S142" s="689"/>
      <c r="T142" s="689"/>
      <c r="U142" s="690"/>
      <c r="V142" s="689"/>
      <c r="W142" s="689"/>
      <c r="X142" s="689"/>
      <c r="Y142" s="689"/>
      <c r="Z142" s="690"/>
      <c r="AA142" s="278"/>
    </row>
    <row r="143" spans="1:27" ht="15">
      <c r="A143" s="479">
        <f t="shared" si="69"/>
        <v>143</v>
      </c>
      <c r="B143" s="96"/>
      <c r="C143" s="119" t="s">
        <v>89</v>
      </c>
      <c r="D143" s="50"/>
      <c r="E143" s="123"/>
      <c r="F143" s="123"/>
      <c r="G143" s="124"/>
      <c r="H143" s="240"/>
      <c r="I143" s="98"/>
      <c r="J143" s="98"/>
      <c r="K143" s="98"/>
      <c r="L143" s="98"/>
      <c r="M143" s="98"/>
      <c r="N143" s="98"/>
      <c r="O143" s="98"/>
      <c r="P143" s="98"/>
      <c r="Q143" s="98"/>
      <c r="R143" s="98"/>
      <c r="S143" s="98"/>
      <c r="T143" s="98"/>
      <c r="U143" s="99"/>
      <c r="V143" s="98"/>
      <c r="W143" s="98"/>
      <c r="X143" s="98"/>
      <c r="Y143" s="98"/>
      <c r="Z143" s="99"/>
      <c r="AA143" s="278"/>
    </row>
    <row r="144" spans="1:27" ht="15">
      <c r="A144" s="479">
        <f t="shared" si="69"/>
        <v>144</v>
      </c>
      <c r="B144" s="96"/>
      <c r="C144" s="50"/>
      <c r="D144" s="54" t="s">
        <v>3</v>
      </c>
      <c r="E144" s="53"/>
      <c r="F144" s="53"/>
      <c r="G144" s="124"/>
      <c r="H144" s="240"/>
      <c r="I144" s="625"/>
      <c r="J144" s="624"/>
      <c r="K144" s="673"/>
      <c r="L144" s="661">
        <f t="shared" ref="L144:L150" si="71">IF(K$18&lt;&gt;0,J144-K144,0)</f>
        <v>0</v>
      </c>
      <c r="M144" s="622"/>
      <c r="N144" s="675"/>
      <c r="O144" s="661">
        <f t="shared" ref="O144:O150" si="72">IF(N$18&lt;&gt;0,M144-N144,0)</f>
        <v>0</v>
      </c>
      <c r="P144" s="622"/>
      <c r="Q144" s="675"/>
      <c r="R144" s="661">
        <f t="shared" ref="R144:R150" si="73">IF(Q$18&lt;&gt;0,P144-Q144,0)</f>
        <v>0</v>
      </c>
      <c r="S144" s="622"/>
      <c r="T144" s="675"/>
      <c r="U144" s="662">
        <f t="shared" ref="U144:U150" si="74">IF(T$18&lt;&gt;0,S144-T144,0)</f>
        <v>0</v>
      </c>
      <c r="V144" s="663">
        <f t="shared" ref="V144:V150" si="75">J144+M144+P144+S144</f>
        <v>0</v>
      </c>
      <c r="W144" s="664">
        <f t="shared" ref="W144:W150" si="76">SUM(IF(K$6&lt;&gt;0,K144,J144)+IF(N$6&lt;&gt;0,N144,M144)+IF(Q$6&lt;&gt;0,Q144,P144)+IF(T$6&lt;&gt;0,T144,S144))</f>
        <v>0</v>
      </c>
      <c r="X144" s="661">
        <f t="shared" ref="X144:X150" si="77">V144-W144</f>
        <v>0</v>
      </c>
      <c r="Y144" s="665">
        <f t="shared" ref="Y144:Y150" si="78">I144-V144</f>
        <v>0</v>
      </c>
      <c r="Z144" s="666">
        <f t="shared" ref="Z144:Z150" si="79">I144-W144</f>
        <v>0</v>
      </c>
      <c r="AA144" s="278"/>
    </row>
    <row r="145" spans="1:27" ht="15">
      <c r="A145" s="479">
        <f t="shared" si="69"/>
        <v>145</v>
      </c>
      <c r="B145" s="96"/>
      <c r="C145" s="50"/>
      <c r="D145" s="54" t="s">
        <v>4</v>
      </c>
      <c r="E145" s="53"/>
      <c r="F145" s="53"/>
      <c r="G145" s="124"/>
      <c r="H145" s="240"/>
      <c r="I145" s="625"/>
      <c r="J145" s="624"/>
      <c r="K145" s="673"/>
      <c r="L145" s="661">
        <f t="shared" si="71"/>
        <v>0</v>
      </c>
      <c r="M145" s="622"/>
      <c r="N145" s="675"/>
      <c r="O145" s="661">
        <f t="shared" si="72"/>
        <v>0</v>
      </c>
      <c r="P145" s="622"/>
      <c r="Q145" s="675"/>
      <c r="R145" s="661">
        <f t="shared" si="73"/>
        <v>0</v>
      </c>
      <c r="S145" s="622"/>
      <c r="T145" s="675"/>
      <c r="U145" s="662">
        <f t="shared" si="74"/>
        <v>0</v>
      </c>
      <c r="V145" s="663">
        <f t="shared" si="75"/>
        <v>0</v>
      </c>
      <c r="W145" s="664">
        <f t="shared" si="76"/>
        <v>0</v>
      </c>
      <c r="X145" s="661">
        <f t="shared" si="77"/>
        <v>0</v>
      </c>
      <c r="Y145" s="665">
        <f t="shared" si="78"/>
        <v>0</v>
      </c>
      <c r="Z145" s="666">
        <f t="shared" si="79"/>
        <v>0</v>
      </c>
      <c r="AA145" s="278"/>
    </row>
    <row r="146" spans="1:27" ht="15">
      <c r="A146" s="479">
        <f t="shared" si="69"/>
        <v>146</v>
      </c>
      <c r="B146" s="96"/>
      <c r="C146" s="50"/>
      <c r="D146" s="50" t="s">
        <v>346</v>
      </c>
      <c r="E146" s="53"/>
      <c r="F146" s="53"/>
      <c r="G146" s="124"/>
      <c r="H146" s="240"/>
      <c r="I146" s="625"/>
      <c r="J146" s="621"/>
      <c r="K146" s="673"/>
      <c r="L146" s="661">
        <f t="shared" si="71"/>
        <v>0</v>
      </c>
      <c r="M146" s="622"/>
      <c r="N146" s="675"/>
      <c r="O146" s="661">
        <f t="shared" si="72"/>
        <v>0</v>
      </c>
      <c r="P146" s="622"/>
      <c r="Q146" s="675"/>
      <c r="R146" s="661">
        <f t="shared" si="73"/>
        <v>0</v>
      </c>
      <c r="S146" s="622"/>
      <c r="T146" s="675"/>
      <c r="U146" s="662">
        <f t="shared" si="74"/>
        <v>0</v>
      </c>
      <c r="V146" s="663">
        <f t="shared" si="75"/>
        <v>0</v>
      </c>
      <c r="W146" s="664">
        <f t="shared" si="76"/>
        <v>0</v>
      </c>
      <c r="X146" s="661">
        <f t="shared" si="77"/>
        <v>0</v>
      </c>
      <c r="Y146" s="665">
        <f t="shared" si="78"/>
        <v>0</v>
      </c>
      <c r="Z146" s="666">
        <f t="shared" si="79"/>
        <v>0</v>
      </c>
      <c r="AA146" s="278"/>
    </row>
    <row r="147" spans="1:27" ht="15">
      <c r="A147" s="479">
        <f t="shared" si="69"/>
        <v>147</v>
      </c>
      <c r="B147" s="96"/>
      <c r="C147" s="50"/>
      <c r="D147" s="50" t="s">
        <v>54</v>
      </c>
      <c r="E147" s="53"/>
      <c r="F147" s="53"/>
      <c r="G147" s="124"/>
      <c r="H147" s="240"/>
      <c r="I147" s="625"/>
      <c r="J147" s="624"/>
      <c r="K147" s="673"/>
      <c r="L147" s="661">
        <f t="shared" si="71"/>
        <v>0</v>
      </c>
      <c r="M147" s="622"/>
      <c r="N147" s="675"/>
      <c r="O147" s="661">
        <f t="shared" si="72"/>
        <v>0</v>
      </c>
      <c r="P147" s="622"/>
      <c r="Q147" s="675"/>
      <c r="R147" s="661">
        <f t="shared" si="73"/>
        <v>0</v>
      </c>
      <c r="S147" s="622"/>
      <c r="T147" s="675"/>
      <c r="U147" s="662">
        <f t="shared" si="74"/>
        <v>0</v>
      </c>
      <c r="V147" s="663">
        <f t="shared" si="75"/>
        <v>0</v>
      </c>
      <c r="W147" s="664">
        <f t="shared" si="76"/>
        <v>0</v>
      </c>
      <c r="X147" s="661">
        <f t="shared" si="77"/>
        <v>0</v>
      </c>
      <c r="Y147" s="665">
        <f t="shared" si="78"/>
        <v>0</v>
      </c>
      <c r="Z147" s="666">
        <f t="shared" si="79"/>
        <v>0</v>
      </c>
      <c r="AA147" s="278"/>
    </row>
    <row r="148" spans="1:27" ht="15">
      <c r="A148" s="479">
        <f t="shared" si="69"/>
        <v>148</v>
      </c>
      <c r="B148" s="96"/>
      <c r="C148" s="50"/>
      <c r="D148" s="50" t="s">
        <v>56</v>
      </c>
      <c r="E148" s="53"/>
      <c r="F148" s="53"/>
      <c r="G148" s="124"/>
      <c r="H148" s="240"/>
      <c r="I148" s="625"/>
      <c r="J148" s="624"/>
      <c r="K148" s="673"/>
      <c r="L148" s="661">
        <f t="shared" si="71"/>
        <v>0</v>
      </c>
      <c r="M148" s="622"/>
      <c r="N148" s="675"/>
      <c r="O148" s="661">
        <f t="shared" si="72"/>
        <v>0</v>
      </c>
      <c r="P148" s="622"/>
      <c r="Q148" s="675"/>
      <c r="R148" s="661">
        <f t="shared" si="73"/>
        <v>0</v>
      </c>
      <c r="S148" s="622"/>
      <c r="T148" s="675"/>
      <c r="U148" s="662">
        <f t="shared" si="74"/>
        <v>0</v>
      </c>
      <c r="V148" s="663">
        <f t="shared" si="75"/>
        <v>0</v>
      </c>
      <c r="W148" s="664">
        <f t="shared" si="76"/>
        <v>0</v>
      </c>
      <c r="X148" s="661">
        <f t="shared" si="77"/>
        <v>0</v>
      </c>
      <c r="Y148" s="665">
        <f t="shared" si="78"/>
        <v>0</v>
      </c>
      <c r="Z148" s="666">
        <f t="shared" si="79"/>
        <v>0</v>
      </c>
      <c r="AA148" s="278"/>
    </row>
    <row r="149" spans="1:27" ht="15">
      <c r="A149" s="479">
        <f t="shared" si="69"/>
        <v>149</v>
      </c>
      <c r="B149" s="96"/>
      <c r="C149" s="50"/>
      <c r="D149" s="54" t="s">
        <v>7</v>
      </c>
      <c r="E149" s="53"/>
      <c r="F149" s="53"/>
      <c r="G149" s="124"/>
      <c r="H149" s="240"/>
      <c r="I149" s="667"/>
      <c r="J149" s="624"/>
      <c r="K149" s="673"/>
      <c r="L149" s="661">
        <f t="shared" si="71"/>
        <v>0</v>
      </c>
      <c r="M149" s="622"/>
      <c r="N149" s="675"/>
      <c r="O149" s="661">
        <f t="shared" si="72"/>
        <v>0</v>
      </c>
      <c r="P149" s="622"/>
      <c r="Q149" s="675"/>
      <c r="R149" s="661">
        <f t="shared" si="73"/>
        <v>0</v>
      </c>
      <c r="S149" s="622"/>
      <c r="T149" s="675"/>
      <c r="U149" s="662">
        <f t="shared" si="74"/>
        <v>0</v>
      </c>
      <c r="V149" s="663">
        <f t="shared" si="75"/>
        <v>0</v>
      </c>
      <c r="W149" s="664">
        <f t="shared" si="76"/>
        <v>0</v>
      </c>
      <c r="X149" s="661">
        <f t="shared" si="77"/>
        <v>0</v>
      </c>
      <c r="Y149" s="665">
        <f t="shared" si="78"/>
        <v>0</v>
      </c>
      <c r="Z149" s="666">
        <f t="shared" si="79"/>
        <v>0</v>
      </c>
      <c r="AA149" s="278"/>
    </row>
    <row r="150" spans="1:27" ht="17.25">
      <c r="A150" s="479">
        <f t="shared" si="69"/>
        <v>150</v>
      </c>
      <c r="B150" s="96"/>
      <c r="C150" s="50"/>
      <c r="D150" s="50" t="s">
        <v>9</v>
      </c>
      <c r="E150" s="53"/>
      <c r="F150" s="53"/>
      <c r="G150" s="124"/>
      <c r="H150" s="240"/>
      <c r="I150" s="678"/>
      <c r="J150" s="623"/>
      <c r="K150" s="680"/>
      <c r="L150" s="681">
        <f t="shared" si="71"/>
        <v>0</v>
      </c>
      <c r="M150" s="623"/>
      <c r="N150" s="683"/>
      <c r="O150" s="681">
        <f t="shared" si="72"/>
        <v>0</v>
      </c>
      <c r="P150" s="623"/>
      <c r="Q150" s="683"/>
      <c r="R150" s="681">
        <f t="shared" si="73"/>
        <v>0</v>
      </c>
      <c r="S150" s="623"/>
      <c r="T150" s="683"/>
      <c r="U150" s="684">
        <f t="shared" si="74"/>
        <v>0</v>
      </c>
      <c r="V150" s="685">
        <f t="shared" si="75"/>
        <v>0</v>
      </c>
      <c r="W150" s="686">
        <f t="shared" si="76"/>
        <v>0</v>
      </c>
      <c r="X150" s="681">
        <f t="shared" si="77"/>
        <v>0</v>
      </c>
      <c r="Y150" s="687">
        <f t="shared" si="78"/>
        <v>0</v>
      </c>
      <c r="Z150" s="688">
        <f t="shared" si="79"/>
        <v>0</v>
      </c>
      <c r="AA150" s="278"/>
    </row>
    <row r="151" spans="1:27" ht="15">
      <c r="A151" s="479">
        <f t="shared" si="69"/>
        <v>151</v>
      </c>
      <c r="B151" s="96"/>
      <c r="C151" s="120" t="s">
        <v>90</v>
      </c>
      <c r="D151" s="50"/>
      <c r="E151" s="123"/>
      <c r="F151" s="123"/>
      <c r="G151" s="124"/>
      <c r="H151" s="240"/>
      <c r="I151" s="676">
        <f t="shared" ref="I151:Z151" si="80">SUM(I144:I150)</f>
        <v>0</v>
      </c>
      <c r="J151" s="659">
        <f t="shared" si="80"/>
        <v>0</v>
      </c>
      <c r="K151" s="669">
        <f t="shared" si="80"/>
        <v>0</v>
      </c>
      <c r="L151" s="669">
        <f t="shared" si="80"/>
        <v>0</v>
      </c>
      <c r="M151" s="659">
        <f t="shared" si="80"/>
        <v>0</v>
      </c>
      <c r="N151" s="669">
        <f t="shared" si="80"/>
        <v>0</v>
      </c>
      <c r="O151" s="669">
        <f t="shared" si="80"/>
        <v>0</v>
      </c>
      <c r="P151" s="659">
        <f t="shared" si="80"/>
        <v>0</v>
      </c>
      <c r="Q151" s="669">
        <f t="shared" si="80"/>
        <v>0</v>
      </c>
      <c r="R151" s="669">
        <f t="shared" si="80"/>
        <v>0</v>
      </c>
      <c r="S151" s="659">
        <f t="shared" si="80"/>
        <v>0</v>
      </c>
      <c r="T151" s="669">
        <f t="shared" si="80"/>
        <v>0</v>
      </c>
      <c r="U151" s="670">
        <f t="shared" si="80"/>
        <v>0</v>
      </c>
      <c r="V151" s="663">
        <f t="shared" si="80"/>
        <v>0</v>
      </c>
      <c r="W151" s="669">
        <f t="shared" si="80"/>
        <v>0</v>
      </c>
      <c r="X151" s="671">
        <f t="shared" si="80"/>
        <v>0</v>
      </c>
      <c r="Y151" s="665">
        <f t="shared" si="80"/>
        <v>0</v>
      </c>
      <c r="Z151" s="666">
        <f t="shared" si="80"/>
        <v>0</v>
      </c>
      <c r="AA151" s="278"/>
    </row>
    <row r="152" spans="1:27" ht="15">
      <c r="A152" s="479">
        <f t="shared" si="69"/>
        <v>152</v>
      </c>
      <c r="B152" s="96"/>
      <c r="C152" s="119"/>
      <c r="D152" s="50"/>
      <c r="E152" s="123"/>
      <c r="F152" s="123"/>
      <c r="G152" s="124"/>
      <c r="H152" s="240"/>
      <c r="I152" s="676"/>
      <c r="J152" s="676"/>
      <c r="K152" s="676"/>
      <c r="L152" s="676"/>
      <c r="M152" s="676"/>
      <c r="N152" s="676"/>
      <c r="O152" s="676"/>
      <c r="P152" s="676"/>
      <c r="Q152" s="676"/>
      <c r="R152" s="676"/>
      <c r="S152" s="676"/>
      <c r="T152" s="676"/>
      <c r="U152" s="666"/>
      <c r="V152" s="676"/>
      <c r="W152" s="676"/>
      <c r="X152" s="676"/>
      <c r="Y152" s="676"/>
      <c r="Z152" s="666"/>
      <c r="AA152" s="278"/>
    </row>
    <row r="153" spans="1:27" ht="15">
      <c r="A153" s="479">
        <f t="shared" si="69"/>
        <v>153</v>
      </c>
      <c r="B153" s="96"/>
      <c r="C153" s="119" t="s">
        <v>91</v>
      </c>
      <c r="D153" s="50"/>
      <c r="E153" s="123"/>
      <c r="F153" s="123"/>
      <c r="G153" s="124"/>
      <c r="H153" s="240"/>
      <c r="I153" s="625"/>
      <c r="J153" s="624"/>
      <c r="K153" s="673"/>
      <c r="L153" s="661">
        <f>IF(K$18&lt;&gt;0,J153-K153,0)</f>
        <v>0</v>
      </c>
      <c r="M153" s="674"/>
      <c r="N153" s="675"/>
      <c r="O153" s="661">
        <f>IF(N$18&lt;&gt;0,M153-N153,0)</f>
        <v>0</v>
      </c>
      <c r="P153" s="674"/>
      <c r="Q153" s="675"/>
      <c r="R153" s="661">
        <f>IF(Q$18&lt;&gt;0,P153-Q153,0)</f>
        <v>0</v>
      </c>
      <c r="S153" s="674"/>
      <c r="T153" s="675"/>
      <c r="U153" s="662">
        <f>IF(T$18&lt;&gt;0,S153-T153,0)</f>
        <v>0</v>
      </c>
      <c r="V153" s="663">
        <f>J153+M153+P153+S153</f>
        <v>0</v>
      </c>
      <c r="W153" s="664">
        <f>SUM(IF(K$6&lt;&gt;0,K153,J153)+IF(N$6&lt;&gt;0,N153,M153)+IF(Q$6&lt;&gt;0,Q153,P153)+IF(T$6&lt;&gt;0,T153,S153))</f>
        <v>0</v>
      </c>
      <c r="X153" s="661">
        <f>V153-W153</f>
        <v>0</v>
      </c>
      <c r="Y153" s="665">
        <f>I153-V153</f>
        <v>0</v>
      </c>
      <c r="Z153" s="666">
        <f>I153-W153</f>
        <v>0</v>
      </c>
      <c r="AA153" s="278"/>
    </row>
    <row r="154" spans="1:27" ht="15">
      <c r="A154" s="479">
        <f t="shared" si="69"/>
        <v>154</v>
      </c>
      <c r="B154" s="96"/>
      <c r="C154" s="119" t="s">
        <v>645</v>
      </c>
      <c r="D154" s="50"/>
      <c r="E154" s="123"/>
      <c r="F154" s="123"/>
      <c r="G154" s="124"/>
      <c r="H154" s="240"/>
      <c r="I154" s="625"/>
      <c r="J154" s="624"/>
      <c r="K154" s="673"/>
      <c r="L154" s="661">
        <f>IF(K$18&lt;&gt;0,J154-K154,0)</f>
        <v>0</v>
      </c>
      <c r="M154" s="674"/>
      <c r="N154" s="675"/>
      <c r="O154" s="661">
        <f>IF(N$18&lt;&gt;0,M154-N154,0)</f>
        <v>0</v>
      </c>
      <c r="P154" s="674"/>
      <c r="Q154" s="675"/>
      <c r="R154" s="661">
        <f>IF(Q$18&lt;&gt;0,P154-Q154,0)</f>
        <v>0</v>
      </c>
      <c r="S154" s="674"/>
      <c r="T154" s="675"/>
      <c r="U154" s="662">
        <f>IF(T$18&lt;&gt;0,S154-T154,0)</f>
        <v>0</v>
      </c>
      <c r="V154" s="663">
        <f>J154+M154+P154+S154</f>
        <v>0</v>
      </c>
      <c r="W154" s="664">
        <f>SUM(IF(K$6&lt;&gt;0,K154,J154)+IF(N$6&lt;&gt;0,N154,M154)+IF(Q$6&lt;&gt;0,Q154,P154)+IF(T$6&lt;&gt;0,T154,S154))</f>
        <v>0</v>
      </c>
      <c r="X154" s="661">
        <f>V154-W154</f>
        <v>0</v>
      </c>
      <c r="Y154" s="665">
        <f>I154-V154</f>
        <v>0</v>
      </c>
      <c r="Z154" s="666">
        <f>I154-W154</f>
        <v>0</v>
      </c>
      <c r="AA154" s="278"/>
    </row>
    <row r="155" spans="1:27" ht="15">
      <c r="A155" s="479">
        <f t="shared" si="69"/>
        <v>155</v>
      </c>
      <c r="B155" s="96"/>
      <c r="C155" s="119" t="s">
        <v>577</v>
      </c>
      <c r="D155" s="50"/>
      <c r="E155" s="123"/>
      <c r="F155" s="123"/>
      <c r="G155" s="124"/>
      <c r="H155" s="240"/>
      <c r="I155" s="625"/>
      <c r="J155" s="624"/>
      <c r="K155" s="673"/>
      <c r="L155" s="661">
        <f>IF(K$18&lt;&gt;0,J155-K155,0)</f>
        <v>0</v>
      </c>
      <c r="M155" s="674"/>
      <c r="N155" s="675"/>
      <c r="O155" s="661">
        <f>IF(N$18&lt;&gt;0,M155-N155,0)</f>
        <v>0</v>
      </c>
      <c r="P155" s="674"/>
      <c r="Q155" s="675"/>
      <c r="R155" s="661">
        <f>IF(Q$18&lt;&gt;0,P155-Q155,0)</f>
        <v>0</v>
      </c>
      <c r="S155" s="674"/>
      <c r="T155" s="675"/>
      <c r="U155" s="662">
        <f>IF(T$18&lt;&gt;0,S155-T155,0)</f>
        <v>0</v>
      </c>
      <c r="V155" s="663">
        <f>J155+M155+P155+S155</f>
        <v>0</v>
      </c>
      <c r="W155" s="664">
        <f>SUM(IF(K$6&lt;&gt;0,K155,J155)+IF(N$6&lt;&gt;0,N155,M155)+IF(Q$6&lt;&gt;0,Q155,P155)+IF(T$6&lt;&gt;0,T155,S155))</f>
        <v>0</v>
      </c>
      <c r="X155" s="661">
        <f>V155-W155</f>
        <v>0</v>
      </c>
      <c r="Y155" s="665">
        <f>I155-V155</f>
        <v>0</v>
      </c>
      <c r="Z155" s="666">
        <f>I155-W155</f>
        <v>0</v>
      </c>
      <c r="AA155" s="278"/>
    </row>
    <row r="156" spans="1:27" ht="15">
      <c r="A156" s="479">
        <f t="shared" si="69"/>
        <v>156</v>
      </c>
      <c r="B156" s="96"/>
      <c r="C156" s="119"/>
      <c r="D156" s="50"/>
      <c r="E156" s="123"/>
      <c r="F156" s="123"/>
      <c r="G156" s="124"/>
      <c r="H156" s="240"/>
      <c r="I156" s="676"/>
      <c r="J156" s="676"/>
      <c r="K156" s="676"/>
      <c r="L156" s="676"/>
      <c r="M156" s="676"/>
      <c r="N156" s="676"/>
      <c r="O156" s="676"/>
      <c r="P156" s="676"/>
      <c r="Q156" s="676"/>
      <c r="R156" s="676"/>
      <c r="S156" s="676"/>
      <c r="T156" s="676"/>
      <c r="U156" s="666"/>
      <c r="V156" s="676"/>
      <c r="W156" s="676"/>
      <c r="X156" s="676"/>
      <c r="Y156" s="676"/>
      <c r="Z156" s="666"/>
      <c r="AA156" s="278"/>
    </row>
    <row r="157" spans="1:27" ht="17.25">
      <c r="A157" s="479">
        <f t="shared" si="69"/>
        <v>157</v>
      </c>
      <c r="B157" s="92" t="s">
        <v>55</v>
      </c>
      <c r="C157" s="93"/>
      <c r="D157" s="93"/>
      <c r="E157" s="94"/>
      <c r="F157" s="94"/>
      <c r="G157" s="57"/>
      <c r="H157" s="505"/>
      <c r="I157" s="719">
        <f>I106+I118+I141+I151+I153+I154+I155</f>
        <v>0</v>
      </c>
      <c r="J157" s="719">
        <f t="shared" ref="J157:Z157" si="81">J106+J118+J141+J151+J153+J154+J155</f>
        <v>0</v>
      </c>
      <c r="K157" s="719">
        <f t="shared" si="81"/>
        <v>0</v>
      </c>
      <c r="L157" s="719">
        <f t="shared" si="81"/>
        <v>0</v>
      </c>
      <c r="M157" s="719">
        <f t="shared" si="81"/>
        <v>0</v>
      </c>
      <c r="N157" s="719">
        <f t="shared" si="81"/>
        <v>0</v>
      </c>
      <c r="O157" s="719">
        <f t="shared" si="81"/>
        <v>0</v>
      </c>
      <c r="P157" s="719">
        <f t="shared" si="81"/>
        <v>0</v>
      </c>
      <c r="Q157" s="719">
        <f t="shared" si="81"/>
        <v>0</v>
      </c>
      <c r="R157" s="719">
        <f t="shared" si="81"/>
        <v>0</v>
      </c>
      <c r="S157" s="719">
        <f t="shared" si="81"/>
        <v>0</v>
      </c>
      <c r="T157" s="719">
        <f t="shared" si="81"/>
        <v>0</v>
      </c>
      <c r="U157" s="719">
        <f t="shared" si="81"/>
        <v>0</v>
      </c>
      <c r="V157" s="719">
        <f t="shared" si="81"/>
        <v>0</v>
      </c>
      <c r="W157" s="719">
        <f t="shared" si="81"/>
        <v>0</v>
      </c>
      <c r="X157" s="719">
        <f t="shared" si="81"/>
        <v>0</v>
      </c>
      <c r="Y157" s="719">
        <f t="shared" si="81"/>
        <v>0</v>
      </c>
      <c r="Z157" s="719">
        <f t="shared" si="81"/>
        <v>0</v>
      </c>
      <c r="AA157" s="278"/>
    </row>
    <row r="158" spans="1:27" ht="15">
      <c r="A158" s="479">
        <f t="shared" si="69"/>
        <v>158</v>
      </c>
      <c r="B158" s="96"/>
      <c r="C158" s="50"/>
      <c r="D158" s="50"/>
      <c r="E158" s="53"/>
      <c r="F158" s="53"/>
      <c r="G158" s="51"/>
      <c r="H158" s="240"/>
      <c r="I158" s="676"/>
      <c r="J158" s="676"/>
      <c r="K158" s="676"/>
      <c r="L158" s="676"/>
      <c r="M158" s="676"/>
      <c r="N158" s="676"/>
      <c r="O158" s="676"/>
      <c r="P158" s="676"/>
      <c r="Q158" s="676"/>
      <c r="R158" s="676"/>
      <c r="S158" s="676"/>
      <c r="T158" s="676"/>
      <c r="U158" s="666"/>
      <c r="V158" s="676"/>
      <c r="W158" s="676"/>
      <c r="X158" s="676"/>
      <c r="Y158" s="676"/>
      <c r="Z158" s="666"/>
      <c r="AA158" s="278"/>
    </row>
    <row r="159" spans="1:27" ht="18" thickBot="1">
      <c r="A159" s="479">
        <f t="shared" si="69"/>
        <v>159</v>
      </c>
      <c r="B159" s="125" t="s">
        <v>96</v>
      </c>
      <c r="C159" s="126"/>
      <c r="D159" s="126"/>
      <c r="E159" s="127"/>
      <c r="F159" s="127"/>
      <c r="G159" s="112"/>
      <c r="H159" s="506"/>
      <c r="I159" s="693">
        <f>I66-I157</f>
        <v>0</v>
      </c>
      <c r="J159" s="696">
        <f>J66-J157</f>
        <v>0</v>
      </c>
      <c r="K159" s="697">
        <f>K66-K157</f>
        <v>0</v>
      </c>
      <c r="L159" s="697">
        <f>L66+L157</f>
        <v>0</v>
      </c>
      <c r="M159" s="696">
        <f>M66-M157</f>
        <v>0</v>
      </c>
      <c r="N159" s="697">
        <f>N66-N157</f>
        <v>0</v>
      </c>
      <c r="O159" s="697">
        <f>O66+O157</f>
        <v>0</v>
      </c>
      <c r="P159" s="696">
        <f>P66-P157</f>
        <v>0</v>
      </c>
      <c r="Q159" s="697">
        <f>Q66-Q157</f>
        <v>0</v>
      </c>
      <c r="R159" s="697">
        <f>R66+R157</f>
        <v>0</v>
      </c>
      <c r="S159" s="696">
        <f>S66-S157</f>
        <v>0</v>
      </c>
      <c r="T159" s="697">
        <f>T66-T157</f>
        <v>0</v>
      </c>
      <c r="U159" s="720">
        <f>U66+U157</f>
        <v>0</v>
      </c>
      <c r="V159" s="721">
        <f>V66-V157</f>
        <v>0</v>
      </c>
      <c r="W159" s="697">
        <f>W66-W157</f>
        <v>0</v>
      </c>
      <c r="X159" s="722">
        <f>X66+X157</f>
        <v>0</v>
      </c>
      <c r="Y159" s="723">
        <f>Y66+Y157</f>
        <v>0</v>
      </c>
      <c r="Z159" s="724">
        <f>Z66+Z157</f>
        <v>0</v>
      </c>
      <c r="AA159" s="278"/>
    </row>
    <row r="160" spans="1:27" ht="19.5" thickTop="1">
      <c r="A160" s="479">
        <f t="shared" si="69"/>
        <v>160</v>
      </c>
      <c r="B160" s="257"/>
      <c r="C160" s="301"/>
      <c r="D160" s="301"/>
      <c r="E160" s="116"/>
      <c r="F160" s="116"/>
      <c r="G160" s="117"/>
      <c r="H160" s="507"/>
      <c r="I160" s="302"/>
      <c r="J160" s="302"/>
      <c r="K160" s="302"/>
      <c r="L160" s="302"/>
      <c r="M160" s="302"/>
      <c r="N160" s="302"/>
      <c r="O160" s="302"/>
      <c r="P160" s="302"/>
      <c r="Q160" s="302"/>
      <c r="R160" s="302"/>
      <c r="S160" s="302"/>
      <c r="T160" s="302"/>
      <c r="U160" s="494"/>
      <c r="V160" s="495"/>
      <c r="W160" s="303"/>
      <c r="X160" s="302"/>
      <c r="Y160" s="303"/>
      <c r="Z160" s="492"/>
      <c r="AA160" s="493"/>
    </row>
    <row r="161" spans="1:27" ht="15">
      <c r="A161" s="479">
        <f t="shared" si="69"/>
        <v>161</v>
      </c>
      <c r="B161" s="92" t="s">
        <v>92</v>
      </c>
      <c r="C161" s="82"/>
      <c r="D161" s="82"/>
      <c r="E161" s="94"/>
      <c r="F161" s="94"/>
      <c r="G161" s="57"/>
      <c r="H161" s="508"/>
      <c r="I161" s="128"/>
      <c r="J161" s="128"/>
      <c r="K161" s="128"/>
      <c r="L161" s="128"/>
      <c r="M161" s="128"/>
      <c r="N161" s="128"/>
      <c r="O161" s="128"/>
      <c r="P161" s="128"/>
      <c r="Q161" s="128"/>
      <c r="R161" s="128"/>
      <c r="S161" s="128"/>
      <c r="T161" s="128"/>
      <c r="U161" s="129"/>
      <c r="V161" s="155"/>
      <c r="W161" s="155"/>
      <c r="X161" s="128"/>
      <c r="Y161" s="155"/>
      <c r="Z161" s="554"/>
      <c r="AA161" s="878"/>
    </row>
    <row r="162" spans="1:27" s="546" customFormat="1" ht="15">
      <c r="A162" s="479">
        <f t="shared" si="69"/>
        <v>162</v>
      </c>
      <c r="B162" s="280"/>
      <c r="C162" s="93"/>
      <c r="D162" s="93" t="s">
        <v>335</v>
      </c>
      <c r="E162" s="97"/>
      <c r="F162" s="97"/>
      <c r="G162" s="56"/>
      <c r="H162" s="543"/>
      <c r="I162" s="725">
        <f>'2.) Enrollment'!E16</f>
        <v>0</v>
      </c>
      <c r="J162" s="726">
        <f>'2.) Enrollment'!G16</f>
        <v>0</v>
      </c>
      <c r="K162" s="726">
        <f>'2.) Enrollment'!H16</f>
        <v>0</v>
      </c>
      <c r="L162" s="661">
        <f t="shared" ref="L162:L178" si="82">IF(K$163&gt;0,K162-J162,0)</f>
        <v>0</v>
      </c>
      <c r="M162" s="727">
        <f>'2.) Enrollment'!I16</f>
        <v>0</v>
      </c>
      <c r="N162" s="727">
        <f>'2.) Enrollment'!J16</f>
        <v>0</v>
      </c>
      <c r="O162" s="661">
        <f t="shared" ref="O162:O178" si="83">IF(N$163&gt;0,N162-M162,0)</f>
        <v>0</v>
      </c>
      <c r="P162" s="659">
        <f>'2.) Enrollment'!K16</f>
        <v>0</v>
      </c>
      <c r="Q162" s="659">
        <f>'2.) Enrollment'!L16</f>
        <v>0</v>
      </c>
      <c r="R162" s="661">
        <f t="shared" ref="R162:R178" si="84">IF(Q$163&gt;0,Q162-P162,0)</f>
        <v>0</v>
      </c>
      <c r="S162" s="659">
        <f>'2.) Enrollment'!M16</f>
        <v>0</v>
      </c>
      <c r="T162" s="659">
        <f>'2.) Enrollment'!N16</f>
        <v>0</v>
      </c>
      <c r="U162" s="662">
        <f t="shared" ref="U162:U178" si="85">IF(T$163&gt;0,T162-S162,0)</f>
        <v>0</v>
      </c>
      <c r="V162" s="544"/>
      <c r="W162" s="544"/>
      <c r="X162" s="141"/>
      <c r="Y162" s="544"/>
      <c r="Z162" s="545"/>
      <c r="AA162" s="282"/>
    </row>
    <row r="163" spans="1:27" ht="15">
      <c r="A163" s="479">
        <f t="shared" si="69"/>
        <v>163</v>
      </c>
      <c r="B163" s="96"/>
      <c r="C163" s="50"/>
      <c r="D163" s="50"/>
      <c r="E163" s="82" t="str">
        <f t="shared" ref="E163:E178" si="86">E18</f>
        <v>-</v>
      </c>
      <c r="F163" s="82"/>
      <c r="G163" s="304">
        <f>(IF($K$163&gt;0,K163,J163)+IF($N$163&gt;0,N163,M163)+IF($Q$163&gt;0,Q163,P163)+IF($T$163&gt;0,T163,S163))/4</f>
        <v>0</v>
      </c>
      <c r="H163" s="509"/>
      <c r="I163" s="728">
        <f>'2.) Enrollment'!E22</f>
        <v>0</v>
      </c>
      <c r="J163" s="729">
        <f>'2.) Enrollment'!G22</f>
        <v>0</v>
      </c>
      <c r="K163" s="729">
        <f>'2.) Enrollment'!H22</f>
        <v>0</v>
      </c>
      <c r="L163" s="661">
        <f t="shared" si="82"/>
        <v>0</v>
      </c>
      <c r="M163" s="730">
        <f>'2.) Enrollment'!I22</f>
        <v>0</v>
      </c>
      <c r="N163" s="730">
        <f>'2.) Enrollment'!J22</f>
        <v>0</v>
      </c>
      <c r="O163" s="661">
        <f t="shared" si="83"/>
        <v>0</v>
      </c>
      <c r="P163" s="659">
        <f>'2.) Enrollment'!K22</f>
        <v>0</v>
      </c>
      <c r="Q163" s="659">
        <f>'2.) Enrollment'!L22</f>
        <v>0</v>
      </c>
      <c r="R163" s="661">
        <f t="shared" si="84"/>
        <v>0</v>
      </c>
      <c r="S163" s="659">
        <f>'2.) Enrollment'!M22</f>
        <v>0</v>
      </c>
      <c r="T163" s="659">
        <f>'2.) Enrollment'!N22</f>
        <v>0</v>
      </c>
      <c r="U163" s="662">
        <f t="shared" si="85"/>
        <v>0</v>
      </c>
      <c r="V163" s="95"/>
      <c r="W163" s="95"/>
      <c r="X163" s="95"/>
      <c r="Y163" s="95"/>
      <c r="Z163" s="118"/>
      <c r="AA163" s="278"/>
    </row>
    <row r="164" spans="1:27" ht="15">
      <c r="A164" s="479">
        <f t="shared" si="69"/>
        <v>164</v>
      </c>
      <c r="B164" s="96"/>
      <c r="C164" s="50"/>
      <c r="D164" s="50"/>
      <c r="E164" s="82" t="str">
        <f t="shared" si="86"/>
        <v>-</v>
      </c>
      <c r="F164" s="82"/>
      <c r="G164" s="304">
        <f t="shared" ref="G164:G178" si="87">(IF($K$163&gt;0,K164,J164)+IF($N$163&gt;0,N164,M164)+IF($Q$163&gt;0,Q164,P164)+IF($T$163&gt;0,T164,S164))/4</f>
        <v>0</v>
      </c>
      <c r="H164" s="509"/>
      <c r="I164" s="728">
        <f>'2.) Enrollment'!E23</f>
        <v>0</v>
      </c>
      <c r="J164" s="729">
        <f>'2.) Enrollment'!G23</f>
        <v>0</v>
      </c>
      <c r="K164" s="729">
        <f>'2.) Enrollment'!H23</f>
        <v>0</v>
      </c>
      <c r="L164" s="661">
        <f t="shared" si="82"/>
        <v>0</v>
      </c>
      <c r="M164" s="730">
        <f>'2.) Enrollment'!I23</f>
        <v>0</v>
      </c>
      <c r="N164" s="730">
        <f>'2.) Enrollment'!J23</f>
        <v>0</v>
      </c>
      <c r="O164" s="661">
        <f t="shared" si="83"/>
        <v>0</v>
      </c>
      <c r="P164" s="659">
        <f>'2.) Enrollment'!K23</f>
        <v>0</v>
      </c>
      <c r="Q164" s="659">
        <f>'2.) Enrollment'!L23</f>
        <v>0</v>
      </c>
      <c r="R164" s="661">
        <f t="shared" si="84"/>
        <v>0</v>
      </c>
      <c r="S164" s="659">
        <f>'2.) Enrollment'!M23</f>
        <v>0</v>
      </c>
      <c r="T164" s="659">
        <f>'2.) Enrollment'!N23</f>
        <v>0</v>
      </c>
      <c r="U164" s="662">
        <f t="shared" si="85"/>
        <v>0</v>
      </c>
      <c r="V164" s="95"/>
      <c r="W164" s="95"/>
      <c r="X164" s="95"/>
      <c r="Y164" s="95"/>
      <c r="Z164" s="118"/>
      <c r="AA164" s="278"/>
    </row>
    <row r="165" spans="1:27" ht="15">
      <c r="A165" s="479">
        <f t="shared" si="69"/>
        <v>165</v>
      </c>
      <c r="B165" s="96"/>
      <c r="C165" s="50"/>
      <c r="D165" s="50"/>
      <c r="E165" s="82" t="str">
        <f t="shared" si="86"/>
        <v>-</v>
      </c>
      <c r="F165" s="82"/>
      <c r="G165" s="304">
        <f t="shared" si="87"/>
        <v>0</v>
      </c>
      <c r="H165" s="509"/>
      <c r="I165" s="728">
        <f>'2.) Enrollment'!E24</f>
        <v>0</v>
      </c>
      <c r="J165" s="729">
        <f>'2.) Enrollment'!G24</f>
        <v>0</v>
      </c>
      <c r="K165" s="729">
        <f>'2.) Enrollment'!H24</f>
        <v>0</v>
      </c>
      <c r="L165" s="661">
        <f t="shared" si="82"/>
        <v>0</v>
      </c>
      <c r="M165" s="730">
        <f>'2.) Enrollment'!I24</f>
        <v>0</v>
      </c>
      <c r="N165" s="730">
        <f>'2.) Enrollment'!J24</f>
        <v>0</v>
      </c>
      <c r="O165" s="661">
        <f t="shared" si="83"/>
        <v>0</v>
      </c>
      <c r="P165" s="659">
        <f>'2.) Enrollment'!K24</f>
        <v>0</v>
      </c>
      <c r="Q165" s="659">
        <f>'2.) Enrollment'!L24</f>
        <v>0</v>
      </c>
      <c r="R165" s="661">
        <f t="shared" si="84"/>
        <v>0</v>
      </c>
      <c r="S165" s="659">
        <f>'2.) Enrollment'!M24</f>
        <v>0</v>
      </c>
      <c r="T165" s="659">
        <f>'2.) Enrollment'!N24</f>
        <v>0</v>
      </c>
      <c r="U165" s="662">
        <f t="shared" si="85"/>
        <v>0</v>
      </c>
      <c r="V165" s="95"/>
      <c r="W165" s="95"/>
      <c r="X165" s="95"/>
      <c r="Y165" s="95"/>
      <c r="Z165" s="118"/>
      <c r="AA165" s="278"/>
    </row>
    <row r="166" spans="1:27" ht="15">
      <c r="A166" s="479">
        <f t="shared" si="69"/>
        <v>166</v>
      </c>
      <c r="B166" s="96"/>
      <c r="C166" s="50"/>
      <c r="D166" s="50"/>
      <c r="E166" s="82" t="str">
        <f t="shared" si="86"/>
        <v>-</v>
      </c>
      <c r="F166" s="82"/>
      <c r="G166" s="304">
        <f t="shared" si="87"/>
        <v>0</v>
      </c>
      <c r="H166" s="509"/>
      <c r="I166" s="728">
        <f>'2.) Enrollment'!E25</f>
        <v>0</v>
      </c>
      <c r="J166" s="729">
        <f>'2.) Enrollment'!G25</f>
        <v>0</v>
      </c>
      <c r="K166" s="729">
        <f>'2.) Enrollment'!H25</f>
        <v>0</v>
      </c>
      <c r="L166" s="661">
        <f t="shared" si="82"/>
        <v>0</v>
      </c>
      <c r="M166" s="730">
        <f>'2.) Enrollment'!I25</f>
        <v>0</v>
      </c>
      <c r="N166" s="730">
        <f>'2.) Enrollment'!J25</f>
        <v>0</v>
      </c>
      <c r="O166" s="661">
        <f t="shared" si="83"/>
        <v>0</v>
      </c>
      <c r="P166" s="659">
        <f>'2.) Enrollment'!K25</f>
        <v>0</v>
      </c>
      <c r="Q166" s="659">
        <f>'2.) Enrollment'!L25</f>
        <v>0</v>
      </c>
      <c r="R166" s="661">
        <f t="shared" si="84"/>
        <v>0</v>
      </c>
      <c r="S166" s="659">
        <f>'2.) Enrollment'!M25</f>
        <v>0</v>
      </c>
      <c r="T166" s="659">
        <f>'2.) Enrollment'!N25</f>
        <v>0</v>
      </c>
      <c r="U166" s="662">
        <f t="shared" si="85"/>
        <v>0</v>
      </c>
      <c r="V166" s="95"/>
      <c r="W166" s="95"/>
      <c r="X166" s="95"/>
      <c r="Y166" s="95"/>
      <c r="Z166" s="118"/>
      <c r="AA166" s="278"/>
    </row>
    <row r="167" spans="1:27" ht="15">
      <c r="A167" s="479">
        <f t="shared" si="69"/>
        <v>167</v>
      </c>
      <c r="B167" s="96"/>
      <c r="C167" s="50"/>
      <c r="D167" s="50"/>
      <c r="E167" s="82" t="str">
        <f t="shared" si="86"/>
        <v>-</v>
      </c>
      <c r="F167" s="82"/>
      <c r="G167" s="304">
        <f t="shared" si="87"/>
        <v>0</v>
      </c>
      <c r="H167" s="509"/>
      <c r="I167" s="728">
        <f>'2.) Enrollment'!E26</f>
        <v>0</v>
      </c>
      <c r="J167" s="729">
        <f>'2.) Enrollment'!G26</f>
        <v>0</v>
      </c>
      <c r="K167" s="729">
        <f>'2.) Enrollment'!H26</f>
        <v>0</v>
      </c>
      <c r="L167" s="661">
        <f t="shared" si="82"/>
        <v>0</v>
      </c>
      <c r="M167" s="730">
        <f>'2.) Enrollment'!I26</f>
        <v>0</v>
      </c>
      <c r="N167" s="730">
        <f>'2.) Enrollment'!J26</f>
        <v>0</v>
      </c>
      <c r="O167" s="661">
        <f t="shared" si="83"/>
        <v>0</v>
      </c>
      <c r="P167" s="659">
        <f>'2.) Enrollment'!K26</f>
        <v>0</v>
      </c>
      <c r="Q167" s="659">
        <f>'2.) Enrollment'!L26</f>
        <v>0</v>
      </c>
      <c r="R167" s="661">
        <f t="shared" si="84"/>
        <v>0</v>
      </c>
      <c r="S167" s="659">
        <f>'2.) Enrollment'!M26</f>
        <v>0</v>
      </c>
      <c r="T167" s="659">
        <f>'2.) Enrollment'!N26</f>
        <v>0</v>
      </c>
      <c r="U167" s="662">
        <f t="shared" si="85"/>
        <v>0</v>
      </c>
      <c r="V167" s="95"/>
      <c r="W167" s="95"/>
      <c r="X167" s="95"/>
      <c r="Y167" s="95"/>
      <c r="Z167" s="118"/>
      <c r="AA167" s="278"/>
    </row>
    <row r="168" spans="1:27" ht="15">
      <c r="A168" s="479">
        <f t="shared" si="69"/>
        <v>168</v>
      </c>
      <c r="B168" s="96"/>
      <c r="C168" s="50"/>
      <c r="D168" s="50"/>
      <c r="E168" s="82" t="str">
        <f t="shared" si="86"/>
        <v>-</v>
      </c>
      <c r="F168" s="82"/>
      <c r="G168" s="304">
        <f t="shared" si="87"/>
        <v>0</v>
      </c>
      <c r="H168" s="509"/>
      <c r="I168" s="728">
        <f>'2.) Enrollment'!E27</f>
        <v>0</v>
      </c>
      <c r="J168" s="729">
        <f>'2.) Enrollment'!G27</f>
        <v>0</v>
      </c>
      <c r="K168" s="729">
        <f>'2.) Enrollment'!H27</f>
        <v>0</v>
      </c>
      <c r="L168" s="661">
        <f t="shared" si="82"/>
        <v>0</v>
      </c>
      <c r="M168" s="730">
        <f>'2.) Enrollment'!I27</f>
        <v>0</v>
      </c>
      <c r="N168" s="730">
        <f>'2.) Enrollment'!J27</f>
        <v>0</v>
      </c>
      <c r="O168" s="661">
        <f t="shared" si="83"/>
        <v>0</v>
      </c>
      <c r="P168" s="659">
        <f>'2.) Enrollment'!K27</f>
        <v>0</v>
      </c>
      <c r="Q168" s="659">
        <f>'2.) Enrollment'!L27</f>
        <v>0</v>
      </c>
      <c r="R168" s="661">
        <f t="shared" si="84"/>
        <v>0</v>
      </c>
      <c r="S168" s="659">
        <f>'2.) Enrollment'!M27</f>
        <v>0</v>
      </c>
      <c r="T168" s="659">
        <f>'2.) Enrollment'!N27</f>
        <v>0</v>
      </c>
      <c r="U168" s="662">
        <f t="shared" si="85"/>
        <v>0</v>
      </c>
      <c r="V168" s="95"/>
      <c r="W168" s="95"/>
      <c r="X168" s="95"/>
      <c r="Y168" s="95"/>
      <c r="Z168" s="118"/>
      <c r="AA168" s="278"/>
    </row>
    <row r="169" spans="1:27" ht="15">
      <c r="A169" s="479">
        <f t="shared" si="69"/>
        <v>169</v>
      </c>
      <c r="B169" s="96"/>
      <c r="C169" s="50"/>
      <c r="D169" s="50"/>
      <c r="E169" s="82" t="str">
        <f t="shared" si="86"/>
        <v>-</v>
      </c>
      <c r="F169" s="82"/>
      <c r="G169" s="304">
        <f t="shared" si="87"/>
        <v>0</v>
      </c>
      <c r="H169" s="509"/>
      <c r="I169" s="728">
        <f>'2.) Enrollment'!E28</f>
        <v>0</v>
      </c>
      <c r="J169" s="729">
        <f>'2.) Enrollment'!G28</f>
        <v>0</v>
      </c>
      <c r="K169" s="729">
        <f>'2.) Enrollment'!H28</f>
        <v>0</v>
      </c>
      <c r="L169" s="661">
        <f t="shared" si="82"/>
        <v>0</v>
      </c>
      <c r="M169" s="730">
        <f>'2.) Enrollment'!I28</f>
        <v>0</v>
      </c>
      <c r="N169" s="730">
        <f>'2.) Enrollment'!J28</f>
        <v>0</v>
      </c>
      <c r="O169" s="661">
        <f t="shared" si="83"/>
        <v>0</v>
      </c>
      <c r="P169" s="659">
        <f>'2.) Enrollment'!K28</f>
        <v>0</v>
      </c>
      <c r="Q169" s="659">
        <f>'2.) Enrollment'!L28</f>
        <v>0</v>
      </c>
      <c r="R169" s="661">
        <f t="shared" si="84"/>
        <v>0</v>
      </c>
      <c r="S169" s="659">
        <f>'2.) Enrollment'!M28</f>
        <v>0</v>
      </c>
      <c r="T169" s="659">
        <f>'2.) Enrollment'!N28</f>
        <v>0</v>
      </c>
      <c r="U169" s="662">
        <f t="shared" si="85"/>
        <v>0</v>
      </c>
      <c r="V169" s="95"/>
      <c r="W169" s="95"/>
      <c r="X169" s="95"/>
      <c r="Y169" s="95"/>
      <c r="Z169" s="118"/>
      <c r="AA169" s="278"/>
    </row>
    <row r="170" spans="1:27" ht="15">
      <c r="A170" s="479">
        <f t="shared" si="69"/>
        <v>170</v>
      </c>
      <c r="B170" s="96"/>
      <c r="C170" s="50"/>
      <c r="D170" s="50"/>
      <c r="E170" s="82" t="str">
        <f t="shared" si="86"/>
        <v>-</v>
      </c>
      <c r="F170" s="82"/>
      <c r="G170" s="304">
        <f t="shared" si="87"/>
        <v>0</v>
      </c>
      <c r="H170" s="509"/>
      <c r="I170" s="728">
        <f>'2.) Enrollment'!E29</f>
        <v>0</v>
      </c>
      <c r="J170" s="729">
        <f>'2.) Enrollment'!G29</f>
        <v>0</v>
      </c>
      <c r="K170" s="729">
        <f>'2.) Enrollment'!H29</f>
        <v>0</v>
      </c>
      <c r="L170" s="661">
        <f t="shared" si="82"/>
        <v>0</v>
      </c>
      <c r="M170" s="730">
        <f>'2.) Enrollment'!I29</f>
        <v>0</v>
      </c>
      <c r="N170" s="730">
        <f>'2.) Enrollment'!J29</f>
        <v>0</v>
      </c>
      <c r="O170" s="661">
        <f t="shared" si="83"/>
        <v>0</v>
      </c>
      <c r="P170" s="659">
        <f>'2.) Enrollment'!K29</f>
        <v>0</v>
      </c>
      <c r="Q170" s="659">
        <f>'2.) Enrollment'!L29</f>
        <v>0</v>
      </c>
      <c r="R170" s="661">
        <f t="shared" si="84"/>
        <v>0</v>
      </c>
      <c r="S170" s="659">
        <f>'2.) Enrollment'!M29</f>
        <v>0</v>
      </c>
      <c r="T170" s="659">
        <f>'2.) Enrollment'!N29</f>
        <v>0</v>
      </c>
      <c r="U170" s="662">
        <f t="shared" si="85"/>
        <v>0</v>
      </c>
      <c r="V170" s="95"/>
      <c r="W170" s="95"/>
      <c r="X170" s="95"/>
      <c r="Y170" s="95"/>
      <c r="Z170" s="118"/>
      <c r="AA170" s="278"/>
    </row>
    <row r="171" spans="1:27" ht="15">
      <c r="A171" s="479">
        <f t="shared" si="69"/>
        <v>171</v>
      </c>
      <c r="B171" s="96"/>
      <c r="C171" s="50"/>
      <c r="D171" s="50"/>
      <c r="E171" s="82" t="str">
        <f t="shared" si="86"/>
        <v>-</v>
      </c>
      <c r="F171" s="82"/>
      <c r="G171" s="304">
        <f t="shared" si="87"/>
        <v>0</v>
      </c>
      <c r="H171" s="509"/>
      <c r="I171" s="728">
        <f>'2.) Enrollment'!E30</f>
        <v>0</v>
      </c>
      <c r="J171" s="729">
        <f>'2.) Enrollment'!G30</f>
        <v>0</v>
      </c>
      <c r="K171" s="729">
        <f>'2.) Enrollment'!H30</f>
        <v>0</v>
      </c>
      <c r="L171" s="661">
        <f t="shared" si="82"/>
        <v>0</v>
      </c>
      <c r="M171" s="730">
        <f>'2.) Enrollment'!I30</f>
        <v>0</v>
      </c>
      <c r="N171" s="730">
        <f>'2.) Enrollment'!J30</f>
        <v>0</v>
      </c>
      <c r="O171" s="661">
        <f t="shared" si="83"/>
        <v>0</v>
      </c>
      <c r="P171" s="659">
        <f>'2.) Enrollment'!K30</f>
        <v>0</v>
      </c>
      <c r="Q171" s="659">
        <f>'2.) Enrollment'!L30</f>
        <v>0</v>
      </c>
      <c r="R171" s="661">
        <f t="shared" si="84"/>
        <v>0</v>
      </c>
      <c r="S171" s="659">
        <f>'2.) Enrollment'!M30</f>
        <v>0</v>
      </c>
      <c r="T171" s="659">
        <f>'2.) Enrollment'!N30</f>
        <v>0</v>
      </c>
      <c r="U171" s="662">
        <f t="shared" si="85"/>
        <v>0</v>
      </c>
      <c r="V171" s="95"/>
      <c r="W171" s="95"/>
      <c r="X171" s="95"/>
      <c r="Y171" s="95"/>
      <c r="Z171" s="118"/>
      <c r="AA171" s="278"/>
    </row>
    <row r="172" spans="1:27" ht="15">
      <c r="A172" s="479">
        <f t="shared" si="69"/>
        <v>172</v>
      </c>
      <c r="B172" s="96"/>
      <c r="C172" s="50"/>
      <c r="D172" s="50"/>
      <c r="E172" s="82" t="str">
        <f t="shared" si="86"/>
        <v>-</v>
      </c>
      <c r="F172" s="82"/>
      <c r="G172" s="304">
        <f t="shared" si="87"/>
        <v>0</v>
      </c>
      <c r="H172" s="509"/>
      <c r="I172" s="728">
        <f>'2.) Enrollment'!E31</f>
        <v>0</v>
      </c>
      <c r="J172" s="729">
        <f>'2.) Enrollment'!G31</f>
        <v>0</v>
      </c>
      <c r="K172" s="729">
        <f>'2.) Enrollment'!H31</f>
        <v>0</v>
      </c>
      <c r="L172" s="661">
        <f t="shared" si="82"/>
        <v>0</v>
      </c>
      <c r="M172" s="730">
        <f>'2.) Enrollment'!I31</f>
        <v>0</v>
      </c>
      <c r="N172" s="730">
        <f>'2.) Enrollment'!J31</f>
        <v>0</v>
      </c>
      <c r="O172" s="661">
        <f t="shared" si="83"/>
        <v>0</v>
      </c>
      <c r="P172" s="659">
        <f>'2.) Enrollment'!K31</f>
        <v>0</v>
      </c>
      <c r="Q172" s="659">
        <f>'2.) Enrollment'!L31</f>
        <v>0</v>
      </c>
      <c r="R172" s="661">
        <f t="shared" si="84"/>
        <v>0</v>
      </c>
      <c r="S172" s="659">
        <f>'2.) Enrollment'!M31</f>
        <v>0</v>
      </c>
      <c r="T172" s="659">
        <f>'2.) Enrollment'!N31</f>
        <v>0</v>
      </c>
      <c r="U172" s="662">
        <f t="shared" si="85"/>
        <v>0</v>
      </c>
      <c r="V172" s="95"/>
      <c r="W172" s="95"/>
      <c r="X172" s="95"/>
      <c r="Y172" s="95"/>
      <c r="Z172" s="118"/>
      <c r="AA172" s="278"/>
    </row>
    <row r="173" spans="1:27" ht="15">
      <c r="A173" s="479">
        <f t="shared" si="69"/>
        <v>173</v>
      </c>
      <c r="B173" s="96"/>
      <c r="C173" s="50"/>
      <c r="D173" s="50"/>
      <c r="E173" s="82" t="str">
        <f t="shared" si="86"/>
        <v>-</v>
      </c>
      <c r="F173" s="82"/>
      <c r="G173" s="304">
        <f t="shared" si="87"/>
        <v>0</v>
      </c>
      <c r="H173" s="509"/>
      <c r="I173" s="728">
        <f>'2.) Enrollment'!E32</f>
        <v>0</v>
      </c>
      <c r="J173" s="729">
        <f>'2.) Enrollment'!G32</f>
        <v>0</v>
      </c>
      <c r="K173" s="729">
        <f>'2.) Enrollment'!H32</f>
        <v>0</v>
      </c>
      <c r="L173" s="661">
        <f t="shared" si="82"/>
        <v>0</v>
      </c>
      <c r="M173" s="730">
        <f>'2.) Enrollment'!I32</f>
        <v>0</v>
      </c>
      <c r="N173" s="730">
        <f>'2.) Enrollment'!J32</f>
        <v>0</v>
      </c>
      <c r="O173" s="661">
        <f t="shared" si="83"/>
        <v>0</v>
      </c>
      <c r="P173" s="659">
        <f>'2.) Enrollment'!K32</f>
        <v>0</v>
      </c>
      <c r="Q173" s="659">
        <f>'2.) Enrollment'!L32</f>
        <v>0</v>
      </c>
      <c r="R173" s="661">
        <f t="shared" si="84"/>
        <v>0</v>
      </c>
      <c r="S173" s="659">
        <f>'2.) Enrollment'!M32</f>
        <v>0</v>
      </c>
      <c r="T173" s="659">
        <f>'2.) Enrollment'!N32</f>
        <v>0</v>
      </c>
      <c r="U173" s="662">
        <f t="shared" si="85"/>
        <v>0</v>
      </c>
      <c r="V173" s="95"/>
      <c r="W173" s="95"/>
      <c r="X173" s="95"/>
      <c r="Y173" s="95"/>
      <c r="Z173" s="118"/>
      <c r="AA173" s="278"/>
    </row>
    <row r="174" spans="1:27" ht="15">
      <c r="A174" s="479">
        <f t="shared" si="69"/>
        <v>174</v>
      </c>
      <c r="B174" s="96"/>
      <c r="C174" s="50"/>
      <c r="D174" s="50"/>
      <c r="E174" s="82" t="str">
        <f t="shared" si="86"/>
        <v>-</v>
      </c>
      <c r="F174" s="82"/>
      <c r="G174" s="304">
        <f t="shared" si="87"/>
        <v>0</v>
      </c>
      <c r="H174" s="509"/>
      <c r="I174" s="728">
        <f>'2.) Enrollment'!E33</f>
        <v>0</v>
      </c>
      <c r="J174" s="729">
        <f>'2.) Enrollment'!G33</f>
        <v>0</v>
      </c>
      <c r="K174" s="729">
        <f>'2.) Enrollment'!H33</f>
        <v>0</v>
      </c>
      <c r="L174" s="661">
        <f t="shared" si="82"/>
        <v>0</v>
      </c>
      <c r="M174" s="730">
        <f>'2.) Enrollment'!I33</f>
        <v>0</v>
      </c>
      <c r="N174" s="730">
        <f>'2.) Enrollment'!J33</f>
        <v>0</v>
      </c>
      <c r="O174" s="661">
        <f t="shared" si="83"/>
        <v>0</v>
      </c>
      <c r="P174" s="659">
        <f>'2.) Enrollment'!K33</f>
        <v>0</v>
      </c>
      <c r="Q174" s="659">
        <f>'2.) Enrollment'!L33</f>
        <v>0</v>
      </c>
      <c r="R174" s="661">
        <f t="shared" si="84"/>
        <v>0</v>
      </c>
      <c r="S174" s="659">
        <f>'2.) Enrollment'!M33</f>
        <v>0</v>
      </c>
      <c r="T174" s="659">
        <f>'2.) Enrollment'!N33</f>
        <v>0</v>
      </c>
      <c r="U174" s="662">
        <f t="shared" si="85"/>
        <v>0</v>
      </c>
      <c r="V174" s="95"/>
      <c r="W174" s="95"/>
      <c r="X174" s="95"/>
      <c r="Y174" s="95"/>
      <c r="Z174" s="118"/>
      <c r="AA174" s="278"/>
    </row>
    <row r="175" spans="1:27" ht="15">
      <c r="A175" s="479">
        <f t="shared" si="69"/>
        <v>175</v>
      </c>
      <c r="B175" s="96"/>
      <c r="C175" s="50"/>
      <c r="D175" s="50"/>
      <c r="E175" s="82" t="str">
        <f t="shared" si="86"/>
        <v>-</v>
      </c>
      <c r="F175" s="82"/>
      <c r="G175" s="304">
        <f t="shared" si="87"/>
        <v>0</v>
      </c>
      <c r="H175" s="509"/>
      <c r="I175" s="728">
        <f>'2.) Enrollment'!E34</f>
        <v>0</v>
      </c>
      <c r="J175" s="729">
        <f>'2.) Enrollment'!G34</f>
        <v>0</v>
      </c>
      <c r="K175" s="729">
        <f>'2.) Enrollment'!H34</f>
        <v>0</v>
      </c>
      <c r="L175" s="661">
        <f t="shared" si="82"/>
        <v>0</v>
      </c>
      <c r="M175" s="730">
        <f>'2.) Enrollment'!I34</f>
        <v>0</v>
      </c>
      <c r="N175" s="730">
        <f>'2.) Enrollment'!J34</f>
        <v>0</v>
      </c>
      <c r="O175" s="661">
        <f t="shared" si="83"/>
        <v>0</v>
      </c>
      <c r="P175" s="659">
        <f>'2.) Enrollment'!K34</f>
        <v>0</v>
      </c>
      <c r="Q175" s="659">
        <f>'2.) Enrollment'!L34</f>
        <v>0</v>
      </c>
      <c r="R175" s="661">
        <f t="shared" si="84"/>
        <v>0</v>
      </c>
      <c r="S175" s="659">
        <f>'2.) Enrollment'!M34</f>
        <v>0</v>
      </c>
      <c r="T175" s="659">
        <f>'2.) Enrollment'!N34</f>
        <v>0</v>
      </c>
      <c r="U175" s="662">
        <f t="shared" si="85"/>
        <v>0</v>
      </c>
      <c r="V175" s="95"/>
      <c r="W175" s="95"/>
      <c r="X175" s="95"/>
      <c r="Y175" s="95"/>
      <c r="Z175" s="118"/>
      <c r="AA175" s="278"/>
    </row>
    <row r="176" spans="1:27" ht="15">
      <c r="A176" s="479">
        <f t="shared" si="69"/>
        <v>176</v>
      </c>
      <c r="B176" s="96"/>
      <c r="C176" s="50"/>
      <c r="D176" s="50"/>
      <c r="E176" s="82" t="str">
        <f t="shared" si="86"/>
        <v>-</v>
      </c>
      <c r="F176" s="82"/>
      <c r="G176" s="304">
        <f t="shared" si="87"/>
        <v>0</v>
      </c>
      <c r="H176" s="509"/>
      <c r="I176" s="728">
        <f>'2.) Enrollment'!E35</f>
        <v>0</v>
      </c>
      <c r="J176" s="729">
        <f>'2.) Enrollment'!G35</f>
        <v>0</v>
      </c>
      <c r="K176" s="729">
        <f>'2.) Enrollment'!H35</f>
        <v>0</v>
      </c>
      <c r="L176" s="661">
        <f t="shared" si="82"/>
        <v>0</v>
      </c>
      <c r="M176" s="730">
        <f>'2.) Enrollment'!I35</f>
        <v>0</v>
      </c>
      <c r="N176" s="730">
        <f>'2.) Enrollment'!J35</f>
        <v>0</v>
      </c>
      <c r="O176" s="661">
        <f t="shared" si="83"/>
        <v>0</v>
      </c>
      <c r="P176" s="659">
        <f>'2.) Enrollment'!K35</f>
        <v>0</v>
      </c>
      <c r="Q176" s="659">
        <f>'2.) Enrollment'!L35</f>
        <v>0</v>
      </c>
      <c r="R176" s="661">
        <f t="shared" si="84"/>
        <v>0</v>
      </c>
      <c r="S176" s="659">
        <f>'2.) Enrollment'!M35</f>
        <v>0</v>
      </c>
      <c r="T176" s="659">
        <f>'2.) Enrollment'!N35</f>
        <v>0</v>
      </c>
      <c r="U176" s="662">
        <f t="shared" si="85"/>
        <v>0</v>
      </c>
      <c r="V176" s="95"/>
      <c r="W176" s="95"/>
      <c r="X176" s="95"/>
      <c r="Y176" s="95"/>
      <c r="Z176" s="118"/>
      <c r="AA176" s="278"/>
    </row>
    <row r="177" spans="1:27" ht="15">
      <c r="A177" s="479">
        <f t="shared" si="69"/>
        <v>177</v>
      </c>
      <c r="B177" s="96"/>
      <c r="C177" s="50"/>
      <c r="D177" s="50"/>
      <c r="E177" s="82" t="str">
        <f t="shared" si="86"/>
        <v>-</v>
      </c>
      <c r="F177" s="82"/>
      <c r="G177" s="304">
        <f t="shared" si="87"/>
        <v>0</v>
      </c>
      <c r="H177" s="509"/>
      <c r="I177" s="728">
        <f>'2.) Enrollment'!E36</f>
        <v>0</v>
      </c>
      <c r="J177" s="729">
        <f>'2.) Enrollment'!G36</f>
        <v>0</v>
      </c>
      <c r="K177" s="729">
        <f>'2.) Enrollment'!H36</f>
        <v>0</v>
      </c>
      <c r="L177" s="661">
        <f t="shared" si="82"/>
        <v>0</v>
      </c>
      <c r="M177" s="730">
        <f>'2.) Enrollment'!I36</f>
        <v>0</v>
      </c>
      <c r="N177" s="730">
        <f>'2.) Enrollment'!J36</f>
        <v>0</v>
      </c>
      <c r="O177" s="661">
        <f t="shared" si="83"/>
        <v>0</v>
      </c>
      <c r="P177" s="659">
        <f>'2.) Enrollment'!K36</f>
        <v>0</v>
      </c>
      <c r="Q177" s="659">
        <f>'2.) Enrollment'!L36</f>
        <v>0</v>
      </c>
      <c r="R177" s="661">
        <f t="shared" si="84"/>
        <v>0</v>
      </c>
      <c r="S177" s="659">
        <f>'2.) Enrollment'!M36</f>
        <v>0</v>
      </c>
      <c r="T177" s="659">
        <f>'2.) Enrollment'!N36</f>
        <v>0</v>
      </c>
      <c r="U177" s="662">
        <f t="shared" si="85"/>
        <v>0</v>
      </c>
      <c r="V177" s="95"/>
      <c r="W177" s="95"/>
      <c r="X177" s="95"/>
      <c r="Y177" s="95"/>
      <c r="Z177" s="118"/>
      <c r="AA177" s="278"/>
    </row>
    <row r="178" spans="1:27" ht="17.25">
      <c r="A178" s="479">
        <f t="shared" si="69"/>
        <v>178</v>
      </c>
      <c r="B178" s="96"/>
      <c r="C178" s="50"/>
      <c r="D178" s="50"/>
      <c r="E178" s="82" t="str">
        <f t="shared" si="86"/>
        <v>ALL OTHER School Districts: ( Weighted Avg )</v>
      </c>
      <c r="F178" s="82"/>
      <c r="G178" s="304">
        <f t="shared" si="87"/>
        <v>0</v>
      </c>
      <c r="H178" s="510"/>
      <c r="I178" s="728">
        <f>SUM('2.) Enrollment'!E37:E71)</f>
        <v>0</v>
      </c>
      <c r="J178" s="729">
        <f>SUM('2.) Enrollment'!G37:G71)</f>
        <v>0</v>
      </c>
      <c r="K178" s="729">
        <f>SUM('2.) Enrollment'!H37:H71)</f>
        <v>0</v>
      </c>
      <c r="L178" s="661">
        <f t="shared" si="82"/>
        <v>0</v>
      </c>
      <c r="M178" s="730">
        <f>SUM('2.) Enrollment'!I37:I71)</f>
        <v>0</v>
      </c>
      <c r="N178" s="730">
        <f>SUM('2.) Enrollment'!J37:J71)</f>
        <v>0</v>
      </c>
      <c r="O178" s="661">
        <f t="shared" si="83"/>
        <v>0</v>
      </c>
      <c r="P178" s="730">
        <f>SUM('2.) Enrollment'!K37:K71)</f>
        <v>0</v>
      </c>
      <c r="Q178" s="730">
        <f>SUM('2.) Enrollment'!L37:L71)</f>
        <v>0</v>
      </c>
      <c r="R178" s="661">
        <f t="shared" si="84"/>
        <v>0</v>
      </c>
      <c r="S178" s="730">
        <f>SUM('2.) Enrollment'!M37:M71)</f>
        <v>0</v>
      </c>
      <c r="T178" s="730">
        <f>SUM('2.) Enrollment'!N37:N71)</f>
        <v>0</v>
      </c>
      <c r="U178" s="662">
        <f t="shared" si="85"/>
        <v>0</v>
      </c>
      <c r="V178" s="95"/>
      <c r="W178" s="30"/>
      <c r="X178" s="95"/>
      <c r="Y178" s="95"/>
      <c r="Z178" s="118"/>
      <c r="AA178" s="278"/>
    </row>
    <row r="179" spans="1:27" ht="17.25">
      <c r="A179" s="479">
        <f t="shared" si="69"/>
        <v>179</v>
      </c>
      <c r="B179" s="65" t="s">
        <v>93</v>
      </c>
      <c r="C179" s="66"/>
      <c r="D179" s="66"/>
      <c r="E179" s="82"/>
      <c r="F179" s="82"/>
      <c r="G179" s="59"/>
      <c r="H179" s="511"/>
      <c r="I179" s="731">
        <f t="shared" ref="I179:U179" si="88">SUM(I163:I178)</f>
        <v>0</v>
      </c>
      <c r="J179" s="732">
        <f t="shared" si="88"/>
        <v>0</v>
      </c>
      <c r="K179" s="733">
        <f t="shared" si="88"/>
        <v>0</v>
      </c>
      <c r="L179" s="733">
        <f t="shared" si="88"/>
        <v>0</v>
      </c>
      <c r="M179" s="732">
        <f t="shared" si="88"/>
        <v>0</v>
      </c>
      <c r="N179" s="733">
        <f t="shared" si="88"/>
        <v>0</v>
      </c>
      <c r="O179" s="733">
        <f t="shared" si="88"/>
        <v>0</v>
      </c>
      <c r="P179" s="732">
        <f t="shared" si="88"/>
        <v>0</v>
      </c>
      <c r="Q179" s="733">
        <f t="shared" si="88"/>
        <v>0</v>
      </c>
      <c r="R179" s="733">
        <f t="shared" si="88"/>
        <v>0</v>
      </c>
      <c r="S179" s="732">
        <f t="shared" si="88"/>
        <v>0</v>
      </c>
      <c r="T179" s="733">
        <f t="shared" si="88"/>
        <v>0</v>
      </c>
      <c r="U179" s="734">
        <f t="shared" si="88"/>
        <v>0</v>
      </c>
      <c r="V179" s="144"/>
      <c r="W179" s="144"/>
      <c r="X179" s="144"/>
      <c r="Y179" s="137"/>
      <c r="Z179" s="159"/>
      <c r="AA179" s="278"/>
    </row>
    <row r="180" spans="1:27" ht="15">
      <c r="A180" s="479">
        <f t="shared" si="69"/>
        <v>180</v>
      </c>
      <c r="B180" s="81"/>
      <c r="C180" s="82"/>
      <c r="D180" s="82"/>
      <c r="E180" s="82"/>
      <c r="F180" s="82"/>
      <c r="G180" s="59"/>
      <c r="H180" s="509"/>
      <c r="I180" s="735"/>
      <c r="J180" s="735"/>
      <c r="K180" s="735"/>
      <c r="L180" s="735"/>
      <c r="M180" s="735"/>
      <c r="N180" s="735"/>
      <c r="O180" s="735"/>
      <c r="P180" s="735"/>
      <c r="Q180" s="735"/>
      <c r="R180" s="735"/>
      <c r="S180" s="735"/>
      <c r="T180" s="735"/>
      <c r="U180" s="736"/>
      <c r="V180" s="316"/>
      <c r="W180" s="316"/>
      <c r="X180" s="130"/>
      <c r="Y180" s="71"/>
      <c r="Z180" s="72"/>
      <c r="AA180" s="278"/>
    </row>
    <row r="181" spans="1:27" ht="17.25">
      <c r="A181" s="479">
        <f t="shared" si="69"/>
        <v>181</v>
      </c>
      <c r="B181" s="92" t="s">
        <v>94</v>
      </c>
      <c r="C181" s="93"/>
      <c r="D181" s="93"/>
      <c r="E181" s="82"/>
      <c r="F181" s="82"/>
      <c r="G181" s="59"/>
      <c r="H181" s="511"/>
      <c r="I181" s="737">
        <f>IF(I179&gt;0,I66/I179,0)</f>
        <v>0</v>
      </c>
      <c r="J181" s="738">
        <f>IF(J179&gt;0,J66/J179,0)</f>
        <v>0</v>
      </c>
      <c r="K181" s="739">
        <f>IF(K163&gt;0,K66/K179,0)</f>
        <v>0</v>
      </c>
      <c r="L181" s="740">
        <f>IF(K$18&lt;&gt;0,K181-J181,0)</f>
        <v>0</v>
      </c>
      <c r="M181" s="738">
        <f>IF(M179&gt;0,M66/M179,0)</f>
        <v>0</v>
      </c>
      <c r="N181" s="739">
        <f>IF(N163&gt;0,N66/N179,0)</f>
        <v>0</v>
      </c>
      <c r="O181" s="719">
        <f>IF(N$18&lt;&gt;0,N181-M181,0)</f>
        <v>0</v>
      </c>
      <c r="P181" s="738">
        <f>IF(P179&gt;0,P66/P179,0)</f>
        <v>0</v>
      </c>
      <c r="Q181" s="739">
        <f>IF(Q163&gt;0,Q66/Q179,0)</f>
        <v>0</v>
      </c>
      <c r="R181" s="740">
        <f>IF(Q$18&lt;&gt;0,Q181-P181,0)</f>
        <v>0</v>
      </c>
      <c r="S181" s="738">
        <f>IF(S179&gt;0,S66/S179,0)</f>
        <v>0</v>
      </c>
      <c r="T181" s="739">
        <f>IF(T163&gt;0,T66/T179,0)</f>
        <v>0</v>
      </c>
      <c r="U181" s="741">
        <f>IF(T$18&lt;&gt;0,T181-S181,0)</f>
        <v>0</v>
      </c>
      <c r="V181" s="143"/>
      <c r="W181" s="143"/>
      <c r="X181" s="143"/>
      <c r="Y181" s="137"/>
      <c r="Z181" s="555"/>
      <c r="AA181" s="278"/>
    </row>
    <row r="182" spans="1:27" ht="15">
      <c r="A182" s="479">
        <f t="shared" si="69"/>
        <v>182</v>
      </c>
      <c r="B182" s="81"/>
      <c r="C182" s="82"/>
      <c r="D182" s="82"/>
      <c r="E182" s="82"/>
      <c r="F182" s="82"/>
      <c r="G182" s="59"/>
      <c r="H182" s="509"/>
      <c r="I182" s="735"/>
      <c r="J182" s="735"/>
      <c r="K182" s="735"/>
      <c r="L182" s="735"/>
      <c r="M182" s="735"/>
      <c r="N182" s="735"/>
      <c r="O182" s="735"/>
      <c r="P182" s="735"/>
      <c r="Q182" s="735"/>
      <c r="R182" s="735"/>
      <c r="S182" s="735"/>
      <c r="T182" s="735"/>
      <c r="U182" s="736"/>
      <c r="V182" s="130"/>
      <c r="W182" s="130"/>
      <c r="X182" s="130"/>
      <c r="Y182" s="130"/>
      <c r="Z182" s="131"/>
      <c r="AA182" s="278"/>
    </row>
    <row r="183" spans="1:27" ht="18" thickBot="1">
      <c r="A183" s="479">
        <f t="shared" si="69"/>
        <v>183</v>
      </c>
      <c r="B183" s="125" t="s">
        <v>95</v>
      </c>
      <c r="C183" s="126"/>
      <c r="D183" s="126"/>
      <c r="E183" s="310"/>
      <c r="F183" s="310"/>
      <c r="G183" s="311"/>
      <c r="H183" s="512"/>
      <c r="I183" s="742">
        <f>IF(I179&gt;0,I157/I179,0)</f>
        <v>0</v>
      </c>
      <c r="J183" s="743">
        <f>IF(J179&gt;0,J157/J179,0)</f>
        <v>0</v>
      </c>
      <c r="K183" s="744">
        <f>IF(K163&gt;0,K157/K179,0)</f>
        <v>0</v>
      </c>
      <c r="L183" s="745">
        <f>IF(K$18&lt;&gt;0,J183-K183,0)</f>
        <v>0</v>
      </c>
      <c r="M183" s="743">
        <f>IF(M179&gt;0,M157/M179,0)</f>
        <v>0</v>
      </c>
      <c r="N183" s="744">
        <f>IF(N163&gt;0,N157/N179,0)</f>
        <v>0</v>
      </c>
      <c r="O183" s="745">
        <f>IF(N$18&lt;&gt;0,M183-N183,0)</f>
        <v>0</v>
      </c>
      <c r="P183" s="743">
        <f>IF(P179&gt;0,P157/P179,0)</f>
        <v>0</v>
      </c>
      <c r="Q183" s="744">
        <f>IF(Q163&gt;0,Q157/Q179,0)</f>
        <v>0</v>
      </c>
      <c r="R183" s="745">
        <f>IF(Q$18&lt;&gt;0,P183-Q183,0)</f>
        <v>0</v>
      </c>
      <c r="S183" s="743">
        <f>IF(S179&gt;0,S157/S179,0)</f>
        <v>0</v>
      </c>
      <c r="T183" s="744">
        <f>IF(T163&gt;0,T157/T179,0)</f>
        <v>0</v>
      </c>
      <c r="U183" s="746">
        <f>IF(T$18&lt;&gt;0,S183-T183,0)</f>
        <v>0</v>
      </c>
      <c r="V183" s="315"/>
      <c r="W183" s="315"/>
      <c r="X183" s="315"/>
      <c r="Y183" s="315"/>
      <c r="Z183" s="556"/>
      <c r="AA183" s="747"/>
    </row>
    <row r="184" spans="1:27" ht="16.5" thickTop="1" thickBot="1">
      <c r="A184" s="479">
        <f t="shared" si="69"/>
        <v>184</v>
      </c>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spans="1:27" ht="15.75" thickTop="1">
      <c r="A185" s="479">
        <f t="shared" si="69"/>
        <v>185</v>
      </c>
      <c r="B185" s="877" t="s">
        <v>560</v>
      </c>
      <c r="C185" s="876"/>
      <c r="D185" s="876"/>
      <c r="E185" s="969"/>
      <c r="F185" s="972"/>
      <c r="G185" s="972"/>
      <c r="H185" s="973"/>
      <c r="I185" s="973"/>
      <c r="J185" s="875"/>
      <c r="K185" s="875"/>
      <c r="L185" s="875"/>
      <c r="M185" s="875"/>
      <c r="N185" s="875"/>
      <c r="O185" s="875"/>
      <c r="P185" s="875"/>
      <c r="Q185" s="875"/>
      <c r="R185" s="875"/>
      <c r="S185" s="875"/>
      <c r="T185" s="875"/>
      <c r="U185" s="874"/>
      <c r="V185" s="643"/>
      <c r="W185" s="875"/>
      <c r="X185" s="875"/>
      <c r="Y185" s="875"/>
      <c r="Z185" s="875"/>
      <c r="AA185" s="870"/>
    </row>
    <row r="186" spans="1:27" ht="15">
      <c r="A186" s="479">
        <f t="shared" si="69"/>
        <v>186</v>
      </c>
      <c r="B186" s="963"/>
      <c r="C186" s="966" t="s">
        <v>570</v>
      </c>
      <c r="D186" s="964"/>
      <c r="E186" s="959"/>
      <c r="F186" s="960"/>
      <c r="G186" s="960"/>
      <c r="H186" s="961"/>
      <c r="I186" s="961"/>
      <c r="J186" s="961"/>
      <c r="K186" s="961"/>
      <c r="L186" s="30"/>
      <c r="M186" s="961"/>
      <c r="N186" s="961"/>
      <c r="O186" s="30"/>
      <c r="P186" s="961"/>
      <c r="Q186" s="961"/>
      <c r="R186" s="30"/>
      <c r="S186" s="961"/>
      <c r="T186" s="30"/>
      <c r="U186" s="748"/>
      <c r="V186" s="869"/>
      <c r="W186" s="961"/>
      <c r="X186" s="30"/>
      <c r="Y186" s="961"/>
      <c r="Z186" s="961"/>
      <c r="AA186" s="748"/>
    </row>
    <row r="187" spans="1:27" ht="15">
      <c r="A187" s="479">
        <f t="shared" si="69"/>
        <v>187</v>
      </c>
      <c r="B187" s="963"/>
      <c r="C187" s="964"/>
      <c r="D187" s="1061" t="s">
        <v>561</v>
      </c>
      <c r="E187" s="1061"/>
      <c r="F187" s="1061"/>
      <c r="G187" s="1061"/>
      <c r="H187" s="961"/>
      <c r="I187" s="949">
        <v>0</v>
      </c>
      <c r="J187" s="952">
        <v>0</v>
      </c>
      <c r="K187" s="984">
        <v>0</v>
      </c>
      <c r="L187" s="661">
        <f>IF(K$18&lt;&gt;0,J187-K187,0)</f>
        <v>0</v>
      </c>
      <c r="M187" s="984">
        <v>0</v>
      </c>
      <c r="N187" s="984">
        <v>0</v>
      </c>
      <c r="O187" s="661">
        <f>IF(N$18&lt;&gt;0,M187-N187,0)</f>
        <v>0</v>
      </c>
      <c r="P187" s="984">
        <v>0</v>
      </c>
      <c r="Q187" s="984">
        <v>0</v>
      </c>
      <c r="R187" s="661">
        <f>IF(Q$18&lt;&gt;0,P187-Q187,0)</f>
        <v>0</v>
      </c>
      <c r="S187" s="984">
        <v>0</v>
      </c>
      <c r="T187" s="984">
        <v>0</v>
      </c>
      <c r="U187" s="662">
        <f>IF(T$18&lt;&gt;0,S187-T187,0)</f>
        <v>0</v>
      </c>
      <c r="V187" s="663">
        <f>J187+M187+P187+S187</f>
        <v>0</v>
      </c>
      <c r="W187" s="664">
        <f>SUM(IF(K$6&lt;&gt;0,K187,J187)+IF(N$6&lt;&gt;0,N187,M187)+IF(Q$6&lt;&gt;0,Q187,P187)+IF(T$6&lt;&gt;0,T187,S187))</f>
        <v>0</v>
      </c>
      <c r="X187" s="660">
        <f>IF(W$18&lt;&gt;0,V187-W187,0)</f>
        <v>0</v>
      </c>
      <c r="Y187" s="660">
        <f>V187-I187</f>
        <v>0</v>
      </c>
      <c r="Z187" s="707">
        <f>W187-I187</f>
        <v>0</v>
      </c>
      <c r="AA187" s="868"/>
    </row>
    <row r="188" spans="1:27" ht="15">
      <c r="A188" s="479">
        <f t="shared" si="69"/>
        <v>188</v>
      </c>
      <c r="B188" s="963"/>
      <c r="C188" s="964"/>
      <c r="D188" s="1061" t="s">
        <v>29</v>
      </c>
      <c r="E188" s="1061"/>
      <c r="F188" s="1061"/>
      <c r="G188" s="1061"/>
      <c r="H188" s="961"/>
      <c r="I188" s="948">
        <v>0</v>
      </c>
      <c r="J188" s="951">
        <v>0</v>
      </c>
      <c r="K188" s="985">
        <v>0</v>
      </c>
      <c r="L188" s="661">
        <f>IF(K$18&lt;&gt;0,J188-K188,0)</f>
        <v>0</v>
      </c>
      <c r="M188" s="985">
        <v>0</v>
      </c>
      <c r="N188" s="985">
        <v>0</v>
      </c>
      <c r="O188" s="661">
        <f>IF(N$18&lt;&gt;0,M188-N188,0)</f>
        <v>0</v>
      </c>
      <c r="P188" s="985">
        <v>0</v>
      </c>
      <c r="Q188" s="985">
        <v>0</v>
      </c>
      <c r="R188" s="661">
        <f>IF(Q$18&lt;&gt;0,P188-Q188,0)</f>
        <v>0</v>
      </c>
      <c r="S188" s="985">
        <v>0</v>
      </c>
      <c r="T188" s="985">
        <v>0</v>
      </c>
      <c r="U188" s="662">
        <f>IF(T$18&lt;&gt;0,S188-T188,0)</f>
        <v>0</v>
      </c>
      <c r="V188" s="663">
        <f>J188+M188+P188+S188</f>
        <v>0</v>
      </c>
      <c r="W188" s="664">
        <f>SUM(IF(K$6&lt;&gt;0,K188,J188)+IF(N$6&lt;&gt;0,N188,M188)+IF(Q$6&lt;&gt;0,Q188,P188)+IF(T$6&lt;&gt;0,T188,S188))</f>
        <v>0</v>
      </c>
      <c r="X188" s="660">
        <f>IF(W$18&lt;&gt;0,V188-W188,0)</f>
        <v>0</v>
      </c>
      <c r="Y188" s="660">
        <f>V188-I188</f>
        <v>0</v>
      </c>
      <c r="Z188" s="707">
        <f>W188-I188</f>
        <v>0</v>
      </c>
      <c r="AA188" s="868"/>
    </row>
    <row r="189" spans="1:27" ht="15">
      <c r="A189" s="479">
        <f t="shared" si="69"/>
        <v>189</v>
      </c>
      <c r="B189" s="963"/>
      <c r="C189" s="964" t="s">
        <v>562</v>
      </c>
      <c r="D189" s="974"/>
      <c r="E189" s="975"/>
      <c r="F189" s="960"/>
      <c r="G189" s="960"/>
      <c r="H189" s="961"/>
      <c r="I189" s="947">
        <f>SUM(I187:I188)</f>
        <v>0</v>
      </c>
      <c r="J189" s="950">
        <f t="shared" ref="J189:X189" si="89">SUM(J187:J188)</f>
        <v>0</v>
      </c>
      <c r="K189" s="976">
        <f t="shared" si="89"/>
        <v>0</v>
      </c>
      <c r="L189" s="976">
        <f t="shared" si="89"/>
        <v>0</v>
      </c>
      <c r="M189" s="976">
        <f t="shared" si="89"/>
        <v>0</v>
      </c>
      <c r="N189" s="976">
        <f t="shared" si="89"/>
        <v>0</v>
      </c>
      <c r="O189" s="976">
        <f t="shared" si="89"/>
        <v>0</v>
      </c>
      <c r="P189" s="976">
        <f t="shared" si="89"/>
        <v>0</v>
      </c>
      <c r="Q189" s="976">
        <f t="shared" si="89"/>
        <v>0</v>
      </c>
      <c r="R189" s="976">
        <f t="shared" si="89"/>
        <v>0</v>
      </c>
      <c r="S189" s="976">
        <f t="shared" si="89"/>
        <v>0</v>
      </c>
      <c r="T189" s="976">
        <f t="shared" si="89"/>
        <v>0</v>
      </c>
      <c r="U189" s="873">
        <f t="shared" si="89"/>
        <v>0</v>
      </c>
      <c r="V189" s="867">
        <f t="shared" si="89"/>
        <v>0</v>
      </c>
      <c r="W189" s="976">
        <f t="shared" si="89"/>
        <v>0</v>
      </c>
      <c r="X189" s="860">
        <f t="shared" si="89"/>
        <v>0</v>
      </c>
      <c r="Y189" s="860">
        <f>SUM(Y187:Y188)</f>
        <v>0</v>
      </c>
      <c r="Z189" s="940">
        <f>SUM(Z187:Z188)</f>
        <v>0</v>
      </c>
      <c r="AA189" s="868"/>
    </row>
    <row r="190" spans="1:27" ht="15">
      <c r="A190" s="479">
        <f t="shared" si="69"/>
        <v>190</v>
      </c>
      <c r="B190" s="963"/>
      <c r="C190" s="964" t="s">
        <v>574</v>
      </c>
      <c r="D190" s="974"/>
      <c r="E190" s="975"/>
      <c r="F190" s="960"/>
      <c r="G190" s="960"/>
      <c r="H190" s="961"/>
      <c r="I190" s="977"/>
      <c r="J190" s="977"/>
      <c r="K190" s="977"/>
      <c r="L190" s="30"/>
      <c r="M190" s="977"/>
      <c r="N190" s="977"/>
      <c r="O190" s="30"/>
      <c r="P190" s="977"/>
      <c r="Q190" s="977"/>
      <c r="R190" s="30"/>
      <c r="S190" s="977"/>
      <c r="T190" s="977"/>
      <c r="U190" s="748"/>
      <c r="V190" s="866"/>
      <c r="W190" s="977"/>
      <c r="X190" s="30"/>
      <c r="Y190" s="977"/>
      <c r="Z190" s="977"/>
      <c r="AA190" s="868"/>
    </row>
    <row r="191" spans="1:27" ht="15">
      <c r="A191" s="479">
        <f t="shared" si="69"/>
        <v>191</v>
      </c>
      <c r="B191" s="963"/>
      <c r="C191" s="964"/>
      <c r="D191" s="1061" t="s">
        <v>563</v>
      </c>
      <c r="E191" s="1061"/>
      <c r="F191" s="1061"/>
      <c r="G191" s="1061"/>
      <c r="H191" s="961"/>
      <c r="I191" s="945">
        <v>0</v>
      </c>
      <c r="J191" s="946">
        <v>0</v>
      </c>
      <c r="K191" s="965">
        <v>0</v>
      </c>
      <c r="L191" s="661">
        <f>IF(K$18&lt;&gt;0,J191-K191,0)</f>
        <v>0</v>
      </c>
      <c r="M191" s="965">
        <v>0</v>
      </c>
      <c r="N191" s="965">
        <v>0</v>
      </c>
      <c r="O191" s="661">
        <f>IF(N$18&lt;&gt;0,M191-N191,0)</f>
        <v>0</v>
      </c>
      <c r="P191" s="965">
        <v>0</v>
      </c>
      <c r="Q191" s="965">
        <v>0</v>
      </c>
      <c r="R191" s="661">
        <f>IF(Q$18&lt;&gt;0,P191-Q191,0)</f>
        <v>0</v>
      </c>
      <c r="S191" s="965">
        <v>0</v>
      </c>
      <c r="T191" s="965">
        <v>0</v>
      </c>
      <c r="U191" s="662">
        <f>IF(T$18&lt;&gt;0,S191-T191,0)</f>
        <v>0</v>
      </c>
      <c r="V191" s="663">
        <f>J191+M191+P191+S191</f>
        <v>0</v>
      </c>
      <c r="W191" s="664">
        <f>SUM(IF(K$6&lt;&gt;0,K191,J191)+IF(N$6&lt;&gt;0,N191,M191)+IF(Q$6&lt;&gt;0,Q191,P191)+IF(T$6&lt;&gt;0,T191,S191))</f>
        <v>0</v>
      </c>
      <c r="X191" s="660">
        <f>IF(W$18&lt;&gt;0,V191-W191,0)</f>
        <v>0</v>
      </c>
      <c r="Y191" s="660">
        <f>V191-I191</f>
        <v>0</v>
      </c>
      <c r="Z191" s="707">
        <f>W191-I191</f>
        <v>0</v>
      </c>
      <c r="AA191" s="868"/>
    </row>
    <row r="192" spans="1:27" ht="15">
      <c r="A192" s="479">
        <f t="shared" si="69"/>
        <v>192</v>
      </c>
      <c r="B192" s="963"/>
      <c r="C192" s="964"/>
      <c r="D192" s="1061" t="s">
        <v>29</v>
      </c>
      <c r="E192" s="1061"/>
      <c r="F192" s="1061"/>
      <c r="G192" s="1061"/>
      <c r="H192" s="961"/>
      <c r="I192" s="949">
        <v>0</v>
      </c>
      <c r="J192" s="952">
        <v>0</v>
      </c>
      <c r="K192" s="984">
        <v>0</v>
      </c>
      <c r="L192" s="661">
        <f>IF(K$18&lt;&gt;0,J192-K192,0)</f>
        <v>0</v>
      </c>
      <c r="M192" s="984">
        <v>0</v>
      </c>
      <c r="N192" s="984">
        <v>0</v>
      </c>
      <c r="O192" s="661">
        <f>IF(N$18&lt;&gt;0,M192-N192,0)</f>
        <v>0</v>
      </c>
      <c r="P192" s="984">
        <v>0</v>
      </c>
      <c r="Q192" s="984">
        <v>0</v>
      </c>
      <c r="R192" s="661">
        <f>IF(Q$18&lt;&gt;0,P192-Q192,0)</f>
        <v>0</v>
      </c>
      <c r="S192" s="984">
        <v>0</v>
      </c>
      <c r="T192" s="984">
        <v>0</v>
      </c>
      <c r="U192" s="662">
        <f>IF(T$18&lt;&gt;0,S192-T192,0)</f>
        <v>0</v>
      </c>
      <c r="V192" s="663">
        <f>J192+M192+P192+S192</f>
        <v>0</v>
      </c>
      <c r="W192" s="664">
        <f>SUM(IF(K$6&lt;&gt;0,K192,J192)+IF(N$6&lt;&gt;0,N192,M192)+IF(Q$6&lt;&gt;0,Q192,P192)+IF(T$6&lt;&gt;0,T192,S192))</f>
        <v>0</v>
      </c>
      <c r="X192" s="660">
        <f>IF(W$18&lt;&gt;0,V192-W192,0)</f>
        <v>0</v>
      </c>
      <c r="Y192" s="660">
        <f>V192-I192</f>
        <v>0</v>
      </c>
      <c r="Z192" s="707">
        <f>W192-I192</f>
        <v>0</v>
      </c>
      <c r="AA192" s="868"/>
    </row>
    <row r="193" spans="1:27" ht="15">
      <c r="A193" s="479">
        <f t="shared" si="69"/>
        <v>193</v>
      </c>
      <c r="B193" s="963"/>
      <c r="C193" s="964" t="s">
        <v>564</v>
      </c>
      <c r="D193" s="974"/>
      <c r="E193" s="975"/>
      <c r="F193" s="960"/>
      <c r="G193" s="960"/>
      <c r="H193" s="961"/>
      <c r="I193" s="947">
        <f t="shared" ref="I193:Z193" si="90">SUM(I191:I192)</f>
        <v>0</v>
      </c>
      <c r="J193" s="950">
        <f t="shared" si="90"/>
        <v>0</v>
      </c>
      <c r="K193" s="976">
        <f t="shared" si="90"/>
        <v>0</v>
      </c>
      <c r="L193" s="976">
        <f t="shared" si="90"/>
        <v>0</v>
      </c>
      <c r="M193" s="976">
        <f t="shared" si="90"/>
        <v>0</v>
      </c>
      <c r="N193" s="976">
        <f t="shared" si="90"/>
        <v>0</v>
      </c>
      <c r="O193" s="976">
        <f t="shared" si="90"/>
        <v>0</v>
      </c>
      <c r="P193" s="976">
        <f t="shared" si="90"/>
        <v>0</v>
      </c>
      <c r="Q193" s="976">
        <f t="shared" si="90"/>
        <v>0</v>
      </c>
      <c r="R193" s="976">
        <f t="shared" si="90"/>
        <v>0</v>
      </c>
      <c r="S193" s="976">
        <f t="shared" si="90"/>
        <v>0</v>
      </c>
      <c r="T193" s="976">
        <f t="shared" si="90"/>
        <v>0</v>
      </c>
      <c r="U193" s="873">
        <f t="shared" si="90"/>
        <v>0</v>
      </c>
      <c r="V193" s="867">
        <f t="shared" si="90"/>
        <v>0</v>
      </c>
      <c r="W193" s="976">
        <f t="shared" si="90"/>
        <v>0</v>
      </c>
      <c r="X193" s="860">
        <f t="shared" si="90"/>
        <v>0</v>
      </c>
      <c r="Y193" s="860">
        <f t="shared" si="90"/>
        <v>0</v>
      </c>
      <c r="Z193" s="940">
        <f t="shared" si="90"/>
        <v>0</v>
      </c>
      <c r="AA193" s="868"/>
    </row>
    <row r="194" spans="1:27" ht="15">
      <c r="A194" s="479">
        <f t="shared" si="69"/>
        <v>194</v>
      </c>
      <c r="B194" s="963"/>
      <c r="C194" s="964" t="s">
        <v>575</v>
      </c>
      <c r="D194" s="974"/>
      <c r="E194" s="975"/>
      <c r="F194" s="960"/>
      <c r="G194" s="962"/>
      <c r="H194" s="961"/>
      <c r="I194" s="977"/>
      <c r="J194" s="977"/>
      <c r="K194" s="977"/>
      <c r="L194" s="30"/>
      <c r="M194" s="977"/>
      <c r="N194" s="977"/>
      <c r="O194" s="30"/>
      <c r="P194" s="977"/>
      <c r="Q194" s="977"/>
      <c r="R194" s="30"/>
      <c r="S194" s="977"/>
      <c r="T194" s="977"/>
      <c r="U194" s="748"/>
      <c r="V194" s="866"/>
      <c r="W194" s="977"/>
      <c r="X194" s="30"/>
      <c r="Y194" s="977"/>
      <c r="Z194" s="977"/>
      <c r="AA194" s="868"/>
    </row>
    <row r="195" spans="1:27" ht="15">
      <c r="A195" s="479">
        <f t="shared" si="69"/>
        <v>195</v>
      </c>
      <c r="B195" s="963"/>
      <c r="C195" s="964"/>
      <c r="D195" s="1061" t="s">
        <v>565</v>
      </c>
      <c r="E195" s="1061"/>
      <c r="F195" s="1061"/>
      <c r="G195" s="1061"/>
      <c r="H195" s="961"/>
      <c r="I195" s="949">
        <v>0</v>
      </c>
      <c r="J195" s="952">
        <v>0</v>
      </c>
      <c r="K195" s="984">
        <v>0</v>
      </c>
      <c r="L195" s="661">
        <f>IF(K$18&lt;&gt;0,J195-K195,0)</f>
        <v>0</v>
      </c>
      <c r="M195" s="984">
        <v>0</v>
      </c>
      <c r="N195" s="984">
        <v>0</v>
      </c>
      <c r="O195" s="661">
        <f>IF(N$18&lt;&gt;0,M195-N195,0)</f>
        <v>0</v>
      </c>
      <c r="P195" s="984">
        <v>0</v>
      </c>
      <c r="Q195" s="984">
        <v>0</v>
      </c>
      <c r="R195" s="661">
        <f>IF(Q$18&lt;&gt;0,P195-Q195,0)</f>
        <v>0</v>
      </c>
      <c r="S195" s="984">
        <v>0</v>
      </c>
      <c r="T195" s="984">
        <v>0</v>
      </c>
      <c r="U195" s="662">
        <f>IF(T$18&lt;&gt;0,S195-T195,0)</f>
        <v>0</v>
      </c>
      <c r="V195" s="663">
        <f>J195+M195+P195+S195</f>
        <v>0</v>
      </c>
      <c r="W195" s="664">
        <f>SUM(IF(K$6&lt;&gt;0,K195,J195)+IF(N$6&lt;&gt;0,N195,M195)+IF(Q$6&lt;&gt;0,Q195,P195)+IF(T$6&lt;&gt;0,T195,S195))</f>
        <v>0</v>
      </c>
      <c r="X195" s="660">
        <f>IF(W$18&lt;&gt;0,V195-W195,0)</f>
        <v>0</v>
      </c>
      <c r="Y195" s="660">
        <f>V195-I195</f>
        <v>0</v>
      </c>
      <c r="Z195" s="707">
        <f>W195-I195</f>
        <v>0</v>
      </c>
      <c r="AA195" s="868"/>
    </row>
    <row r="196" spans="1:27" ht="15">
      <c r="A196" s="479">
        <f t="shared" ref="A196:A205" si="91">A195+1</f>
        <v>196</v>
      </c>
      <c r="B196" s="963"/>
      <c r="C196" s="964"/>
      <c r="D196" s="1061" t="s">
        <v>29</v>
      </c>
      <c r="E196" s="1061"/>
      <c r="F196" s="1061"/>
      <c r="G196" s="1061"/>
      <c r="H196" s="961"/>
      <c r="I196" s="949">
        <v>0</v>
      </c>
      <c r="J196" s="952">
        <v>0</v>
      </c>
      <c r="K196" s="984">
        <v>0</v>
      </c>
      <c r="L196" s="661">
        <f>IF(K$18&lt;&gt;0,J196-K196,0)</f>
        <v>0</v>
      </c>
      <c r="M196" s="984">
        <v>0</v>
      </c>
      <c r="N196" s="984">
        <v>0</v>
      </c>
      <c r="O196" s="661">
        <f>IF(N$18&lt;&gt;0,M196-N196,0)</f>
        <v>0</v>
      </c>
      <c r="P196" s="984">
        <v>0</v>
      </c>
      <c r="Q196" s="984">
        <v>0</v>
      </c>
      <c r="R196" s="661">
        <f>IF(Q$18&lt;&gt;0,P196-Q196,0)</f>
        <v>0</v>
      </c>
      <c r="S196" s="984">
        <v>0</v>
      </c>
      <c r="T196" s="984">
        <v>0</v>
      </c>
      <c r="U196" s="662">
        <f>IF(T$18&lt;&gt;0,S196-T196,0)</f>
        <v>0</v>
      </c>
      <c r="V196" s="663">
        <f>J196+M196+P196+S196</f>
        <v>0</v>
      </c>
      <c r="W196" s="664">
        <f>SUM(IF(K$6&lt;&gt;0,K196,J196)+IF(N$6&lt;&gt;0,N196,M196)+IF(Q$6&lt;&gt;0,Q196,P196)+IF(T$6&lt;&gt;0,T196,S196))</f>
        <v>0</v>
      </c>
      <c r="X196" s="660">
        <f>IF(W$18&lt;&gt;0,V196-W196,0)</f>
        <v>0</v>
      </c>
      <c r="Y196" s="660">
        <f>V196-I196</f>
        <v>0</v>
      </c>
      <c r="Z196" s="707">
        <f>W196-I196</f>
        <v>0</v>
      </c>
      <c r="AA196" s="868"/>
    </row>
    <row r="197" spans="1:27" ht="15">
      <c r="A197" s="479">
        <f t="shared" si="91"/>
        <v>197</v>
      </c>
      <c r="B197" s="963"/>
      <c r="C197" s="964" t="s">
        <v>566</v>
      </c>
      <c r="D197" s="964"/>
      <c r="E197" s="959"/>
      <c r="F197" s="960"/>
      <c r="G197" s="960"/>
      <c r="H197" s="961"/>
      <c r="I197" s="947">
        <f t="shared" ref="I197:Z197" si="92">SUM(I195:I196)</f>
        <v>0</v>
      </c>
      <c r="J197" s="950">
        <f t="shared" si="92"/>
        <v>0</v>
      </c>
      <c r="K197" s="976">
        <f t="shared" si="92"/>
        <v>0</v>
      </c>
      <c r="L197" s="976">
        <f t="shared" si="92"/>
        <v>0</v>
      </c>
      <c r="M197" s="976">
        <f t="shared" si="92"/>
        <v>0</v>
      </c>
      <c r="N197" s="976">
        <f t="shared" si="92"/>
        <v>0</v>
      </c>
      <c r="O197" s="976">
        <f t="shared" si="92"/>
        <v>0</v>
      </c>
      <c r="P197" s="976">
        <f t="shared" si="92"/>
        <v>0</v>
      </c>
      <c r="Q197" s="976">
        <f t="shared" si="92"/>
        <v>0</v>
      </c>
      <c r="R197" s="976">
        <f t="shared" si="92"/>
        <v>0</v>
      </c>
      <c r="S197" s="976">
        <f t="shared" si="92"/>
        <v>0</v>
      </c>
      <c r="T197" s="976">
        <f t="shared" si="92"/>
        <v>0</v>
      </c>
      <c r="U197" s="873">
        <f t="shared" si="92"/>
        <v>0</v>
      </c>
      <c r="V197" s="867">
        <f t="shared" si="92"/>
        <v>0</v>
      </c>
      <c r="W197" s="976">
        <f t="shared" si="92"/>
        <v>0</v>
      </c>
      <c r="X197" s="860">
        <f t="shared" si="92"/>
        <v>0</v>
      </c>
      <c r="Y197" s="939">
        <f t="shared" si="92"/>
        <v>0</v>
      </c>
      <c r="Z197" s="938">
        <f t="shared" si="92"/>
        <v>0</v>
      </c>
      <c r="AA197" s="868"/>
    </row>
    <row r="198" spans="1:27" ht="15">
      <c r="A198" s="479">
        <f t="shared" si="91"/>
        <v>198</v>
      </c>
      <c r="B198" s="963"/>
      <c r="C198" s="964"/>
      <c r="D198" s="964"/>
      <c r="E198" s="959"/>
      <c r="F198" s="960"/>
      <c r="G198" s="960"/>
      <c r="H198" s="961"/>
      <c r="I198" s="977"/>
      <c r="J198" s="977"/>
      <c r="K198" s="977"/>
      <c r="L198" s="30"/>
      <c r="M198" s="977"/>
      <c r="N198" s="977"/>
      <c r="O198" s="30"/>
      <c r="P198" s="977"/>
      <c r="Q198" s="977"/>
      <c r="R198" s="30"/>
      <c r="S198" s="977"/>
      <c r="T198" s="977"/>
      <c r="U198" s="748"/>
      <c r="V198" s="866"/>
      <c r="W198" s="977"/>
      <c r="X198" s="30"/>
      <c r="Y198" s="977"/>
      <c r="Z198" s="977"/>
      <c r="AA198" s="868"/>
    </row>
    <row r="199" spans="1:27" ht="15">
      <c r="A199" s="479">
        <f t="shared" si="91"/>
        <v>199</v>
      </c>
      <c r="B199" s="957" t="s">
        <v>567</v>
      </c>
      <c r="C199" s="978"/>
      <c r="D199" s="978"/>
      <c r="E199" s="958"/>
      <c r="F199" s="979"/>
      <c r="G199" s="960"/>
      <c r="H199" s="961"/>
      <c r="I199" s="943">
        <f>I189+I193+I197</f>
        <v>0</v>
      </c>
      <c r="J199" s="944">
        <f t="shared" ref="J199:Z199" si="93">J189+J193+J197</f>
        <v>0</v>
      </c>
      <c r="K199" s="980">
        <f t="shared" si="93"/>
        <v>0</v>
      </c>
      <c r="L199" s="980">
        <f t="shared" si="93"/>
        <v>0</v>
      </c>
      <c r="M199" s="980">
        <f t="shared" si="93"/>
        <v>0</v>
      </c>
      <c r="N199" s="980">
        <f t="shared" si="93"/>
        <v>0</v>
      </c>
      <c r="O199" s="980">
        <f t="shared" si="93"/>
        <v>0</v>
      </c>
      <c r="P199" s="980">
        <f t="shared" si="93"/>
        <v>0</v>
      </c>
      <c r="Q199" s="980">
        <f t="shared" si="93"/>
        <v>0</v>
      </c>
      <c r="R199" s="980">
        <f t="shared" si="93"/>
        <v>0</v>
      </c>
      <c r="S199" s="980">
        <f t="shared" si="93"/>
        <v>0</v>
      </c>
      <c r="T199" s="980">
        <f t="shared" si="93"/>
        <v>0</v>
      </c>
      <c r="U199" s="872">
        <f t="shared" si="93"/>
        <v>0</v>
      </c>
      <c r="V199" s="865">
        <f t="shared" si="93"/>
        <v>0</v>
      </c>
      <c r="W199" s="980">
        <f t="shared" si="93"/>
        <v>0</v>
      </c>
      <c r="X199" s="937">
        <f t="shared" si="93"/>
        <v>0</v>
      </c>
      <c r="Y199" s="936">
        <f t="shared" si="93"/>
        <v>0</v>
      </c>
      <c r="Z199" s="935">
        <f t="shared" si="93"/>
        <v>0</v>
      </c>
      <c r="AA199" s="868"/>
    </row>
    <row r="200" spans="1:27" ht="15">
      <c r="A200" s="479">
        <f t="shared" si="91"/>
        <v>200</v>
      </c>
      <c r="B200" s="963"/>
      <c r="C200" s="964"/>
      <c r="D200" s="964"/>
      <c r="E200" s="959"/>
      <c r="F200" s="960"/>
      <c r="G200" s="960"/>
      <c r="H200" s="961"/>
      <c r="I200" s="977"/>
      <c r="J200" s="977"/>
      <c r="K200" s="977"/>
      <c r="L200" s="30"/>
      <c r="M200" s="977"/>
      <c r="N200" s="977"/>
      <c r="O200" s="30"/>
      <c r="P200" s="977"/>
      <c r="Q200" s="977"/>
      <c r="R200" s="30"/>
      <c r="S200" s="977"/>
      <c r="T200" s="977"/>
      <c r="U200" s="748"/>
      <c r="V200" s="866"/>
      <c r="W200" s="977"/>
      <c r="X200" s="30"/>
      <c r="Y200" s="977"/>
      <c r="Z200" s="977"/>
      <c r="AA200" s="868"/>
    </row>
    <row r="201" spans="1:27" ht="15">
      <c r="A201" s="479">
        <f t="shared" si="91"/>
        <v>201</v>
      </c>
      <c r="B201" s="957" t="s">
        <v>96</v>
      </c>
      <c r="C201" s="978"/>
      <c r="D201" s="978"/>
      <c r="E201" s="958"/>
      <c r="F201" s="979"/>
      <c r="G201" s="960"/>
      <c r="H201" s="961"/>
      <c r="I201" s="943">
        <f t="shared" ref="I201:Z201" si="94">I159+I199</f>
        <v>0</v>
      </c>
      <c r="J201" s="944">
        <f t="shared" si="94"/>
        <v>0</v>
      </c>
      <c r="K201" s="980">
        <f t="shared" si="94"/>
        <v>0</v>
      </c>
      <c r="L201" s="980">
        <f t="shared" si="94"/>
        <v>0</v>
      </c>
      <c r="M201" s="980">
        <f t="shared" si="94"/>
        <v>0</v>
      </c>
      <c r="N201" s="980">
        <f t="shared" si="94"/>
        <v>0</v>
      </c>
      <c r="O201" s="980">
        <f t="shared" si="94"/>
        <v>0</v>
      </c>
      <c r="P201" s="980">
        <f t="shared" si="94"/>
        <v>0</v>
      </c>
      <c r="Q201" s="980">
        <f t="shared" si="94"/>
        <v>0</v>
      </c>
      <c r="R201" s="980">
        <f t="shared" si="94"/>
        <v>0</v>
      </c>
      <c r="S201" s="980">
        <f t="shared" si="94"/>
        <v>0</v>
      </c>
      <c r="T201" s="980">
        <f t="shared" si="94"/>
        <v>0</v>
      </c>
      <c r="U201" s="872">
        <f t="shared" si="94"/>
        <v>0</v>
      </c>
      <c r="V201" s="865">
        <f t="shared" si="94"/>
        <v>0</v>
      </c>
      <c r="W201" s="980">
        <f t="shared" si="94"/>
        <v>0</v>
      </c>
      <c r="X201" s="937">
        <f t="shared" si="94"/>
        <v>0</v>
      </c>
      <c r="Y201" s="936">
        <f t="shared" si="94"/>
        <v>0</v>
      </c>
      <c r="Z201" s="935">
        <f t="shared" si="94"/>
        <v>0</v>
      </c>
      <c r="AA201" s="868"/>
    </row>
    <row r="202" spans="1:27" ht="15">
      <c r="A202" s="479">
        <f t="shared" si="91"/>
        <v>202</v>
      </c>
      <c r="B202" s="963"/>
      <c r="C202" s="964"/>
      <c r="D202" s="964"/>
      <c r="E202" s="959"/>
      <c r="F202" s="960"/>
      <c r="G202" s="960"/>
      <c r="H202" s="961"/>
      <c r="I202" s="977"/>
      <c r="J202" s="977"/>
      <c r="K202" s="977"/>
      <c r="L202" s="30"/>
      <c r="M202" s="977"/>
      <c r="N202" s="977"/>
      <c r="O202" s="30"/>
      <c r="P202" s="977"/>
      <c r="Q202" s="977"/>
      <c r="R202" s="30"/>
      <c r="S202" s="977"/>
      <c r="T202" s="977"/>
      <c r="U202" s="748"/>
      <c r="V202" s="866"/>
      <c r="W202" s="977"/>
      <c r="X202" s="30"/>
      <c r="Y202" s="977"/>
      <c r="Z202" s="977"/>
      <c r="AA202" s="868"/>
    </row>
    <row r="203" spans="1:27" ht="15">
      <c r="A203" s="479">
        <f t="shared" si="91"/>
        <v>203</v>
      </c>
      <c r="B203" s="957" t="s">
        <v>568</v>
      </c>
      <c r="C203" s="959"/>
      <c r="D203" s="959"/>
      <c r="E203" s="959"/>
      <c r="F203" s="960"/>
      <c r="G203" s="960"/>
      <c r="H203" s="961"/>
      <c r="I203" s="949">
        <v>0</v>
      </c>
      <c r="J203" s="944">
        <f>I205</f>
        <v>0</v>
      </c>
      <c r="K203" s="980">
        <f>IF(K9&lt;&gt;0,J203,0)</f>
        <v>0</v>
      </c>
      <c r="L203" s="661">
        <f>IF(K$18&lt;&gt;0,J203-K203,0)</f>
        <v>0</v>
      </c>
      <c r="M203" s="980">
        <f>J205</f>
        <v>0</v>
      </c>
      <c r="N203" s="980">
        <f>IF(N9&lt;&gt;0,M203,0)</f>
        <v>0</v>
      </c>
      <c r="O203" s="661">
        <f>IF(N$18&lt;&gt;0,M203-N203,0)</f>
        <v>0</v>
      </c>
      <c r="P203" s="980">
        <f>M205</f>
        <v>0</v>
      </c>
      <c r="Q203" s="980">
        <f>IF(Q9&lt;&gt;0,P203,0)</f>
        <v>0</v>
      </c>
      <c r="R203" s="661">
        <f>IF(Q$18&lt;&gt;0,P203-Q203,0)</f>
        <v>0</v>
      </c>
      <c r="S203" s="980">
        <f>P205</f>
        <v>0</v>
      </c>
      <c r="T203" s="980">
        <f>IF(T9&lt;&gt;0,S203,0)</f>
        <v>0</v>
      </c>
      <c r="U203" s="662">
        <f>IF(T$18&lt;&gt;0,S203-T203,0)</f>
        <v>0</v>
      </c>
      <c r="V203" s="865">
        <f>J203</f>
        <v>0</v>
      </c>
      <c r="W203" s="664">
        <f>SUM(IF(K$6&lt;&gt;0,K203,J203))</f>
        <v>0</v>
      </c>
      <c r="X203" s="660">
        <f>IF(W$18&lt;&gt;0,V203-W203,0)</f>
        <v>0</v>
      </c>
      <c r="Y203" s="660">
        <f>V203-I203</f>
        <v>0</v>
      </c>
      <c r="Z203" s="707">
        <f>W203-I203</f>
        <v>0</v>
      </c>
      <c r="AA203" s="868"/>
    </row>
    <row r="204" spans="1:27" ht="15">
      <c r="A204" s="479">
        <f t="shared" si="91"/>
        <v>204</v>
      </c>
      <c r="B204" s="963"/>
      <c r="C204" s="964"/>
      <c r="D204" s="964"/>
      <c r="E204" s="959"/>
      <c r="F204" s="960"/>
      <c r="G204" s="960"/>
      <c r="H204" s="961"/>
      <c r="I204" s="970"/>
      <c r="J204" s="970"/>
      <c r="K204" s="970"/>
      <c r="L204" s="30"/>
      <c r="M204" s="970"/>
      <c r="N204" s="970"/>
      <c r="O204" s="30"/>
      <c r="P204" s="970"/>
      <c r="Q204" s="970"/>
      <c r="R204" s="30"/>
      <c r="S204" s="970"/>
      <c r="T204" s="970"/>
      <c r="U204" s="748"/>
      <c r="V204" s="864"/>
      <c r="W204" s="970"/>
      <c r="X204" s="30"/>
      <c r="Y204" s="970"/>
      <c r="Z204" s="970"/>
      <c r="AA204" s="868"/>
    </row>
    <row r="205" spans="1:27" ht="15.75" thickBot="1">
      <c r="A205" s="479">
        <f t="shared" si="91"/>
        <v>205</v>
      </c>
      <c r="B205" s="967" t="s">
        <v>569</v>
      </c>
      <c r="C205" s="968"/>
      <c r="D205" s="968"/>
      <c r="E205" s="968"/>
      <c r="F205" s="981"/>
      <c r="G205" s="971"/>
      <c r="H205" s="982"/>
      <c r="I205" s="941">
        <f>I201+I203</f>
        <v>0</v>
      </c>
      <c r="J205" s="942">
        <f t="shared" ref="J205:Z205" si="95">J201+J203</f>
        <v>0</v>
      </c>
      <c r="K205" s="983">
        <f t="shared" si="95"/>
        <v>0</v>
      </c>
      <c r="L205" s="983">
        <f t="shared" si="95"/>
        <v>0</v>
      </c>
      <c r="M205" s="983">
        <f t="shared" si="95"/>
        <v>0</v>
      </c>
      <c r="N205" s="983">
        <f t="shared" si="95"/>
        <v>0</v>
      </c>
      <c r="O205" s="983">
        <f t="shared" si="95"/>
        <v>0</v>
      </c>
      <c r="P205" s="983">
        <f t="shared" si="95"/>
        <v>0</v>
      </c>
      <c r="Q205" s="983">
        <f t="shared" si="95"/>
        <v>0</v>
      </c>
      <c r="R205" s="983">
        <f t="shared" si="95"/>
        <v>0</v>
      </c>
      <c r="S205" s="983">
        <f t="shared" si="95"/>
        <v>0</v>
      </c>
      <c r="T205" s="983">
        <f t="shared" si="95"/>
        <v>0</v>
      </c>
      <c r="U205" s="871">
        <f t="shared" si="95"/>
        <v>0</v>
      </c>
      <c r="V205" s="863">
        <f>S205</f>
        <v>0</v>
      </c>
      <c r="W205" s="862">
        <f>SUM(IF(T$6&lt;&gt;0,T205,S205))</f>
        <v>0</v>
      </c>
      <c r="X205" s="934">
        <f t="shared" si="95"/>
        <v>0</v>
      </c>
      <c r="Y205" s="933">
        <f t="shared" si="95"/>
        <v>0</v>
      </c>
      <c r="Z205" s="932">
        <f t="shared" si="95"/>
        <v>0</v>
      </c>
      <c r="AA205" s="861"/>
    </row>
    <row r="206" spans="1:27" ht="13.5" thickTop="1">
      <c r="V206" s="30"/>
      <c r="W206" s="30"/>
      <c r="X206" s="30"/>
    </row>
    <row r="207" spans="1:27">
      <c r="J207" s="931"/>
      <c r="S207" s="931"/>
    </row>
  </sheetData>
  <sheetProtection algorithmName="SHA-512" hashValue="8TTGhDq732XD8N1y6U/ddo7jI+797cfym993g7ie74G1avHH+DaYgx8srK13Zhs92/ItBxoY+AQ8AFp2ebtk6g==" saltValue="GcGUwgOCTVjRTTg1ByUXrg==" spinCount="100000" sheet="1" objects="1" scenarios="1"/>
  <mergeCells count="19">
    <mergeCell ref="V3:Z3"/>
    <mergeCell ref="D34:E34"/>
    <mergeCell ref="S12:U12"/>
    <mergeCell ref="V12:X12"/>
    <mergeCell ref="Y12:Z12"/>
    <mergeCell ref="B12:E13"/>
    <mergeCell ref="G12:G13"/>
    <mergeCell ref="H12:H13"/>
    <mergeCell ref="J12:L12"/>
    <mergeCell ref="M12:O12"/>
    <mergeCell ref="P12:R12"/>
    <mergeCell ref="I14:I16"/>
    <mergeCell ref="J14:U16"/>
    <mergeCell ref="D195:G195"/>
    <mergeCell ref="D196:G196"/>
    <mergeCell ref="D187:G187"/>
    <mergeCell ref="D188:G188"/>
    <mergeCell ref="D191:G191"/>
    <mergeCell ref="D192:G192"/>
  </mergeCells>
  <conditionalFormatting sqref="I2:U2">
    <cfRule type="expression" dxfId="65" priority="2">
      <formula>$I$2=Mssg1</formula>
    </cfRule>
  </conditionalFormatting>
  <conditionalFormatting sqref="I4:U4">
    <cfRule type="expression" dxfId="64" priority="1">
      <formula>$I$4=Mssg2</formula>
    </cfRule>
  </conditionalFormatting>
  <dataValidations disablePrompts="1" count="5">
    <dataValidation errorStyle="information" allowBlank="1" showInputMessage="1" showErrorMessage="1" promptTitle="&quot;All OTHER Districts - Revenue&quot;" prompt="Please enter combined Revenue Per Pupil from &quot;All Other Schoool Districts. (Only enter when there are 16+ districts represented)." sqref="I33" xr:uid="{00000000-0002-0000-0500-000000000000}"/>
    <dataValidation type="custom" operator="lessThanOrEqual" allowBlank="1" showInputMessage="1" showErrorMessage="1" sqref="M17:N17 P17" xr:uid="{00000000-0002-0000-0500-000001000000}">
      <formula1>AND(S17&gt;=0,S17&lt;=1)</formula1>
    </dataValidation>
    <dataValidation type="custom" operator="lessThanOrEqual" allowBlank="1" showInputMessage="1" showErrorMessage="1" sqref="J17:K17" xr:uid="{00000000-0002-0000-0500-000002000000}">
      <formula1>AND(S17&gt;=0,S17&lt;=1)</formula1>
    </dataValidation>
    <dataValidation type="decimal" allowBlank="1" showInputMessage="1" showErrorMessage="1" sqref="S17:T17" xr:uid="{00000000-0002-0000-0500-000003000000}">
      <formula1>0</formula1>
      <formula2>1</formula2>
    </dataValidation>
    <dataValidation type="custom" operator="lessThanOrEqual" allowBlank="1" showInputMessage="1" showErrorMessage="1" sqref="Q17" xr:uid="{00000000-0002-0000-0500-000004000000}">
      <formula1>AND(T17&gt;=0,T17&lt;=1)</formula1>
    </dataValidation>
  </dataValidations>
  <printOptions horizontalCentered="1"/>
  <pageMargins left="0.49" right="0.45" top="0.31" bottom="0.28000000000000003" header="0.3" footer="0.3"/>
  <pageSetup scale="53" orientation="landscape" r:id="rId1"/>
  <headerFooter>
    <oddFooter>&amp;CPage &amp;P of &amp;N&amp;R&amp;F</oddFooter>
  </headerFooter>
  <rowBreaks count="3" manualBreakCount="3">
    <brk id="66" min="1" max="26" man="1"/>
    <brk id="118" min="1" max="26" man="1"/>
    <brk id="159" min="1" max="26" man="1"/>
  </rowBreaks>
  <colBreaks count="1" manualBreakCount="1">
    <brk id="21" min="1" max="181" man="1"/>
  </colBreaks>
  <ignoredErrors>
    <ignoredError sqref="L34 O34 R34 U34 V34:Z34 L159:U159" formula="1"/>
    <ignoredError sqref="I178:K178 M178 N178:T178" formulaRang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3366"/>
    <pageSetUpPr fitToPage="1"/>
  </sheetPr>
  <dimension ref="A1:J50"/>
  <sheetViews>
    <sheetView showGridLines="0" topLeftCell="B2" zoomScale="80" zoomScaleNormal="80" zoomScaleSheetLayoutView="90" workbookViewId="0">
      <selection activeCell="B2" sqref="B2:J2"/>
    </sheetView>
  </sheetViews>
  <sheetFormatPr defaultRowHeight="12.75"/>
  <cols>
    <col min="1" max="1" width="3.5703125" hidden="1" customWidth="1"/>
    <col min="2" max="2" width="3" customWidth="1"/>
    <col min="3" max="3" width="33.7109375" customWidth="1"/>
    <col min="4" max="4" width="40.7109375" customWidth="1"/>
    <col min="5" max="5" width="15.7109375" customWidth="1"/>
    <col min="6" max="6" width="1.7109375" customWidth="1"/>
    <col min="7" max="10" width="15.7109375" customWidth="1"/>
  </cols>
  <sheetData>
    <row r="1" spans="1:10" hidden="1">
      <c r="A1" s="848">
        <v>1</v>
      </c>
      <c r="B1" s="801"/>
      <c r="C1" s="801"/>
      <c r="D1" s="801"/>
      <c r="E1" s="802">
        <v>0</v>
      </c>
      <c r="F1" s="802"/>
      <c r="G1" s="802">
        <v>1</v>
      </c>
      <c r="H1" s="802">
        <v>2</v>
      </c>
      <c r="I1" s="802">
        <v>3</v>
      </c>
      <c r="J1" s="802">
        <v>4</v>
      </c>
    </row>
    <row r="2" spans="1:10" ht="18.75">
      <c r="A2" s="848">
        <v>2</v>
      </c>
      <c r="B2" s="1091" t="str">
        <f>IF(School="",Mssg1,School)</f>
        <v>Please enter school name on tab - "1) Name of School"</v>
      </c>
      <c r="C2" s="1091"/>
      <c r="D2" s="1091"/>
      <c r="E2" s="1091"/>
      <c r="F2" s="1091"/>
      <c r="G2" s="1091"/>
      <c r="H2" s="1091"/>
      <c r="I2" s="1091"/>
      <c r="J2" s="1091"/>
    </row>
    <row r="3" spans="1:10" ht="18.75">
      <c r="A3" s="848">
        <v>3</v>
      </c>
      <c r="B3" s="803" t="s">
        <v>192</v>
      </c>
      <c r="C3" s="803"/>
      <c r="D3" s="803"/>
      <c r="E3" s="803"/>
      <c r="F3" s="803"/>
      <c r="G3" s="803"/>
      <c r="H3" s="803"/>
      <c r="I3" s="803"/>
      <c r="J3" s="803"/>
    </row>
    <row r="4" spans="1:10" ht="18.75">
      <c r="A4" s="848">
        <v>4</v>
      </c>
      <c r="B4" s="1092" t="str">
        <f>IF(CONTROL!J12=0,Mssg2,AcadYr1)</f>
        <v>2023-24</v>
      </c>
      <c r="C4" s="1092"/>
      <c r="D4" s="1092"/>
      <c r="E4" s="1092"/>
      <c r="F4" s="1092"/>
      <c r="G4" s="1092"/>
      <c r="H4" s="1092"/>
      <c r="I4" s="1092"/>
      <c r="J4" s="1092"/>
    </row>
    <row r="5" spans="1:10" ht="15">
      <c r="A5" s="848">
        <v>5</v>
      </c>
      <c r="B5" s="804"/>
      <c r="C5" s="804"/>
      <c r="D5" s="804"/>
      <c r="E5" s="804"/>
      <c r="F5" s="804"/>
      <c r="G5" s="804"/>
      <c r="H5" s="804"/>
      <c r="I5" s="804"/>
      <c r="J5" s="804"/>
    </row>
    <row r="6" spans="1:10" ht="15">
      <c r="A6" s="848">
        <v>6</v>
      </c>
      <c r="B6" s="804"/>
      <c r="C6" s="804"/>
      <c r="D6" s="804"/>
      <c r="E6" s="997" t="s">
        <v>193</v>
      </c>
      <c r="F6" s="805"/>
      <c r="G6" s="997" t="s">
        <v>194</v>
      </c>
      <c r="H6" s="997" t="s">
        <v>195</v>
      </c>
      <c r="I6" s="997" t="s">
        <v>196</v>
      </c>
      <c r="J6" s="997" t="s">
        <v>197</v>
      </c>
    </row>
    <row r="7" spans="1:10" ht="30.75" customHeight="1" thickBot="1">
      <c r="A7" s="848">
        <v>7</v>
      </c>
      <c r="B7" s="804"/>
      <c r="C7" s="806"/>
      <c r="D7" s="804"/>
      <c r="E7" s="807" t="str">
        <f>PriorPeriod</f>
        <v>2022-23</v>
      </c>
      <c r="F7" s="808"/>
      <c r="G7" s="807" t="s">
        <v>198</v>
      </c>
      <c r="H7" s="807" t="s">
        <v>199</v>
      </c>
      <c r="I7" s="807" t="s">
        <v>200</v>
      </c>
      <c r="J7" s="807" t="s">
        <v>201</v>
      </c>
    </row>
    <row r="8" spans="1:10" ht="15" customHeight="1">
      <c r="A8" s="848">
        <v>8</v>
      </c>
      <c r="B8" s="1093" t="s">
        <v>202</v>
      </c>
      <c r="C8" s="1093"/>
      <c r="D8" s="1093"/>
      <c r="E8" s="809"/>
      <c r="F8" s="808"/>
      <c r="G8" s="809"/>
      <c r="H8" s="809"/>
      <c r="I8" s="809"/>
      <c r="J8" s="809"/>
    </row>
    <row r="9" spans="1:10" ht="15">
      <c r="A9" s="848">
        <v>9</v>
      </c>
      <c r="B9" s="804"/>
      <c r="C9" s="804"/>
      <c r="D9" s="804"/>
      <c r="E9" s="804"/>
      <c r="F9" s="804"/>
      <c r="G9" s="804"/>
      <c r="H9" s="804"/>
      <c r="I9" s="804"/>
      <c r="J9" s="804"/>
    </row>
    <row r="10" spans="1:10" ht="15">
      <c r="A10" s="848">
        <v>10</v>
      </c>
      <c r="B10" s="810" t="s">
        <v>203</v>
      </c>
      <c r="C10" s="811"/>
      <c r="D10" s="812"/>
      <c r="E10" s="813"/>
      <c r="F10" s="813"/>
      <c r="G10" s="814"/>
      <c r="H10" s="814"/>
      <c r="I10" s="814"/>
      <c r="J10" s="814"/>
    </row>
    <row r="11" spans="1:10" ht="15">
      <c r="A11" s="848">
        <v>11</v>
      </c>
      <c r="B11" s="804"/>
      <c r="C11" s="815" t="s">
        <v>204</v>
      </c>
      <c r="D11" s="815"/>
      <c r="E11" s="675">
        <v>0</v>
      </c>
      <c r="F11" s="816"/>
      <c r="G11" s="675">
        <v>0</v>
      </c>
      <c r="H11" s="675">
        <v>0</v>
      </c>
      <c r="I11" s="675">
        <v>0</v>
      </c>
      <c r="J11" s="675">
        <v>0</v>
      </c>
    </row>
    <row r="12" spans="1:10" ht="15">
      <c r="A12" s="848">
        <v>12</v>
      </c>
      <c r="B12" s="804"/>
      <c r="C12" s="804" t="s">
        <v>205</v>
      </c>
      <c r="D12" s="815"/>
      <c r="E12" s="675">
        <v>0</v>
      </c>
      <c r="F12" s="64"/>
      <c r="G12" s="675">
        <v>0</v>
      </c>
      <c r="H12" s="675">
        <v>0</v>
      </c>
      <c r="I12" s="675">
        <v>0</v>
      </c>
      <c r="J12" s="675">
        <v>0</v>
      </c>
    </row>
    <row r="13" spans="1:10" ht="15">
      <c r="A13" s="848">
        <v>13</v>
      </c>
      <c r="B13" s="804"/>
      <c r="C13" s="804" t="s">
        <v>206</v>
      </c>
      <c r="D13" s="815"/>
      <c r="E13" s="675">
        <v>0</v>
      </c>
      <c r="F13" s="64"/>
      <c r="G13" s="675">
        <v>0</v>
      </c>
      <c r="H13" s="675">
        <v>0</v>
      </c>
      <c r="I13" s="675">
        <v>0</v>
      </c>
      <c r="J13" s="675">
        <v>0</v>
      </c>
    </row>
    <row r="14" spans="1:10" ht="15">
      <c r="A14" s="848">
        <v>14</v>
      </c>
      <c r="B14" s="804"/>
      <c r="C14" s="804" t="s">
        <v>207</v>
      </c>
      <c r="D14" s="815"/>
      <c r="E14" s="675">
        <v>0</v>
      </c>
      <c r="F14" s="814"/>
      <c r="G14" s="675">
        <v>0</v>
      </c>
      <c r="H14" s="675">
        <v>0</v>
      </c>
      <c r="I14" s="675">
        <v>0</v>
      </c>
      <c r="J14" s="675">
        <v>0</v>
      </c>
    </row>
    <row r="15" spans="1:10" ht="17.25">
      <c r="A15" s="848">
        <v>15</v>
      </c>
      <c r="B15" s="804"/>
      <c r="C15" s="804" t="s">
        <v>208</v>
      </c>
      <c r="D15" s="815"/>
      <c r="E15" s="683">
        <v>0</v>
      </c>
      <c r="F15" s="814"/>
      <c r="G15" s="683">
        <v>0</v>
      </c>
      <c r="H15" s="683">
        <v>0</v>
      </c>
      <c r="I15" s="683">
        <v>0</v>
      </c>
      <c r="J15" s="683">
        <v>0</v>
      </c>
    </row>
    <row r="16" spans="1:10" ht="15">
      <c r="A16" s="848">
        <v>16</v>
      </c>
      <c r="B16" s="804"/>
      <c r="C16" s="815"/>
      <c r="D16" s="817" t="s">
        <v>209</v>
      </c>
      <c r="E16" s="814">
        <f>SUM(E11:E15)</f>
        <v>0</v>
      </c>
      <c r="F16" s="814"/>
      <c r="G16" s="814">
        <f>SUM(G11:G15)</f>
        <v>0</v>
      </c>
      <c r="H16" s="814">
        <f>SUM(H11:H15)</f>
        <v>0</v>
      </c>
      <c r="I16" s="814">
        <f>SUM(I11:I15)</f>
        <v>0</v>
      </c>
      <c r="J16" s="814">
        <f>SUM(J11:J15)</f>
        <v>0</v>
      </c>
    </row>
    <row r="17" spans="1:10" ht="15">
      <c r="A17" s="848">
        <v>17</v>
      </c>
      <c r="B17" s="804"/>
      <c r="C17" s="804"/>
      <c r="D17" s="804"/>
      <c r="E17" s="804"/>
      <c r="F17" s="804"/>
      <c r="G17" s="804"/>
      <c r="H17" s="804"/>
      <c r="I17" s="804"/>
      <c r="J17" s="804"/>
    </row>
    <row r="18" spans="1:10" ht="15">
      <c r="A18" s="848">
        <v>18</v>
      </c>
      <c r="B18" s="818" t="s">
        <v>210</v>
      </c>
      <c r="C18" s="815"/>
      <c r="D18" s="815"/>
      <c r="E18" s="675">
        <v>0</v>
      </c>
      <c r="F18" s="814"/>
      <c r="G18" s="675">
        <v>0</v>
      </c>
      <c r="H18" s="675">
        <v>0</v>
      </c>
      <c r="I18" s="675">
        <v>0</v>
      </c>
      <c r="J18" s="675">
        <v>0</v>
      </c>
    </row>
    <row r="19" spans="1:10" ht="15">
      <c r="A19" s="848">
        <v>19</v>
      </c>
      <c r="B19" s="804"/>
      <c r="C19" s="804"/>
      <c r="D19" s="804"/>
      <c r="E19" s="804"/>
      <c r="F19" s="804"/>
      <c r="G19" s="804"/>
      <c r="H19" s="804"/>
      <c r="I19" s="804"/>
      <c r="J19" s="804"/>
    </row>
    <row r="20" spans="1:10" ht="15">
      <c r="A20" s="848">
        <v>20</v>
      </c>
      <c r="B20" s="818" t="s">
        <v>211</v>
      </c>
      <c r="C20" s="815"/>
      <c r="D20" s="815"/>
      <c r="E20" s="1021"/>
      <c r="F20" s="128"/>
      <c r="G20" s="1021"/>
      <c r="H20" s="1021"/>
      <c r="I20" s="1021"/>
      <c r="J20" s="1021"/>
    </row>
    <row r="21" spans="1:10" ht="15">
      <c r="A21" s="848"/>
      <c r="B21" s="818"/>
      <c r="C21" s="815" t="s">
        <v>1372</v>
      </c>
      <c r="D21" s="815"/>
      <c r="E21" s="675">
        <v>0</v>
      </c>
      <c r="F21" s="64"/>
      <c r="G21" s="675">
        <v>0</v>
      </c>
      <c r="H21" s="675">
        <v>0</v>
      </c>
      <c r="I21" s="675">
        <v>0</v>
      </c>
      <c r="J21" s="675">
        <v>0</v>
      </c>
    </row>
    <row r="22" spans="1:10" ht="17.25">
      <c r="A22" s="848">
        <v>21</v>
      </c>
      <c r="B22" s="804"/>
      <c r="C22" s="804" t="s">
        <v>29</v>
      </c>
      <c r="D22" s="804"/>
      <c r="E22" s="683">
        <v>0</v>
      </c>
      <c r="F22" s="64">
        <v>0</v>
      </c>
      <c r="G22" s="683">
        <v>0</v>
      </c>
      <c r="H22" s="683">
        <v>0</v>
      </c>
      <c r="I22" s="683">
        <v>0</v>
      </c>
      <c r="J22" s="683">
        <v>0</v>
      </c>
    </row>
    <row r="23" spans="1:10" ht="15">
      <c r="A23" s="848"/>
      <c r="B23" s="804"/>
      <c r="C23" s="804"/>
      <c r="D23" s="804"/>
      <c r="E23" s="804"/>
      <c r="F23" s="804"/>
      <c r="G23" s="804"/>
      <c r="H23" s="804"/>
      <c r="I23" s="804"/>
      <c r="J23" s="804"/>
    </row>
    <row r="24" spans="1:10" ht="15.75" thickBot="1">
      <c r="A24" s="848">
        <v>22</v>
      </c>
      <c r="B24" s="804"/>
      <c r="C24" s="815"/>
      <c r="D24" s="819" t="s">
        <v>212</v>
      </c>
      <c r="E24" s="820">
        <f>E16+E18+E21+E22</f>
        <v>0</v>
      </c>
      <c r="F24" s="64"/>
      <c r="G24" s="820">
        <f>G16+G18+G21+G22</f>
        <v>0</v>
      </c>
      <c r="H24" s="820">
        <f t="shared" ref="H24:J24" si="0">H16+H18+H21+H22</f>
        <v>0</v>
      </c>
      <c r="I24" s="820">
        <f t="shared" si="0"/>
        <v>0</v>
      </c>
      <c r="J24" s="820">
        <f t="shared" si="0"/>
        <v>0</v>
      </c>
    </row>
    <row r="25" spans="1:10" ht="15.75" thickTop="1">
      <c r="A25" s="848">
        <v>23</v>
      </c>
      <c r="B25" s="804"/>
      <c r="C25" s="804"/>
      <c r="D25" s="804"/>
      <c r="E25" s="804"/>
      <c r="F25" s="804"/>
      <c r="G25" s="804"/>
      <c r="H25" s="804"/>
      <c r="I25" s="804"/>
      <c r="J25" s="804"/>
    </row>
    <row r="26" spans="1:10" ht="15" customHeight="1">
      <c r="A26" s="848">
        <v>24</v>
      </c>
      <c r="B26" s="1093" t="s">
        <v>213</v>
      </c>
      <c r="C26" s="1093"/>
      <c r="D26" s="1093"/>
      <c r="E26" s="128"/>
      <c r="F26" s="128"/>
      <c r="G26" s="128"/>
      <c r="H26" s="128"/>
      <c r="I26" s="128"/>
      <c r="J26" s="128"/>
    </row>
    <row r="27" spans="1:10" ht="15">
      <c r="A27" s="848">
        <v>25</v>
      </c>
      <c r="B27" s="804"/>
      <c r="C27" s="804"/>
      <c r="D27" s="804"/>
      <c r="E27" s="804"/>
      <c r="F27" s="804"/>
      <c r="G27" s="804"/>
      <c r="H27" s="804"/>
      <c r="I27" s="804"/>
      <c r="J27" s="804"/>
    </row>
    <row r="28" spans="1:10" ht="15">
      <c r="A28" s="848">
        <v>26</v>
      </c>
      <c r="B28" s="810" t="s">
        <v>214</v>
      </c>
      <c r="C28" s="821"/>
      <c r="D28" s="821"/>
      <c r="E28" s="814"/>
      <c r="F28" s="814"/>
      <c r="G28" s="814"/>
      <c r="H28" s="814"/>
      <c r="I28" s="814"/>
      <c r="J28" s="814"/>
    </row>
    <row r="29" spans="1:10" ht="15">
      <c r="A29" s="848">
        <v>27</v>
      </c>
      <c r="B29" s="804"/>
      <c r="C29" s="804" t="s">
        <v>215</v>
      </c>
      <c r="D29" s="815"/>
      <c r="E29" s="675">
        <v>0</v>
      </c>
      <c r="F29" s="816"/>
      <c r="G29" s="675">
        <v>0</v>
      </c>
      <c r="H29" s="675">
        <v>0</v>
      </c>
      <c r="I29" s="675">
        <v>0</v>
      </c>
      <c r="J29" s="675">
        <v>0</v>
      </c>
    </row>
    <row r="30" spans="1:10" ht="15">
      <c r="A30" s="848">
        <v>28</v>
      </c>
      <c r="B30" s="804"/>
      <c r="C30" s="804" t="s">
        <v>216</v>
      </c>
      <c r="D30" s="815"/>
      <c r="E30" s="675">
        <v>0</v>
      </c>
      <c r="F30" s="814"/>
      <c r="G30" s="675">
        <v>0</v>
      </c>
      <c r="H30" s="675">
        <v>0</v>
      </c>
      <c r="I30" s="675">
        <v>0</v>
      </c>
      <c r="J30" s="675">
        <v>0</v>
      </c>
    </row>
    <row r="31" spans="1:10" ht="15">
      <c r="A31" s="848">
        <v>29</v>
      </c>
      <c r="B31" s="804"/>
      <c r="C31" s="804" t="s">
        <v>364</v>
      </c>
      <c r="D31" s="815"/>
      <c r="E31" s="675">
        <v>0</v>
      </c>
      <c r="F31" s="814"/>
      <c r="G31" s="675">
        <v>0</v>
      </c>
      <c r="H31" s="675">
        <v>0</v>
      </c>
      <c r="I31" s="675">
        <v>0</v>
      </c>
      <c r="J31" s="675">
        <v>0</v>
      </c>
    </row>
    <row r="32" spans="1:10" ht="15">
      <c r="A32" s="848">
        <v>30</v>
      </c>
      <c r="B32" s="804"/>
      <c r="C32" s="804" t="s">
        <v>217</v>
      </c>
      <c r="D32" s="815"/>
      <c r="E32" s="675">
        <v>0</v>
      </c>
      <c r="F32" s="814"/>
      <c r="G32" s="675">
        <v>0</v>
      </c>
      <c r="H32" s="675">
        <v>0</v>
      </c>
      <c r="I32" s="675">
        <v>0</v>
      </c>
      <c r="J32" s="675">
        <v>0</v>
      </c>
    </row>
    <row r="33" spans="1:10" ht="15">
      <c r="A33" s="848">
        <v>31</v>
      </c>
      <c r="B33" s="804"/>
      <c r="C33" s="804" t="s">
        <v>218</v>
      </c>
      <c r="D33" s="815"/>
      <c r="E33" s="675">
        <v>0</v>
      </c>
      <c r="F33" s="814"/>
      <c r="G33" s="675">
        <v>0</v>
      </c>
      <c r="H33" s="675">
        <v>0</v>
      </c>
      <c r="I33" s="675">
        <v>0</v>
      </c>
      <c r="J33" s="675">
        <v>0</v>
      </c>
    </row>
    <row r="34" spans="1:10" ht="15">
      <c r="A34" s="848"/>
      <c r="B34" s="804"/>
      <c r="C34" s="804" t="s">
        <v>1373</v>
      </c>
      <c r="D34" s="815"/>
      <c r="E34" s="675">
        <v>0</v>
      </c>
      <c r="F34" s="814"/>
      <c r="G34" s="675">
        <v>0</v>
      </c>
      <c r="H34" s="675">
        <v>0</v>
      </c>
      <c r="I34" s="675">
        <v>0</v>
      </c>
      <c r="J34" s="675">
        <v>0</v>
      </c>
    </row>
    <row r="35" spans="1:10" ht="17.25">
      <c r="A35" s="848">
        <v>32</v>
      </c>
      <c r="B35" s="804"/>
      <c r="C35" s="804" t="s">
        <v>37</v>
      </c>
      <c r="D35" s="804"/>
      <c r="E35" s="683">
        <v>0</v>
      </c>
      <c r="F35" s="814"/>
      <c r="G35" s="683">
        <v>0</v>
      </c>
      <c r="H35" s="683">
        <v>0</v>
      </c>
      <c r="I35" s="683">
        <v>0</v>
      </c>
      <c r="J35" s="683">
        <v>0</v>
      </c>
    </row>
    <row r="36" spans="1:10" ht="15">
      <c r="A36" s="848">
        <v>33</v>
      </c>
      <c r="B36" s="804"/>
      <c r="C36" s="804"/>
      <c r="D36" s="817" t="s">
        <v>219</v>
      </c>
      <c r="E36" s="814">
        <f>SUM(E29:E35)</f>
        <v>0</v>
      </c>
      <c r="F36" s="814"/>
      <c r="G36" s="814">
        <f>SUM(G29:G35)</f>
        <v>0</v>
      </c>
      <c r="H36" s="814">
        <f>SUM(H29:H35)</f>
        <v>0</v>
      </c>
      <c r="I36" s="814">
        <f>SUM(I29:I35)</f>
        <v>0</v>
      </c>
      <c r="J36" s="814">
        <f>SUM(J29:J35)</f>
        <v>0</v>
      </c>
    </row>
    <row r="37" spans="1:10" ht="15">
      <c r="A37" s="848">
        <v>34</v>
      </c>
      <c r="B37" s="804"/>
      <c r="C37" s="804"/>
      <c r="D37" s="804"/>
      <c r="E37" s="804"/>
      <c r="F37" s="804"/>
      <c r="G37" s="804"/>
      <c r="H37" s="804"/>
      <c r="I37" s="804"/>
      <c r="J37" s="804"/>
    </row>
    <row r="38" spans="1:10" ht="15">
      <c r="A38" s="848">
        <v>35</v>
      </c>
      <c r="B38" s="810"/>
      <c r="C38" s="823" t="s">
        <v>220</v>
      </c>
      <c r="D38" s="815"/>
      <c r="E38" s="675">
        <v>0</v>
      </c>
      <c r="F38" s="128"/>
      <c r="G38" s="675">
        <v>0</v>
      </c>
      <c r="H38" s="675">
        <v>0</v>
      </c>
      <c r="I38" s="675">
        <v>0</v>
      </c>
      <c r="J38" s="675">
        <v>0</v>
      </c>
    </row>
    <row r="39" spans="1:10" ht="17.25">
      <c r="A39" s="848">
        <v>36</v>
      </c>
      <c r="B39" s="804"/>
      <c r="C39" s="823" t="s">
        <v>1374</v>
      </c>
      <c r="D39" s="804"/>
      <c r="E39" s="683">
        <v>0</v>
      </c>
      <c r="F39" s="822"/>
      <c r="G39" s="683">
        <v>0</v>
      </c>
      <c r="H39" s="683">
        <v>0</v>
      </c>
      <c r="I39" s="683">
        <v>0</v>
      </c>
      <c r="J39" s="683">
        <v>0</v>
      </c>
    </row>
    <row r="40" spans="1:10" ht="15">
      <c r="A40" s="848"/>
      <c r="B40" s="804"/>
      <c r="C40" s="804"/>
      <c r="D40" s="804"/>
      <c r="E40" s="804"/>
      <c r="F40" s="804"/>
      <c r="G40" s="804"/>
      <c r="H40" s="804"/>
      <c r="I40" s="804"/>
      <c r="J40" s="804"/>
    </row>
    <row r="41" spans="1:10" ht="17.25">
      <c r="A41" s="848">
        <v>37</v>
      </c>
      <c r="B41" s="804"/>
      <c r="C41" s="804"/>
      <c r="D41" s="817" t="s">
        <v>221</v>
      </c>
      <c r="E41" s="822">
        <f>E36+E38+E39</f>
        <v>0</v>
      </c>
      <c r="F41" s="128"/>
      <c r="G41" s="822">
        <f>G36+G38+G39</f>
        <v>0</v>
      </c>
      <c r="H41" s="822">
        <f t="shared" ref="H41:J41" si="1">H36+H38+H39</f>
        <v>0</v>
      </c>
      <c r="I41" s="822">
        <f t="shared" si="1"/>
        <v>0</v>
      </c>
      <c r="J41" s="822">
        <f t="shared" si="1"/>
        <v>0</v>
      </c>
    </row>
    <row r="42" spans="1:10" ht="15">
      <c r="A42" s="848">
        <v>38</v>
      </c>
      <c r="B42" s="804"/>
      <c r="C42" s="804"/>
      <c r="D42" s="804"/>
      <c r="E42" s="804"/>
      <c r="F42" s="804"/>
      <c r="G42" s="804"/>
      <c r="H42" s="804"/>
      <c r="I42" s="804"/>
      <c r="J42" s="804"/>
    </row>
    <row r="43" spans="1:10" ht="15">
      <c r="A43" s="848">
        <v>39</v>
      </c>
      <c r="B43" s="810" t="s">
        <v>222</v>
      </c>
      <c r="C43" s="821"/>
      <c r="D43" s="821"/>
      <c r="E43" s="814"/>
      <c r="F43" s="814"/>
      <c r="G43" s="128"/>
      <c r="H43" s="128"/>
      <c r="I43" s="128"/>
      <c r="J43" s="128"/>
    </row>
    <row r="44" spans="1:10" ht="15">
      <c r="A44" s="848">
        <v>40</v>
      </c>
      <c r="B44" s="823"/>
      <c r="C44" s="804" t="s">
        <v>223</v>
      </c>
      <c r="D44" s="821"/>
      <c r="E44" s="675">
        <v>0</v>
      </c>
      <c r="F44" s="814"/>
      <c r="G44" s="675">
        <v>0</v>
      </c>
      <c r="H44" s="675">
        <v>0</v>
      </c>
      <c r="I44" s="675">
        <v>0</v>
      </c>
      <c r="J44" s="675">
        <v>0</v>
      </c>
    </row>
    <row r="45" spans="1:10" ht="17.25">
      <c r="A45" s="848">
        <v>41</v>
      </c>
      <c r="B45" s="804"/>
      <c r="C45" s="804" t="s">
        <v>224</v>
      </c>
      <c r="D45" s="821"/>
      <c r="E45" s="683">
        <v>0</v>
      </c>
      <c r="F45" s="814"/>
      <c r="G45" s="683">
        <v>0</v>
      </c>
      <c r="H45" s="683">
        <v>0</v>
      </c>
      <c r="I45" s="683">
        <v>0</v>
      </c>
      <c r="J45" s="683">
        <v>0</v>
      </c>
    </row>
    <row r="46" spans="1:10" ht="17.25">
      <c r="A46" s="848">
        <v>42</v>
      </c>
      <c r="B46" s="804"/>
      <c r="C46" s="815"/>
      <c r="D46" s="817" t="s">
        <v>225</v>
      </c>
      <c r="E46" s="824">
        <f>SUM(E44:E45)</f>
        <v>0</v>
      </c>
      <c r="F46" s="814"/>
      <c r="G46" s="824">
        <f>SUM(G44:G45)</f>
        <v>0</v>
      </c>
      <c r="H46" s="824">
        <f>SUM(H44:H45)</f>
        <v>0</v>
      </c>
      <c r="I46" s="824">
        <f>SUM(I44:I45)</f>
        <v>0</v>
      </c>
      <c r="J46" s="824">
        <f>SUM(J44:J45)</f>
        <v>0</v>
      </c>
    </row>
    <row r="47" spans="1:10" ht="15">
      <c r="A47" s="848">
        <v>43</v>
      </c>
      <c r="B47" s="804"/>
      <c r="C47" s="804"/>
      <c r="D47" s="804"/>
      <c r="E47" s="804"/>
      <c r="F47" s="804"/>
      <c r="G47" s="804"/>
      <c r="H47" s="804"/>
      <c r="I47" s="804"/>
      <c r="J47" s="804"/>
    </row>
    <row r="48" spans="1:10" ht="15.75" thickBot="1">
      <c r="A48" s="848">
        <v>44</v>
      </c>
      <c r="B48" s="804"/>
      <c r="C48" s="815"/>
      <c r="D48" s="817" t="s">
        <v>226</v>
      </c>
      <c r="E48" s="825">
        <f>E41+E46</f>
        <v>0</v>
      </c>
      <c r="F48" s="814"/>
      <c r="G48" s="825">
        <f>G41+G46</f>
        <v>0</v>
      </c>
      <c r="H48" s="825">
        <f t="shared" ref="H48:J48" si="2">H41+H46</f>
        <v>0</v>
      </c>
      <c r="I48" s="825">
        <f t="shared" si="2"/>
        <v>0</v>
      </c>
      <c r="J48" s="825">
        <f t="shared" si="2"/>
        <v>0</v>
      </c>
    </row>
    <row r="49" spans="1:10" ht="15.75" thickTop="1">
      <c r="A49" s="848">
        <v>45</v>
      </c>
      <c r="B49" s="804"/>
      <c r="C49" s="815"/>
      <c r="D49" s="821"/>
      <c r="E49" s="814"/>
      <c r="F49" s="814"/>
      <c r="G49" s="128"/>
      <c r="H49" s="128"/>
      <c r="I49" s="128"/>
      <c r="J49" s="128"/>
    </row>
    <row r="50" spans="1:10">
      <c r="A50" s="754"/>
      <c r="B50" s="754"/>
      <c r="C50" s="754"/>
      <c r="D50" s="754"/>
      <c r="E50" s="851" t="str">
        <f>IF(COUNTIF(E11:E48,"&gt;0")=0,"",IF(E24=E48,"Balanced","Not Balanced"))</f>
        <v/>
      </c>
      <c r="F50" s="754"/>
      <c r="G50" s="851" t="str">
        <f>IF(COUNTIF(G11:G48,"&gt;0")=0,"",IF(G24=G48,"Balanced","Not Balanced"))</f>
        <v/>
      </c>
      <c r="H50" s="851" t="str">
        <f>IF(COUNTIF(H11:H48,"&gt;0")=0,"",IF(H24=H48,"Balanced","Not Balanced"))</f>
        <v/>
      </c>
      <c r="I50" s="851" t="str">
        <f>IF(COUNTIF(I11:I48,"&gt;0")=0,"",IF(I24=I48,"Balanced","Not Balanced"))</f>
        <v/>
      </c>
      <c r="J50" s="851" t="str">
        <f>IF(COUNTIF(J11:J48,"&gt;0")=0,"",IF(J24=J48,"Balanced","Not Balanced"))</f>
        <v/>
      </c>
    </row>
  </sheetData>
  <sheetProtection algorithmName="SHA-512" hashValue="hYZoIB0CB9GG5p4GZOv/Ne4DBzHTlxzpylU0FmJw2HXIYdegNSKUnx1Eynv2rg1LeY4968r9Z3yaxBjrQUcwLA==" saltValue="dmAbnt7KwkYIklFqxf+VDQ==" spinCount="100000" sheet="1" objects="1" scenarios="1"/>
  <mergeCells count="4">
    <mergeCell ref="B2:J2"/>
    <mergeCell ref="B4:J4"/>
    <mergeCell ref="B26:D26"/>
    <mergeCell ref="B8:D8"/>
  </mergeCells>
  <conditionalFormatting sqref="B2:J2">
    <cfRule type="expression" dxfId="63" priority="4">
      <formula>$B$2=Mssg1</formula>
    </cfRule>
  </conditionalFormatting>
  <conditionalFormatting sqref="B4:J4">
    <cfRule type="expression" dxfId="62" priority="3">
      <formula>$B$4=Mssg2</formula>
    </cfRule>
  </conditionalFormatting>
  <conditionalFormatting sqref="E11:J48">
    <cfRule type="expression" dxfId="61" priority="2">
      <formula>BSNoteCode=2</formula>
    </cfRule>
  </conditionalFormatting>
  <conditionalFormatting sqref="G50:J50 E50">
    <cfRule type="cellIs" dxfId="60" priority="1" operator="equal">
      <formula>"Not Balanced"</formula>
    </cfRule>
  </conditionalFormatting>
  <dataValidations count="3">
    <dataValidation type="custom" showInputMessage="1" showErrorMessage="1" sqref="E12:E48 F11:F48 G12:J48" xr:uid="{00000000-0002-0000-0600-000000000000}">
      <formula1>OR(BSNoteCode=0,BSNoteCode=1)</formula1>
    </dataValidation>
    <dataValidation type="custom" showInputMessage="1" showErrorMessage="1" errorTitle="Merged School" error="Balance Sheet should not be completed for schools that have merged into an EdCorp. The balance sheet information is included with the EdCorp Balance Sheet." sqref="G11:J11" xr:uid="{00000000-0002-0000-0600-000001000000}">
      <formula1>OR(BSNoteCode=0,BSNoteCode=1)</formula1>
    </dataValidation>
    <dataValidation type="custom" showInputMessage="1" showErrorMessage="1" errorTitle="Balance Sheet Data - EdCorp Only" error="Balance data should not be entered for &quot;Merged Schools&quot; as it is included on the EdCorp's template." sqref="E11" xr:uid="{00000000-0002-0000-0600-000002000000}">
      <formula1>OR(BSNoteCode=0,BSNoteCode=1)</formula1>
    </dataValidation>
  </dataValidations>
  <printOptions horizontalCentered="1"/>
  <pageMargins left="0.49" right="0.45" top="0.54" bottom="0.73" header="0.3" footer="0.32"/>
  <pageSetup scale="79" orientation="landscape" r:id="rId1"/>
  <headerFooter>
    <oddFooter>&amp;CPage &amp;P of &amp;N&amp;R&amp;F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3366"/>
  </sheetPr>
  <dimension ref="A1:AM185"/>
  <sheetViews>
    <sheetView showGridLines="0" topLeftCell="B2" zoomScale="70" zoomScaleNormal="70" zoomScaleSheetLayoutView="90" workbookViewId="0">
      <pane xSplit="6" ySplit="12" topLeftCell="H14" activePane="bottomRight" state="frozen"/>
      <selection activeCell="B2" sqref="B2"/>
      <selection pane="topRight" activeCell="H2" sqref="H2"/>
      <selection pane="bottomLeft" activeCell="B14" sqref="B14"/>
      <selection pane="bottomRight" activeCell="L92" sqref="L92"/>
    </sheetView>
  </sheetViews>
  <sheetFormatPr defaultRowHeight="15"/>
  <cols>
    <col min="1" max="1" width="6.85546875" style="262" hidden="1" customWidth="1"/>
    <col min="2" max="4" width="2.28515625" style="61" customWidth="1"/>
    <col min="5" max="5" width="56" style="62" bestFit="1" customWidth="1"/>
    <col min="6" max="6" width="3.5703125" style="62" customWidth="1"/>
    <col min="7" max="7" width="16.7109375" style="63" bestFit="1" customWidth="1"/>
    <col min="8" max="8" width="2.7109375" style="64" customWidth="1"/>
    <col min="9" max="9" width="13" style="130" customWidth="1"/>
    <col min="10" max="10" width="13" style="64" customWidth="1"/>
    <col min="11" max="20" width="13" style="130" customWidth="1"/>
    <col min="21" max="21" width="13" style="64" customWidth="1"/>
    <col min="22" max="28" width="13" style="451" customWidth="1"/>
    <col min="29" max="29" width="13" style="61" customWidth="1"/>
    <col min="30" max="30" width="18.7109375" style="61" customWidth="1"/>
    <col min="31" max="31" width="13" style="61" customWidth="1"/>
    <col min="32" max="32" width="40.5703125" style="61" customWidth="1"/>
    <col min="33" max="38" width="9.140625" style="61"/>
    <col min="39" max="39" width="11.7109375" style="61" hidden="1" customWidth="1"/>
    <col min="40" max="256" width="9.140625" style="61"/>
    <col min="257" max="257" width="3.5703125" style="61" bestFit="1" customWidth="1"/>
    <col min="258" max="260" width="2.28515625" style="61" customWidth="1"/>
    <col min="261" max="261" width="56" style="61" bestFit="1" customWidth="1"/>
    <col min="262" max="262" width="2.7109375" style="61" customWidth="1"/>
    <col min="263" max="263" width="16.7109375" style="61" bestFit="1" customWidth="1"/>
    <col min="264" max="264" width="2.7109375" style="61" customWidth="1"/>
    <col min="265" max="265" width="12.7109375" style="61" customWidth="1"/>
    <col min="266" max="266" width="12.5703125" style="61" customWidth="1"/>
    <col min="267" max="267" width="12.28515625" style="61" customWidth="1"/>
    <col min="268" max="268" width="11.7109375" style="61" customWidth="1"/>
    <col min="269" max="269" width="12.140625" style="61" customWidth="1"/>
    <col min="270" max="270" width="12.28515625" style="61" customWidth="1"/>
    <col min="271" max="271" width="11.7109375" style="61" customWidth="1"/>
    <col min="272" max="272" width="12" style="61" customWidth="1"/>
    <col min="273" max="273" width="12.140625" style="61" customWidth="1"/>
    <col min="274" max="274" width="11.7109375" style="61" customWidth="1"/>
    <col min="275" max="275" width="12" style="61" customWidth="1"/>
    <col min="276" max="276" width="12.28515625" style="61" customWidth="1"/>
    <col min="277" max="277" width="12.85546875" style="61" customWidth="1"/>
    <col min="278" max="278" width="17.140625" style="61" customWidth="1"/>
    <col min="279" max="280" width="13.28515625" style="61" customWidth="1"/>
    <col min="281" max="281" width="13.85546875" style="61" customWidth="1"/>
    <col min="282" max="282" width="16.85546875" style="61" customWidth="1"/>
    <col min="283" max="283" width="13.28515625" style="61" customWidth="1"/>
    <col min="284" max="284" width="13.42578125" style="61" customWidth="1"/>
    <col min="285" max="285" width="14.5703125" style="61" customWidth="1"/>
    <col min="286" max="286" width="14.7109375" style="61" customWidth="1"/>
    <col min="287" max="287" width="13.7109375" style="61" customWidth="1"/>
    <col min="288" max="288" width="51.28515625" style="61" customWidth="1"/>
    <col min="289" max="294" width="9.140625" style="61"/>
    <col min="295" max="295" width="0" style="61" hidden="1" customWidth="1"/>
    <col min="296" max="512" width="9.140625" style="61"/>
    <col min="513" max="513" width="3.5703125" style="61" bestFit="1" customWidth="1"/>
    <col min="514" max="516" width="2.28515625" style="61" customWidth="1"/>
    <col min="517" max="517" width="56" style="61" bestFit="1" customWidth="1"/>
    <col min="518" max="518" width="2.7109375" style="61" customWidth="1"/>
    <col min="519" max="519" width="16.7109375" style="61" bestFit="1" customWidth="1"/>
    <col min="520" max="520" width="2.7109375" style="61" customWidth="1"/>
    <col min="521" max="521" width="12.7109375" style="61" customWidth="1"/>
    <col min="522" max="522" width="12.5703125" style="61" customWidth="1"/>
    <col min="523" max="523" width="12.28515625" style="61" customWidth="1"/>
    <col min="524" max="524" width="11.7109375" style="61" customWidth="1"/>
    <col min="525" max="525" width="12.140625" style="61" customWidth="1"/>
    <col min="526" max="526" width="12.28515625" style="61" customWidth="1"/>
    <col min="527" max="527" width="11.7109375" style="61" customWidth="1"/>
    <col min="528" max="528" width="12" style="61" customWidth="1"/>
    <col min="529" max="529" width="12.140625" style="61" customWidth="1"/>
    <col min="530" max="530" width="11.7109375" style="61" customWidth="1"/>
    <col min="531" max="531" width="12" style="61" customWidth="1"/>
    <col min="532" max="532" width="12.28515625" style="61" customWidth="1"/>
    <col min="533" max="533" width="12.85546875" style="61" customWidth="1"/>
    <col min="534" max="534" width="17.140625" style="61" customWidth="1"/>
    <col min="535" max="536" width="13.28515625" style="61" customWidth="1"/>
    <col min="537" max="537" width="13.85546875" style="61" customWidth="1"/>
    <col min="538" max="538" width="16.85546875" style="61" customWidth="1"/>
    <col min="539" max="539" width="13.28515625" style="61" customWidth="1"/>
    <col min="540" max="540" width="13.42578125" style="61" customWidth="1"/>
    <col min="541" max="541" width="14.5703125" style="61" customWidth="1"/>
    <col min="542" max="542" width="14.7109375" style="61" customWidth="1"/>
    <col min="543" max="543" width="13.7109375" style="61" customWidth="1"/>
    <col min="544" max="544" width="51.28515625" style="61" customWidth="1"/>
    <col min="545" max="550" width="9.140625" style="61"/>
    <col min="551" max="551" width="0" style="61" hidden="1" customWidth="1"/>
    <col min="552" max="768" width="9.140625" style="61"/>
    <col min="769" max="769" width="3.5703125" style="61" bestFit="1" customWidth="1"/>
    <col min="770" max="772" width="2.28515625" style="61" customWidth="1"/>
    <col min="773" max="773" width="56" style="61" bestFit="1" customWidth="1"/>
    <col min="774" max="774" width="2.7109375" style="61" customWidth="1"/>
    <col min="775" max="775" width="16.7109375" style="61" bestFit="1" customWidth="1"/>
    <col min="776" max="776" width="2.7109375" style="61" customWidth="1"/>
    <col min="777" max="777" width="12.7109375" style="61" customWidth="1"/>
    <col min="778" max="778" width="12.5703125" style="61" customWidth="1"/>
    <col min="779" max="779" width="12.28515625" style="61" customWidth="1"/>
    <col min="780" max="780" width="11.7109375" style="61" customWidth="1"/>
    <col min="781" max="781" width="12.140625" style="61" customWidth="1"/>
    <col min="782" max="782" width="12.28515625" style="61" customWidth="1"/>
    <col min="783" max="783" width="11.7109375" style="61" customWidth="1"/>
    <col min="784" max="784" width="12" style="61" customWidth="1"/>
    <col min="785" max="785" width="12.140625" style="61" customWidth="1"/>
    <col min="786" max="786" width="11.7109375" style="61" customWidth="1"/>
    <col min="787" max="787" width="12" style="61" customWidth="1"/>
    <col min="788" max="788" width="12.28515625" style="61" customWidth="1"/>
    <col min="789" max="789" width="12.85546875" style="61" customWidth="1"/>
    <col min="790" max="790" width="17.140625" style="61" customWidth="1"/>
    <col min="791" max="792" width="13.28515625" style="61" customWidth="1"/>
    <col min="793" max="793" width="13.85546875" style="61" customWidth="1"/>
    <col min="794" max="794" width="16.85546875" style="61" customWidth="1"/>
    <col min="795" max="795" width="13.28515625" style="61" customWidth="1"/>
    <col min="796" max="796" width="13.42578125" style="61" customWidth="1"/>
    <col min="797" max="797" width="14.5703125" style="61" customWidth="1"/>
    <col min="798" max="798" width="14.7109375" style="61" customWidth="1"/>
    <col min="799" max="799" width="13.7109375" style="61" customWidth="1"/>
    <col min="800" max="800" width="51.28515625" style="61" customWidth="1"/>
    <col min="801" max="806" width="9.140625" style="61"/>
    <col min="807" max="807" width="0" style="61" hidden="1" customWidth="1"/>
    <col min="808" max="1024" width="9.140625" style="61"/>
    <col min="1025" max="1025" width="3.5703125" style="61" bestFit="1" customWidth="1"/>
    <col min="1026" max="1028" width="2.28515625" style="61" customWidth="1"/>
    <col min="1029" max="1029" width="56" style="61" bestFit="1" customWidth="1"/>
    <col min="1030" max="1030" width="2.7109375" style="61" customWidth="1"/>
    <col min="1031" max="1031" width="16.7109375" style="61" bestFit="1" customWidth="1"/>
    <col min="1032" max="1032" width="2.7109375" style="61" customWidth="1"/>
    <col min="1033" max="1033" width="12.7109375" style="61" customWidth="1"/>
    <col min="1034" max="1034" width="12.5703125" style="61" customWidth="1"/>
    <col min="1035" max="1035" width="12.28515625" style="61" customWidth="1"/>
    <col min="1036" max="1036" width="11.7109375" style="61" customWidth="1"/>
    <col min="1037" max="1037" width="12.140625" style="61" customWidth="1"/>
    <col min="1038" max="1038" width="12.28515625" style="61" customWidth="1"/>
    <col min="1039" max="1039" width="11.7109375" style="61" customWidth="1"/>
    <col min="1040" max="1040" width="12" style="61" customWidth="1"/>
    <col min="1041" max="1041" width="12.140625" style="61" customWidth="1"/>
    <col min="1042" max="1042" width="11.7109375" style="61" customWidth="1"/>
    <col min="1043" max="1043" width="12" style="61" customWidth="1"/>
    <col min="1044" max="1044" width="12.28515625" style="61" customWidth="1"/>
    <col min="1045" max="1045" width="12.85546875" style="61" customWidth="1"/>
    <col min="1046" max="1046" width="17.140625" style="61" customWidth="1"/>
    <col min="1047" max="1048" width="13.28515625" style="61" customWidth="1"/>
    <col min="1049" max="1049" width="13.85546875" style="61" customWidth="1"/>
    <col min="1050" max="1050" width="16.85546875" style="61" customWidth="1"/>
    <col min="1051" max="1051" width="13.28515625" style="61" customWidth="1"/>
    <col min="1052" max="1052" width="13.42578125" style="61" customWidth="1"/>
    <col min="1053" max="1053" width="14.5703125" style="61" customWidth="1"/>
    <col min="1054" max="1054" width="14.7109375" style="61" customWidth="1"/>
    <col min="1055" max="1055" width="13.7109375" style="61" customWidth="1"/>
    <col min="1056" max="1056" width="51.28515625" style="61" customWidth="1"/>
    <col min="1057" max="1062" width="9.140625" style="61"/>
    <col min="1063" max="1063" width="0" style="61" hidden="1" customWidth="1"/>
    <col min="1064" max="1280" width="9.140625" style="61"/>
    <col min="1281" max="1281" width="3.5703125" style="61" bestFit="1" customWidth="1"/>
    <col min="1282" max="1284" width="2.28515625" style="61" customWidth="1"/>
    <col min="1285" max="1285" width="56" style="61" bestFit="1" customWidth="1"/>
    <col min="1286" max="1286" width="2.7109375" style="61" customWidth="1"/>
    <col min="1287" max="1287" width="16.7109375" style="61" bestFit="1" customWidth="1"/>
    <col min="1288" max="1288" width="2.7109375" style="61" customWidth="1"/>
    <col min="1289" max="1289" width="12.7109375" style="61" customWidth="1"/>
    <col min="1290" max="1290" width="12.5703125" style="61" customWidth="1"/>
    <col min="1291" max="1291" width="12.28515625" style="61" customWidth="1"/>
    <col min="1292" max="1292" width="11.7109375" style="61" customWidth="1"/>
    <col min="1293" max="1293" width="12.140625" style="61" customWidth="1"/>
    <col min="1294" max="1294" width="12.28515625" style="61" customWidth="1"/>
    <col min="1295" max="1295" width="11.7109375" style="61" customWidth="1"/>
    <col min="1296" max="1296" width="12" style="61" customWidth="1"/>
    <col min="1297" max="1297" width="12.140625" style="61" customWidth="1"/>
    <col min="1298" max="1298" width="11.7109375" style="61" customWidth="1"/>
    <col min="1299" max="1299" width="12" style="61" customWidth="1"/>
    <col min="1300" max="1300" width="12.28515625" style="61" customWidth="1"/>
    <col min="1301" max="1301" width="12.85546875" style="61" customWidth="1"/>
    <col min="1302" max="1302" width="17.140625" style="61" customWidth="1"/>
    <col min="1303" max="1304" width="13.28515625" style="61" customWidth="1"/>
    <col min="1305" max="1305" width="13.85546875" style="61" customWidth="1"/>
    <col min="1306" max="1306" width="16.85546875" style="61" customWidth="1"/>
    <col min="1307" max="1307" width="13.28515625" style="61" customWidth="1"/>
    <col min="1308" max="1308" width="13.42578125" style="61" customWidth="1"/>
    <col min="1309" max="1309" width="14.5703125" style="61" customWidth="1"/>
    <col min="1310" max="1310" width="14.7109375" style="61" customWidth="1"/>
    <col min="1311" max="1311" width="13.7109375" style="61" customWidth="1"/>
    <col min="1312" max="1312" width="51.28515625" style="61" customWidth="1"/>
    <col min="1313" max="1318" width="9.140625" style="61"/>
    <col min="1319" max="1319" width="0" style="61" hidden="1" customWidth="1"/>
    <col min="1320" max="1536" width="9.140625" style="61"/>
    <col min="1537" max="1537" width="3.5703125" style="61" bestFit="1" customWidth="1"/>
    <col min="1538" max="1540" width="2.28515625" style="61" customWidth="1"/>
    <col min="1541" max="1541" width="56" style="61" bestFit="1" customWidth="1"/>
    <col min="1542" max="1542" width="2.7109375" style="61" customWidth="1"/>
    <col min="1543" max="1543" width="16.7109375" style="61" bestFit="1" customWidth="1"/>
    <col min="1544" max="1544" width="2.7109375" style="61" customWidth="1"/>
    <col min="1545" max="1545" width="12.7109375" style="61" customWidth="1"/>
    <col min="1546" max="1546" width="12.5703125" style="61" customWidth="1"/>
    <col min="1547" max="1547" width="12.28515625" style="61" customWidth="1"/>
    <col min="1548" max="1548" width="11.7109375" style="61" customWidth="1"/>
    <col min="1549" max="1549" width="12.140625" style="61" customWidth="1"/>
    <col min="1550" max="1550" width="12.28515625" style="61" customWidth="1"/>
    <col min="1551" max="1551" width="11.7109375" style="61" customWidth="1"/>
    <col min="1552" max="1552" width="12" style="61" customWidth="1"/>
    <col min="1553" max="1553" width="12.140625" style="61" customWidth="1"/>
    <col min="1554" max="1554" width="11.7109375" style="61" customWidth="1"/>
    <col min="1555" max="1555" width="12" style="61" customWidth="1"/>
    <col min="1556" max="1556" width="12.28515625" style="61" customWidth="1"/>
    <col min="1557" max="1557" width="12.85546875" style="61" customWidth="1"/>
    <col min="1558" max="1558" width="17.140625" style="61" customWidth="1"/>
    <col min="1559" max="1560" width="13.28515625" style="61" customWidth="1"/>
    <col min="1561" max="1561" width="13.85546875" style="61" customWidth="1"/>
    <col min="1562" max="1562" width="16.85546875" style="61" customWidth="1"/>
    <col min="1563" max="1563" width="13.28515625" style="61" customWidth="1"/>
    <col min="1564" max="1564" width="13.42578125" style="61" customWidth="1"/>
    <col min="1565" max="1565" width="14.5703125" style="61" customWidth="1"/>
    <col min="1566" max="1566" width="14.7109375" style="61" customWidth="1"/>
    <col min="1567" max="1567" width="13.7109375" style="61" customWidth="1"/>
    <col min="1568" max="1568" width="51.28515625" style="61" customWidth="1"/>
    <col min="1569" max="1574" width="9.140625" style="61"/>
    <col min="1575" max="1575" width="0" style="61" hidden="1" customWidth="1"/>
    <col min="1576" max="1792" width="9.140625" style="61"/>
    <col min="1793" max="1793" width="3.5703125" style="61" bestFit="1" customWidth="1"/>
    <col min="1794" max="1796" width="2.28515625" style="61" customWidth="1"/>
    <col min="1797" max="1797" width="56" style="61" bestFit="1" customWidth="1"/>
    <col min="1798" max="1798" width="2.7109375" style="61" customWidth="1"/>
    <col min="1799" max="1799" width="16.7109375" style="61" bestFit="1" customWidth="1"/>
    <col min="1800" max="1800" width="2.7109375" style="61" customWidth="1"/>
    <col min="1801" max="1801" width="12.7109375" style="61" customWidth="1"/>
    <col min="1802" max="1802" width="12.5703125" style="61" customWidth="1"/>
    <col min="1803" max="1803" width="12.28515625" style="61" customWidth="1"/>
    <col min="1804" max="1804" width="11.7109375" style="61" customWidth="1"/>
    <col min="1805" max="1805" width="12.140625" style="61" customWidth="1"/>
    <col min="1806" max="1806" width="12.28515625" style="61" customWidth="1"/>
    <col min="1807" max="1807" width="11.7109375" style="61" customWidth="1"/>
    <col min="1808" max="1808" width="12" style="61" customWidth="1"/>
    <col min="1809" max="1809" width="12.140625" style="61" customWidth="1"/>
    <col min="1810" max="1810" width="11.7109375" style="61" customWidth="1"/>
    <col min="1811" max="1811" width="12" style="61" customWidth="1"/>
    <col min="1812" max="1812" width="12.28515625" style="61" customWidth="1"/>
    <col min="1813" max="1813" width="12.85546875" style="61" customWidth="1"/>
    <col min="1814" max="1814" width="17.140625" style="61" customWidth="1"/>
    <col min="1815" max="1816" width="13.28515625" style="61" customWidth="1"/>
    <col min="1817" max="1817" width="13.85546875" style="61" customWidth="1"/>
    <col min="1818" max="1818" width="16.85546875" style="61" customWidth="1"/>
    <col min="1819" max="1819" width="13.28515625" style="61" customWidth="1"/>
    <col min="1820" max="1820" width="13.42578125" style="61" customWidth="1"/>
    <col min="1821" max="1821" width="14.5703125" style="61" customWidth="1"/>
    <col min="1822" max="1822" width="14.7109375" style="61" customWidth="1"/>
    <col min="1823" max="1823" width="13.7109375" style="61" customWidth="1"/>
    <col min="1824" max="1824" width="51.28515625" style="61" customWidth="1"/>
    <col min="1825" max="1830" width="9.140625" style="61"/>
    <col min="1831" max="1831" width="0" style="61" hidden="1" customWidth="1"/>
    <col min="1832" max="2048" width="9.140625" style="61"/>
    <col min="2049" max="2049" width="3.5703125" style="61" bestFit="1" customWidth="1"/>
    <col min="2050" max="2052" width="2.28515625" style="61" customWidth="1"/>
    <col min="2053" max="2053" width="56" style="61" bestFit="1" customWidth="1"/>
    <col min="2054" max="2054" width="2.7109375" style="61" customWidth="1"/>
    <col min="2055" max="2055" width="16.7109375" style="61" bestFit="1" customWidth="1"/>
    <col min="2056" max="2056" width="2.7109375" style="61" customWidth="1"/>
    <col min="2057" max="2057" width="12.7109375" style="61" customWidth="1"/>
    <col min="2058" max="2058" width="12.5703125" style="61" customWidth="1"/>
    <col min="2059" max="2059" width="12.28515625" style="61" customWidth="1"/>
    <col min="2060" max="2060" width="11.7109375" style="61" customWidth="1"/>
    <col min="2061" max="2061" width="12.140625" style="61" customWidth="1"/>
    <col min="2062" max="2062" width="12.28515625" style="61" customWidth="1"/>
    <col min="2063" max="2063" width="11.7109375" style="61" customWidth="1"/>
    <col min="2064" max="2064" width="12" style="61" customWidth="1"/>
    <col min="2065" max="2065" width="12.140625" style="61" customWidth="1"/>
    <col min="2066" max="2066" width="11.7109375" style="61" customWidth="1"/>
    <col min="2067" max="2067" width="12" style="61" customWidth="1"/>
    <col min="2068" max="2068" width="12.28515625" style="61" customWidth="1"/>
    <col min="2069" max="2069" width="12.85546875" style="61" customWidth="1"/>
    <col min="2070" max="2070" width="17.140625" style="61" customWidth="1"/>
    <col min="2071" max="2072" width="13.28515625" style="61" customWidth="1"/>
    <col min="2073" max="2073" width="13.85546875" style="61" customWidth="1"/>
    <col min="2074" max="2074" width="16.85546875" style="61" customWidth="1"/>
    <col min="2075" max="2075" width="13.28515625" style="61" customWidth="1"/>
    <col min="2076" max="2076" width="13.42578125" style="61" customWidth="1"/>
    <col min="2077" max="2077" width="14.5703125" style="61" customWidth="1"/>
    <col min="2078" max="2078" width="14.7109375" style="61" customWidth="1"/>
    <col min="2079" max="2079" width="13.7109375" style="61" customWidth="1"/>
    <col min="2080" max="2080" width="51.28515625" style="61" customWidth="1"/>
    <col min="2081" max="2086" width="9.140625" style="61"/>
    <col min="2087" max="2087" width="0" style="61" hidden="1" customWidth="1"/>
    <col min="2088" max="2304" width="9.140625" style="61"/>
    <col min="2305" max="2305" width="3.5703125" style="61" bestFit="1" customWidth="1"/>
    <col min="2306" max="2308" width="2.28515625" style="61" customWidth="1"/>
    <col min="2309" max="2309" width="56" style="61" bestFit="1" customWidth="1"/>
    <col min="2310" max="2310" width="2.7109375" style="61" customWidth="1"/>
    <col min="2311" max="2311" width="16.7109375" style="61" bestFit="1" customWidth="1"/>
    <col min="2312" max="2312" width="2.7109375" style="61" customWidth="1"/>
    <col min="2313" max="2313" width="12.7109375" style="61" customWidth="1"/>
    <col min="2314" max="2314" width="12.5703125" style="61" customWidth="1"/>
    <col min="2315" max="2315" width="12.28515625" style="61" customWidth="1"/>
    <col min="2316" max="2316" width="11.7109375" style="61" customWidth="1"/>
    <col min="2317" max="2317" width="12.140625" style="61" customWidth="1"/>
    <col min="2318" max="2318" width="12.28515625" style="61" customWidth="1"/>
    <col min="2319" max="2319" width="11.7109375" style="61" customWidth="1"/>
    <col min="2320" max="2320" width="12" style="61" customWidth="1"/>
    <col min="2321" max="2321" width="12.140625" style="61" customWidth="1"/>
    <col min="2322" max="2322" width="11.7109375" style="61" customWidth="1"/>
    <col min="2323" max="2323" width="12" style="61" customWidth="1"/>
    <col min="2324" max="2324" width="12.28515625" style="61" customWidth="1"/>
    <col min="2325" max="2325" width="12.85546875" style="61" customWidth="1"/>
    <col min="2326" max="2326" width="17.140625" style="61" customWidth="1"/>
    <col min="2327" max="2328" width="13.28515625" style="61" customWidth="1"/>
    <col min="2329" max="2329" width="13.85546875" style="61" customWidth="1"/>
    <col min="2330" max="2330" width="16.85546875" style="61" customWidth="1"/>
    <col min="2331" max="2331" width="13.28515625" style="61" customWidth="1"/>
    <col min="2332" max="2332" width="13.42578125" style="61" customWidth="1"/>
    <col min="2333" max="2333" width="14.5703125" style="61" customWidth="1"/>
    <col min="2334" max="2334" width="14.7109375" style="61" customWidth="1"/>
    <col min="2335" max="2335" width="13.7109375" style="61" customWidth="1"/>
    <col min="2336" max="2336" width="51.28515625" style="61" customWidth="1"/>
    <col min="2337" max="2342" width="9.140625" style="61"/>
    <col min="2343" max="2343" width="0" style="61" hidden="1" customWidth="1"/>
    <col min="2344" max="2560" width="9.140625" style="61"/>
    <col min="2561" max="2561" width="3.5703125" style="61" bestFit="1" customWidth="1"/>
    <col min="2562" max="2564" width="2.28515625" style="61" customWidth="1"/>
    <col min="2565" max="2565" width="56" style="61" bestFit="1" customWidth="1"/>
    <col min="2566" max="2566" width="2.7109375" style="61" customWidth="1"/>
    <col min="2567" max="2567" width="16.7109375" style="61" bestFit="1" customWidth="1"/>
    <col min="2568" max="2568" width="2.7109375" style="61" customWidth="1"/>
    <col min="2569" max="2569" width="12.7109375" style="61" customWidth="1"/>
    <col min="2570" max="2570" width="12.5703125" style="61" customWidth="1"/>
    <col min="2571" max="2571" width="12.28515625" style="61" customWidth="1"/>
    <col min="2572" max="2572" width="11.7109375" style="61" customWidth="1"/>
    <col min="2573" max="2573" width="12.140625" style="61" customWidth="1"/>
    <col min="2574" max="2574" width="12.28515625" style="61" customWidth="1"/>
    <col min="2575" max="2575" width="11.7109375" style="61" customWidth="1"/>
    <col min="2576" max="2576" width="12" style="61" customWidth="1"/>
    <col min="2577" max="2577" width="12.140625" style="61" customWidth="1"/>
    <col min="2578" max="2578" width="11.7109375" style="61" customWidth="1"/>
    <col min="2579" max="2579" width="12" style="61" customWidth="1"/>
    <col min="2580" max="2580" width="12.28515625" style="61" customWidth="1"/>
    <col min="2581" max="2581" width="12.85546875" style="61" customWidth="1"/>
    <col min="2582" max="2582" width="17.140625" style="61" customWidth="1"/>
    <col min="2583" max="2584" width="13.28515625" style="61" customWidth="1"/>
    <col min="2585" max="2585" width="13.85546875" style="61" customWidth="1"/>
    <col min="2586" max="2586" width="16.85546875" style="61" customWidth="1"/>
    <col min="2587" max="2587" width="13.28515625" style="61" customWidth="1"/>
    <col min="2588" max="2588" width="13.42578125" style="61" customWidth="1"/>
    <col min="2589" max="2589" width="14.5703125" style="61" customWidth="1"/>
    <col min="2590" max="2590" width="14.7109375" style="61" customWidth="1"/>
    <col min="2591" max="2591" width="13.7109375" style="61" customWidth="1"/>
    <col min="2592" max="2592" width="51.28515625" style="61" customWidth="1"/>
    <col min="2593" max="2598" width="9.140625" style="61"/>
    <col min="2599" max="2599" width="0" style="61" hidden="1" customWidth="1"/>
    <col min="2600" max="2816" width="9.140625" style="61"/>
    <col min="2817" max="2817" width="3.5703125" style="61" bestFit="1" customWidth="1"/>
    <col min="2818" max="2820" width="2.28515625" style="61" customWidth="1"/>
    <col min="2821" max="2821" width="56" style="61" bestFit="1" customWidth="1"/>
    <col min="2822" max="2822" width="2.7109375" style="61" customWidth="1"/>
    <col min="2823" max="2823" width="16.7109375" style="61" bestFit="1" customWidth="1"/>
    <col min="2824" max="2824" width="2.7109375" style="61" customWidth="1"/>
    <col min="2825" max="2825" width="12.7109375" style="61" customWidth="1"/>
    <col min="2826" max="2826" width="12.5703125" style="61" customWidth="1"/>
    <col min="2827" max="2827" width="12.28515625" style="61" customWidth="1"/>
    <col min="2828" max="2828" width="11.7109375" style="61" customWidth="1"/>
    <col min="2829" max="2829" width="12.140625" style="61" customWidth="1"/>
    <col min="2830" max="2830" width="12.28515625" style="61" customWidth="1"/>
    <col min="2831" max="2831" width="11.7109375" style="61" customWidth="1"/>
    <col min="2832" max="2832" width="12" style="61" customWidth="1"/>
    <col min="2833" max="2833" width="12.140625" style="61" customWidth="1"/>
    <col min="2834" max="2834" width="11.7109375" style="61" customWidth="1"/>
    <col min="2835" max="2835" width="12" style="61" customWidth="1"/>
    <col min="2836" max="2836" width="12.28515625" style="61" customWidth="1"/>
    <col min="2837" max="2837" width="12.85546875" style="61" customWidth="1"/>
    <col min="2838" max="2838" width="17.140625" style="61" customWidth="1"/>
    <col min="2839" max="2840" width="13.28515625" style="61" customWidth="1"/>
    <col min="2841" max="2841" width="13.85546875" style="61" customWidth="1"/>
    <col min="2842" max="2842" width="16.85546875" style="61" customWidth="1"/>
    <col min="2843" max="2843" width="13.28515625" style="61" customWidth="1"/>
    <col min="2844" max="2844" width="13.42578125" style="61" customWidth="1"/>
    <col min="2845" max="2845" width="14.5703125" style="61" customWidth="1"/>
    <col min="2846" max="2846" width="14.7109375" style="61" customWidth="1"/>
    <col min="2847" max="2847" width="13.7109375" style="61" customWidth="1"/>
    <col min="2848" max="2848" width="51.28515625" style="61" customWidth="1"/>
    <col min="2849" max="2854" width="9.140625" style="61"/>
    <col min="2855" max="2855" width="0" style="61" hidden="1" customWidth="1"/>
    <col min="2856" max="3072" width="9.140625" style="61"/>
    <col min="3073" max="3073" width="3.5703125" style="61" bestFit="1" customWidth="1"/>
    <col min="3074" max="3076" width="2.28515625" style="61" customWidth="1"/>
    <col min="3077" max="3077" width="56" style="61" bestFit="1" customWidth="1"/>
    <col min="3078" max="3078" width="2.7109375" style="61" customWidth="1"/>
    <col min="3079" max="3079" width="16.7109375" style="61" bestFit="1" customWidth="1"/>
    <col min="3080" max="3080" width="2.7109375" style="61" customWidth="1"/>
    <col min="3081" max="3081" width="12.7109375" style="61" customWidth="1"/>
    <col min="3082" max="3082" width="12.5703125" style="61" customWidth="1"/>
    <col min="3083" max="3083" width="12.28515625" style="61" customWidth="1"/>
    <col min="3084" max="3084" width="11.7109375" style="61" customWidth="1"/>
    <col min="3085" max="3085" width="12.140625" style="61" customWidth="1"/>
    <col min="3086" max="3086" width="12.28515625" style="61" customWidth="1"/>
    <col min="3087" max="3087" width="11.7109375" style="61" customWidth="1"/>
    <col min="3088" max="3088" width="12" style="61" customWidth="1"/>
    <col min="3089" max="3089" width="12.140625" style="61" customWidth="1"/>
    <col min="3090" max="3090" width="11.7109375" style="61" customWidth="1"/>
    <col min="3091" max="3091" width="12" style="61" customWidth="1"/>
    <col min="3092" max="3092" width="12.28515625" style="61" customWidth="1"/>
    <col min="3093" max="3093" width="12.85546875" style="61" customWidth="1"/>
    <col min="3094" max="3094" width="17.140625" style="61" customWidth="1"/>
    <col min="3095" max="3096" width="13.28515625" style="61" customWidth="1"/>
    <col min="3097" max="3097" width="13.85546875" style="61" customWidth="1"/>
    <col min="3098" max="3098" width="16.85546875" style="61" customWidth="1"/>
    <col min="3099" max="3099" width="13.28515625" style="61" customWidth="1"/>
    <col min="3100" max="3100" width="13.42578125" style="61" customWidth="1"/>
    <col min="3101" max="3101" width="14.5703125" style="61" customWidth="1"/>
    <col min="3102" max="3102" width="14.7109375" style="61" customWidth="1"/>
    <col min="3103" max="3103" width="13.7109375" style="61" customWidth="1"/>
    <col min="3104" max="3104" width="51.28515625" style="61" customWidth="1"/>
    <col min="3105" max="3110" width="9.140625" style="61"/>
    <col min="3111" max="3111" width="0" style="61" hidden="1" customWidth="1"/>
    <col min="3112" max="3328" width="9.140625" style="61"/>
    <col min="3329" max="3329" width="3.5703125" style="61" bestFit="1" customWidth="1"/>
    <col min="3330" max="3332" width="2.28515625" style="61" customWidth="1"/>
    <col min="3333" max="3333" width="56" style="61" bestFit="1" customWidth="1"/>
    <col min="3334" max="3334" width="2.7109375" style="61" customWidth="1"/>
    <col min="3335" max="3335" width="16.7109375" style="61" bestFit="1" customWidth="1"/>
    <col min="3336" max="3336" width="2.7109375" style="61" customWidth="1"/>
    <col min="3337" max="3337" width="12.7109375" style="61" customWidth="1"/>
    <col min="3338" max="3338" width="12.5703125" style="61" customWidth="1"/>
    <col min="3339" max="3339" width="12.28515625" style="61" customWidth="1"/>
    <col min="3340" max="3340" width="11.7109375" style="61" customWidth="1"/>
    <col min="3341" max="3341" width="12.140625" style="61" customWidth="1"/>
    <col min="3342" max="3342" width="12.28515625" style="61" customWidth="1"/>
    <col min="3343" max="3343" width="11.7109375" style="61" customWidth="1"/>
    <col min="3344" max="3344" width="12" style="61" customWidth="1"/>
    <col min="3345" max="3345" width="12.140625" style="61" customWidth="1"/>
    <col min="3346" max="3346" width="11.7109375" style="61" customWidth="1"/>
    <col min="3347" max="3347" width="12" style="61" customWidth="1"/>
    <col min="3348" max="3348" width="12.28515625" style="61" customWidth="1"/>
    <col min="3349" max="3349" width="12.85546875" style="61" customWidth="1"/>
    <col min="3350" max="3350" width="17.140625" style="61" customWidth="1"/>
    <col min="3351" max="3352" width="13.28515625" style="61" customWidth="1"/>
    <col min="3353" max="3353" width="13.85546875" style="61" customWidth="1"/>
    <col min="3354" max="3354" width="16.85546875" style="61" customWidth="1"/>
    <col min="3355" max="3355" width="13.28515625" style="61" customWidth="1"/>
    <col min="3356" max="3356" width="13.42578125" style="61" customWidth="1"/>
    <col min="3357" max="3357" width="14.5703125" style="61" customWidth="1"/>
    <col min="3358" max="3358" width="14.7109375" style="61" customWidth="1"/>
    <col min="3359" max="3359" width="13.7109375" style="61" customWidth="1"/>
    <col min="3360" max="3360" width="51.28515625" style="61" customWidth="1"/>
    <col min="3361" max="3366" width="9.140625" style="61"/>
    <col min="3367" max="3367" width="0" style="61" hidden="1" customWidth="1"/>
    <col min="3368" max="3584" width="9.140625" style="61"/>
    <col min="3585" max="3585" width="3.5703125" style="61" bestFit="1" customWidth="1"/>
    <col min="3586" max="3588" width="2.28515625" style="61" customWidth="1"/>
    <col min="3589" max="3589" width="56" style="61" bestFit="1" customWidth="1"/>
    <col min="3590" max="3590" width="2.7109375" style="61" customWidth="1"/>
    <col min="3591" max="3591" width="16.7109375" style="61" bestFit="1" customWidth="1"/>
    <col min="3592" max="3592" width="2.7109375" style="61" customWidth="1"/>
    <col min="3593" max="3593" width="12.7109375" style="61" customWidth="1"/>
    <col min="3594" max="3594" width="12.5703125" style="61" customWidth="1"/>
    <col min="3595" max="3595" width="12.28515625" style="61" customWidth="1"/>
    <col min="3596" max="3596" width="11.7109375" style="61" customWidth="1"/>
    <col min="3597" max="3597" width="12.140625" style="61" customWidth="1"/>
    <col min="3598" max="3598" width="12.28515625" style="61" customWidth="1"/>
    <col min="3599" max="3599" width="11.7109375" style="61" customWidth="1"/>
    <col min="3600" max="3600" width="12" style="61" customWidth="1"/>
    <col min="3601" max="3601" width="12.140625" style="61" customWidth="1"/>
    <col min="3602" max="3602" width="11.7109375" style="61" customWidth="1"/>
    <col min="3603" max="3603" width="12" style="61" customWidth="1"/>
    <col min="3604" max="3604" width="12.28515625" style="61" customWidth="1"/>
    <col min="3605" max="3605" width="12.85546875" style="61" customWidth="1"/>
    <col min="3606" max="3606" width="17.140625" style="61" customWidth="1"/>
    <col min="3607" max="3608" width="13.28515625" style="61" customWidth="1"/>
    <col min="3609" max="3609" width="13.85546875" style="61" customWidth="1"/>
    <col min="3610" max="3610" width="16.85546875" style="61" customWidth="1"/>
    <col min="3611" max="3611" width="13.28515625" style="61" customWidth="1"/>
    <col min="3612" max="3612" width="13.42578125" style="61" customWidth="1"/>
    <col min="3613" max="3613" width="14.5703125" style="61" customWidth="1"/>
    <col min="3614" max="3614" width="14.7109375" style="61" customWidth="1"/>
    <col min="3615" max="3615" width="13.7109375" style="61" customWidth="1"/>
    <col min="3616" max="3616" width="51.28515625" style="61" customWidth="1"/>
    <col min="3617" max="3622" width="9.140625" style="61"/>
    <col min="3623" max="3623" width="0" style="61" hidden="1" customWidth="1"/>
    <col min="3624" max="3840" width="9.140625" style="61"/>
    <col min="3841" max="3841" width="3.5703125" style="61" bestFit="1" customWidth="1"/>
    <col min="3842" max="3844" width="2.28515625" style="61" customWidth="1"/>
    <col min="3845" max="3845" width="56" style="61" bestFit="1" customWidth="1"/>
    <col min="3846" max="3846" width="2.7109375" style="61" customWidth="1"/>
    <col min="3847" max="3847" width="16.7109375" style="61" bestFit="1" customWidth="1"/>
    <col min="3848" max="3848" width="2.7109375" style="61" customWidth="1"/>
    <col min="3849" max="3849" width="12.7109375" style="61" customWidth="1"/>
    <col min="3850" max="3850" width="12.5703125" style="61" customWidth="1"/>
    <col min="3851" max="3851" width="12.28515625" style="61" customWidth="1"/>
    <col min="3852" max="3852" width="11.7109375" style="61" customWidth="1"/>
    <col min="3853" max="3853" width="12.140625" style="61" customWidth="1"/>
    <col min="3854" max="3854" width="12.28515625" style="61" customWidth="1"/>
    <col min="3855" max="3855" width="11.7109375" style="61" customWidth="1"/>
    <col min="3856" max="3856" width="12" style="61" customWidth="1"/>
    <col min="3857" max="3857" width="12.140625" style="61" customWidth="1"/>
    <col min="3858" max="3858" width="11.7109375" style="61" customWidth="1"/>
    <col min="3859" max="3859" width="12" style="61" customWidth="1"/>
    <col min="3860" max="3860" width="12.28515625" style="61" customWidth="1"/>
    <col min="3861" max="3861" width="12.85546875" style="61" customWidth="1"/>
    <col min="3862" max="3862" width="17.140625" style="61" customWidth="1"/>
    <col min="3863" max="3864" width="13.28515625" style="61" customWidth="1"/>
    <col min="3865" max="3865" width="13.85546875" style="61" customWidth="1"/>
    <col min="3866" max="3866" width="16.85546875" style="61" customWidth="1"/>
    <col min="3867" max="3867" width="13.28515625" style="61" customWidth="1"/>
    <col min="3868" max="3868" width="13.42578125" style="61" customWidth="1"/>
    <col min="3869" max="3869" width="14.5703125" style="61" customWidth="1"/>
    <col min="3870" max="3870" width="14.7109375" style="61" customWidth="1"/>
    <col min="3871" max="3871" width="13.7109375" style="61" customWidth="1"/>
    <col min="3872" max="3872" width="51.28515625" style="61" customWidth="1"/>
    <col min="3873" max="3878" width="9.140625" style="61"/>
    <col min="3879" max="3879" width="0" style="61" hidden="1" customWidth="1"/>
    <col min="3880" max="4096" width="9.140625" style="61"/>
    <col min="4097" max="4097" width="3.5703125" style="61" bestFit="1" customWidth="1"/>
    <col min="4098" max="4100" width="2.28515625" style="61" customWidth="1"/>
    <col min="4101" max="4101" width="56" style="61" bestFit="1" customWidth="1"/>
    <col min="4102" max="4102" width="2.7109375" style="61" customWidth="1"/>
    <col min="4103" max="4103" width="16.7109375" style="61" bestFit="1" customWidth="1"/>
    <col min="4104" max="4104" width="2.7109375" style="61" customWidth="1"/>
    <col min="4105" max="4105" width="12.7109375" style="61" customWidth="1"/>
    <col min="4106" max="4106" width="12.5703125" style="61" customWidth="1"/>
    <col min="4107" max="4107" width="12.28515625" style="61" customWidth="1"/>
    <col min="4108" max="4108" width="11.7109375" style="61" customWidth="1"/>
    <col min="4109" max="4109" width="12.140625" style="61" customWidth="1"/>
    <col min="4110" max="4110" width="12.28515625" style="61" customWidth="1"/>
    <col min="4111" max="4111" width="11.7109375" style="61" customWidth="1"/>
    <col min="4112" max="4112" width="12" style="61" customWidth="1"/>
    <col min="4113" max="4113" width="12.140625" style="61" customWidth="1"/>
    <col min="4114" max="4114" width="11.7109375" style="61" customWidth="1"/>
    <col min="4115" max="4115" width="12" style="61" customWidth="1"/>
    <col min="4116" max="4116" width="12.28515625" style="61" customWidth="1"/>
    <col min="4117" max="4117" width="12.85546875" style="61" customWidth="1"/>
    <col min="4118" max="4118" width="17.140625" style="61" customWidth="1"/>
    <col min="4119" max="4120" width="13.28515625" style="61" customWidth="1"/>
    <col min="4121" max="4121" width="13.85546875" style="61" customWidth="1"/>
    <col min="4122" max="4122" width="16.85546875" style="61" customWidth="1"/>
    <col min="4123" max="4123" width="13.28515625" style="61" customWidth="1"/>
    <col min="4124" max="4124" width="13.42578125" style="61" customWidth="1"/>
    <col min="4125" max="4125" width="14.5703125" style="61" customWidth="1"/>
    <col min="4126" max="4126" width="14.7109375" style="61" customWidth="1"/>
    <col min="4127" max="4127" width="13.7109375" style="61" customWidth="1"/>
    <col min="4128" max="4128" width="51.28515625" style="61" customWidth="1"/>
    <col min="4129" max="4134" width="9.140625" style="61"/>
    <col min="4135" max="4135" width="0" style="61" hidden="1" customWidth="1"/>
    <col min="4136" max="4352" width="9.140625" style="61"/>
    <col min="4353" max="4353" width="3.5703125" style="61" bestFit="1" customWidth="1"/>
    <col min="4354" max="4356" width="2.28515625" style="61" customWidth="1"/>
    <col min="4357" max="4357" width="56" style="61" bestFit="1" customWidth="1"/>
    <col min="4358" max="4358" width="2.7109375" style="61" customWidth="1"/>
    <col min="4359" max="4359" width="16.7109375" style="61" bestFit="1" customWidth="1"/>
    <col min="4360" max="4360" width="2.7109375" style="61" customWidth="1"/>
    <col min="4361" max="4361" width="12.7109375" style="61" customWidth="1"/>
    <col min="4362" max="4362" width="12.5703125" style="61" customWidth="1"/>
    <col min="4363" max="4363" width="12.28515625" style="61" customWidth="1"/>
    <col min="4364" max="4364" width="11.7109375" style="61" customWidth="1"/>
    <col min="4365" max="4365" width="12.140625" style="61" customWidth="1"/>
    <col min="4366" max="4366" width="12.28515625" style="61" customWidth="1"/>
    <col min="4367" max="4367" width="11.7109375" style="61" customWidth="1"/>
    <col min="4368" max="4368" width="12" style="61" customWidth="1"/>
    <col min="4369" max="4369" width="12.140625" style="61" customWidth="1"/>
    <col min="4370" max="4370" width="11.7109375" style="61" customWidth="1"/>
    <col min="4371" max="4371" width="12" style="61" customWidth="1"/>
    <col min="4372" max="4372" width="12.28515625" style="61" customWidth="1"/>
    <col min="4373" max="4373" width="12.85546875" style="61" customWidth="1"/>
    <col min="4374" max="4374" width="17.140625" style="61" customWidth="1"/>
    <col min="4375" max="4376" width="13.28515625" style="61" customWidth="1"/>
    <col min="4377" max="4377" width="13.85546875" style="61" customWidth="1"/>
    <col min="4378" max="4378" width="16.85546875" style="61" customWidth="1"/>
    <col min="4379" max="4379" width="13.28515625" style="61" customWidth="1"/>
    <col min="4380" max="4380" width="13.42578125" style="61" customWidth="1"/>
    <col min="4381" max="4381" width="14.5703125" style="61" customWidth="1"/>
    <col min="4382" max="4382" width="14.7109375" style="61" customWidth="1"/>
    <col min="4383" max="4383" width="13.7109375" style="61" customWidth="1"/>
    <col min="4384" max="4384" width="51.28515625" style="61" customWidth="1"/>
    <col min="4385" max="4390" width="9.140625" style="61"/>
    <col min="4391" max="4391" width="0" style="61" hidden="1" customWidth="1"/>
    <col min="4392" max="4608" width="9.140625" style="61"/>
    <col min="4609" max="4609" width="3.5703125" style="61" bestFit="1" customWidth="1"/>
    <col min="4610" max="4612" width="2.28515625" style="61" customWidth="1"/>
    <col min="4613" max="4613" width="56" style="61" bestFit="1" customWidth="1"/>
    <col min="4614" max="4614" width="2.7109375" style="61" customWidth="1"/>
    <col min="4615" max="4615" width="16.7109375" style="61" bestFit="1" customWidth="1"/>
    <col min="4616" max="4616" width="2.7109375" style="61" customWidth="1"/>
    <col min="4617" max="4617" width="12.7109375" style="61" customWidth="1"/>
    <col min="4618" max="4618" width="12.5703125" style="61" customWidth="1"/>
    <col min="4619" max="4619" width="12.28515625" style="61" customWidth="1"/>
    <col min="4620" max="4620" width="11.7109375" style="61" customWidth="1"/>
    <col min="4621" max="4621" width="12.140625" style="61" customWidth="1"/>
    <col min="4622" max="4622" width="12.28515625" style="61" customWidth="1"/>
    <col min="4623" max="4623" width="11.7109375" style="61" customWidth="1"/>
    <col min="4624" max="4624" width="12" style="61" customWidth="1"/>
    <col min="4625" max="4625" width="12.140625" style="61" customWidth="1"/>
    <col min="4626" max="4626" width="11.7109375" style="61" customWidth="1"/>
    <col min="4627" max="4627" width="12" style="61" customWidth="1"/>
    <col min="4628" max="4628" width="12.28515625" style="61" customWidth="1"/>
    <col min="4629" max="4629" width="12.85546875" style="61" customWidth="1"/>
    <col min="4630" max="4630" width="17.140625" style="61" customWidth="1"/>
    <col min="4631" max="4632" width="13.28515625" style="61" customWidth="1"/>
    <col min="4633" max="4633" width="13.85546875" style="61" customWidth="1"/>
    <col min="4634" max="4634" width="16.85546875" style="61" customWidth="1"/>
    <col min="4635" max="4635" width="13.28515625" style="61" customWidth="1"/>
    <col min="4636" max="4636" width="13.42578125" style="61" customWidth="1"/>
    <col min="4637" max="4637" width="14.5703125" style="61" customWidth="1"/>
    <col min="4638" max="4638" width="14.7109375" style="61" customWidth="1"/>
    <col min="4639" max="4639" width="13.7109375" style="61" customWidth="1"/>
    <col min="4640" max="4640" width="51.28515625" style="61" customWidth="1"/>
    <col min="4641" max="4646" width="9.140625" style="61"/>
    <col min="4647" max="4647" width="0" style="61" hidden="1" customWidth="1"/>
    <col min="4648" max="4864" width="9.140625" style="61"/>
    <col min="4865" max="4865" width="3.5703125" style="61" bestFit="1" customWidth="1"/>
    <col min="4866" max="4868" width="2.28515625" style="61" customWidth="1"/>
    <col min="4869" max="4869" width="56" style="61" bestFit="1" customWidth="1"/>
    <col min="4870" max="4870" width="2.7109375" style="61" customWidth="1"/>
    <col min="4871" max="4871" width="16.7109375" style="61" bestFit="1" customWidth="1"/>
    <col min="4872" max="4872" width="2.7109375" style="61" customWidth="1"/>
    <col min="4873" max="4873" width="12.7109375" style="61" customWidth="1"/>
    <col min="4874" max="4874" width="12.5703125" style="61" customWidth="1"/>
    <col min="4875" max="4875" width="12.28515625" style="61" customWidth="1"/>
    <col min="4876" max="4876" width="11.7109375" style="61" customWidth="1"/>
    <col min="4877" max="4877" width="12.140625" style="61" customWidth="1"/>
    <col min="4878" max="4878" width="12.28515625" style="61" customWidth="1"/>
    <col min="4879" max="4879" width="11.7109375" style="61" customWidth="1"/>
    <col min="4880" max="4880" width="12" style="61" customWidth="1"/>
    <col min="4881" max="4881" width="12.140625" style="61" customWidth="1"/>
    <col min="4882" max="4882" width="11.7109375" style="61" customWidth="1"/>
    <col min="4883" max="4883" width="12" style="61" customWidth="1"/>
    <col min="4884" max="4884" width="12.28515625" style="61" customWidth="1"/>
    <col min="4885" max="4885" width="12.85546875" style="61" customWidth="1"/>
    <col min="4886" max="4886" width="17.140625" style="61" customWidth="1"/>
    <col min="4887" max="4888" width="13.28515625" style="61" customWidth="1"/>
    <col min="4889" max="4889" width="13.85546875" style="61" customWidth="1"/>
    <col min="4890" max="4890" width="16.85546875" style="61" customWidth="1"/>
    <col min="4891" max="4891" width="13.28515625" style="61" customWidth="1"/>
    <col min="4892" max="4892" width="13.42578125" style="61" customWidth="1"/>
    <col min="4893" max="4893" width="14.5703125" style="61" customWidth="1"/>
    <col min="4894" max="4894" width="14.7109375" style="61" customWidth="1"/>
    <col min="4895" max="4895" width="13.7109375" style="61" customWidth="1"/>
    <col min="4896" max="4896" width="51.28515625" style="61" customWidth="1"/>
    <col min="4897" max="4902" width="9.140625" style="61"/>
    <col min="4903" max="4903" width="0" style="61" hidden="1" customWidth="1"/>
    <col min="4904" max="5120" width="9.140625" style="61"/>
    <col min="5121" max="5121" width="3.5703125" style="61" bestFit="1" customWidth="1"/>
    <col min="5122" max="5124" width="2.28515625" style="61" customWidth="1"/>
    <col min="5125" max="5125" width="56" style="61" bestFit="1" customWidth="1"/>
    <col min="5126" max="5126" width="2.7109375" style="61" customWidth="1"/>
    <col min="5127" max="5127" width="16.7109375" style="61" bestFit="1" customWidth="1"/>
    <col min="5128" max="5128" width="2.7109375" style="61" customWidth="1"/>
    <col min="5129" max="5129" width="12.7109375" style="61" customWidth="1"/>
    <col min="5130" max="5130" width="12.5703125" style="61" customWidth="1"/>
    <col min="5131" max="5131" width="12.28515625" style="61" customWidth="1"/>
    <col min="5132" max="5132" width="11.7109375" style="61" customWidth="1"/>
    <col min="5133" max="5133" width="12.140625" style="61" customWidth="1"/>
    <col min="5134" max="5134" width="12.28515625" style="61" customWidth="1"/>
    <col min="5135" max="5135" width="11.7109375" style="61" customWidth="1"/>
    <col min="5136" max="5136" width="12" style="61" customWidth="1"/>
    <col min="5137" max="5137" width="12.140625" style="61" customWidth="1"/>
    <col min="5138" max="5138" width="11.7109375" style="61" customWidth="1"/>
    <col min="5139" max="5139" width="12" style="61" customWidth="1"/>
    <col min="5140" max="5140" width="12.28515625" style="61" customWidth="1"/>
    <col min="5141" max="5141" width="12.85546875" style="61" customWidth="1"/>
    <col min="5142" max="5142" width="17.140625" style="61" customWidth="1"/>
    <col min="5143" max="5144" width="13.28515625" style="61" customWidth="1"/>
    <col min="5145" max="5145" width="13.85546875" style="61" customWidth="1"/>
    <col min="5146" max="5146" width="16.85546875" style="61" customWidth="1"/>
    <col min="5147" max="5147" width="13.28515625" style="61" customWidth="1"/>
    <col min="5148" max="5148" width="13.42578125" style="61" customWidth="1"/>
    <col min="5149" max="5149" width="14.5703125" style="61" customWidth="1"/>
    <col min="5150" max="5150" width="14.7109375" style="61" customWidth="1"/>
    <col min="5151" max="5151" width="13.7109375" style="61" customWidth="1"/>
    <col min="5152" max="5152" width="51.28515625" style="61" customWidth="1"/>
    <col min="5153" max="5158" width="9.140625" style="61"/>
    <col min="5159" max="5159" width="0" style="61" hidden="1" customWidth="1"/>
    <col min="5160" max="5376" width="9.140625" style="61"/>
    <col min="5377" max="5377" width="3.5703125" style="61" bestFit="1" customWidth="1"/>
    <col min="5378" max="5380" width="2.28515625" style="61" customWidth="1"/>
    <col min="5381" max="5381" width="56" style="61" bestFit="1" customWidth="1"/>
    <col min="5382" max="5382" width="2.7109375" style="61" customWidth="1"/>
    <col min="5383" max="5383" width="16.7109375" style="61" bestFit="1" customWidth="1"/>
    <col min="5384" max="5384" width="2.7109375" style="61" customWidth="1"/>
    <col min="5385" max="5385" width="12.7109375" style="61" customWidth="1"/>
    <col min="5386" max="5386" width="12.5703125" style="61" customWidth="1"/>
    <col min="5387" max="5387" width="12.28515625" style="61" customWidth="1"/>
    <col min="5388" max="5388" width="11.7109375" style="61" customWidth="1"/>
    <col min="5389" max="5389" width="12.140625" style="61" customWidth="1"/>
    <col min="5390" max="5390" width="12.28515625" style="61" customWidth="1"/>
    <col min="5391" max="5391" width="11.7109375" style="61" customWidth="1"/>
    <col min="5392" max="5392" width="12" style="61" customWidth="1"/>
    <col min="5393" max="5393" width="12.140625" style="61" customWidth="1"/>
    <col min="5394" max="5394" width="11.7109375" style="61" customWidth="1"/>
    <col min="5395" max="5395" width="12" style="61" customWidth="1"/>
    <col min="5396" max="5396" width="12.28515625" style="61" customWidth="1"/>
    <col min="5397" max="5397" width="12.85546875" style="61" customWidth="1"/>
    <col min="5398" max="5398" width="17.140625" style="61" customWidth="1"/>
    <col min="5399" max="5400" width="13.28515625" style="61" customWidth="1"/>
    <col min="5401" max="5401" width="13.85546875" style="61" customWidth="1"/>
    <col min="5402" max="5402" width="16.85546875" style="61" customWidth="1"/>
    <col min="5403" max="5403" width="13.28515625" style="61" customWidth="1"/>
    <col min="5404" max="5404" width="13.42578125" style="61" customWidth="1"/>
    <col min="5405" max="5405" width="14.5703125" style="61" customWidth="1"/>
    <col min="5406" max="5406" width="14.7109375" style="61" customWidth="1"/>
    <col min="5407" max="5407" width="13.7109375" style="61" customWidth="1"/>
    <col min="5408" max="5408" width="51.28515625" style="61" customWidth="1"/>
    <col min="5409" max="5414" width="9.140625" style="61"/>
    <col min="5415" max="5415" width="0" style="61" hidden="1" customWidth="1"/>
    <col min="5416" max="5632" width="9.140625" style="61"/>
    <col min="5633" max="5633" width="3.5703125" style="61" bestFit="1" customWidth="1"/>
    <col min="5634" max="5636" width="2.28515625" style="61" customWidth="1"/>
    <col min="5637" max="5637" width="56" style="61" bestFit="1" customWidth="1"/>
    <col min="5638" max="5638" width="2.7109375" style="61" customWidth="1"/>
    <col min="5639" max="5639" width="16.7109375" style="61" bestFit="1" customWidth="1"/>
    <col min="5640" max="5640" width="2.7109375" style="61" customWidth="1"/>
    <col min="5641" max="5641" width="12.7109375" style="61" customWidth="1"/>
    <col min="5642" max="5642" width="12.5703125" style="61" customWidth="1"/>
    <col min="5643" max="5643" width="12.28515625" style="61" customWidth="1"/>
    <col min="5644" max="5644" width="11.7109375" style="61" customWidth="1"/>
    <col min="5645" max="5645" width="12.140625" style="61" customWidth="1"/>
    <col min="5646" max="5646" width="12.28515625" style="61" customWidth="1"/>
    <col min="5647" max="5647" width="11.7109375" style="61" customWidth="1"/>
    <col min="5648" max="5648" width="12" style="61" customWidth="1"/>
    <col min="5649" max="5649" width="12.140625" style="61" customWidth="1"/>
    <col min="5650" max="5650" width="11.7109375" style="61" customWidth="1"/>
    <col min="5651" max="5651" width="12" style="61" customWidth="1"/>
    <col min="5652" max="5652" width="12.28515625" style="61" customWidth="1"/>
    <col min="5653" max="5653" width="12.85546875" style="61" customWidth="1"/>
    <col min="5654" max="5654" width="17.140625" style="61" customWidth="1"/>
    <col min="5655" max="5656" width="13.28515625" style="61" customWidth="1"/>
    <col min="5657" max="5657" width="13.85546875" style="61" customWidth="1"/>
    <col min="5658" max="5658" width="16.85546875" style="61" customWidth="1"/>
    <col min="5659" max="5659" width="13.28515625" style="61" customWidth="1"/>
    <col min="5660" max="5660" width="13.42578125" style="61" customWidth="1"/>
    <col min="5661" max="5661" width="14.5703125" style="61" customWidth="1"/>
    <col min="5662" max="5662" width="14.7109375" style="61" customWidth="1"/>
    <col min="5663" max="5663" width="13.7109375" style="61" customWidth="1"/>
    <col min="5664" max="5664" width="51.28515625" style="61" customWidth="1"/>
    <col min="5665" max="5670" width="9.140625" style="61"/>
    <col min="5671" max="5671" width="0" style="61" hidden="1" customWidth="1"/>
    <col min="5672" max="5888" width="9.140625" style="61"/>
    <col min="5889" max="5889" width="3.5703125" style="61" bestFit="1" customWidth="1"/>
    <col min="5890" max="5892" width="2.28515625" style="61" customWidth="1"/>
    <col min="5893" max="5893" width="56" style="61" bestFit="1" customWidth="1"/>
    <col min="5894" max="5894" width="2.7109375" style="61" customWidth="1"/>
    <col min="5895" max="5895" width="16.7109375" style="61" bestFit="1" customWidth="1"/>
    <col min="5896" max="5896" width="2.7109375" style="61" customWidth="1"/>
    <col min="5897" max="5897" width="12.7109375" style="61" customWidth="1"/>
    <col min="5898" max="5898" width="12.5703125" style="61" customWidth="1"/>
    <col min="5899" max="5899" width="12.28515625" style="61" customWidth="1"/>
    <col min="5900" max="5900" width="11.7109375" style="61" customWidth="1"/>
    <col min="5901" max="5901" width="12.140625" style="61" customWidth="1"/>
    <col min="5902" max="5902" width="12.28515625" style="61" customWidth="1"/>
    <col min="5903" max="5903" width="11.7109375" style="61" customWidth="1"/>
    <col min="5904" max="5904" width="12" style="61" customWidth="1"/>
    <col min="5905" max="5905" width="12.140625" style="61" customWidth="1"/>
    <col min="5906" max="5906" width="11.7109375" style="61" customWidth="1"/>
    <col min="5907" max="5907" width="12" style="61" customWidth="1"/>
    <col min="5908" max="5908" width="12.28515625" style="61" customWidth="1"/>
    <col min="5909" max="5909" width="12.85546875" style="61" customWidth="1"/>
    <col min="5910" max="5910" width="17.140625" style="61" customWidth="1"/>
    <col min="5911" max="5912" width="13.28515625" style="61" customWidth="1"/>
    <col min="5913" max="5913" width="13.85546875" style="61" customWidth="1"/>
    <col min="5914" max="5914" width="16.85546875" style="61" customWidth="1"/>
    <col min="5915" max="5915" width="13.28515625" style="61" customWidth="1"/>
    <col min="5916" max="5916" width="13.42578125" style="61" customWidth="1"/>
    <col min="5917" max="5917" width="14.5703125" style="61" customWidth="1"/>
    <col min="5918" max="5918" width="14.7109375" style="61" customWidth="1"/>
    <col min="5919" max="5919" width="13.7109375" style="61" customWidth="1"/>
    <col min="5920" max="5920" width="51.28515625" style="61" customWidth="1"/>
    <col min="5921" max="5926" width="9.140625" style="61"/>
    <col min="5927" max="5927" width="0" style="61" hidden="1" customWidth="1"/>
    <col min="5928" max="6144" width="9.140625" style="61"/>
    <col min="6145" max="6145" width="3.5703125" style="61" bestFit="1" customWidth="1"/>
    <col min="6146" max="6148" width="2.28515625" style="61" customWidth="1"/>
    <col min="6149" max="6149" width="56" style="61" bestFit="1" customWidth="1"/>
    <col min="6150" max="6150" width="2.7109375" style="61" customWidth="1"/>
    <col min="6151" max="6151" width="16.7109375" style="61" bestFit="1" customWidth="1"/>
    <col min="6152" max="6152" width="2.7109375" style="61" customWidth="1"/>
    <col min="6153" max="6153" width="12.7109375" style="61" customWidth="1"/>
    <col min="6154" max="6154" width="12.5703125" style="61" customWidth="1"/>
    <col min="6155" max="6155" width="12.28515625" style="61" customWidth="1"/>
    <col min="6156" max="6156" width="11.7109375" style="61" customWidth="1"/>
    <col min="6157" max="6157" width="12.140625" style="61" customWidth="1"/>
    <col min="6158" max="6158" width="12.28515625" style="61" customWidth="1"/>
    <col min="6159" max="6159" width="11.7109375" style="61" customWidth="1"/>
    <col min="6160" max="6160" width="12" style="61" customWidth="1"/>
    <col min="6161" max="6161" width="12.140625" style="61" customWidth="1"/>
    <col min="6162" max="6162" width="11.7109375" style="61" customWidth="1"/>
    <col min="6163" max="6163" width="12" style="61" customWidth="1"/>
    <col min="6164" max="6164" width="12.28515625" style="61" customWidth="1"/>
    <col min="6165" max="6165" width="12.85546875" style="61" customWidth="1"/>
    <col min="6166" max="6166" width="17.140625" style="61" customWidth="1"/>
    <col min="6167" max="6168" width="13.28515625" style="61" customWidth="1"/>
    <col min="6169" max="6169" width="13.85546875" style="61" customWidth="1"/>
    <col min="6170" max="6170" width="16.85546875" style="61" customWidth="1"/>
    <col min="6171" max="6171" width="13.28515625" style="61" customWidth="1"/>
    <col min="6172" max="6172" width="13.42578125" style="61" customWidth="1"/>
    <col min="6173" max="6173" width="14.5703125" style="61" customWidth="1"/>
    <col min="6174" max="6174" width="14.7109375" style="61" customWidth="1"/>
    <col min="6175" max="6175" width="13.7109375" style="61" customWidth="1"/>
    <col min="6176" max="6176" width="51.28515625" style="61" customWidth="1"/>
    <col min="6177" max="6182" width="9.140625" style="61"/>
    <col min="6183" max="6183" width="0" style="61" hidden="1" customWidth="1"/>
    <col min="6184" max="6400" width="9.140625" style="61"/>
    <col min="6401" max="6401" width="3.5703125" style="61" bestFit="1" customWidth="1"/>
    <col min="6402" max="6404" width="2.28515625" style="61" customWidth="1"/>
    <col min="6405" max="6405" width="56" style="61" bestFit="1" customWidth="1"/>
    <col min="6406" max="6406" width="2.7109375" style="61" customWidth="1"/>
    <col min="6407" max="6407" width="16.7109375" style="61" bestFit="1" customWidth="1"/>
    <col min="6408" max="6408" width="2.7109375" style="61" customWidth="1"/>
    <col min="6409" max="6409" width="12.7109375" style="61" customWidth="1"/>
    <col min="6410" max="6410" width="12.5703125" style="61" customWidth="1"/>
    <col min="6411" max="6411" width="12.28515625" style="61" customWidth="1"/>
    <col min="6412" max="6412" width="11.7109375" style="61" customWidth="1"/>
    <col min="6413" max="6413" width="12.140625" style="61" customWidth="1"/>
    <col min="6414" max="6414" width="12.28515625" style="61" customWidth="1"/>
    <col min="6415" max="6415" width="11.7109375" style="61" customWidth="1"/>
    <col min="6416" max="6416" width="12" style="61" customWidth="1"/>
    <col min="6417" max="6417" width="12.140625" style="61" customWidth="1"/>
    <col min="6418" max="6418" width="11.7109375" style="61" customWidth="1"/>
    <col min="6419" max="6419" width="12" style="61" customWidth="1"/>
    <col min="6420" max="6420" width="12.28515625" style="61" customWidth="1"/>
    <col min="6421" max="6421" width="12.85546875" style="61" customWidth="1"/>
    <col min="6422" max="6422" width="17.140625" style="61" customWidth="1"/>
    <col min="6423" max="6424" width="13.28515625" style="61" customWidth="1"/>
    <col min="6425" max="6425" width="13.85546875" style="61" customWidth="1"/>
    <col min="6426" max="6426" width="16.85546875" style="61" customWidth="1"/>
    <col min="6427" max="6427" width="13.28515625" style="61" customWidth="1"/>
    <col min="6428" max="6428" width="13.42578125" style="61" customWidth="1"/>
    <col min="6429" max="6429" width="14.5703125" style="61" customWidth="1"/>
    <col min="6430" max="6430" width="14.7109375" style="61" customWidth="1"/>
    <col min="6431" max="6431" width="13.7109375" style="61" customWidth="1"/>
    <col min="6432" max="6432" width="51.28515625" style="61" customWidth="1"/>
    <col min="6433" max="6438" width="9.140625" style="61"/>
    <col min="6439" max="6439" width="0" style="61" hidden="1" customWidth="1"/>
    <col min="6440" max="6656" width="9.140625" style="61"/>
    <col min="6657" max="6657" width="3.5703125" style="61" bestFit="1" customWidth="1"/>
    <col min="6658" max="6660" width="2.28515625" style="61" customWidth="1"/>
    <col min="6661" max="6661" width="56" style="61" bestFit="1" customWidth="1"/>
    <col min="6662" max="6662" width="2.7109375" style="61" customWidth="1"/>
    <col min="6663" max="6663" width="16.7109375" style="61" bestFit="1" customWidth="1"/>
    <col min="6664" max="6664" width="2.7109375" style="61" customWidth="1"/>
    <col min="6665" max="6665" width="12.7109375" style="61" customWidth="1"/>
    <col min="6666" max="6666" width="12.5703125" style="61" customWidth="1"/>
    <col min="6667" max="6667" width="12.28515625" style="61" customWidth="1"/>
    <col min="6668" max="6668" width="11.7109375" style="61" customWidth="1"/>
    <col min="6669" max="6669" width="12.140625" style="61" customWidth="1"/>
    <col min="6670" max="6670" width="12.28515625" style="61" customWidth="1"/>
    <col min="6671" max="6671" width="11.7109375" style="61" customWidth="1"/>
    <col min="6672" max="6672" width="12" style="61" customWidth="1"/>
    <col min="6673" max="6673" width="12.140625" style="61" customWidth="1"/>
    <col min="6674" max="6674" width="11.7109375" style="61" customWidth="1"/>
    <col min="6675" max="6675" width="12" style="61" customWidth="1"/>
    <col min="6676" max="6676" width="12.28515625" style="61" customWidth="1"/>
    <col min="6677" max="6677" width="12.85546875" style="61" customWidth="1"/>
    <col min="6678" max="6678" width="17.140625" style="61" customWidth="1"/>
    <col min="6679" max="6680" width="13.28515625" style="61" customWidth="1"/>
    <col min="6681" max="6681" width="13.85546875" style="61" customWidth="1"/>
    <col min="6682" max="6682" width="16.85546875" style="61" customWidth="1"/>
    <col min="6683" max="6683" width="13.28515625" style="61" customWidth="1"/>
    <col min="6684" max="6684" width="13.42578125" style="61" customWidth="1"/>
    <col min="6685" max="6685" width="14.5703125" style="61" customWidth="1"/>
    <col min="6686" max="6686" width="14.7109375" style="61" customWidth="1"/>
    <col min="6687" max="6687" width="13.7109375" style="61" customWidth="1"/>
    <col min="6688" max="6688" width="51.28515625" style="61" customWidth="1"/>
    <col min="6689" max="6694" width="9.140625" style="61"/>
    <col min="6695" max="6695" width="0" style="61" hidden="1" customWidth="1"/>
    <col min="6696" max="6912" width="9.140625" style="61"/>
    <col min="6913" max="6913" width="3.5703125" style="61" bestFit="1" customWidth="1"/>
    <col min="6914" max="6916" width="2.28515625" style="61" customWidth="1"/>
    <col min="6917" max="6917" width="56" style="61" bestFit="1" customWidth="1"/>
    <col min="6918" max="6918" width="2.7109375" style="61" customWidth="1"/>
    <col min="6919" max="6919" width="16.7109375" style="61" bestFit="1" customWidth="1"/>
    <col min="6920" max="6920" width="2.7109375" style="61" customWidth="1"/>
    <col min="6921" max="6921" width="12.7109375" style="61" customWidth="1"/>
    <col min="6922" max="6922" width="12.5703125" style="61" customWidth="1"/>
    <col min="6923" max="6923" width="12.28515625" style="61" customWidth="1"/>
    <col min="6924" max="6924" width="11.7109375" style="61" customWidth="1"/>
    <col min="6925" max="6925" width="12.140625" style="61" customWidth="1"/>
    <col min="6926" max="6926" width="12.28515625" style="61" customWidth="1"/>
    <col min="6927" max="6927" width="11.7109375" style="61" customWidth="1"/>
    <col min="6928" max="6928" width="12" style="61" customWidth="1"/>
    <col min="6929" max="6929" width="12.140625" style="61" customWidth="1"/>
    <col min="6930" max="6930" width="11.7109375" style="61" customWidth="1"/>
    <col min="6931" max="6931" width="12" style="61" customWidth="1"/>
    <col min="6932" max="6932" width="12.28515625" style="61" customWidth="1"/>
    <col min="6933" max="6933" width="12.85546875" style="61" customWidth="1"/>
    <col min="6934" max="6934" width="17.140625" style="61" customWidth="1"/>
    <col min="6935" max="6936" width="13.28515625" style="61" customWidth="1"/>
    <col min="6937" max="6937" width="13.85546875" style="61" customWidth="1"/>
    <col min="6938" max="6938" width="16.85546875" style="61" customWidth="1"/>
    <col min="6939" max="6939" width="13.28515625" style="61" customWidth="1"/>
    <col min="6940" max="6940" width="13.42578125" style="61" customWidth="1"/>
    <col min="6941" max="6941" width="14.5703125" style="61" customWidth="1"/>
    <col min="6942" max="6942" width="14.7109375" style="61" customWidth="1"/>
    <col min="6943" max="6943" width="13.7109375" style="61" customWidth="1"/>
    <col min="6944" max="6944" width="51.28515625" style="61" customWidth="1"/>
    <col min="6945" max="6950" width="9.140625" style="61"/>
    <col min="6951" max="6951" width="0" style="61" hidden="1" customWidth="1"/>
    <col min="6952" max="7168" width="9.140625" style="61"/>
    <col min="7169" max="7169" width="3.5703125" style="61" bestFit="1" customWidth="1"/>
    <col min="7170" max="7172" width="2.28515625" style="61" customWidth="1"/>
    <col min="7173" max="7173" width="56" style="61" bestFit="1" customWidth="1"/>
    <col min="7174" max="7174" width="2.7109375" style="61" customWidth="1"/>
    <col min="7175" max="7175" width="16.7109375" style="61" bestFit="1" customWidth="1"/>
    <col min="7176" max="7176" width="2.7109375" style="61" customWidth="1"/>
    <col min="7177" max="7177" width="12.7109375" style="61" customWidth="1"/>
    <col min="7178" max="7178" width="12.5703125" style="61" customWidth="1"/>
    <col min="7179" max="7179" width="12.28515625" style="61" customWidth="1"/>
    <col min="7180" max="7180" width="11.7109375" style="61" customWidth="1"/>
    <col min="7181" max="7181" width="12.140625" style="61" customWidth="1"/>
    <col min="7182" max="7182" width="12.28515625" style="61" customWidth="1"/>
    <col min="7183" max="7183" width="11.7109375" style="61" customWidth="1"/>
    <col min="7184" max="7184" width="12" style="61" customWidth="1"/>
    <col min="7185" max="7185" width="12.140625" style="61" customWidth="1"/>
    <col min="7186" max="7186" width="11.7109375" style="61" customWidth="1"/>
    <col min="7187" max="7187" width="12" style="61" customWidth="1"/>
    <col min="7188" max="7188" width="12.28515625" style="61" customWidth="1"/>
    <col min="7189" max="7189" width="12.85546875" style="61" customWidth="1"/>
    <col min="7190" max="7190" width="17.140625" style="61" customWidth="1"/>
    <col min="7191" max="7192" width="13.28515625" style="61" customWidth="1"/>
    <col min="7193" max="7193" width="13.85546875" style="61" customWidth="1"/>
    <col min="7194" max="7194" width="16.85546875" style="61" customWidth="1"/>
    <col min="7195" max="7195" width="13.28515625" style="61" customWidth="1"/>
    <col min="7196" max="7196" width="13.42578125" style="61" customWidth="1"/>
    <col min="7197" max="7197" width="14.5703125" style="61" customWidth="1"/>
    <col min="7198" max="7198" width="14.7109375" style="61" customWidth="1"/>
    <col min="7199" max="7199" width="13.7109375" style="61" customWidth="1"/>
    <col min="7200" max="7200" width="51.28515625" style="61" customWidth="1"/>
    <col min="7201" max="7206" width="9.140625" style="61"/>
    <col min="7207" max="7207" width="0" style="61" hidden="1" customWidth="1"/>
    <col min="7208" max="7424" width="9.140625" style="61"/>
    <col min="7425" max="7425" width="3.5703125" style="61" bestFit="1" customWidth="1"/>
    <col min="7426" max="7428" width="2.28515625" style="61" customWidth="1"/>
    <col min="7429" max="7429" width="56" style="61" bestFit="1" customWidth="1"/>
    <col min="7430" max="7430" width="2.7109375" style="61" customWidth="1"/>
    <col min="7431" max="7431" width="16.7109375" style="61" bestFit="1" customWidth="1"/>
    <col min="7432" max="7432" width="2.7109375" style="61" customWidth="1"/>
    <col min="7433" max="7433" width="12.7109375" style="61" customWidth="1"/>
    <col min="7434" max="7434" width="12.5703125" style="61" customWidth="1"/>
    <col min="7435" max="7435" width="12.28515625" style="61" customWidth="1"/>
    <col min="7436" max="7436" width="11.7109375" style="61" customWidth="1"/>
    <col min="7437" max="7437" width="12.140625" style="61" customWidth="1"/>
    <col min="7438" max="7438" width="12.28515625" style="61" customWidth="1"/>
    <col min="7439" max="7439" width="11.7109375" style="61" customWidth="1"/>
    <col min="7440" max="7440" width="12" style="61" customWidth="1"/>
    <col min="7441" max="7441" width="12.140625" style="61" customWidth="1"/>
    <col min="7442" max="7442" width="11.7109375" style="61" customWidth="1"/>
    <col min="7443" max="7443" width="12" style="61" customWidth="1"/>
    <col min="7444" max="7444" width="12.28515625" style="61" customWidth="1"/>
    <col min="7445" max="7445" width="12.85546875" style="61" customWidth="1"/>
    <col min="7446" max="7446" width="17.140625" style="61" customWidth="1"/>
    <col min="7447" max="7448" width="13.28515625" style="61" customWidth="1"/>
    <col min="7449" max="7449" width="13.85546875" style="61" customWidth="1"/>
    <col min="7450" max="7450" width="16.85546875" style="61" customWidth="1"/>
    <col min="7451" max="7451" width="13.28515625" style="61" customWidth="1"/>
    <col min="7452" max="7452" width="13.42578125" style="61" customWidth="1"/>
    <col min="7453" max="7453" width="14.5703125" style="61" customWidth="1"/>
    <col min="7454" max="7454" width="14.7109375" style="61" customWidth="1"/>
    <col min="7455" max="7455" width="13.7109375" style="61" customWidth="1"/>
    <col min="7456" max="7456" width="51.28515625" style="61" customWidth="1"/>
    <col min="7457" max="7462" width="9.140625" style="61"/>
    <col min="7463" max="7463" width="0" style="61" hidden="1" customWidth="1"/>
    <col min="7464" max="7680" width="9.140625" style="61"/>
    <col min="7681" max="7681" width="3.5703125" style="61" bestFit="1" customWidth="1"/>
    <col min="7682" max="7684" width="2.28515625" style="61" customWidth="1"/>
    <col min="7685" max="7685" width="56" style="61" bestFit="1" customWidth="1"/>
    <col min="7686" max="7686" width="2.7109375" style="61" customWidth="1"/>
    <col min="7687" max="7687" width="16.7109375" style="61" bestFit="1" customWidth="1"/>
    <col min="7688" max="7688" width="2.7109375" style="61" customWidth="1"/>
    <col min="7689" max="7689" width="12.7109375" style="61" customWidth="1"/>
    <col min="7690" max="7690" width="12.5703125" style="61" customWidth="1"/>
    <col min="7691" max="7691" width="12.28515625" style="61" customWidth="1"/>
    <col min="7692" max="7692" width="11.7109375" style="61" customWidth="1"/>
    <col min="7693" max="7693" width="12.140625" style="61" customWidth="1"/>
    <col min="7694" max="7694" width="12.28515625" style="61" customWidth="1"/>
    <col min="7695" max="7695" width="11.7109375" style="61" customWidth="1"/>
    <col min="7696" max="7696" width="12" style="61" customWidth="1"/>
    <col min="7697" max="7697" width="12.140625" style="61" customWidth="1"/>
    <col min="7698" max="7698" width="11.7109375" style="61" customWidth="1"/>
    <col min="7699" max="7699" width="12" style="61" customWidth="1"/>
    <col min="7700" max="7700" width="12.28515625" style="61" customWidth="1"/>
    <col min="7701" max="7701" width="12.85546875" style="61" customWidth="1"/>
    <col min="7702" max="7702" width="17.140625" style="61" customWidth="1"/>
    <col min="7703" max="7704" width="13.28515625" style="61" customWidth="1"/>
    <col min="7705" max="7705" width="13.85546875" style="61" customWidth="1"/>
    <col min="7706" max="7706" width="16.85546875" style="61" customWidth="1"/>
    <col min="7707" max="7707" width="13.28515625" style="61" customWidth="1"/>
    <col min="7708" max="7708" width="13.42578125" style="61" customWidth="1"/>
    <col min="7709" max="7709" width="14.5703125" style="61" customWidth="1"/>
    <col min="7710" max="7710" width="14.7109375" style="61" customWidth="1"/>
    <col min="7711" max="7711" width="13.7109375" style="61" customWidth="1"/>
    <col min="7712" max="7712" width="51.28515625" style="61" customWidth="1"/>
    <col min="7713" max="7718" width="9.140625" style="61"/>
    <col min="7719" max="7719" width="0" style="61" hidden="1" customWidth="1"/>
    <col min="7720" max="7936" width="9.140625" style="61"/>
    <col min="7937" max="7937" width="3.5703125" style="61" bestFit="1" customWidth="1"/>
    <col min="7938" max="7940" width="2.28515625" style="61" customWidth="1"/>
    <col min="7941" max="7941" width="56" style="61" bestFit="1" customWidth="1"/>
    <col min="7942" max="7942" width="2.7109375" style="61" customWidth="1"/>
    <col min="7943" max="7943" width="16.7109375" style="61" bestFit="1" customWidth="1"/>
    <col min="7944" max="7944" width="2.7109375" style="61" customWidth="1"/>
    <col min="7945" max="7945" width="12.7109375" style="61" customWidth="1"/>
    <col min="7946" max="7946" width="12.5703125" style="61" customWidth="1"/>
    <col min="7947" max="7947" width="12.28515625" style="61" customWidth="1"/>
    <col min="7948" max="7948" width="11.7109375" style="61" customWidth="1"/>
    <col min="7949" max="7949" width="12.140625" style="61" customWidth="1"/>
    <col min="7950" max="7950" width="12.28515625" style="61" customWidth="1"/>
    <col min="7951" max="7951" width="11.7109375" style="61" customWidth="1"/>
    <col min="7952" max="7952" width="12" style="61" customWidth="1"/>
    <col min="7953" max="7953" width="12.140625" style="61" customWidth="1"/>
    <col min="7954" max="7954" width="11.7109375" style="61" customWidth="1"/>
    <col min="7955" max="7955" width="12" style="61" customWidth="1"/>
    <col min="7956" max="7956" width="12.28515625" style="61" customWidth="1"/>
    <col min="7957" max="7957" width="12.85546875" style="61" customWidth="1"/>
    <col min="7958" max="7958" width="17.140625" style="61" customWidth="1"/>
    <col min="7959" max="7960" width="13.28515625" style="61" customWidth="1"/>
    <col min="7961" max="7961" width="13.85546875" style="61" customWidth="1"/>
    <col min="7962" max="7962" width="16.85546875" style="61" customWidth="1"/>
    <col min="7963" max="7963" width="13.28515625" style="61" customWidth="1"/>
    <col min="7964" max="7964" width="13.42578125" style="61" customWidth="1"/>
    <col min="7965" max="7965" width="14.5703125" style="61" customWidth="1"/>
    <col min="7966" max="7966" width="14.7109375" style="61" customWidth="1"/>
    <col min="7967" max="7967" width="13.7109375" style="61" customWidth="1"/>
    <col min="7968" max="7968" width="51.28515625" style="61" customWidth="1"/>
    <col min="7969" max="7974" width="9.140625" style="61"/>
    <col min="7975" max="7975" width="0" style="61" hidden="1" customWidth="1"/>
    <col min="7976" max="8192" width="9.140625" style="61"/>
    <col min="8193" max="8193" width="3.5703125" style="61" bestFit="1" customWidth="1"/>
    <col min="8194" max="8196" width="2.28515625" style="61" customWidth="1"/>
    <col min="8197" max="8197" width="56" style="61" bestFit="1" customWidth="1"/>
    <col min="8198" max="8198" width="2.7109375" style="61" customWidth="1"/>
    <col min="8199" max="8199" width="16.7109375" style="61" bestFit="1" customWidth="1"/>
    <col min="8200" max="8200" width="2.7109375" style="61" customWidth="1"/>
    <col min="8201" max="8201" width="12.7109375" style="61" customWidth="1"/>
    <col min="8202" max="8202" width="12.5703125" style="61" customWidth="1"/>
    <col min="8203" max="8203" width="12.28515625" style="61" customWidth="1"/>
    <col min="8204" max="8204" width="11.7109375" style="61" customWidth="1"/>
    <col min="8205" max="8205" width="12.140625" style="61" customWidth="1"/>
    <col min="8206" max="8206" width="12.28515625" style="61" customWidth="1"/>
    <col min="8207" max="8207" width="11.7109375" style="61" customWidth="1"/>
    <col min="8208" max="8208" width="12" style="61" customWidth="1"/>
    <col min="8209" max="8209" width="12.140625" style="61" customWidth="1"/>
    <col min="8210" max="8210" width="11.7109375" style="61" customWidth="1"/>
    <col min="8211" max="8211" width="12" style="61" customWidth="1"/>
    <col min="8212" max="8212" width="12.28515625" style="61" customWidth="1"/>
    <col min="8213" max="8213" width="12.85546875" style="61" customWidth="1"/>
    <col min="8214" max="8214" width="17.140625" style="61" customWidth="1"/>
    <col min="8215" max="8216" width="13.28515625" style="61" customWidth="1"/>
    <col min="8217" max="8217" width="13.85546875" style="61" customWidth="1"/>
    <col min="8218" max="8218" width="16.85546875" style="61" customWidth="1"/>
    <col min="8219" max="8219" width="13.28515625" style="61" customWidth="1"/>
    <col min="8220" max="8220" width="13.42578125" style="61" customWidth="1"/>
    <col min="8221" max="8221" width="14.5703125" style="61" customWidth="1"/>
    <col min="8222" max="8222" width="14.7109375" style="61" customWidth="1"/>
    <col min="8223" max="8223" width="13.7109375" style="61" customWidth="1"/>
    <col min="8224" max="8224" width="51.28515625" style="61" customWidth="1"/>
    <col min="8225" max="8230" width="9.140625" style="61"/>
    <col min="8231" max="8231" width="0" style="61" hidden="1" customWidth="1"/>
    <col min="8232" max="8448" width="9.140625" style="61"/>
    <col min="8449" max="8449" width="3.5703125" style="61" bestFit="1" customWidth="1"/>
    <col min="8450" max="8452" width="2.28515625" style="61" customWidth="1"/>
    <col min="8453" max="8453" width="56" style="61" bestFit="1" customWidth="1"/>
    <col min="8454" max="8454" width="2.7109375" style="61" customWidth="1"/>
    <col min="8455" max="8455" width="16.7109375" style="61" bestFit="1" customWidth="1"/>
    <col min="8456" max="8456" width="2.7109375" style="61" customWidth="1"/>
    <col min="8457" max="8457" width="12.7109375" style="61" customWidth="1"/>
    <col min="8458" max="8458" width="12.5703125" style="61" customWidth="1"/>
    <col min="8459" max="8459" width="12.28515625" style="61" customWidth="1"/>
    <col min="8460" max="8460" width="11.7109375" style="61" customWidth="1"/>
    <col min="8461" max="8461" width="12.140625" style="61" customWidth="1"/>
    <col min="8462" max="8462" width="12.28515625" style="61" customWidth="1"/>
    <col min="8463" max="8463" width="11.7109375" style="61" customWidth="1"/>
    <col min="8464" max="8464" width="12" style="61" customWidth="1"/>
    <col min="8465" max="8465" width="12.140625" style="61" customWidth="1"/>
    <col min="8466" max="8466" width="11.7109375" style="61" customWidth="1"/>
    <col min="8467" max="8467" width="12" style="61" customWidth="1"/>
    <col min="8468" max="8468" width="12.28515625" style="61" customWidth="1"/>
    <col min="8469" max="8469" width="12.85546875" style="61" customWidth="1"/>
    <col min="8470" max="8470" width="17.140625" style="61" customWidth="1"/>
    <col min="8471" max="8472" width="13.28515625" style="61" customWidth="1"/>
    <col min="8473" max="8473" width="13.85546875" style="61" customWidth="1"/>
    <col min="8474" max="8474" width="16.85546875" style="61" customWidth="1"/>
    <col min="8475" max="8475" width="13.28515625" style="61" customWidth="1"/>
    <col min="8476" max="8476" width="13.42578125" style="61" customWidth="1"/>
    <col min="8477" max="8477" width="14.5703125" style="61" customWidth="1"/>
    <col min="8478" max="8478" width="14.7109375" style="61" customWidth="1"/>
    <col min="8479" max="8479" width="13.7109375" style="61" customWidth="1"/>
    <col min="8480" max="8480" width="51.28515625" style="61" customWidth="1"/>
    <col min="8481" max="8486" width="9.140625" style="61"/>
    <col min="8487" max="8487" width="0" style="61" hidden="1" customWidth="1"/>
    <col min="8488" max="8704" width="9.140625" style="61"/>
    <col min="8705" max="8705" width="3.5703125" style="61" bestFit="1" customWidth="1"/>
    <col min="8706" max="8708" width="2.28515625" style="61" customWidth="1"/>
    <col min="8709" max="8709" width="56" style="61" bestFit="1" customWidth="1"/>
    <col min="8710" max="8710" width="2.7109375" style="61" customWidth="1"/>
    <col min="8711" max="8711" width="16.7109375" style="61" bestFit="1" customWidth="1"/>
    <col min="8712" max="8712" width="2.7109375" style="61" customWidth="1"/>
    <col min="8713" max="8713" width="12.7109375" style="61" customWidth="1"/>
    <col min="8714" max="8714" width="12.5703125" style="61" customWidth="1"/>
    <col min="8715" max="8715" width="12.28515625" style="61" customWidth="1"/>
    <col min="8716" max="8716" width="11.7109375" style="61" customWidth="1"/>
    <col min="8717" max="8717" width="12.140625" style="61" customWidth="1"/>
    <col min="8718" max="8718" width="12.28515625" style="61" customWidth="1"/>
    <col min="8719" max="8719" width="11.7109375" style="61" customWidth="1"/>
    <col min="8720" max="8720" width="12" style="61" customWidth="1"/>
    <col min="8721" max="8721" width="12.140625" style="61" customWidth="1"/>
    <col min="8722" max="8722" width="11.7109375" style="61" customWidth="1"/>
    <col min="8723" max="8723" width="12" style="61" customWidth="1"/>
    <col min="8724" max="8724" width="12.28515625" style="61" customWidth="1"/>
    <col min="8725" max="8725" width="12.85546875" style="61" customWidth="1"/>
    <col min="8726" max="8726" width="17.140625" style="61" customWidth="1"/>
    <col min="8727" max="8728" width="13.28515625" style="61" customWidth="1"/>
    <col min="8729" max="8729" width="13.85546875" style="61" customWidth="1"/>
    <col min="8730" max="8730" width="16.85546875" style="61" customWidth="1"/>
    <col min="8731" max="8731" width="13.28515625" style="61" customWidth="1"/>
    <col min="8732" max="8732" width="13.42578125" style="61" customWidth="1"/>
    <col min="8733" max="8733" width="14.5703125" style="61" customWidth="1"/>
    <col min="8734" max="8734" width="14.7109375" style="61" customWidth="1"/>
    <col min="8735" max="8735" width="13.7109375" style="61" customWidth="1"/>
    <col min="8736" max="8736" width="51.28515625" style="61" customWidth="1"/>
    <col min="8737" max="8742" width="9.140625" style="61"/>
    <col min="8743" max="8743" width="0" style="61" hidden="1" customWidth="1"/>
    <col min="8744" max="8960" width="9.140625" style="61"/>
    <col min="8961" max="8961" width="3.5703125" style="61" bestFit="1" customWidth="1"/>
    <col min="8962" max="8964" width="2.28515625" style="61" customWidth="1"/>
    <col min="8965" max="8965" width="56" style="61" bestFit="1" customWidth="1"/>
    <col min="8966" max="8966" width="2.7109375" style="61" customWidth="1"/>
    <col min="8967" max="8967" width="16.7109375" style="61" bestFit="1" customWidth="1"/>
    <col min="8968" max="8968" width="2.7109375" style="61" customWidth="1"/>
    <col min="8969" max="8969" width="12.7109375" style="61" customWidth="1"/>
    <col min="8970" max="8970" width="12.5703125" style="61" customWidth="1"/>
    <col min="8971" max="8971" width="12.28515625" style="61" customWidth="1"/>
    <col min="8972" max="8972" width="11.7109375" style="61" customWidth="1"/>
    <col min="8973" max="8973" width="12.140625" style="61" customWidth="1"/>
    <col min="8974" max="8974" width="12.28515625" style="61" customWidth="1"/>
    <col min="8975" max="8975" width="11.7109375" style="61" customWidth="1"/>
    <col min="8976" max="8976" width="12" style="61" customWidth="1"/>
    <col min="8977" max="8977" width="12.140625" style="61" customWidth="1"/>
    <col min="8978" max="8978" width="11.7109375" style="61" customWidth="1"/>
    <col min="8979" max="8979" width="12" style="61" customWidth="1"/>
    <col min="8980" max="8980" width="12.28515625" style="61" customWidth="1"/>
    <col min="8981" max="8981" width="12.85546875" style="61" customWidth="1"/>
    <col min="8982" max="8982" width="17.140625" style="61" customWidth="1"/>
    <col min="8983" max="8984" width="13.28515625" style="61" customWidth="1"/>
    <col min="8985" max="8985" width="13.85546875" style="61" customWidth="1"/>
    <col min="8986" max="8986" width="16.85546875" style="61" customWidth="1"/>
    <col min="8987" max="8987" width="13.28515625" style="61" customWidth="1"/>
    <col min="8988" max="8988" width="13.42578125" style="61" customWidth="1"/>
    <col min="8989" max="8989" width="14.5703125" style="61" customWidth="1"/>
    <col min="8990" max="8990" width="14.7109375" style="61" customWidth="1"/>
    <col min="8991" max="8991" width="13.7109375" style="61" customWidth="1"/>
    <col min="8992" max="8992" width="51.28515625" style="61" customWidth="1"/>
    <col min="8993" max="8998" width="9.140625" style="61"/>
    <col min="8999" max="8999" width="0" style="61" hidden="1" customWidth="1"/>
    <col min="9000" max="9216" width="9.140625" style="61"/>
    <col min="9217" max="9217" width="3.5703125" style="61" bestFit="1" customWidth="1"/>
    <col min="9218" max="9220" width="2.28515625" style="61" customWidth="1"/>
    <col min="9221" max="9221" width="56" style="61" bestFit="1" customWidth="1"/>
    <col min="9222" max="9222" width="2.7109375" style="61" customWidth="1"/>
    <col min="9223" max="9223" width="16.7109375" style="61" bestFit="1" customWidth="1"/>
    <col min="9224" max="9224" width="2.7109375" style="61" customWidth="1"/>
    <col min="9225" max="9225" width="12.7109375" style="61" customWidth="1"/>
    <col min="9226" max="9226" width="12.5703125" style="61" customWidth="1"/>
    <col min="9227" max="9227" width="12.28515625" style="61" customWidth="1"/>
    <col min="9228" max="9228" width="11.7109375" style="61" customWidth="1"/>
    <col min="9229" max="9229" width="12.140625" style="61" customWidth="1"/>
    <col min="9230" max="9230" width="12.28515625" style="61" customWidth="1"/>
    <col min="9231" max="9231" width="11.7109375" style="61" customWidth="1"/>
    <col min="9232" max="9232" width="12" style="61" customWidth="1"/>
    <col min="9233" max="9233" width="12.140625" style="61" customWidth="1"/>
    <col min="9234" max="9234" width="11.7109375" style="61" customWidth="1"/>
    <col min="9235" max="9235" width="12" style="61" customWidth="1"/>
    <col min="9236" max="9236" width="12.28515625" style="61" customWidth="1"/>
    <col min="9237" max="9237" width="12.85546875" style="61" customWidth="1"/>
    <col min="9238" max="9238" width="17.140625" style="61" customWidth="1"/>
    <col min="9239" max="9240" width="13.28515625" style="61" customWidth="1"/>
    <col min="9241" max="9241" width="13.85546875" style="61" customWidth="1"/>
    <col min="9242" max="9242" width="16.85546875" style="61" customWidth="1"/>
    <col min="9243" max="9243" width="13.28515625" style="61" customWidth="1"/>
    <col min="9244" max="9244" width="13.42578125" style="61" customWidth="1"/>
    <col min="9245" max="9245" width="14.5703125" style="61" customWidth="1"/>
    <col min="9246" max="9246" width="14.7109375" style="61" customWidth="1"/>
    <col min="9247" max="9247" width="13.7109375" style="61" customWidth="1"/>
    <col min="9248" max="9248" width="51.28515625" style="61" customWidth="1"/>
    <col min="9249" max="9254" width="9.140625" style="61"/>
    <col min="9255" max="9255" width="0" style="61" hidden="1" customWidth="1"/>
    <col min="9256" max="9472" width="9.140625" style="61"/>
    <col min="9473" max="9473" width="3.5703125" style="61" bestFit="1" customWidth="1"/>
    <col min="9474" max="9476" width="2.28515625" style="61" customWidth="1"/>
    <col min="9477" max="9477" width="56" style="61" bestFit="1" customWidth="1"/>
    <col min="9478" max="9478" width="2.7109375" style="61" customWidth="1"/>
    <col min="9479" max="9479" width="16.7109375" style="61" bestFit="1" customWidth="1"/>
    <col min="9480" max="9480" width="2.7109375" style="61" customWidth="1"/>
    <col min="9481" max="9481" width="12.7109375" style="61" customWidth="1"/>
    <col min="9482" max="9482" width="12.5703125" style="61" customWidth="1"/>
    <col min="9483" max="9483" width="12.28515625" style="61" customWidth="1"/>
    <col min="9484" max="9484" width="11.7109375" style="61" customWidth="1"/>
    <col min="9485" max="9485" width="12.140625" style="61" customWidth="1"/>
    <col min="9486" max="9486" width="12.28515625" style="61" customWidth="1"/>
    <col min="9487" max="9487" width="11.7109375" style="61" customWidth="1"/>
    <col min="9488" max="9488" width="12" style="61" customWidth="1"/>
    <col min="9489" max="9489" width="12.140625" style="61" customWidth="1"/>
    <col min="9490" max="9490" width="11.7109375" style="61" customWidth="1"/>
    <col min="9491" max="9491" width="12" style="61" customWidth="1"/>
    <col min="9492" max="9492" width="12.28515625" style="61" customWidth="1"/>
    <col min="9493" max="9493" width="12.85546875" style="61" customWidth="1"/>
    <col min="9494" max="9494" width="17.140625" style="61" customWidth="1"/>
    <col min="9495" max="9496" width="13.28515625" style="61" customWidth="1"/>
    <col min="9497" max="9497" width="13.85546875" style="61" customWidth="1"/>
    <col min="9498" max="9498" width="16.85546875" style="61" customWidth="1"/>
    <col min="9499" max="9499" width="13.28515625" style="61" customWidth="1"/>
    <col min="9500" max="9500" width="13.42578125" style="61" customWidth="1"/>
    <col min="9501" max="9501" width="14.5703125" style="61" customWidth="1"/>
    <col min="9502" max="9502" width="14.7109375" style="61" customWidth="1"/>
    <col min="9503" max="9503" width="13.7109375" style="61" customWidth="1"/>
    <col min="9504" max="9504" width="51.28515625" style="61" customWidth="1"/>
    <col min="9505" max="9510" width="9.140625" style="61"/>
    <col min="9511" max="9511" width="0" style="61" hidden="1" customWidth="1"/>
    <col min="9512" max="9728" width="9.140625" style="61"/>
    <col min="9729" max="9729" width="3.5703125" style="61" bestFit="1" customWidth="1"/>
    <col min="9730" max="9732" width="2.28515625" style="61" customWidth="1"/>
    <col min="9733" max="9733" width="56" style="61" bestFit="1" customWidth="1"/>
    <col min="9734" max="9734" width="2.7109375" style="61" customWidth="1"/>
    <col min="9735" max="9735" width="16.7109375" style="61" bestFit="1" customWidth="1"/>
    <col min="9736" max="9736" width="2.7109375" style="61" customWidth="1"/>
    <col min="9737" max="9737" width="12.7109375" style="61" customWidth="1"/>
    <col min="9738" max="9738" width="12.5703125" style="61" customWidth="1"/>
    <col min="9739" max="9739" width="12.28515625" style="61" customWidth="1"/>
    <col min="9740" max="9740" width="11.7109375" style="61" customWidth="1"/>
    <col min="9741" max="9741" width="12.140625" style="61" customWidth="1"/>
    <col min="9742" max="9742" width="12.28515625" style="61" customWidth="1"/>
    <col min="9743" max="9743" width="11.7109375" style="61" customWidth="1"/>
    <col min="9744" max="9744" width="12" style="61" customWidth="1"/>
    <col min="9745" max="9745" width="12.140625" style="61" customWidth="1"/>
    <col min="9746" max="9746" width="11.7109375" style="61" customWidth="1"/>
    <col min="9747" max="9747" width="12" style="61" customWidth="1"/>
    <col min="9748" max="9748" width="12.28515625" style="61" customWidth="1"/>
    <col min="9749" max="9749" width="12.85546875" style="61" customWidth="1"/>
    <col min="9750" max="9750" width="17.140625" style="61" customWidth="1"/>
    <col min="9751" max="9752" width="13.28515625" style="61" customWidth="1"/>
    <col min="9753" max="9753" width="13.85546875" style="61" customWidth="1"/>
    <col min="9754" max="9754" width="16.85546875" style="61" customWidth="1"/>
    <col min="9755" max="9755" width="13.28515625" style="61" customWidth="1"/>
    <col min="9756" max="9756" width="13.42578125" style="61" customWidth="1"/>
    <col min="9757" max="9757" width="14.5703125" style="61" customWidth="1"/>
    <col min="9758" max="9758" width="14.7109375" style="61" customWidth="1"/>
    <col min="9759" max="9759" width="13.7109375" style="61" customWidth="1"/>
    <col min="9760" max="9760" width="51.28515625" style="61" customWidth="1"/>
    <col min="9761" max="9766" width="9.140625" style="61"/>
    <col min="9767" max="9767" width="0" style="61" hidden="1" customWidth="1"/>
    <col min="9768" max="9984" width="9.140625" style="61"/>
    <col min="9985" max="9985" width="3.5703125" style="61" bestFit="1" customWidth="1"/>
    <col min="9986" max="9988" width="2.28515625" style="61" customWidth="1"/>
    <col min="9989" max="9989" width="56" style="61" bestFit="1" customWidth="1"/>
    <col min="9990" max="9990" width="2.7109375" style="61" customWidth="1"/>
    <col min="9991" max="9991" width="16.7109375" style="61" bestFit="1" customWidth="1"/>
    <col min="9992" max="9992" width="2.7109375" style="61" customWidth="1"/>
    <col min="9993" max="9993" width="12.7109375" style="61" customWidth="1"/>
    <col min="9994" max="9994" width="12.5703125" style="61" customWidth="1"/>
    <col min="9995" max="9995" width="12.28515625" style="61" customWidth="1"/>
    <col min="9996" max="9996" width="11.7109375" style="61" customWidth="1"/>
    <col min="9997" max="9997" width="12.140625" style="61" customWidth="1"/>
    <col min="9998" max="9998" width="12.28515625" style="61" customWidth="1"/>
    <col min="9999" max="9999" width="11.7109375" style="61" customWidth="1"/>
    <col min="10000" max="10000" width="12" style="61" customWidth="1"/>
    <col min="10001" max="10001" width="12.140625" style="61" customWidth="1"/>
    <col min="10002" max="10002" width="11.7109375" style="61" customWidth="1"/>
    <col min="10003" max="10003" width="12" style="61" customWidth="1"/>
    <col min="10004" max="10004" width="12.28515625" style="61" customWidth="1"/>
    <col min="10005" max="10005" width="12.85546875" style="61" customWidth="1"/>
    <col min="10006" max="10006" width="17.140625" style="61" customWidth="1"/>
    <col min="10007" max="10008" width="13.28515625" style="61" customWidth="1"/>
    <col min="10009" max="10009" width="13.85546875" style="61" customWidth="1"/>
    <col min="10010" max="10010" width="16.85546875" style="61" customWidth="1"/>
    <col min="10011" max="10011" width="13.28515625" style="61" customWidth="1"/>
    <col min="10012" max="10012" width="13.42578125" style="61" customWidth="1"/>
    <col min="10013" max="10013" width="14.5703125" style="61" customWidth="1"/>
    <col min="10014" max="10014" width="14.7109375" style="61" customWidth="1"/>
    <col min="10015" max="10015" width="13.7109375" style="61" customWidth="1"/>
    <col min="10016" max="10016" width="51.28515625" style="61" customWidth="1"/>
    <col min="10017" max="10022" width="9.140625" style="61"/>
    <col min="10023" max="10023" width="0" style="61" hidden="1" customWidth="1"/>
    <col min="10024" max="10240" width="9.140625" style="61"/>
    <col min="10241" max="10241" width="3.5703125" style="61" bestFit="1" customWidth="1"/>
    <col min="10242" max="10244" width="2.28515625" style="61" customWidth="1"/>
    <col min="10245" max="10245" width="56" style="61" bestFit="1" customWidth="1"/>
    <col min="10246" max="10246" width="2.7109375" style="61" customWidth="1"/>
    <col min="10247" max="10247" width="16.7109375" style="61" bestFit="1" customWidth="1"/>
    <col min="10248" max="10248" width="2.7109375" style="61" customWidth="1"/>
    <col min="10249" max="10249" width="12.7109375" style="61" customWidth="1"/>
    <col min="10250" max="10250" width="12.5703125" style="61" customWidth="1"/>
    <col min="10251" max="10251" width="12.28515625" style="61" customWidth="1"/>
    <col min="10252" max="10252" width="11.7109375" style="61" customWidth="1"/>
    <col min="10253" max="10253" width="12.140625" style="61" customWidth="1"/>
    <col min="10254" max="10254" width="12.28515625" style="61" customWidth="1"/>
    <col min="10255" max="10255" width="11.7109375" style="61" customWidth="1"/>
    <col min="10256" max="10256" width="12" style="61" customWidth="1"/>
    <col min="10257" max="10257" width="12.140625" style="61" customWidth="1"/>
    <col min="10258" max="10258" width="11.7109375" style="61" customWidth="1"/>
    <col min="10259" max="10259" width="12" style="61" customWidth="1"/>
    <col min="10260" max="10260" width="12.28515625" style="61" customWidth="1"/>
    <col min="10261" max="10261" width="12.85546875" style="61" customWidth="1"/>
    <col min="10262" max="10262" width="17.140625" style="61" customWidth="1"/>
    <col min="10263" max="10264" width="13.28515625" style="61" customWidth="1"/>
    <col min="10265" max="10265" width="13.85546875" style="61" customWidth="1"/>
    <col min="10266" max="10266" width="16.85546875" style="61" customWidth="1"/>
    <col min="10267" max="10267" width="13.28515625" style="61" customWidth="1"/>
    <col min="10268" max="10268" width="13.42578125" style="61" customWidth="1"/>
    <col min="10269" max="10269" width="14.5703125" style="61" customWidth="1"/>
    <col min="10270" max="10270" width="14.7109375" style="61" customWidth="1"/>
    <col min="10271" max="10271" width="13.7109375" style="61" customWidth="1"/>
    <col min="10272" max="10272" width="51.28515625" style="61" customWidth="1"/>
    <col min="10273" max="10278" width="9.140625" style="61"/>
    <col min="10279" max="10279" width="0" style="61" hidden="1" customWidth="1"/>
    <col min="10280" max="10496" width="9.140625" style="61"/>
    <col min="10497" max="10497" width="3.5703125" style="61" bestFit="1" customWidth="1"/>
    <col min="10498" max="10500" width="2.28515625" style="61" customWidth="1"/>
    <col min="10501" max="10501" width="56" style="61" bestFit="1" customWidth="1"/>
    <col min="10502" max="10502" width="2.7109375" style="61" customWidth="1"/>
    <col min="10503" max="10503" width="16.7109375" style="61" bestFit="1" customWidth="1"/>
    <col min="10504" max="10504" width="2.7109375" style="61" customWidth="1"/>
    <col min="10505" max="10505" width="12.7109375" style="61" customWidth="1"/>
    <col min="10506" max="10506" width="12.5703125" style="61" customWidth="1"/>
    <col min="10507" max="10507" width="12.28515625" style="61" customWidth="1"/>
    <col min="10508" max="10508" width="11.7109375" style="61" customWidth="1"/>
    <col min="10509" max="10509" width="12.140625" style="61" customWidth="1"/>
    <col min="10510" max="10510" width="12.28515625" style="61" customWidth="1"/>
    <col min="10511" max="10511" width="11.7109375" style="61" customWidth="1"/>
    <col min="10512" max="10512" width="12" style="61" customWidth="1"/>
    <col min="10513" max="10513" width="12.140625" style="61" customWidth="1"/>
    <col min="10514" max="10514" width="11.7109375" style="61" customWidth="1"/>
    <col min="10515" max="10515" width="12" style="61" customWidth="1"/>
    <col min="10516" max="10516" width="12.28515625" style="61" customWidth="1"/>
    <col min="10517" max="10517" width="12.85546875" style="61" customWidth="1"/>
    <col min="10518" max="10518" width="17.140625" style="61" customWidth="1"/>
    <col min="10519" max="10520" width="13.28515625" style="61" customWidth="1"/>
    <col min="10521" max="10521" width="13.85546875" style="61" customWidth="1"/>
    <col min="10522" max="10522" width="16.85546875" style="61" customWidth="1"/>
    <col min="10523" max="10523" width="13.28515625" style="61" customWidth="1"/>
    <col min="10524" max="10524" width="13.42578125" style="61" customWidth="1"/>
    <col min="10525" max="10525" width="14.5703125" style="61" customWidth="1"/>
    <col min="10526" max="10526" width="14.7109375" style="61" customWidth="1"/>
    <col min="10527" max="10527" width="13.7109375" style="61" customWidth="1"/>
    <col min="10528" max="10528" width="51.28515625" style="61" customWidth="1"/>
    <col min="10529" max="10534" width="9.140625" style="61"/>
    <col min="10535" max="10535" width="0" style="61" hidden="1" customWidth="1"/>
    <col min="10536" max="10752" width="9.140625" style="61"/>
    <col min="10753" max="10753" width="3.5703125" style="61" bestFit="1" customWidth="1"/>
    <col min="10754" max="10756" width="2.28515625" style="61" customWidth="1"/>
    <col min="10757" max="10757" width="56" style="61" bestFit="1" customWidth="1"/>
    <col min="10758" max="10758" width="2.7109375" style="61" customWidth="1"/>
    <col min="10759" max="10759" width="16.7109375" style="61" bestFit="1" customWidth="1"/>
    <col min="10760" max="10760" width="2.7109375" style="61" customWidth="1"/>
    <col min="10761" max="10761" width="12.7109375" style="61" customWidth="1"/>
    <col min="10762" max="10762" width="12.5703125" style="61" customWidth="1"/>
    <col min="10763" max="10763" width="12.28515625" style="61" customWidth="1"/>
    <col min="10764" max="10764" width="11.7109375" style="61" customWidth="1"/>
    <col min="10765" max="10765" width="12.140625" style="61" customWidth="1"/>
    <col min="10766" max="10766" width="12.28515625" style="61" customWidth="1"/>
    <col min="10767" max="10767" width="11.7109375" style="61" customWidth="1"/>
    <col min="10768" max="10768" width="12" style="61" customWidth="1"/>
    <col min="10769" max="10769" width="12.140625" style="61" customWidth="1"/>
    <col min="10770" max="10770" width="11.7109375" style="61" customWidth="1"/>
    <col min="10771" max="10771" width="12" style="61" customWidth="1"/>
    <col min="10772" max="10772" width="12.28515625" style="61" customWidth="1"/>
    <col min="10773" max="10773" width="12.85546875" style="61" customWidth="1"/>
    <col min="10774" max="10774" width="17.140625" style="61" customWidth="1"/>
    <col min="10775" max="10776" width="13.28515625" style="61" customWidth="1"/>
    <col min="10777" max="10777" width="13.85546875" style="61" customWidth="1"/>
    <col min="10778" max="10778" width="16.85546875" style="61" customWidth="1"/>
    <col min="10779" max="10779" width="13.28515625" style="61" customWidth="1"/>
    <col min="10780" max="10780" width="13.42578125" style="61" customWidth="1"/>
    <col min="10781" max="10781" width="14.5703125" style="61" customWidth="1"/>
    <col min="10782" max="10782" width="14.7109375" style="61" customWidth="1"/>
    <col min="10783" max="10783" width="13.7109375" style="61" customWidth="1"/>
    <col min="10784" max="10784" width="51.28515625" style="61" customWidth="1"/>
    <col min="10785" max="10790" width="9.140625" style="61"/>
    <col min="10791" max="10791" width="0" style="61" hidden="1" customWidth="1"/>
    <col min="10792" max="11008" width="9.140625" style="61"/>
    <col min="11009" max="11009" width="3.5703125" style="61" bestFit="1" customWidth="1"/>
    <col min="11010" max="11012" width="2.28515625" style="61" customWidth="1"/>
    <col min="11013" max="11013" width="56" style="61" bestFit="1" customWidth="1"/>
    <col min="11014" max="11014" width="2.7109375" style="61" customWidth="1"/>
    <col min="11015" max="11015" width="16.7109375" style="61" bestFit="1" customWidth="1"/>
    <col min="11016" max="11016" width="2.7109375" style="61" customWidth="1"/>
    <col min="11017" max="11017" width="12.7109375" style="61" customWidth="1"/>
    <col min="11018" max="11018" width="12.5703125" style="61" customWidth="1"/>
    <col min="11019" max="11019" width="12.28515625" style="61" customWidth="1"/>
    <col min="11020" max="11020" width="11.7109375" style="61" customWidth="1"/>
    <col min="11021" max="11021" width="12.140625" style="61" customWidth="1"/>
    <col min="11022" max="11022" width="12.28515625" style="61" customWidth="1"/>
    <col min="11023" max="11023" width="11.7109375" style="61" customWidth="1"/>
    <col min="11024" max="11024" width="12" style="61" customWidth="1"/>
    <col min="11025" max="11025" width="12.140625" style="61" customWidth="1"/>
    <col min="11026" max="11026" width="11.7109375" style="61" customWidth="1"/>
    <col min="11027" max="11027" width="12" style="61" customWidth="1"/>
    <col min="11028" max="11028" width="12.28515625" style="61" customWidth="1"/>
    <col min="11029" max="11029" width="12.85546875" style="61" customWidth="1"/>
    <col min="11030" max="11030" width="17.140625" style="61" customWidth="1"/>
    <col min="11031" max="11032" width="13.28515625" style="61" customWidth="1"/>
    <col min="11033" max="11033" width="13.85546875" style="61" customWidth="1"/>
    <col min="11034" max="11034" width="16.85546875" style="61" customWidth="1"/>
    <col min="11035" max="11035" width="13.28515625" style="61" customWidth="1"/>
    <col min="11036" max="11036" width="13.42578125" style="61" customWidth="1"/>
    <col min="11037" max="11037" width="14.5703125" style="61" customWidth="1"/>
    <col min="11038" max="11038" width="14.7109375" style="61" customWidth="1"/>
    <col min="11039" max="11039" width="13.7109375" style="61" customWidth="1"/>
    <col min="11040" max="11040" width="51.28515625" style="61" customWidth="1"/>
    <col min="11041" max="11046" width="9.140625" style="61"/>
    <col min="11047" max="11047" width="0" style="61" hidden="1" customWidth="1"/>
    <col min="11048" max="11264" width="9.140625" style="61"/>
    <col min="11265" max="11265" width="3.5703125" style="61" bestFit="1" customWidth="1"/>
    <col min="11266" max="11268" width="2.28515625" style="61" customWidth="1"/>
    <col min="11269" max="11269" width="56" style="61" bestFit="1" customWidth="1"/>
    <col min="11270" max="11270" width="2.7109375" style="61" customWidth="1"/>
    <col min="11271" max="11271" width="16.7109375" style="61" bestFit="1" customWidth="1"/>
    <col min="11272" max="11272" width="2.7109375" style="61" customWidth="1"/>
    <col min="11273" max="11273" width="12.7109375" style="61" customWidth="1"/>
    <col min="11274" max="11274" width="12.5703125" style="61" customWidth="1"/>
    <col min="11275" max="11275" width="12.28515625" style="61" customWidth="1"/>
    <col min="11276" max="11276" width="11.7109375" style="61" customWidth="1"/>
    <col min="11277" max="11277" width="12.140625" style="61" customWidth="1"/>
    <col min="11278" max="11278" width="12.28515625" style="61" customWidth="1"/>
    <col min="11279" max="11279" width="11.7109375" style="61" customWidth="1"/>
    <col min="11280" max="11280" width="12" style="61" customWidth="1"/>
    <col min="11281" max="11281" width="12.140625" style="61" customWidth="1"/>
    <col min="11282" max="11282" width="11.7109375" style="61" customWidth="1"/>
    <col min="11283" max="11283" width="12" style="61" customWidth="1"/>
    <col min="11284" max="11284" width="12.28515625" style="61" customWidth="1"/>
    <col min="11285" max="11285" width="12.85546875" style="61" customWidth="1"/>
    <col min="11286" max="11286" width="17.140625" style="61" customWidth="1"/>
    <col min="11287" max="11288" width="13.28515625" style="61" customWidth="1"/>
    <col min="11289" max="11289" width="13.85546875" style="61" customWidth="1"/>
    <col min="11290" max="11290" width="16.85546875" style="61" customWidth="1"/>
    <col min="11291" max="11291" width="13.28515625" style="61" customWidth="1"/>
    <col min="11292" max="11292" width="13.42578125" style="61" customWidth="1"/>
    <col min="11293" max="11293" width="14.5703125" style="61" customWidth="1"/>
    <col min="11294" max="11294" width="14.7109375" style="61" customWidth="1"/>
    <col min="11295" max="11295" width="13.7109375" style="61" customWidth="1"/>
    <col min="11296" max="11296" width="51.28515625" style="61" customWidth="1"/>
    <col min="11297" max="11302" width="9.140625" style="61"/>
    <col min="11303" max="11303" width="0" style="61" hidden="1" customWidth="1"/>
    <col min="11304" max="11520" width="9.140625" style="61"/>
    <col min="11521" max="11521" width="3.5703125" style="61" bestFit="1" customWidth="1"/>
    <col min="11522" max="11524" width="2.28515625" style="61" customWidth="1"/>
    <col min="11525" max="11525" width="56" style="61" bestFit="1" customWidth="1"/>
    <col min="11526" max="11526" width="2.7109375" style="61" customWidth="1"/>
    <col min="11527" max="11527" width="16.7109375" style="61" bestFit="1" customWidth="1"/>
    <col min="11528" max="11528" width="2.7109375" style="61" customWidth="1"/>
    <col min="11529" max="11529" width="12.7109375" style="61" customWidth="1"/>
    <col min="11530" max="11530" width="12.5703125" style="61" customWidth="1"/>
    <col min="11531" max="11531" width="12.28515625" style="61" customWidth="1"/>
    <col min="11532" max="11532" width="11.7109375" style="61" customWidth="1"/>
    <col min="11533" max="11533" width="12.140625" style="61" customWidth="1"/>
    <col min="11534" max="11534" width="12.28515625" style="61" customWidth="1"/>
    <col min="11535" max="11535" width="11.7109375" style="61" customWidth="1"/>
    <col min="11536" max="11536" width="12" style="61" customWidth="1"/>
    <col min="11537" max="11537" width="12.140625" style="61" customWidth="1"/>
    <col min="11538" max="11538" width="11.7109375" style="61" customWidth="1"/>
    <col min="11539" max="11539" width="12" style="61" customWidth="1"/>
    <col min="11540" max="11540" width="12.28515625" style="61" customWidth="1"/>
    <col min="11541" max="11541" width="12.85546875" style="61" customWidth="1"/>
    <col min="11542" max="11542" width="17.140625" style="61" customWidth="1"/>
    <col min="11543" max="11544" width="13.28515625" style="61" customWidth="1"/>
    <col min="11545" max="11545" width="13.85546875" style="61" customWidth="1"/>
    <col min="11546" max="11546" width="16.85546875" style="61" customWidth="1"/>
    <col min="11547" max="11547" width="13.28515625" style="61" customWidth="1"/>
    <col min="11548" max="11548" width="13.42578125" style="61" customWidth="1"/>
    <col min="11549" max="11549" width="14.5703125" style="61" customWidth="1"/>
    <col min="11550" max="11550" width="14.7109375" style="61" customWidth="1"/>
    <col min="11551" max="11551" width="13.7109375" style="61" customWidth="1"/>
    <col min="11552" max="11552" width="51.28515625" style="61" customWidth="1"/>
    <col min="11553" max="11558" width="9.140625" style="61"/>
    <col min="11559" max="11559" width="0" style="61" hidden="1" customWidth="1"/>
    <col min="11560" max="11776" width="9.140625" style="61"/>
    <col min="11777" max="11777" width="3.5703125" style="61" bestFit="1" customWidth="1"/>
    <col min="11778" max="11780" width="2.28515625" style="61" customWidth="1"/>
    <col min="11781" max="11781" width="56" style="61" bestFit="1" customWidth="1"/>
    <col min="11782" max="11782" width="2.7109375" style="61" customWidth="1"/>
    <col min="11783" max="11783" width="16.7109375" style="61" bestFit="1" customWidth="1"/>
    <col min="11784" max="11784" width="2.7109375" style="61" customWidth="1"/>
    <col min="11785" max="11785" width="12.7109375" style="61" customWidth="1"/>
    <col min="11786" max="11786" width="12.5703125" style="61" customWidth="1"/>
    <col min="11787" max="11787" width="12.28515625" style="61" customWidth="1"/>
    <col min="11788" max="11788" width="11.7109375" style="61" customWidth="1"/>
    <col min="11789" max="11789" width="12.140625" style="61" customWidth="1"/>
    <col min="11790" max="11790" width="12.28515625" style="61" customWidth="1"/>
    <col min="11791" max="11791" width="11.7109375" style="61" customWidth="1"/>
    <col min="11792" max="11792" width="12" style="61" customWidth="1"/>
    <col min="11793" max="11793" width="12.140625" style="61" customWidth="1"/>
    <col min="11794" max="11794" width="11.7109375" style="61" customWidth="1"/>
    <col min="11795" max="11795" width="12" style="61" customWidth="1"/>
    <col min="11796" max="11796" width="12.28515625" style="61" customWidth="1"/>
    <col min="11797" max="11797" width="12.85546875" style="61" customWidth="1"/>
    <col min="11798" max="11798" width="17.140625" style="61" customWidth="1"/>
    <col min="11799" max="11800" width="13.28515625" style="61" customWidth="1"/>
    <col min="11801" max="11801" width="13.85546875" style="61" customWidth="1"/>
    <col min="11802" max="11802" width="16.85546875" style="61" customWidth="1"/>
    <col min="11803" max="11803" width="13.28515625" style="61" customWidth="1"/>
    <col min="11804" max="11804" width="13.42578125" style="61" customWidth="1"/>
    <col min="11805" max="11805" width="14.5703125" style="61" customWidth="1"/>
    <col min="11806" max="11806" width="14.7109375" style="61" customWidth="1"/>
    <col min="11807" max="11807" width="13.7109375" style="61" customWidth="1"/>
    <col min="11808" max="11808" width="51.28515625" style="61" customWidth="1"/>
    <col min="11809" max="11814" width="9.140625" style="61"/>
    <col min="11815" max="11815" width="0" style="61" hidden="1" customWidth="1"/>
    <col min="11816" max="12032" width="9.140625" style="61"/>
    <col min="12033" max="12033" width="3.5703125" style="61" bestFit="1" customWidth="1"/>
    <col min="12034" max="12036" width="2.28515625" style="61" customWidth="1"/>
    <col min="12037" max="12037" width="56" style="61" bestFit="1" customWidth="1"/>
    <col min="12038" max="12038" width="2.7109375" style="61" customWidth="1"/>
    <col min="12039" max="12039" width="16.7109375" style="61" bestFit="1" customWidth="1"/>
    <col min="12040" max="12040" width="2.7109375" style="61" customWidth="1"/>
    <col min="12041" max="12041" width="12.7109375" style="61" customWidth="1"/>
    <col min="12042" max="12042" width="12.5703125" style="61" customWidth="1"/>
    <col min="12043" max="12043" width="12.28515625" style="61" customWidth="1"/>
    <col min="12044" max="12044" width="11.7109375" style="61" customWidth="1"/>
    <col min="12045" max="12045" width="12.140625" style="61" customWidth="1"/>
    <col min="12046" max="12046" width="12.28515625" style="61" customWidth="1"/>
    <col min="12047" max="12047" width="11.7109375" style="61" customWidth="1"/>
    <col min="12048" max="12048" width="12" style="61" customWidth="1"/>
    <col min="12049" max="12049" width="12.140625" style="61" customWidth="1"/>
    <col min="12050" max="12050" width="11.7109375" style="61" customWidth="1"/>
    <col min="12051" max="12051" width="12" style="61" customWidth="1"/>
    <col min="12052" max="12052" width="12.28515625" style="61" customWidth="1"/>
    <col min="12053" max="12053" width="12.85546875" style="61" customWidth="1"/>
    <col min="12054" max="12054" width="17.140625" style="61" customWidth="1"/>
    <col min="12055" max="12056" width="13.28515625" style="61" customWidth="1"/>
    <col min="12057" max="12057" width="13.85546875" style="61" customWidth="1"/>
    <col min="12058" max="12058" width="16.85546875" style="61" customWidth="1"/>
    <col min="12059" max="12059" width="13.28515625" style="61" customWidth="1"/>
    <col min="12060" max="12060" width="13.42578125" style="61" customWidth="1"/>
    <col min="12061" max="12061" width="14.5703125" style="61" customWidth="1"/>
    <col min="12062" max="12062" width="14.7109375" style="61" customWidth="1"/>
    <col min="12063" max="12063" width="13.7109375" style="61" customWidth="1"/>
    <col min="12064" max="12064" width="51.28515625" style="61" customWidth="1"/>
    <col min="12065" max="12070" width="9.140625" style="61"/>
    <col min="12071" max="12071" width="0" style="61" hidden="1" customWidth="1"/>
    <col min="12072" max="12288" width="9.140625" style="61"/>
    <col min="12289" max="12289" width="3.5703125" style="61" bestFit="1" customWidth="1"/>
    <col min="12290" max="12292" width="2.28515625" style="61" customWidth="1"/>
    <col min="12293" max="12293" width="56" style="61" bestFit="1" customWidth="1"/>
    <col min="12294" max="12294" width="2.7109375" style="61" customWidth="1"/>
    <col min="12295" max="12295" width="16.7109375" style="61" bestFit="1" customWidth="1"/>
    <col min="12296" max="12296" width="2.7109375" style="61" customWidth="1"/>
    <col min="12297" max="12297" width="12.7109375" style="61" customWidth="1"/>
    <col min="12298" max="12298" width="12.5703125" style="61" customWidth="1"/>
    <col min="12299" max="12299" width="12.28515625" style="61" customWidth="1"/>
    <col min="12300" max="12300" width="11.7109375" style="61" customWidth="1"/>
    <col min="12301" max="12301" width="12.140625" style="61" customWidth="1"/>
    <col min="12302" max="12302" width="12.28515625" style="61" customWidth="1"/>
    <col min="12303" max="12303" width="11.7109375" style="61" customWidth="1"/>
    <col min="12304" max="12304" width="12" style="61" customWidth="1"/>
    <col min="12305" max="12305" width="12.140625" style="61" customWidth="1"/>
    <col min="12306" max="12306" width="11.7109375" style="61" customWidth="1"/>
    <col min="12307" max="12307" width="12" style="61" customWidth="1"/>
    <col min="12308" max="12308" width="12.28515625" style="61" customWidth="1"/>
    <col min="12309" max="12309" width="12.85546875" style="61" customWidth="1"/>
    <col min="12310" max="12310" width="17.140625" style="61" customWidth="1"/>
    <col min="12311" max="12312" width="13.28515625" style="61" customWidth="1"/>
    <col min="12313" max="12313" width="13.85546875" style="61" customWidth="1"/>
    <col min="12314" max="12314" width="16.85546875" style="61" customWidth="1"/>
    <col min="12315" max="12315" width="13.28515625" style="61" customWidth="1"/>
    <col min="12316" max="12316" width="13.42578125" style="61" customWidth="1"/>
    <col min="12317" max="12317" width="14.5703125" style="61" customWidth="1"/>
    <col min="12318" max="12318" width="14.7109375" style="61" customWidth="1"/>
    <col min="12319" max="12319" width="13.7109375" style="61" customWidth="1"/>
    <col min="12320" max="12320" width="51.28515625" style="61" customWidth="1"/>
    <col min="12321" max="12326" width="9.140625" style="61"/>
    <col min="12327" max="12327" width="0" style="61" hidden="1" customWidth="1"/>
    <col min="12328" max="12544" width="9.140625" style="61"/>
    <col min="12545" max="12545" width="3.5703125" style="61" bestFit="1" customWidth="1"/>
    <col min="12546" max="12548" width="2.28515625" style="61" customWidth="1"/>
    <col min="12549" max="12549" width="56" style="61" bestFit="1" customWidth="1"/>
    <col min="12550" max="12550" width="2.7109375" style="61" customWidth="1"/>
    <col min="12551" max="12551" width="16.7109375" style="61" bestFit="1" customWidth="1"/>
    <col min="12552" max="12552" width="2.7109375" style="61" customWidth="1"/>
    <col min="12553" max="12553" width="12.7109375" style="61" customWidth="1"/>
    <col min="12554" max="12554" width="12.5703125" style="61" customWidth="1"/>
    <col min="12555" max="12555" width="12.28515625" style="61" customWidth="1"/>
    <col min="12556" max="12556" width="11.7109375" style="61" customWidth="1"/>
    <col min="12557" max="12557" width="12.140625" style="61" customWidth="1"/>
    <col min="12558" max="12558" width="12.28515625" style="61" customWidth="1"/>
    <col min="12559" max="12559" width="11.7109375" style="61" customWidth="1"/>
    <col min="12560" max="12560" width="12" style="61" customWidth="1"/>
    <col min="12561" max="12561" width="12.140625" style="61" customWidth="1"/>
    <col min="12562" max="12562" width="11.7109375" style="61" customWidth="1"/>
    <col min="12563" max="12563" width="12" style="61" customWidth="1"/>
    <col min="12564" max="12564" width="12.28515625" style="61" customWidth="1"/>
    <col min="12565" max="12565" width="12.85546875" style="61" customWidth="1"/>
    <col min="12566" max="12566" width="17.140625" style="61" customWidth="1"/>
    <col min="12567" max="12568" width="13.28515625" style="61" customWidth="1"/>
    <col min="12569" max="12569" width="13.85546875" style="61" customWidth="1"/>
    <col min="12570" max="12570" width="16.85546875" style="61" customWidth="1"/>
    <col min="12571" max="12571" width="13.28515625" style="61" customWidth="1"/>
    <col min="12572" max="12572" width="13.42578125" style="61" customWidth="1"/>
    <col min="12573" max="12573" width="14.5703125" style="61" customWidth="1"/>
    <col min="12574" max="12574" width="14.7109375" style="61" customWidth="1"/>
    <col min="12575" max="12575" width="13.7109375" style="61" customWidth="1"/>
    <col min="12576" max="12576" width="51.28515625" style="61" customWidth="1"/>
    <col min="12577" max="12582" width="9.140625" style="61"/>
    <col min="12583" max="12583" width="0" style="61" hidden="1" customWidth="1"/>
    <col min="12584" max="12800" width="9.140625" style="61"/>
    <col min="12801" max="12801" width="3.5703125" style="61" bestFit="1" customWidth="1"/>
    <col min="12802" max="12804" width="2.28515625" style="61" customWidth="1"/>
    <col min="12805" max="12805" width="56" style="61" bestFit="1" customWidth="1"/>
    <col min="12806" max="12806" width="2.7109375" style="61" customWidth="1"/>
    <col min="12807" max="12807" width="16.7109375" style="61" bestFit="1" customWidth="1"/>
    <col min="12808" max="12808" width="2.7109375" style="61" customWidth="1"/>
    <col min="12809" max="12809" width="12.7109375" style="61" customWidth="1"/>
    <col min="12810" max="12810" width="12.5703125" style="61" customWidth="1"/>
    <col min="12811" max="12811" width="12.28515625" style="61" customWidth="1"/>
    <col min="12812" max="12812" width="11.7109375" style="61" customWidth="1"/>
    <col min="12813" max="12813" width="12.140625" style="61" customWidth="1"/>
    <col min="12814" max="12814" width="12.28515625" style="61" customWidth="1"/>
    <col min="12815" max="12815" width="11.7109375" style="61" customWidth="1"/>
    <col min="12816" max="12816" width="12" style="61" customWidth="1"/>
    <col min="12817" max="12817" width="12.140625" style="61" customWidth="1"/>
    <col min="12818" max="12818" width="11.7109375" style="61" customWidth="1"/>
    <col min="12819" max="12819" width="12" style="61" customWidth="1"/>
    <col min="12820" max="12820" width="12.28515625" style="61" customWidth="1"/>
    <col min="12821" max="12821" width="12.85546875" style="61" customWidth="1"/>
    <col min="12822" max="12822" width="17.140625" style="61" customWidth="1"/>
    <col min="12823" max="12824" width="13.28515625" style="61" customWidth="1"/>
    <col min="12825" max="12825" width="13.85546875" style="61" customWidth="1"/>
    <col min="12826" max="12826" width="16.85546875" style="61" customWidth="1"/>
    <col min="12827" max="12827" width="13.28515625" style="61" customWidth="1"/>
    <col min="12828" max="12828" width="13.42578125" style="61" customWidth="1"/>
    <col min="12829" max="12829" width="14.5703125" style="61" customWidth="1"/>
    <col min="12830" max="12830" width="14.7109375" style="61" customWidth="1"/>
    <col min="12831" max="12831" width="13.7109375" style="61" customWidth="1"/>
    <col min="12832" max="12832" width="51.28515625" style="61" customWidth="1"/>
    <col min="12833" max="12838" width="9.140625" style="61"/>
    <col min="12839" max="12839" width="0" style="61" hidden="1" customWidth="1"/>
    <col min="12840" max="13056" width="9.140625" style="61"/>
    <col min="13057" max="13057" width="3.5703125" style="61" bestFit="1" customWidth="1"/>
    <col min="13058" max="13060" width="2.28515625" style="61" customWidth="1"/>
    <col min="13061" max="13061" width="56" style="61" bestFit="1" customWidth="1"/>
    <col min="13062" max="13062" width="2.7109375" style="61" customWidth="1"/>
    <col min="13063" max="13063" width="16.7109375" style="61" bestFit="1" customWidth="1"/>
    <col min="13064" max="13064" width="2.7109375" style="61" customWidth="1"/>
    <col min="13065" max="13065" width="12.7109375" style="61" customWidth="1"/>
    <col min="13066" max="13066" width="12.5703125" style="61" customWidth="1"/>
    <col min="13067" max="13067" width="12.28515625" style="61" customWidth="1"/>
    <col min="13068" max="13068" width="11.7109375" style="61" customWidth="1"/>
    <col min="13069" max="13069" width="12.140625" style="61" customWidth="1"/>
    <col min="13070" max="13070" width="12.28515625" style="61" customWidth="1"/>
    <col min="13071" max="13071" width="11.7109375" style="61" customWidth="1"/>
    <col min="13072" max="13072" width="12" style="61" customWidth="1"/>
    <col min="13073" max="13073" width="12.140625" style="61" customWidth="1"/>
    <col min="13074" max="13074" width="11.7109375" style="61" customWidth="1"/>
    <col min="13075" max="13075" width="12" style="61" customWidth="1"/>
    <col min="13076" max="13076" width="12.28515625" style="61" customWidth="1"/>
    <col min="13077" max="13077" width="12.85546875" style="61" customWidth="1"/>
    <col min="13078" max="13078" width="17.140625" style="61" customWidth="1"/>
    <col min="13079" max="13080" width="13.28515625" style="61" customWidth="1"/>
    <col min="13081" max="13081" width="13.85546875" style="61" customWidth="1"/>
    <col min="13082" max="13082" width="16.85546875" style="61" customWidth="1"/>
    <col min="13083" max="13083" width="13.28515625" style="61" customWidth="1"/>
    <col min="13084" max="13084" width="13.42578125" style="61" customWidth="1"/>
    <col min="13085" max="13085" width="14.5703125" style="61" customWidth="1"/>
    <col min="13086" max="13086" width="14.7109375" style="61" customWidth="1"/>
    <col min="13087" max="13087" width="13.7109375" style="61" customWidth="1"/>
    <col min="13088" max="13088" width="51.28515625" style="61" customWidth="1"/>
    <col min="13089" max="13094" width="9.140625" style="61"/>
    <col min="13095" max="13095" width="0" style="61" hidden="1" customWidth="1"/>
    <col min="13096" max="13312" width="9.140625" style="61"/>
    <col min="13313" max="13313" width="3.5703125" style="61" bestFit="1" customWidth="1"/>
    <col min="13314" max="13316" width="2.28515625" style="61" customWidth="1"/>
    <col min="13317" max="13317" width="56" style="61" bestFit="1" customWidth="1"/>
    <col min="13318" max="13318" width="2.7109375" style="61" customWidth="1"/>
    <col min="13319" max="13319" width="16.7109375" style="61" bestFit="1" customWidth="1"/>
    <col min="13320" max="13320" width="2.7109375" style="61" customWidth="1"/>
    <col min="13321" max="13321" width="12.7109375" style="61" customWidth="1"/>
    <col min="13322" max="13322" width="12.5703125" style="61" customWidth="1"/>
    <col min="13323" max="13323" width="12.28515625" style="61" customWidth="1"/>
    <col min="13324" max="13324" width="11.7109375" style="61" customWidth="1"/>
    <col min="13325" max="13325" width="12.140625" style="61" customWidth="1"/>
    <col min="13326" max="13326" width="12.28515625" style="61" customWidth="1"/>
    <col min="13327" max="13327" width="11.7109375" style="61" customWidth="1"/>
    <col min="13328" max="13328" width="12" style="61" customWidth="1"/>
    <col min="13329" max="13329" width="12.140625" style="61" customWidth="1"/>
    <col min="13330" max="13330" width="11.7109375" style="61" customWidth="1"/>
    <col min="13331" max="13331" width="12" style="61" customWidth="1"/>
    <col min="13332" max="13332" width="12.28515625" style="61" customWidth="1"/>
    <col min="13333" max="13333" width="12.85546875" style="61" customWidth="1"/>
    <col min="13334" max="13334" width="17.140625" style="61" customWidth="1"/>
    <col min="13335" max="13336" width="13.28515625" style="61" customWidth="1"/>
    <col min="13337" max="13337" width="13.85546875" style="61" customWidth="1"/>
    <col min="13338" max="13338" width="16.85546875" style="61" customWidth="1"/>
    <col min="13339" max="13339" width="13.28515625" style="61" customWidth="1"/>
    <col min="13340" max="13340" width="13.42578125" style="61" customWidth="1"/>
    <col min="13341" max="13341" width="14.5703125" style="61" customWidth="1"/>
    <col min="13342" max="13342" width="14.7109375" style="61" customWidth="1"/>
    <col min="13343" max="13343" width="13.7109375" style="61" customWidth="1"/>
    <col min="13344" max="13344" width="51.28515625" style="61" customWidth="1"/>
    <col min="13345" max="13350" width="9.140625" style="61"/>
    <col min="13351" max="13351" width="0" style="61" hidden="1" customWidth="1"/>
    <col min="13352" max="13568" width="9.140625" style="61"/>
    <col min="13569" max="13569" width="3.5703125" style="61" bestFit="1" customWidth="1"/>
    <col min="13570" max="13572" width="2.28515625" style="61" customWidth="1"/>
    <col min="13573" max="13573" width="56" style="61" bestFit="1" customWidth="1"/>
    <col min="13574" max="13574" width="2.7109375" style="61" customWidth="1"/>
    <col min="13575" max="13575" width="16.7109375" style="61" bestFit="1" customWidth="1"/>
    <col min="13576" max="13576" width="2.7109375" style="61" customWidth="1"/>
    <col min="13577" max="13577" width="12.7109375" style="61" customWidth="1"/>
    <col min="13578" max="13578" width="12.5703125" style="61" customWidth="1"/>
    <col min="13579" max="13579" width="12.28515625" style="61" customWidth="1"/>
    <col min="13580" max="13580" width="11.7109375" style="61" customWidth="1"/>
    <col min="13581" max="13581" width="12.140625" style="61" customWidth="1"/>
    <col min="13582" max="13582" width="12.28515625" style="61" customWidth="1"/>
    <col min="13583" max="13583" width="11.7109375" style="61" customWidth="1"/>
    <col min="13584" max="13584" width="12" style="61" customWidth="1"/>
    <col min="13585" max="13585" width="12.140625" style="61" customWidth="1"/>
    <col min="13586" max="13586" width="11.7109375" style="61" customWidth="1"/>
    <col min="13587" max="13587" width="12" style="61" customWidth="1"/>
    <col min="13588" max="13588" width="12.28515625" style="61" customWidth="1"/>
    <col min="13589" max="13589" width="12.85546875" style="61" customWidth="1"/>
    <col min="13590" max="13590" width="17.140625" style="61" customWidth="1"/>
    <col min="13591" max="13592" width="13.28515625" style="61" customWidth="1"/>
    <col min="13593" max="13593" width="13.85546875" style="61" customWidth="1"/>
    <col min="13594" max="13594" width="16.85546875" style="61" customWidth="1"/>
    <col min="13595" max="13595" width="13.28515625" style="61" customWidth="1"/>
    <col min="13596" max="13596" width="13.42578125" style="61" customWidth="1"/>
    <col min="13597" max="13597" width="14.5703125" style="61" customWidth="1"/>
    <col min="13598" max="13598" width="14.7109375" style="61" customWidth="1"/>
    <col min="13599" max="13599" width="13.7109375" style="61" customWidth="1"/>
    <col min="13600" max="13600" width="51.28515625" style="61" customWidth="1"/>
    <col min="13601" max="13606" width="9.140625" style="61"/>
    <col min="13607" max="13607" width="0" style="61" hidden="1" customWidth="1"/>
    <col min="13608" max="13824" width="9.140625" style="61"/>
    <col min="13825" max="13825" width="3.5703125" style="61" bestFit="1" customWidth="1"/>
    <col min="13826" max="13828" width="2.28515625" style="61" customWidth="1"/>
    <col min="13829" max="13829" width="56" style="61" bestFit="1" customWidth="1"/>
    <col min="13830" max="13830" width="2.7109375" style="61" customWidth="1"/>
    <col min="13831" max="13831" width="16.7109375" style="61" bestFit="1" customWidth="1"/>
    <col min="13832" max="13832" width="2.7109375" style="61" customWidth="1"/>
    <col min="13833" max="13833" width="12.7109375" style="61" customWidth="1"/>
    <col min="13834" max="13834" width="12.5703125" style="61" customWidth="1"/>
    <col min="13835" max="13835" width="12.28515625" style="61" customWidth="1"/>
    <col min="13836" max="13836" width="11.7109375" style="61" customWidth="1"/>
    <col min="13837" max="13837" width="12.140625" style="61" customWidth="1"/>
    <col min="13838" max="13838" width="12.28515625" style="61" customWidth="1"/>
    <col min="13839" max="13839" width="11.7109375" style="61" customWidth="1"/>
    <col min="13840" max="13840" width="12" style="61" customWidth="1"/>
    <col min="13841" max="13841" width="12.140625" style="61" customWidth="1"/>
    <col min="13842" max="13842" width="11.7109375" style="61" customWidth="1"/>
    <col min="13843" max="13843" width="12" style="61" customWidth="1"/>
    <col min="13844" max="13844" width="12.28515625" style="61" customWidth="1"/>
    <col min="13845" max="13845" width="12.85546875" style="61" customWidth="1"/>
    <col min="13846" max="13846" width="17.140625" style="61" customWidth="1"/>
    <col min="13847" max="13848" width="13.28515625" style="61" customWidth="1"/>
    <col min="13849" max="13849" width="13.85546875" style="61" customWidth="1"/>
    <col min="13850" max="13850" width="16.85546875" style="61" customWidth="1"/>
    <col min="13851" max="13851" width="13.28515625" style="61" customWidth="1"/>
    <col min="13852" max="13852" width="13.42578125" style="61" customWidth="1"/>
    <col min="13853" max="13853" width="14.5703125" style="61" customWidth="1"/>
    <col min="13854" max="13854" width="14.7109375" style="61" customWidth="1"/>
    <col min="13855" max="13855" width="13.7109375" style="61" customWidth="1"/>
    <col min="13856" max="13856" width="51.28515625" style="61" customWidth="1"/>
    <col min="13857" max="13862" width="9.140625" style="61"/>
    <col min="13863" max="13863" width="0" style="61" hidden="1" customWidth="1"/>
    <col min="13864" max="14080" width="9.140625" style="61"/>
    <col min="14081" max="14081" width="3.5703125" style="61" bestFit="1" customWidth="1"/>
    <col min="14082" max="14084" width="2.28515625" style="61" customWidth="1"/>
    <col min="14085" max="14085" width="56" style="61" bestFit="1" customWidth="1"/>
    <col min="14086" max="14086" width="2.7109375" style="61" customWidth="1"/>
    <col min="14087" max="14087" width="16.7109375" style="61" bestFit="1" customWidth="1"/>
    <col min="14088" max="14088" width="2.7109375" style="61" customWidth="1"/>
    <col min="14089" max="14089" width="12.7109375" style="61" customWidth="1"/>
    <col min="14090" max="14090" width="12.5703125" style="61" customWidth="1"/>
    <col min="14091" max="14091" width="12.28515625" style="61" customWidth="1"/>
    <col min="14092" max="14092" width="11.7109375" style="61" customWidth="1"/>
    <col min="14093" max="14093" width="12.140625" style="61" customWidth="1"/>
    <col min="14094" max="14094" width="12.28515625" style="61" customWidth="1"/>
    <col min="14095" max="14095" width="11.7109375" style="61" customWidth="1"/>
    <col min="14096" max="14096" width="12" style="61" customWidth="1"/>
    <col min="14097" max="14097" width="12.140625" style="61" customWidth="1"/>
    <col min="14098" max="14098" width="11.7109375" style="61" customWidth="1"/>
    <col min="14099" max="14099" width="12" style="61" customWidth="1"/>
    <col min="14100" max="14100" width="12.28515625" style="61" customWidth="1"/>
    <col min="14101" max="14101" width="12.85546875" style="61" customWidth="1"/>
    <col min="14102" max="14102" width="17.140625" style="61" customWidth="1"/>
    <col min="14103" max="14104" width="13.28515625" style="61" customWidth="1"/>
    <col min="14105" max="14105" width="13.85546875" style="61" customWidth="1"/>
    <col min="14106" max="14106" width="16.85546875" style="61" customWidth="1"/>
    <col min="14107" max="14107" width="13.28515625" style="61" customWidth="1"/>
    <col min="14108" max="14108" width="13.42578125" style="61" customWidth="1"/>
    <col min="14109" max="14109" width="14.5703125" style="61" customWidth="1"/>
    <col min="14110" max="14110" width="14.7109375" style="61" customWidth="1"/>
    <col min="14111" max="14111" width="13.7109375" style="61" customWidth="1"/>
    <col min="14112" max="14112" width="51.28515625" style="61" customWidth="1"/>
    <col min="14113" max="14118" width="9.140625" style="61"/>
    <col min="14119" max="14119" width="0" style="61" hidden="1" customWidth="1"/>
    <col min="14120" max="14336" width="9.140625" style="61"/>
    <col min="14337" max="14337" width="3.5703125" style="61" bestFit="1" customWidth="1"/>
    <col min="14338" max="14340" width="2.28515625" style="61" customWidth="1"/>
    <col min="14341" max="14341" width="56" style="61" bestFit="1" customWidth="1"/>
    <col min="14342" max="14342" width="2.7109375" style="61" customWidth="1"/>
    <col min="14343" max="14343" width="16.7109375" style="61" bestFit="1" customWidth="1"/>
    <col min="14344" max="14344" width="2.7109375" style="61" customWidth="1"/>
    <col min="14345" max="14345" width="12.7109375" style="61" customWidth="1"/>
    <col min="14346" max="14346" width="12.5703125" style="61" customWidth="1"/>
    <col min="14347" max="14347" width="12.28515625" style="61" customWidth="1"/>
    <col min="14348" max="14348" width="11.7109375" style="61" customWidth="1"/>
    <col min="14349" max="14349" width="12.140625" style="61" customWidth="1"/>
    <col min="14350" max="14350" width="12.28515625" style="61" customWidth="1"/>
    <col min="14351" max="14351" width="11.7109375" style="61" customWidth="1"/>
    <col min="14352" max="14352" width="12" style="61" customWidth="1"/>
    <col min="14353" max="14353" width="12.140625" style="61" customWidth="1"/>
    <col min="14354" max="14354" width="11.7109375" style="61" customWidth="1"/>
    <col min="14355" max="14355" width="12" style="61" customWidth="1"/>
    <col min="14356" max="14356" width="12.28515625" style="61" customWidth="1"/>
    <col min="14357" max="14357" width="12.85546875" style="61" customWidth="1"/>
    <col min="14358" max="14358" width="17.140625" style="61" customWidth="1"/>
    <col min="14359" max="14360" width="13.28515625" style="61" customWidth="1"/>
    <col min="14361" max="14361" width="13.85546875" style="61" customWidth="1"/>
    <col min="14362" max="14362" width="16.85546875" style="61" customWidth="1"/>
    <col min="14363" max="14363" width="13.28515625" style="61" customWidth="1"/>
    <col min="14364" max="14364" width="13.42578125" style="61" customWidth="1"/>
    <col min="14365" max="14365" width="14.5703125" style="61" customWidth="1"/>
    <col min="14366" max="14366" width="14.7109375" style="61" customWidth="1"/>
    <col min="14367" max="14367" width="13.7109375" style="61" customWidth="1"/>
    <col min="14368" max="14368" width="51.28515625" style="61" customWidth="1"/>
    <col min="14369" max="14374" width="9.140625" style="61"/>
    <col min="14375" max="14375" width="0" style="61" hidden="1" customWidth="1"/>
    <col min="14376" max="14592" width="9.140625" style="61"/>
    <col min="14593" max="14593" width="3.5703125" style="61" bestFit="1" customWidth="1"/>
    <col min="14594" max="14596" width="2.28515625" style="61" customWidth="1"/>
    <col min="14597" max="14597" width="56" style="61" bestFit="1" customWidth="1"/>
    <col min="14598" max="14598" width="2.7109375" style="61" customWidth="1"/>
    <col min="14599" max="14599" width="16.7109375" style="61" bestFit="1" customWidth="1"/>
    <col min="14600" max="14600" width="2.7109375" style="61" customWidth="1"/>
    <col min="14601" max="14601" width="12.7109375" style="61" customWidth="1"/>
    <col min="14602" max="14602" width="12.5703125" style="61" customWidth="1"/>
    <col min="14603" max="14603" width="12.28515625" style="61" customWidth="1"/>
    <col min="14604" max="14604" width="11.7109375" style="61" customWidth="1"/>
    <col min="14605" max="14605" width="12.140625" style="61" customWidth="1"/>
    <col min="14606" max="14606" width="12.28515625" style="61" customWidth="1"/>
    <col min="14607" max="14607" width="11.7109375" style="61" customWidth="1"/>
    <col min="14608" max="14608" width="12" style="61" customWidth="1"/>
    <col min="14609" max="14609" width="12.140625" style="61" customWidth="1"/>
    <col min="14610" max="14610" width="11.7109375" style="61" customWidth="1"/>
    <col min="14611" max="14611" width="12" style="61" customWidth="1"/>
    <col min="14612" max="14612" width="12.28515625" style="61" customWidth="1"/>
    <col min="14613" max="14613" width="12.85546875" style="61" customWidth="1"/>
    <col min="14614" max="14614" width="17.140625" style="61" customWidth="1"/>
    <col min="14615" max="14616" width="13.28515625" style="61" customWidth="1"/>
    <col min="14617" max="14617" width="13.85546875" style="61" customWidth="1"/>
    <col min="14618" max="14618" width="16.85546875" style="61" customWidth="1"/>
    <col min="14619" max="14619" width="13.28515625" style="61" customWidth="1"/>
    <col min="14620" max="14620" width="13.42578125" style="61" customWidth="1"/>
    <col min="14621" max="14621" width="14.5703125" style="61" customWidth="1"/>
    <col min="14622" max="14622" width="14.7109375" style="61" customWidth="1"/>
    <col min="14623" max="14623" width="13.7109375" style="61" customWidth="1"/>
    <col min="14624" max="14624" width="51.28515625" style="61" customWidth="1"/>
    <col min="14625" max="14630" width="9.140625" style="61"/>
    <col min="14631" max="14631" width="0" style="61" hidden="1" customWidth="1"/>
    <col min="14632" max="14848" width="9.140625" style="61"/>
    <col min="14849" max="14849" width="3.5703125" style="61" bestFit="1" customWidth="1"/>
    <col min="14850" max="14852" width="2.28515625" style="61" customWidth="1"/>
    <col min="14853" max="14853" width="56" style="61" bestFit="1" customWidth="1"/>
    <col min="14854" max="14854" width="2.7109375" style="61" customWidth="1"/>
    <col min="14855" max="14855" width="16.7109375" style="61" bestFit="1" customWidth="1"/>
    <col min="14856" max="14856" width="2.7109375" style="61" customWidth="1"/>
    <col min="14857" max="14857" width="12.7109375" style="61" customWidth="1"/>
    <col min="14858" max="14858" width="12.5703125" style="61" customWidth="1"/>
    <col min="14859" max="14859" width="12.28515625" style="61" customWidth="1"/>
    <col min="14860" max="14860" width="11.7109375" style="61" customWidth="1"/>
    <col min="14861" max="14861" width="12.140625" style="61" customWidth="1"/>
    <col min="14862" max="14862" width="12.28515625" style="61" customWidth="1"/>
    <col min="14863" max="14863" width="11.7109375" style="61" customWidth="1"/>
    <col min="14864" max="14864" width="12" style="61" customWidth="1"/>
    <col min="14865" max="14865" width="12.140625" style="61" customWidth="1"/>
    <col min="14866" max="14866" width="11.7109375" style="61" customWidth="1"/>
    <col min="14867" max="14867" width="12" style="61" customWidth="1"/>
    <col min="14868" max="14868" width="12.28515625" style="61" customWidth="1"/>
    <col min="14869" max="14869" width="12.85546875" style="61" customWidth="1"/>
    <col min="14870" max="14870" width="17.140625" style="61" customWidth="1"/>
    <col min="14871" max="14872" width="13.28515625" style="61" customWidth="1"/>
    <col min="14873" max="14873" width="13.85546875" style="61" customWidth="1"/>
    <col min="14874" max="14874" width="16.85546875" style="61" customWidth="1"/>
    <col min="14875" max="14875" width="13.28515625" style="61" customWidth="1"/>
    <col min="14876" max="14876" width="13.42578125" style="61" customWidth="1"/>
    <col min="14877" max="14877" width="14.5703125" style="61" customWidth="1"/>
    <col min="14878" max="14878" width="14.7109375" style="61" customWidth="1"/>
    <col min="14879" max="14879" width="13.7109375" style="61" customWidth="1"/>
    <col min="14880" max="14880" width="51.28515625" style="61" customWidth="1"/>
    <col min="14881" max="14886" width="9.140625" style="61"/>
    <col min="14887" max="14887" width="0" style="61" hidden="1" customWidth="1"/>
    <col min="14888" max="15104" width="9.140625" style="61"/>
    <col min="15105" max="15105" width="3.5703125" style="61" bestFit="1" customWidth="1"/>
    <col min="15106" max="15108" width="2.28515625" style="61" customWidth="1"/>
    <col min="15109" max="15109" width="56" style="61" bestFit="1" customWidth="1"/>
    <col min="15110" max="15110" width="2.7109375" style="61" customWidth="1"/>
    <col min="15111" max="15111" width="16.7109375" style="61" bestFit="1" customWidth="1"/>
    <col min="15112" max="15112" width="2.7109375" style="61" customWidth="1"/>
    <col min="15113" max="15113" width="12.7109375" style="61" customWidth="1"/>
    <col min="15114" max="15114" width="12.5703125" style="61" customWidth="1"/>
    <col min="15115" max="15115" width="12.28515625" style="61" customWidth="1"/>
    <col min="15116" max="15116" width="11.7109375" style="61" customWidth="1"/>
    <col min="15117" max="15117" width="12.140625" style="61" customWidth="1"/>
    <col min="15118" max="15118" width="12.28515625" style="61" customWidth="1"/>
    <col min="15119" max="15119" width="11.7109375" style="61" customWidth="1"/>
    <col min="15120" max="15120" width="12" style="61" customWidth="1"/>
    <col min="15121" max="15121" width="12.140625" style="61" customWidth="1"/>
    <col min="15122" max="15122" width="11.7109375" style="61" customWidth="1"/>
    <col min="15123" max="15123" width="12" style="61" customWidth="1"/>
    <col min="15124" max="15124" width="12.28515625" style="61" customWidth="1"/>
    <col min="15125" max="15125" width="12.85546875" style="61" customWidth="1"/>
    <col min="15126" max="15126" width="17.140625" style="61" customWidth="1"/>
    <col min="15127" max="15128" width="13.28515625" style="61" customWidth="1"/>
    <col min="15129" max="15129" width="13.85546875" style="61" customWidth="1"/>
    <col min="15130" max="15130" width="16.85546875" style="61" customWidth="1"/>
    <col min="15131" max="15131" width="13.28515625" style="61" customWidth="1"/>
    <col min="15132" max="15132" width="13.42578125" style="61" customWidth="1"/>
    <col min="15133" max="15133" width="14.5703125" style="61" customWidth="1"/>
    <col min="15134" max="15134" width="14.7109375" style="61" customWidth="1"/>
    <col min="15135" max="15135" width="13.7109375" style="61" customWidth="1"/>
    <col min="15136" max="15136" width="51.28515625" style="61" customWidth="1"/>
    <col min="15137" max="15142" width="9.140625" style="61"/>
    <col min="15143" max="15143" width="0" style="61" hidden="1" customWidth="1"/>
    <col min="15144" max="15360" width="9.140625" style="61"/>
    <col min="15361" max="15361" width="3.5703125" style="61" bestFit="1" customWidth="1"/>
    <col min="15362" max="15364" width="2.28515625" style="61" customWidth="1"/>
    <col min="15365" max="15365" width="56" style="61" bestFit="1" customWidth="1"/>
    <col min="15366" max="15366" width="2.7109375" style="61" customWidth="1"/>
    <col min="15367" max="15367" width="16.7109375" style="61" bestFit="1" customWidth="1"/>
    <col min="15368" max="15368" width="2.7109375" style="61" customWidth="1"/>
    <col min="15369" max="15369" width="12.7109375" style="61" customWidth="1"/>
    <col min="15370" max="15370" width="12.5703125" style="61" customWidth="1"/>
    <col min="15371" max="15371" width="12.28515625" style="61" customWidth="1"/>
    <col min="15372" max="15372" width="11.7109375" style="61" customWidth="1"/>
    <col min="15373" max="15373" width="12.140625" style="61" customWidth="1"/>
    <col min="15374" max="15374" width="12.28515625" style="61" customWidth="1"/>
    <col min="15375" max="15375" width="11.7109375" style="61" customWidth="1"/>
    <col min="15376" max="15376" width="12" style="61" customWidth="1"/>
    <col min="15377" max="15377" width="12.140625" style="61" customWidth="1"/>
    <col min="15378" max="15378" width="11.7109375" style="61" customWidth="1"/>
    <col min="15379" max="15379" width="12" style="61" customWidth="1"/>
    <col min="15380" max="15380" width="12.28515625" style="61" customWidth="1"/>
    <col min="15381" max="15381" width="12.85546875" style="61" customWidth="1"/>
    <col min="15382" max="15382" width="17.140625" style="61" customWidth="1"/>
    <col min="15383" max="15384" width="13.28515625" style="61" customWidth="1"/>
    <col min="15385" max="15385" width="13.85546875" style="61" customWidth="1"/>
    <col min="15386" max="15386" width="16.85546875" style="61" customWidth="1"/>
    <col min="15387" max="15387" width="13.28515625" style="61" customWidth="1"/>
    <col min="15388" max="15388" width="13.42578125" style="61" customWidth="1"/>
    <col min="15389" max="15389" width="14.5703125" style="61" customWidth="1"/>
    <col min="15390" max="15390" width="14.7109375" style="61" customWidth="1"/>
    <col min="15391" max="15391" width="13.7109375" style="61" customWidth="1"/>
    <col min="15392" max="15392" width="51.28515625" style="61" customWidth="1"/>
    <col min="15393" max="15398" width="9.140625" style="61"/>
    <col min="15399" max="15399" width="0" style="61" hidden="1" customWidth="1"/>
    <col min="15400" max="15616" width="9.140625" style="61"/>
    <col min="15617" max="15617" width="3.5703125" style="61" bestFit="1" customWidth="1"/>
    <col min="15618" max="15620" width="2.28515625" style="61" customWidth="1"/>
    <col min="15621" max="15621" width="56" style="61" bestFit="1" customWidth="1"/>
    <col min="15622" max="15622" width="2.7109375" style="61" customWidth="1"/>
    <col min="15623" max="15623" width="16.7109375" style="61" bestFit="1" customWidth="1"/>
    <col min="15624" max="15624" width="2.7109375" style="61" customWidth="1"/>
    <col min="15625" max="15625" width="12.7109375" style="61" customWidth="1"/>
    <col min="15626" max="15626" width="12.5703125" style="61" customWidth="1"/>
    <col min="15627" max="15627" width="12.28515625" style="61" customWidth="1"/>
    <col min="15628" max="15628" width="11.7109375" style="61" customWidth="1"/>
    <col min="15629" max="15629" width="12.140625" style="61" customWidth="1"/>
    <col min="15630" max="15630" width="12.28515625" style="61" customWidth="1"/>
    <col min="15631" max="15631" width="11.7109375" style="61" customWidth="1"/>
    <col min="15632" max="15632" width="12" style="61" customWidth="1"/>
    <col min="15633" max="15633" width="12.140625" style="61" customWidth="1"/>
    <col min="15634" max="15634" width="11.7109375" style="61" customWidth="1"/>
    <col min="15635" max="15635" width="12" style="61" customWidth="1"/>
    <col min="15636" max="15636" width="12.28515625" style="61" customWidth="1"/>
    <col min="15637" max="15637" width="12.85546875" style="61" customWidth="1"/>
    <col min="15638" max="15638" width="17.140625" style="61" customWidth="1"/>
    <col min="15639" max="15640" width="13.28515625" style="61" customWidth="1"/>
    <col min="15641" max="15641" width="13.85546875" style="61" customWidth="1"/>
    <col min="15642" max="15642" width="16.85546875" style="61" customWidth="1"/>
    <col min="15643" max="15643" width="13.28515625" style="61" customWidth="1"/>
    <col min="15644" max="15644" width="13.42578125" style="61" customWidth="1"/>
    <col min="15645" max="15645" width="14.5703125" style="61" customWidth="1"/>
    <col min="15646" max="15646" width="14.7109375" style="61" customWidth="1"/>
    <col min="15647" max="15647" width="13.7109375" style="61" customWidth="1"/>
    <col min="15648" max="15648" width="51.28515625" style="61" customWidth="1"/>
    <col min="15649" max="15654" width="9.140625" style="61"/>
    <col min="15655" max="15655" width="0" style="61" hidden="1" customWidth="1"/>
    <col min="15656" max="15872" width="9.140625" style="61"/>
    <col min="15873" max="15873" width="3.5703125" style="61" bestFit="1" customWidth="1"/>
    <col min="15874" max="15876" width="2.28515625" style="61" customWidth="1"/>
    <col min="15877" max="15877" width="56" style="61" bestFit="1" customWidth="1"/>
    <col min="15878" max="15878" width="2.7109375" style="61" customWidth="1"/>
    <col min="15879" max="15879" width="16.7109375" style="61" bestFit="1" customWidth="1"/>
    <col min="15880" max="15880" width="2.7109375" style="61" customWidth="1"/>
    <col min="15881" max="15881" width="12.7109375" style="61" customWidth="1"/>
    <col min="15882" max="15882" width="12.5703125" style="61" customWidth="1"/>
    <col min="15883" max="15883" width="12.28515625" style="61" customWidth="1"/>
    <col min="15884" max="15884" width="11.7109375" style="61" customWidth="1"/>
    <col min="15885" max="15885" width="12.140625" style="61" customWidth="1"/>
    <col min="15886" max="15886" width="12.28515625" style="61" customWidth="1"/>
    <col min="15887" max="15887" width="11.7109375" style="61" customWidth="1"/>
    <col min="15888" max="15888" width="12" style="61" customWidth="1"/>
    <col min="15889" max="15889" width="12.140625" style="61" customWidth="1"/>
    <col min="15890" max="15890" width="11.7109375" style="61" customWidth="1"/>
    <col min="15891" max="15891" width="12" style="61" customWidth="1"/>
    <col min="15892" max="15892" width="12.28515625" style="61" customWidth="1"/>
    <col min="15893" max="15893" width="12.85546875" style="61" customWidth="1"/>
    <col min="15894" max="15894" width="17.140625" style="61" customWidth="1"/>
    <col min="15895" max="15896" width="13.28515625" style="61" customWidth="1"/>
    <col min="15897" max="15897" width="13.85546875" style="61" customWidth="1"/>
    <col min="15898" max="15898" width="16.85546875" style="61" customWidth="1"/>
    <col min="15899" max="15899" width="13.28515625" style="61" customWidth="1"/>
    <col min="15900" max="15900" width="13.42578125" style="61" customWidth="1"/>
    <col min="15901" max="15901" width="14.5703125" style="61" customWidth="1"/>
    <col min="15902" max="15902" width="14.7109375" style="61" customWidth="1"/>
    <col min="15903" max="15903" width="13.7109375" style="61" customWidth="1"/>
    <col min="15904" max="15904" width="51.28515625" style="61" customWidth="1"/>
    <col min="15905" max="15910" width="9.140625" style="61"/>
    <col min="15911" max="15911" width="0" style="61" hidden="1" customWidth="1"/>
    <col min="15912" max="16128" width="9.140625" style="61"/>
    <col min="16129" max="16129" width="3.5703125" style="61" bestFit="1" customWidth="1"/>
    <col min="16130" max="16132" width="2.28515625" style="61" customWidth="1"/>
    <col min="16133" max="16133" width="56" style="61" bestFit="1" customWidth="1"/>
    <col min="16134" max="16134" width="2.7109375" style="61" customWidth="1"/>
    <col min="16135" max="16135" width="16.7109375" style="61" bestFit="1" customWidth="1"/>
    <col min="16136" max="16136" width="2.7109375" style="61" customWidth="1"/>
    <col min="16137" max="16137" width="12.7109375" style="61" customWidth="1"/>
    <col min="16138" max="16138" width="12.5703125" style="61" customWidth="1"/>
    <col min="16139" max="16139" width="12.28515625" style="61" customWidth="1"/>
    <col min="16140" max="16140" width="11.7109375" style="61" customWidth="1"/>
    <col min="16141" max="16141" width="12.140625" style="61" customWidth="1"/>
    <col min="16142" max="16142" width="12.28515625" style="61" customWidth="1"/>
    <col min="16143" max="16143" width="11.7109375" style="61" customWidth="1"/>
    <col min="16144" max="16144" width="12" style="61" customWidth="1"/>
    <col min="16145" max="16145" width="12.140625" style="61" customWidth="1"/>
    <col min="16146" max="16146" width="11.7109375" style="61" customWidth="1"/>
    <col min="16147" max="16147" width="12" style="61" customWidth="1"/>
    <col min="16148" max="16148" width="12.28515625" style="61" customWidth="1"/>
    <col min="16149" max="16149" width="12.85546875" style="61" customWidth="1"/>
    <col min="16150" max="16150" width="17.140625" style="61" customWidth="1"/>
    <col min="16151" max="16152" width="13.28515625" style="61" customWidth="1"/>
    <col min="16153" max="16153" width="13.85546875" style="61" customWidth="1"/>
    <col min="16154" max="16154" width="16.85546875" style="61" customWidth="1"/>
    <col min="16155" max="16155" width="13.28515625" style="61" customWidth="1"/>
    <col min="16156" max="16156" width="13.42578125" style="61" customWidth="1"/>
    <col min="16157" max="16157" width="14.5703125" style="61" customWidth="1"/>
    <col min="16158" max="16158" width="14.7109375" style="61" customWidth="1"/>
    <col min="16159" max="16159" width="13.7109375" style="61" customWidth="1"/>
    <col min="16160" max="16160" width="51.28515625" style="61" customWidth="1"/>
    <col min="16161" max="16166" width="9.140625" style="61"/>
    <col min="16167" max="16167" width="0" style="61" hidden="1" customWidth="1"/>
    <col min="16168" max="16384" width="9.140625" style="61"/>
  </cols>
  <sheetData>
    <row r="1" spans="1:34" s="262" customFormat="1" ht="12" hidden="1" thickBot="1">
      <c r="A1" s="262">
        <v>1</v>
      </c>
      <c r="E1" s="261"/>
      <c r="F1" s="261"/>
      <c r="G1" s="260"/>
      <c r="H1" s="259"/>
      <c r="I1" s="348">
        <v>1</v>
      </c>
      <c r="J1" s="259"/>
      <c r="K1" s="348"/>
      <c r="L1" s="348">
        <v>2</v>
      </c>
      <c r="M1" s="348"/>
      <c r="N1" s="348"/>
      <c r="O1" s="348">
        <v>3</v>
      </c>
      <c r="P1" s="348"/>
      <c r="Q1" s="348"/>
      <c r="R1" s="348">
        <v>4</v>
      </c>
      <c r="S1" s="348"/>
      <c r="T1" s="348"/>
      <c r="U1" s="259">
        <v>5</v>
      </c>
      <c r="V1" s="349"/>
      <c r="W1" s="349"/>
      <c r="X1" s="349"/>
      <c r="Y1" s="349"/>
      <c r="Z1" s="349"/>
      <c r="AA1" s="349"/>
      <c r="AB1" s="349"/>
    </row>
    <row r="2" spans="1:34" s="1" customFormat="1" ht="19.5" customHeight="1" thickTop="1">
      <c r="A2" s="258">
        <f>A1+1</f>
        <v>2</v>
      </c>
      <c r="B2" s="797"/>
      <c r="C2" s="794"/>
      <c r="D2" s="794"/>
      <c r="E2" s="798" t="str">
        <f>QTR_MSG</f>
        <v/>
      </c>
      <c r="F2" s="794"/>
      <c r="G2" s="794"/>
      <c r="H2" s="794"/>
      <c r="I2" s="1101" t="str">
        <f>IF(School="",Mssg1,School)</f>
        <v>Please enter school name on tab - "1) Name of School"</v>
      </c>
      <c r="J2" s="1101"/>
      <c r="K2" s="1101"/>
      <c r="L2" s="1101"/>
      <c r="M2" s="1101"/>
      <c r="N2" s="1101"/>
      <c r="O2" s="1101"/>
      <c r="P2" s="1101"/>
      <c r="Q2" s="1101"/>
      <c r="R2" s="1101"/>
      <c r="S2" s="1101"/>
      <c r="T2" s="1104"/>
      <c r="U2" s="1100" t="str">
        <f>I2</f>
        <v>Please enter school name on tab - "1) Name of School"</v>
      </c>
      <c r="V2" s="1101"/>
      <c r="W2" s="1101"/>
      <c r="X2" s="1101"/>
      <c r="Y2" s="1101"/>
      <c r="Z2" s="1101"/>
      <c r="AA2" s="1101"/>
      <c r="AB2" s="1101"/>
      <c r="AC2" s="1101"/>
      <c r="AD2" s="1101"/>
      <c r="AE2" s="1101"/>
      <c r="AF2" s="256"/>
    </row>
    <row r="3" spans="1:34" s="1" customFormat="1" ht="19.5" customHeight="1" thickBot="1">
      <c r="A3" s="258">
        <f t="shared" ref="A3:A67" si="0">A2+1</f>
        <v>3</v>
      </c>
      <c r="B3" s="795"/>
      <c r="C3" s="796"/>
      <c r="D3" s="796"/>
      <c r="E3" s="796"/>
      <c r="F3" s="796"/>
      <c r="G3" s="796"/>
      <c r="H3" s="796"/>
      <c r="I3" s="1105" t="s">
        <v>227</v>
      </c>
      <c r="J3" s="1105"/>
      <c r="K3" s="1105"/>
      <c r="L3" s="1105"/>
      <c r="M3" s="1105"/>
      <c r="N3" s="1105"/>
      <c r="O3" s="1105"/>
      <c r="P3" s="1105"/>
      <c r="Q3" s="1105"/>
      <c r="R3" s="1105"/>
      <c r="S3" s="1105"/>
      <c r="T3" s="1106"/>
      <c r="U3" s="1063" t="s">
        <v>227</v>
      </c>
      <c r="V3" s="1063"/>
      <c r="W3" s="1063"/>
      <c r="X3" s="1063"/>
      <c r="Y3" s="1063"/>
      <c r="Z3" s="1063"/>
      <c r="AA3" s="1063"/>
      <c r="AB3" s="1063"/>
      <c r="AC3" s="1063"/>
      <c r="AD3" s="1063"/>
      <c r="AE3" s="1064"/>
      <c r="AF3" s="271" t="s">
        <v>97</v>
      </c>
    </row>
    <row r="4" spans="1:34" s="1" customFormat="1" ht="19.5" thickTop="1">
      <c r="A4" s="258">
        <f t="shared" si="0"/>
        <v>4</v>
      </c>
      <c r="C4" s="793"/>
      <c r="D4" s="793"/>
      <c r="E4" s="793"/>
      <c r="F4" s="793"/>
      <c r="G4" s="793"/>
      <c r="H4" s="793"/>
      <c r="I4" s="1107" t="str">
        <f>IF(CONTROL!J12=0,Mssg2,AcadYr1)</f>
        <v>2023-24</v>
      </c>
      <c r="J4" s="1107"/>
      <c r="K4" s="1107"/>
      <c r="L4" s="1107"/>
      <c r="M4" s="1107"/>
      <c r="N4" s="1107"/>
      <c r="O4" s="1107"/>
      <c r="P4" s="1107"/>
      <c r="Q4" s="1107"/>
      <c r="R4" s="1107"/>
      <c r="S4" s="1107"/>
      <c r="T4" s="1108"/>
      <c r="U4" s="1100" t="str">
        <f>I4</f>
        <v>2023-24</v>
      </c>
      <c r="V4" s="1101"/>
      <c r="W4" s="1101"/>
      <c r="X4" s="1101"/>
      <c r="Y4" s="1101"/>
      <c r="Z4" s="1101"/>
      <c r="AA4" s="1101"/>
      <c r="AB4" s="1101"/>
      <c r="AC4" s="1101"/>
      <c r="AD4" s="1101"/>
      <c r="AE4" s="1101"/>
      <c r="AF4" s="252"/>
    </row>
    <row r="5" spans="1:34" s="1" customFormat="1" ht="7.9" hidden="1" customHeight="1">
      <c r="A5" s="258">
        <f t="shared" si="0"/>
        <v>5</v>
      </c>
      <c r="B5" s="350"/>
      <c r="C5" s="351"/>
      <c r="D5" s="351"/>
      <c r="E5" s="352"/>
      <c r="F5" s="352"/>
      <c r="G5" s="353"/>
      <c r="H5" s="354"/>
      <c r="I5" s="355"/>
      <c r="J5" s="354"/>
      <c r="K5" s="354"/>
      <c r="L5" s="356"/>
      <c r="M5" s="356"/>
      <c r="N5" s="356"/>
      <c r="O5" s="356"/>
      <c r="P5" s="356"/>
      <c r="Q5" s="356"/>
      <c r="R5" s="356"/>
      <c r="S5" s="356"/>
      <c r="T5" s="357"/>
      <c r="U5" s="83"/>
      <c r="V5" s="316"/>
      <c r="W5" s="316"/>
      <c r="X5" s="316"/>
      <c r="Y5" s="316"/>
      <c r="Z5" s="316"/>
      <c r="AA5" s="316"/>
      <c r="AB5" s="316"/>
      <c r="AC5" s="69"/>
      <c r="AD5" s="69"/>
      <c r="AE5" s="358"/>
      <c r="AF5" s="246"/>
    </row>
    <row r="6" spans="1:34" s="1" customFormat="1">
      <c r="A6" s="258">
        <f t="shared" si="0"/>
        <v>6</v>
      </c>
      <c r="B6" s="590" t="s">
        <v>23</v>
      </c>
      <c r="C6" s="576"/>
      <c r="D6" s="576"/>
      <c r="E6" s="577"/>
      <c r="F6" s="577"/>
      <c r="H6" s="579"/>
      <c r="I6" s="580">
        <f>IF(I18+I35&gt;0,I66,0)</f>
        <v>0</v>
      </c>
      <c r="J6" s="579">
        <f>J66</f>
        <v>0</v>
      </c>
      <c r="K6" s="581">
        <f>K66</f>
        <v>0</v>
      </c>
      <c r="L6" s="580">
        <f>IF(L18+L35&gt;0,L66,0)</f>
        <v>0</v>
      </c>
      <c r="M6" s="579">
        <f>M66</f>
        <v>0</v>
      </c>
      <c r="N6" s="581">
        <f>N66</f>
        <v>0</v>
      </c>
      <c r="O6" s="580">
        <f>IF(O18+O35&gt;0,O66,0)</f>
        <v>0</v>
      </c>
      <c r="P6" s="579">
        <f>P66</f>
        <v>0</v>
      </c>
      <c r="Q6" s="581">
        <f>Q66</f>
        <v>0</v>
      </c>
      <c r="R6" s="580">
        <f>IF(R18+R35&gt;0,R66,0)</f>
        <v>0</v>
      </c>
      <c r="S6" s="579">
        <f t="shared" ref="S6:AE6" si="1">S66</f>
        <v>0</v>
      </c>
      <c r="T6" s="582">
        <f t="shared" si="1"/>
        <v>0</v>
      </c>
      <c r="U6" s="583">
        <f t="shared" si="1"/>
        <v>0</v>
      </c>
      <c r="V6" s="584">
        <f t="shared" si="1"/>
        <v>0</v>
      </c>
      <c r="W6" s="584">
        <f t="shared" si="1"/>
        <v>0</v>
      </c>
      <c r="X6" s="584">
        <f t="shared" si="1"/>
        <v>0</v>
      </c>
      <c r="Y6" s="585">
        <f t="shared" si="1"/>
        <v>0</v>
      </c>
      <c r="Z6" s="584">
        <f t="shared" si="1"/>
        <v>0</v>
      </c>
      <c r="AA6" s="584">
        <f t="shared" si="1"/>
        <v>0</v>
      </c>
      <c r="AB6" s="584">
        <f t="shared" si="1"/>
        <v>0</v>
      </c>
      <c r="AC6" s="585">
        <f t="shared" si="1"/>
        <v>0</v>
      </c>
      <c r="AD6" s="579">
        <f t="shared" si="1"/>
        <v>0</v>
      </c>
      <c r="AE6" s="586">
        <f t="shared" si="1"/>
        <v>0</v>
      </c>
      <c r="AF6" s="245"/>
    </row>
    <row r="7" spans="1:34" s="1" customFormat="1" ht="18.75">
      <c r="A7" s="258">
        <f t="shared" si="0"/>
        <v>7</v>
      </c>
      <c r="B7" s="65" t="s">
        <v>0</v>
      </c>
      <c r="C7" s="569"/>
      <c r="D7" s="66"/>
      <c r="E7" s="69"/>
      <c r="F7" s="69"/>
      <c r="G7" s="59"/>
      <c r="H7" s="71"/>
      <c r="I7" s="244">
        <f>IF(I18+I35&gt;0,I157,0)</f>
        <v>0</v>
      </c>
      <c r="J7" s="71">
        <f>J157</f>
        <v>0</v>
      </c>
      <c r="K7" s="359">
        <f>K157</f>
        <v>0</v>
      </c>
      <c r="L7" s="244">
        <f>IF(L18+L35&gt;0,L157,0)</f>
        <v>0</v>
      </c>
      <c r="M7" s="71">
        <f>M157</f>
        <v>0</v>
      </c>
      <c r="N7" s="359">
        <f>N157</f>
        <v>0</v>
      </c>
      <c r="O7" s="244">
        <f>IF(O18+O35&gt;0,O157,0)</f>
        <v>0</v>
      </c>
      <c r="P7" s="71">
        <f>P157</f>
        <v>0</v>
      </c>
      <c r="Q7" s="359">
        <f>Q157</f>
        <v>0</v>
      </c>
      <c r="R7" s="244">
        <f>IF(R18+R35&gt;0,R157,0)</f>
        <v>0</v>
      </c>
      <c r="S7" s="71">
        <f t="shared" ref="S7:AE7" si="2">S157</f>
        <v>0</v>
      </c>
      <c r="T7" s="242">
        <f t="shared" si="2"/>
        <v>0</v>
      </c>
      <c r="U7" s="360">
        <f t="shared" si="2"/>
        <v>0</v>
      </c>
      <c r="V7" s="70">
        <f t="shared" si="2"/>
        <v>0</v>
      </c>
      <c r="W7" s="70">
        <f t="shared" si="2"/>
        <v>0</v>
      </c>
      <c r="X7" s="70">
        <f t="shared" si="2"/>
        <v>0</v>
      </c>
      <c r="Y7" s="361">
        <f t="shared" si="2"/>
        <v>0</v>
      </c>
      <c r="Z7" s="70">
        <f t="shared" si="2"/>
        <v>0</v>
      </c>
      <c r="AA7" s="70">
        <f t="shared" si="2"/>
        <v>0</v>
      </c>
      <c r="AB7" s="70">
        <f t="shared" si="2"/>
        <v>0</v>
      </c>
      <c r="AC7" s="361">
        <f t="shared" si="2"/>
        <v>0</v>
      </c>
      <c r="AD7" s="71">
        <f t="shared" si="2"/>
        <v>0</v>
      </c>
      <c r="AE7" s="362">
        <f t="shared" si="2"/>
        <v>0</v>
      </c>
      <c r="AF7" s="245"/>
    </row>
    <row r="8" spans="1:34" s="1" customFormat="1">
      <c r="A8" s="258">
        <f t="shared" si="0"/>
        <v>8</v>
      </c>
      <c r="B8" s="65" t="s">
        <v>22</v>
      </c>
      <c r="C8" s="66"/>
      <c r="D8" s="66"/>
      <c r="E8" s="69"/>
      <c r="F8" s="69"/>
      <c r="G8" s="59"/>
      <c r="H8" s="71"/>
      <c r="I8" s="244">
        <f>IF(I$18+I35&lt;&gt;0,I159,0)</f>
        <v>0</v>
      </c>
      <c r="J8" s="71">
        <f>J159</f>
        <v>0</v>
      </c>
      <c r="K8" s="241">
        <f>K159</f>
        <v>0</v>
      </c>
      <c r="L8" s="244">
        <f>IF(L$18+L35&lt;&gt;0,L159,0)</f>
        <v>0</v>
      </c>
      <c r="M8" s="71">
        <f>M159</f>
        <v>0</v>
      </c>
      <c r="N8" s="241">
        <f>N159</f>
        <v>0</v>
      </c>
      <c r="O8" s="244">
        <f>IF(O$18+O35&lt;&gt;0,O159,0)</f>
        <v>0</v>
      </c>
      <c r="P8" s="71">
        <f>P159</f>
        <v>0</v>
      </c>
      <c r="Q8" s="241">
        <f>Q159</f>
        <v>0</v>
      </c>
      <c r="R8" s="244">
        <f>IF(R$18+R35&lt;&gt;0,R159,0)</f>
        <v>0</v>
      </c>
      <c r="S8" s="71">
        <f>S159</f>
        <v>0</v>
      </c>
      <c r="T8" s="72">
        <f>T159</f>
        <v>0</v>
      </c>
      <c r="U8" s="360">
        <f>U159</f>
        <v>0</v>
      </c>
      <c r="V8" s="70">
        <f>V159</f>
        <v>0</v>
      </c>
      <c r="W8" s="70">
        <f>W159</f>
        <v>0</v>
      </c>
      <c r="X8" s="70">
        <f t="shared" ref="X8:AE8" si="3">X159</f>
        <v>0</v>
      </c>
      <c r="Y8" s="361">
        <f t="shared" si="3"/>
        <v>0</v>
      </c>
      <c r="Z8" s="70">
        <f t="shared" si="3"/>
        <v>0</v>
      </c>
      <c r="AA8" s="70">
        <f t="shared" si="3"/>
        <v>0</v>
      </c>
      <c r="AB8" s="70">
        <f t="shared" si="3"/>
        <v>0</v>
      </c>
      <c r="AC8" s="361">
        <f t="shared" si="3"/>
        <v>0</v>
      </c>
      <c r="AD8" s="71">
        <f t="shared" si="3"/>
        <v>0</v>
      </c>
      <c r="AE8" s="362">
        <f t="shared" si="3"/>
        <v>0</v>
      </c>
      <c r="AF8" s="245"/>
    </row>
    <row r="9" spans="1:34" s="365" customFormat="1">
      <c r="A9" s="258">
        <f t="shared" si="0"/>
        <v>9</v>
      </c>
      <c r="B9" s="73" t="s">
        <v>228</v>
      </c>
      <c r="C9" s="74"/>
      <c r="D9" s="74"/>
      <c r="E9" s="250"/>
      <c r="F9" s="250"/>
      <c r="G9" s="67"/>
      <c r="H9" s="78"/>
      <c r="I9" s="587">
        <f>IF(I163&gt;0,I179,0)</f>
        <v>0</v>
      </c>
      <c r="J9" s="78">
        <f>J179</f>
        <v>0</v>
      </c>
      <c r="K9" s="236">
        <f>K179</f>
        <v>0</v>
      </c>
      <c r="L9" s="587">
        <f>IF(L163&gt;0,L179,0)</f>
        <v>0</v>
      </c>
      <c r="M9" s="78">
        <f>M179</f>
        <v>0</v>
      </c>
      <c r="N9" s="236">
        <f>N179</f>
        <v>0</v>
      </c>
      <c r="O9" s="587">
        <f>IF(O163&gt;0,O179,0)</f>
        <v>0</v>
      </c>
      <c r="P9" s="78">
        <f>P179</f>
        <v>0</v>
      </c>
      <c r="Q9" s="236">
        <f>Q179</f>
        <v>0</v>
      </c>
      <c r="R9" s="587">
        <f>IF(R163&gt;0,R179,0)</f>
        <v>0</v>
      </c>
      <c r="S9" s="78">
        <f>S179</f>
        <v>0</v>
      </c>
      <c r="T9" s="80">
        <f>T179</f>
        <v>0</v>
      </c>
      <c r="U9" s="588">
        <f>U179</f>
        <v>0</v>
      </c>
      <c r="V9" s="79">
        <f>V179</f>
        <v>0</v>
      </c>
      <c r="W9" s="79">
        <f>W179</f>
        <v>0</v>
      </c>
      <c r="X9" s="79"/>
      <c r="Y9" s="134"/>
      <c r="Z9" s="589">
        <f>Z179</f>
        <v>0</v>
      </c>
      <c r="AA9" s="77">
        <f>U9-Z9</f>
        <v>0</v>
      </c>
      <c r="AB9" s="78"/>
      <c r="AC9" s="369"/>
      <c r="AD9" s="78">
        <f>AD179</f>
        <v>0</v>
      </c>
      <c r="AE9" s="370"/>
      <c r="AF9" s="364"/>
    </row>
    <row r="10" spans="1:34" s="365" customFormat="1" hidden="1">
      <c r="A10" s="258">
        <f t="shared" si="0"/>
        <v>10</v>
      </c>
      <c r="B10" s="73" t="s">
        <v>229</v>
      </c>
      <c r="C10" s="74"/>
      <c r="D10" s="74"/>
      <c r="E10" s="250"/>
      <c r="F10" s="250"/>
      <c r="G10" s="67"/>
      <c r="H10" s="78"/>
      <c r="I10" s="238">
        <v>0</v>
      </c>
      <c r="J10" s="98">
        <f>IF('4.) Yearly Budget'!$K$18&gt;0,'4.) Yearly Budget'!K10,'4.) Yearly Budget'!J10)</f>
        <v>0</v>
      </c>
      <c r="K10" s="236">
        <f>IF(I163&gt;0,I10-J10,0)</f>
        <v>0</v>
      </c>
      <c r="L10" s="238">
        <v>0</v>
      </c>
      <c r="M10" s="98">
        <f>IF('4.) Yearly Budget'!$N$18&gt;0,'4.) Yearly Budget'!N10,'4.) Yearly Budget'!M10)</f>
        <v>0</v>
      </c>
      <c r="N10" s="236">
        <f>IF(L163&gt;0,L10-M10,0)</f>
        <v>0</v>
      </c>
      <c r="O10" s="238">
        <v>0</v>
      </c>
      <c r="P10" s="98">
        <f>IF('4.) Yearly Budget'!$Q$18&gt;0,'4.) Yearly Budget'!Q10,'4.) Yearly Budget'!P10)</f>
        <v>0</v>
      </c>
      <c r="Q10" s="236">
        <f>IF(O163&gt;0,O10-P10,0)</f>
        <v>0</v>
      </c>
      <c r="R10" s="238">
        <v>0</v>
      </c>
      <c r="S10" s="98">
        <f>IF('4.) Yearly Budget'!$T$18&gt;0,'4.) Yearly Budget'!T10,'4.) Yearly Budget'!S10)</f>
        <v>0</v>
      </c>
      <c r="T10" s="80">
        <f>IF(R163&gt;0,R10-S10,0)</f>
        <v>0</v>
      </c>
      <c r="U10" s="366">
        <f>IF(R10&gt;0,R10,IF(O10&gt;0,O10,IF(L10&gt;0,L10,IF(I10&gt;0,I10,0))))</f>
        <v>0</v>
      </c>
      <c r="V10" s="367">
        <f>IF(R10&gt;0,S10,IF(O10&gt;0,P10,IF(L10&gt;0,M10,IF(I10&gt;0,J10,0))))</f>
        <v>0</v>
      </c>
      <c r="W10" s="79">
        <f>U10-V10</f>
        <v>0</v>
      </c>
      <c r="X10" s="79"/>
      <c r="Y10" s="363"/>
      <c r="Z10" s="368">
        <f>IF(R$163&gt;0,'4.) Yearly Budget'!S10,IF(O$163&gt;0,'4.) Yearly Budget'!P10,IF(L10&gt;0,'4.) Yearly Budget'!M10,IF(I$163&gt;0,'4.) Yearly Budget'!J10,0))))</f>
        <v>0</v>
      </c>
      <c r="AA10" s="77">
        <f>U10-Z10</f>
        <v>0</v>
      </c>
      <c r="AB10" s="78"/>
      <c r="AC10" s="361"/>
      <c r="AD10" s="78">
        <f>IF(AD9&lt;&gt;0,'4.) Yearly Budget'!I10,0)</f>
        <v>0</v>
      </c>
      <c r="AE10" s="370"/>
      <c r="AF10" s="364"/>
    </row>
    <row r="11" spans="1:34" s="1" customFormat="1" ht="24.75" customHeight="1">
      <c r="A11" s="258">
        <f t="shared" si="0"/>
        <v>11</v>
      </c>
      <c r="B11" s="81"/>
      <c r="C11" s="82"/>
      <c r="D11" s="82"/>
      <c r="E11" s="69"/>
      <c r="F11" s="69"/>
      <c r="G11" s="59"/>
      <c r="H11" s="83"/>
      <c r="S11" s="249"/>
      <c r="T11" s="247"/>
      <c r="U11" s="83"/>
      <c r="V11" s="316"/>
      <c r="W11" s="316"/>
      <c r="X11" s="316"/>
      <c r="Y11" s="317"/>
      <c r="Z11" s="316"/>
      <c r="AA11" s="316"/>
      <c r="AB11" s="316"/>
      <c r="AC11" s="575"/>
      <c r="AD11" s="317"/>
      <c r="AE11" s="371"/>
      <c r="AF11" s="246"/>
    </row>
    <row r="12" spans="1:34" s="1" customFormat="1" ht="12" customHeight="1">
      <c r="A12" s="258">
        <f t="shared" si="0"/>
        <v>12</v>
      </c>
      <c r="B12" s="372"/>
      <c r="C12" s="273"/>
      <c r="D12" s="273"/>
      <c r="E12" s="273"/>
      <c r="F12" s="69"/>
      <c r="G12" s="59"/>
      <c r="H12" s="83"/>
      <c r="I12" s="1102" t="s">
        <v>231</v>
      </c>
      <c r="J12" s="1095"/>
      <c r="K12" s="1103"/>
      <c r="L12" s="1102" t="s">
        <v>232</v>
      </c>
      <c r="M12" s="1095"/>
      <c r="N12" s="1103"/>
      <c r="O12" s="1102" t="s">
        <v>233</v>
      </c>
      <c r="P12" s="1095"/>
      <c r="Q12" s="1103"/>
      <c r="R12" s="1102" t="s">
        <v>234</v>
      </c>
      <c r="S12" s="1095"/>
      <c r="T12" s="1096"/>
      <c r="U12" s="1094" t="s">
        <v>306</v>
      </c>
      <c r="V12" s="1095"/>
      <c r="W12" s="1095"/>
      <c r="X12" s="1095"/>
      <c r="Y12" s="1095"/>
      <c r="Z12" s="1095"/>
      <c r="AA12" s="1095"/>
      <c r="AB12" s="1095"/>
      <c r="AC12" s="1095"/>
      <c r="AD12" s="1095"/>
      <c r="AE12" s="1096"/>
      <c r="AF12" s="246"/>
    </row>
    <row r="13" spans="1:34" s="85" customFormat="1" ht="60">
      <c r="A13" s="258">
        <f t="shared" si="0"/>
        <v>13</v>
      </c>
      <c r="B13" s="1097" t="s">
        <v>366</v>
      </c>
      <c r="C13" s="1098"/>
      <c r="D13" s="1098"/>
      <c r="E13" s="1098"/>
      <c r="F13" s="1098"/>
      <c r="G13" s="1099"/>
      <c r="H13" s="317"/>
      <c r="I13" s="267" t="s">
        <v>307</v>
      </c>
      <c r="J13" s="268" t="s">
        <v>308</v>
      </c>
      <c r="K13" s="269" t="s">
        <v>237</v>
      </c>
      <c r="L13" s="267" t="s">
        <v>307</v>
      </c>
      <c r="M13" s="268" t="s">
        <v>308</v>
      </c>
      <c r="N13" s="269" t="s">
        <v>237</v>
      </c>
      <c r="O13" s="267" t="s">
        <v>307</v>
      </c>
      <c r="P13" s="268" t="s">
        <v>308</v>
      </c>
      <c r="Q13" s="269" t="s">
        <v>237</v>
      </c>
      <c r="R13" s="267" t="s">
        <v>307</v>
      </c>
      <c r="S13" s="268" t="s">
        <v>308</v>
      </c>
      <c r="T13" s="270" t="s">
        <v>237</v>
      </c>
      <c r="U13" s="373" t="s">
        <v>307</v>
      </c>
      <c r="V13" s="268" t="s">
        <v>309</v>
      </c>
      <c r="W13" s="268" t="s">
        <v>310</v>
      </c>
      <c r="X13" s="268" t="s">
        <v>311</v>
      </c>
      <c r="Y13" s="268" t="s">
        <v>312</v>
      </c>
      <c r="Z13" s="268" t="s">
        <v>313</v>
      </c>
      <c r="AA13" s="268" t="s">
        <v>314</v>
      </c>
      <c r="AB13" s="268" t="s">
        <v>315</v>
      </c>
      <c r="AC13" s="268" t="s">
        <v>316</v>
      </c>
      <c r="AD13" s="268" t="s">
        <v>641</v>
      </c>
      <c r="AE13" s="270" t="s">
        <v>317</v>
      </c>
      <c r="AF13" s="246"/>
      <c r="AH13" s="1"/>
    </row>
    <row r="14" spans="1:34" s="85" customFormat="1" ht="7.5" customHeight="1">
      <c r="A14" s="258">
        <f t="shared" si="0"/>
        <v>14</v>
      </c>
      <c r="B14" s="86"/>
      <c r="C14" s="87"/>
      <c r="D14" s="87"/>
      <c r="E14" s="88"/>
      <c r="F14" s="88"/>
      <c r="G14" s="89"/>
      <c r="H14" s="90"/>
      <c r="I14" s="90"/>
      <c r="J14" s="90"/>
      <c r="K14" s="90"/>
      <c r="L14" s="90"/>
      <c r="M14" s="90"/>
      <c r="N14" s="90"/>
      <c r="O14" s="90"/>
      <c r="P14" s="90"/>
      <c r="Q14" s="90"/>
      <c r="R14" s="90"/>
      <c r="S14" s="90"/>
      <c r="T14" s="657"/>
      <c r="U14" s="638"/>
      <c r="V14" s="90"/>
      <c r="W14" s="90"/>
      <c r="X14" s="90"/>
      <c r="Y14" s="90"/>
      <c r="Z14" s="90"/>
      <c r="AA14" s="90"/>
      <c r="AB14" s="90"/>
      <c r="AC14" s="90"/>
      <c r="AD14" s="90"/>
      <c r="AE14" s="91"/>
      <c r="AF14" s="275"/>
      <c r="AH14" s="1"/>
    </row>
    <row r="15" spans="1:34" s="68" customFormat="1" ht="12.75" customHeight="1">
      <c r="A15" s="258">
        <f t="shared" si="0"/>
        <v>15</v>
      </c>
      <c r="B15" s="92" t="s">
        <v>24</v>
      </c>
      <c r="C15" s="93"/>
      <c r="D15" s="93"/>
      <c r="E15" s="94"/>
      <c r="F15" s="94"/>
      <c r="G15" s="57"/>
      <c r="H15" s="95"/>
      <c r="I15"/>
      <c r="J15"/>
      <c r="K15"/>
      <c r="L15"/>
      <c r="M15"/>
      <c r="N15"/>
      <c r="O15"/>
      <c r="P15"/>
      <c r="Q15"/>
      <c r="R15"/>
      <c r="S15"/>
      <c r="T15" s="748"/>
      <c r="U15" s="372"/>
      <c r="V15" s="273"/>
      <c r="W15" s="273"/>
      <c r="X15" s="273"/>
      <c r="Y15" s="273"/>
      <c r="Z15" s="273"/>
      <c r="AA15" s="292"/>
      <c r="AB15" s="292"/>
      <c r="AC15" s="292"/>
      <c r="AD15" s="292"/>
      <c r="AE15" s="374"/>
      <c r="AF15" s="275"/>
    </row>
    <row r="16" spans="1:34" s="68" customFormat="1" ht="12" customHeight="1">
      <c r="A16" s="258">
        <f t="shared" si="0"/>
        <v>16</v>
      </c>
      <c r="B16" s="92"/>
      <c r="C16" s="93" t="s">
        <v>25</v>
      </c>
      <c r="D16" s="93"/>
      <c r="E16" s="94"/>
      <c r="F16" s="94"/>
      <c r="G16" s="544" t="str">
        <f>PPR_Tbl_Date</f>
        <v>2023-24</v>
      </c>
      <c r="H16" s="95"/>
      <c r="I16"/>
      <c r="J16"/>
      <c r="K16"/>
      <c r="L16"/>
      <c r="M16"/>
      <c r="N16"/>
      <c r="O16"/>
      <c r="P16"/>
      <c r="Q16"/>
      <c r="R16"/>
      <c r="S16"/>
      <c r="T16" s="748"/>
      <c r="U16" s="372"/>
      <c r="V16" s="273"/>
      <c r="W16" s="273"/>
      <c r="X16" s="273"/>
      <c r="Y16" s="273"/>
      <c r="Z16" s="273"/>
      <c r="AA16" s="95"/>
      <c r="AB16" s="95"/>
      <c r="AC16" s="95"/>
      <c r="AD16" s="95"/>
      <c r="AE16" s="118"/>
      <c r="AF16" s="275"/>
    </row>
    <row r="17" spans="1:39" s="68" customFormat="1" ht="15.75" thickBot="1">
      <c r="A17" s="258">
        <f t="shared" si="0"/>
        <v>17</v>
      </c>
      <c r="B17" s="96"/>
      <c r="C17" s="50"/>
      <c r="D17" s="97" t="str">
        <f>'4.) Yearly Budget'!D17</f>
        <v>Per Pupil Revenue</v>
      </c>
      <c r="E17" s="94"/>
      <c r="F17" s="94"/>
      <c r="G17" s="953" t="s">
        <v>118</v>
      </c>
      <c r="H17" s="95"/>
      <c r="I17"/>
      <c r="J17" s="98"/>
      <c r="K17" s="98"/>
      <c r="L17"/>
      <c r="M17" s="98"/>
      <c r="N17" s="98"/>
      <c r="O17"/>
      <c r="P17" s="98"/>
      <c r="Q17" s="98"/>
      <c r="R17"/>
      <c r="S17" s="98"/>
      <c r="T17" s="99"/>
      <c r="U17" s="639"/>
      <c r="V17" s="98"/>
      <c r="W17" s="98"/>
      <c r="X17" s="98"/>
      <c r="Y17" s="375"/>
      <c r="Z17" s="98"/>
      <c r="AA17" s="98"/>
      <c r="AB17" s="98"/>
      <c r="AC17" s="98"/>
      <c r="AD17" s="98"/>
      <c r="AE17" s="99"/>
      <c r="AF17" s="376"/>
    </row>
    <row r="18" spans="1:39" s="68" customFormat="1" ht="16.5" thickTop="1" thickBot="1">
      <c r="A18" s="258">
        <f t="shared" si="0"/>
        <v>18</v>
      </c>
      <c r="B18" s="96"/>
      <c r="C18" s="50"/>
      <c r="D18" s="50"/>
      <c r="E18" s="53" t="str">
        <f>CONTROL!B52</f>
        <v>-</v>
      </c>
      <c r="F18" s="53"/>
      <c r="G18" s="320">
        <f>CONTROL!C52</f>
        <v>0</v>
      </c>
      <c r="H18" s="95"/>
      <c r="I18" s="276"/>
      <c r="J18" s="102">
        <f>IF('4.) Yearly Budget'!$K$18&gt;0,'4.) Yearly Budget'!K18,'4.) Yearly Budget'!J18)</f>
        <v>0</v>
      </c>
      <c r="K18" s="377">
        <f t="shared" ref="K18:K33" si="4">IF(I$18&lt;&gt;0,I18-J18,0)</f>
        <v>0</v>
      </c>
      <c r="L18" s="276"/>
      <c r="M18" s="102">
        <f>IF('4.) Yearly Budget'!$N$18&gt;0,'4.) Yearly Budget'!N18,'4.) Yearly Budget'!M18)</f>
        <v>0</v>
      </c>
      <c r="N18" s="377">
        <f t="shared" ref="N18:N33" si="5">IF(L$18&lt;&gt;0,L18-M18,0)</f>
        <v>0</v>
      </c>
      <c r="O18" s="276"/>
      <c r="P18" s="102">
        <f>IF('4.) Yearly Budget'!$Q$18&gt;0,'4.) Yearly Budget'!Q18,'4.) Yearly Budget'!P18)</f>
        <v>0</v>
      </c>
      <c r="Q18" s="377">
        <f t="shared" ref="Q18:Q33" si="6">IF(O$18&lt;&gt;0,O18-P18,0)</f>
        <v>0</v>
      </c>
      <c r="R18" s="276"/>
      <c r="S18" s="102">
        <f>IF('4.) Yearly Budget'!$T$18&gt;0,'4.) Yearly Budget'!T18,'4.) Yearly Budget'!S18)</f>
        <v>0</v>
      </c>
      <c r="T18" s="105">
        <f t="shared" ref="T18:T33" si="7">IF(R$18&lt;&gt;0,R18-S18,0)</f>
        <v>0</v>
      </c>
      <c r="U18" s="378">
        <f t="shared" ref="U18:U33" si="8">IF(I$18&lt;&gt;0,I18,0)+IF(L$18&lt;&gt;0,L18,0)+IF(O$18&lt;&gt;0,O18,0)+IF(R$18&lt;&gt;0,R18,0)</f>
        <v>0</v>
      </c>
      <c r="V18" s="379">
        <f t="shared" ref="V18:V33" si="9">SUM(IF(I$18&lt;&gt;0,J18,0)+IF(L$18&lt;&gt;0,M18,0)+IF(O$18&lt;&gt;0,P18,0)+IF(R$18&lt;&gt;0,S18,0))</f>
        <v>0</v>
      </c>
      <c r="W18" s="379">
        <f t="shared" ref="W18:W33" si="10">U18-V18</f>
        <v>0</v>
      </c>
      <c r="X18" s="379">
        <f>'4.) Yearly Budget'!W18</f>
        <v>0</v>
      </c>
      <c r="Y18" s="380">
        <f t="shared" ref="Y18:Y33" si="11">IF(U18&lt;&gt;0,U18-X18,IF(U18=0,-X18,0))</f>
        <v>0</v>
      </c>
      <c r="Z18" s="381">
        <f>SUM(IF(I$18&lt;&gt;0,'4.) Yearly Budget'!J18,0)+IF(L$18&lt;&gt;0,'4.) Yearly Budget'!M18,0)+IF(O$18&lt;&gt;0,'4.) Yearly Budget'!P18,0)+IF(R$18&lt;&gt;0,'4.) Yearly Budget'!S18,0))</f>
        <v>0</v>
      </c>
      <c r="AA18" s="381">
        <f t="shared" ref="AA18:AA33" si="12">U18-Z18</f>
        <v>0</v>
      </c>
      <c r="AB18" s="381">
        <f>'4.) Yearly Budget'!V18</f>
        <v>0</v>
      </c>
      <c r="AC18" s="382">
        <f t="shared" ref="AC18:AC33" si="13">IF(U18&lt;&gt;0,U18-AB18,IF(U18=0,-AB18,0))</f>
        <v>0</v>
      </c>
      <c r="AD18" s="381">
        <f>IF(U$18&lt;&gt;0,'4.) Yearly Budget'!I18/$AM$18,0)</f>
        <v>0</v>
      </c>
      <c r="AE18" s="105">
        <f>U18-AD18</f>
        <v>0</v>
      </c>
      <c r="AF18" s="278"/>
      <c r="AM18" s="1004">
        <f>IF(R6&gt;0,1,IF(O6&gt;0,4/3,IF(L6&gt;0,2,4)))</f>
        <v>4</v>
      </c>
    </row>
    <row r="19" spans="1:39" s="68" customFormat="1" ht="15.75" thickTop="1">
      <c r="A19" s="258">
        <f t="shared" si="0"/>
        <v>19</v>
      </c>
      <c r="B19" s="96"/>
      <c r="C19" s="50"/>
      <c r="D19" s="50"/>
      <c r="E19" s="53" t="str">
        <f>CONTROL!B53</f>
        <v>-</v>
      </c>
      <c r="F19" s="53"/>
      <c r="G19" s="320">
        <f>CONTROL!C53</f>
        <v>0</v>
      </c>
      <c r="H19" s="95"/>
      <c r="I19" s="276"/>
      <c r="J19" s="102">
        <f>IF('4.) Yearly Budget'!$K$18&gt;0,'4.) Yearly Budget'!K19,'4.) Yearly Budget'!J19)</f>
        <v>0</v>
      </c>
      <c r="K19" s="377">
        <f t="shared" si="4"/>
        <v>0</v>
      </c>
      <c r="L19" s="276"/>
      <c r="M19" s="102">
        <f>IF('4.) Yearly Budget'!$N$18&gt;0,'4.) Yearly Budget'!N19,'4.) Yearly Budget'!M19)</f>
        <v>0</v>
      </c>
      <c r="N19" s="377">
        <f t="shared" si="5"/>
        <v>0</v>
      </c>
      <c r="O19" s="276"/>
      <c r="P19" s="102">
        <f>IF('4.) Yearly Budget'!$Q$18&gt;0,'4.) Yearly Budget'!Q19,'4.) Yearly Budget'!P19)</f>
        <v>0</v>
      </c>
      <c r="Q19" s="377">
        <f t="shared" si="6"/>
        <v>0</v>
      </c>
      <c r="R19" s="276"/>
      <c r="S19" s="102">
        <f>IF('4.) Yearly Budget'!$T$18&gt;0,'4.) Yearly Budget'!T19,'4.) Yearly Budget'!S19)</f>
        <v>0</v>
      </c>
      <c r="T19" s="105">
        <f t="shared" si="7"/>
        <v>0</v>
      </c>
      <c r="U19" s="277">
        <f t="shared" si="8"/>
        <v>0</v>
      </c>
      <c r="V19" s="379">
        <f t="shared" si="9"/>
        <v>0</v>
      </c>
      <c r="W19" s="379">
        <f t="shared" si="10"/>
        <v>0</v>
      </c>
      <c r="X19" s="379">
        <f>'4.) Yearly Budget'!W19</f>
        <v>0</v>
      </c>
      <c r="Y19" s="380">
        <f t="shared" si="11"/>
        <v>0</v>
      </c>
      <c r="Z19" s="381">
        <f>SUM(IF(I$18&lt;&gt;0,'4.) Yearly Budget'!J19,0)+IF(L$18&lt;&gt;0,'4.) Yearly Budget'!M19,0)+IF(O$18&lt;&gt;0,'4.) Yearly Budget'!P19,0)+IF(R$18&lt;&gt;0,'4.) Yearly Budget'!S19,0))</f>
        <v>0</v>
      </c>
      <c r="AA19" s="381">
        <f t="shared" si="12"/>
        <v>0</v>
      </c>
      <c r="AB19" s="381">
        <f>'4.) Yearly Budget'!V19</f>
        <v>0</v>
      </c>
      <c r="AC19" s="382">
        <f t="shared" si="13"/>
        <v>0</v>
      </c>
      <c r="AD19" s="381">
        <f>IF(U$18&lt;&gt;0,'4.) Yearly Budget'!I19/$AM$18,0)</f>
        <v>0</v>
      </c>
      <c r="AE19" s="105">
        <f t="shared" ref="AE19:AE33" si="14">U19-AD19</f>
        <v>0</v>
      </c>
      <c r="AF19" s="278"/>
    </row>
    <row r="20" spans="1:39" s="68" customFormat="1">
      <c r="A20" s="258">
        <f t="shared" si="0"/>
        <v>20</v>
      </c>
      <c r="B20" s="96"/>
      <c r="C20" s="50"/>
      <c r="D20" s="50"/>
      <c r="E20" s="53" t="str">
        <f>CONTROL!B54</f>
        <v>-</v>
      </c>
      <c r="F20" s="53"/>
      <c r="G20" s="320">
        <f>CONTROL!C54</f>
        <v>0</v>
      </c>
      <c r="H20" s="95"/>
      <c r="I20" s="276"/>
      <c r="J20" s="102">
        <f>IF('4.) Yearly Budget'!$K$18&gt;0,'4.) Yearly Budget'!K20,'4.) Yearly Budget'!J20)</f>
        <v>0</v>
      </c>
      <c r="K20" s="377">
        <f t="shared" si="4"/>
        <v>0</v>
      </c>
      <c r="L20" s="276"/>
      <c r="M20" s="102">
        <f>IF('4.) Yearly Budget'!$N$18&gt;0,'4.) Yearly Budget'!N20,'4.) Yearly Budget'!M20)</f>
        <v>0</v>
      </c>
      <c r="N20" s="377">
        <f t="shared" si="5"/>
        <v>0</v>
      </c>
      <c r="O20" s="276"/>
      <c r="P20" s="102">
        <f>IF('4.) Yearly Budget'!$Q$18&gt;0,'4.) Yearly Budget'!Q20,'4.) Yearly Budget'!P20)</f>
        <v>0</v>
      </c>
      <c r="Q20" s="377">
        <f t="shared" si="6"/>
        <v>0</v>
      </c>
      <c r="R20" s="276"/>
      <c r="S20" s="102">
        <f>IF('4.) Yearly Budget'!$T$18&gt;0,'4.) Yearly Budget'!T20,'4.) Yearly Budget'!S20)</f>
        <v>0</v>
      </c>
      <c r="T20" s="105">
        <f t="shared" si="7"/>
        <v>0</v>
      </c>
      <c r="U20" s="277">
        <f t="shared" si="8"/>
        <v>0</v>
      </c>
      <c r="V20" s="379">
        <f t="shared" si="9"/>
        <v>0</v>
      </c>
      <c r="W20" s="379">
        <f t="shared" si="10"/>
        <v>0</v>
      </c>
      <c r="X20" s="379">
        <f>'4.) Yearly Budget'!W20</f>
        <v>0</v>
      </c>
      <c r="Y20" s="380">
        <f t="shared" si="11"/>
        <v>0</v>
      </c>
      <c r="Z20" s="381">
        <f>SUM(IF(I$18&lt;&gt;0,'4.) Yearly Budget'!J20,0)+IF(L$18&lt;&gt;0,'4.) Yearly Budget'!M20,0)+IF(O$18&lt;&gt;0,'4.) Yearly Budget'!P20,0)+IF(R$18&lt;&gt;0,'4.) Yearly Budget'!S20,0))</f>
        <v>0</v>
      </c>
      <c r="AA20" s="381">
        <f t="shared" si="12"/>
        <v>0</v>
      </c>
      <c r="AB20" s="381">
        <f>'4.) Yearly Budget'!V20</f>
        <v>0</v>
      </c>
      <c r="AC20" s="382">
        <f t="shared" si="13"/>
        <v>0</v>
      </c>
      <c r="AD20" s="381">
        <f>IF(U$18&lt;&gt;0,'4.) Yearly Budget'!I20/$AM$18,0)</f>
        <v>0</v>
      </c>
      <c r="AE20" s="105">
        <f t="shared" si="14"/>
        <v>0</v>
      </c>
      <c r="AF20" s="278"/>
    </row>
    <row r="21" spans="1:39" s="68" customFormat="1">
      <c r="A21" s="258">
        <f t="shared" si="0"/>
        <v>21</v>
      </c>
      <c r="B21" s="96"/>
      <c r="C21" s="50"/>
      <c r="D21" s="50"/>
      <c r="E21" s="53" t="str">
        <f>CONTROL!B55</f>
        <v>-</v>
      </c>
      <c r="F21" s="53"/>
      <c r="G21" s="320">
        <f>CONTROL!C55</f>
        <v>0</v>
      </c>
      <c r="H21" s="95"/>
      <c r="I21" s="276"/>
      <c r="J21" s="102">
        <f>IF('4.) Yearly Budget'!$K$18&gt;0,'4.) Yearly Budget'!K21,'4.) Yearly Budget'!J21)</f>
        <v>0</v>
      </c>
      <c r="K21" s="377">
        <f t="shared" si="4"/>
        <v>0</v>
      </c>
      <c r="L21" s="276"/>
      <c r="M21" s="102">
        <f>IF('4.) Yearly Budget'!$N$18&gt;0,'4.) Yearly Budget'!N21,'4.) Yearly Budget'!M21)</f>
        <v>0</v>
      </c>
      <c r="N21" s="377">
        <f t="shared" si="5"/>
        <v>0</v>
      </c>
      <c r="O21" s="276"/>
      <c r="P21" s="102">
        <f>IF('4.) Yearly Budget'!$Q$18&gt;0,'4.) Yearly Budget'!Q21,'4.) Yearly Budget'!P21)</f>
        <v>0</v>
      </c>
      <c r="Q21" s="377">
        <f t="shared" si="6"/>
        <v>0</v>
      </c>
      <c r="R21" s="276"/>
      <c r="S21" s="102">
        <f>IF('4.) Yearly Budget'!$T$18&gt;0,'4.) Yearly Budget'!T21,'4.) Yearly Budget'!S21)</f>
        <v>0</v>
      </c>
      <c r="T21" s="105">
        <f t="shared" si="7"/>
        <v>0</v>
      </c>
      <c r="U21" s="277">
        <f t="shared" si="8"/>
        <v>0</v>
      </c>
      <c r="V21" s="379">
        <f t="shared" si="9"/>
        <v>0</v>
      </c>
      <c r="W21" s="379">
        <f t="shared" si="10"/>
        <v>0</v>
      </c>
      <c r="X21" s="379">
        <f>'4.) Yearly Budget'!W21</f>
        <v>0</v>
      </c>
      <c r="Y21" s="380">
        <f t="shared" si="11"/>
        <v>0</v>
      </c>
      <c r="Z21" s="381">
        <f>SUM(IF(I$18&lt;&gt;0,'4.) Yearly Budget'!J21,0)+IF(L$18&lt;&gt;0,'4.) Yearly Budget'!M21,0)+IF(O$18&lt;&gt;0,'4.) Yearly Budget'!P21,0)+IF(R$18&lt;&gt;0,'4.) Yearly Budget'!S21,0))</f>
        <v>0</v>
      </c>
      <c r="AA21" s="381">
        <f t="shared" si="12"/>
        <v>0</v>
      </c>
      <c r="AB21" s="381">
        <f>'4.) Yearly Budget'!V21</f>
        <v>0</v>
      </c>
      <c r="AC21" s="382">
        <f t="shared" si="13"/>
        <v>0</v>
      </c>
      <c r="AD21" s="381">
        <f>IF(U$18&lt;&gt;0,'4.) Yearly Budget'!I21/$AM$18,0)</f>
        <v>0</v>
      </c>
      <c r="AE21" s="105">
        <f t="shared" si="14"/>
        <v>0</v>
      </c>
      <c r="AF21" s="278"/>
    </row>
    <row r="22" spans="1:39" s="68" customFormat="1">
      <c r="A22" s="258">
        <f t="shared" si="0"/>
        <v>22</v>
      </c>
      <c r="B22" s="96"/>
      <c r="C22" s="50"/>
      <c r="D22" s="50"/>
      <c r="E22" s="53" t="str">
        <f>CONTROL!B56</f>
        <v>-</v>
      </c>
      <c r="F22" s="53"/>
      <c r="G22" s="320">
        <f>CONTROL!C56</f>
        <v>0</v>
      </c>
      <c r="H22" s="95"/>
      <c r="I22" s="276"/>
      <c r="J22" s="102">
        <f>IF('4.) Yearly Budget'!$K$18&gt;0,'4.) Yearly Budget'!K22,'4.) Yearly Budget'!J22)</f>
        <v>0</v>
      </c>
      <c r="K22" s="377">
        <f t="shared" si="4"/>
        <v>0</v>
      </c>
      <c r="L22" s="276"/>
      <c r="M22" s="102">
        <f>IF('4.) Yearly Budget'!$N$18&gt;0,'4.) Yearly Budget'!N22,'4.) Yearly Budget'!M22)</f>
        <v>0</v>
      </c>
      <c r="N22" s="377">
        <f t="shared" si="5"/>
        <v>0</v>
      </c>
      <c r="O22" s="276"/>
      <c r="P22" s="102">
        <f>IF('4.) Yearly Budget'!$Q$18&gt;0,'4.) Yearly Budget'!Q22,'4.) Yearly Budget'!P22)</f>
        <v>0</v>
      </c>
      <c r="Q22" s="377">
        <f t="shared" si="6"/>
        <v>0</v>
      </c>
      <c r="R22" s="276"/>
      <c r="S22" s="102">
        <f>IF('4.) Yearly Budget'!$T$18&gt;0,'4.) Yearly Budget'!T22,'4.) Yearly Budget'!S22)</f>
        <v>0</v>
      </c>
      <c r="T22" s="105">
        <f t="shared" si="7"/>
        <v>0</v>
      </c>
      <c r="U22" s="277">
        <f t="shared" si="8"/>
        <v>0</v>
      </c>
      <c r="V22" s="379">
        <f t="shared" si="9"/>
        <v>0</v>
      </c>
      <c r="W22" s="379">
        <f t="shared" si="10"/>
        <v>0</v>
      </c>
      <c r="X22" s="379">
        <f>'4.) Yearly Budget'!W22</f>
        <v>0</v>
      </c>
      <c r="Y22" s="380">
        <f t="shared" si="11"/>
        <v>0</v>
      </c>
      <c r="Z22" s="381">
        <f>SUM(IF(I$18&lt;&gt;0,'4.) Yearly Budget'!J22,0)+IF(L$18&lt;&gt;0,'4.) Yearly Budget'!M22,0)+IF(O$18&lt;&gt;0,'4.) Yearly Budget'!P22,0)+IF(R$18&lt;&gt;0,'4.) Yearly Budget'!S22,0))</f>
        <v>0</v>
      </c>
      <c r="AA22" s="381">
        <f t="shared" si="12"/>
        <v>0</v>
      </c>
      <c r="AB22" s="381">
        <f>'4.) Yearly Budget'!V22</f>
        <v>0</v>
      </c>
      <c r="AC22" s="382">
        <f t="shared" si="13"/>
        <v>0</v>
      </c>
      <c r="AD22" s="381">
        <f>IF(U$18&lt;&gt;0,'4.) Yearly Budget'!I22/$AM$18,0)</f>
        <v>0</v>
      </c>
      <c r="AE22" s="105">
        <f t="shared" si="14"/>
        <v>0</v>
      </c>
      <c r="AF22" s="278"/>
    </row>
    <row r="23" spans="1:39" s="68" customFormat="1">
      <c r="A23" s="258">
        <f t="shared" si="0"/>
        <v>23</v>
      </c>
      <c r="B23" s="96"/>
      <c r="C23" s="50"/>
      <c r="D23" s="50"/>
      <c r="E23" s="53" t="str">
        <f>CONTROL!B57</f>
        <v>-</v>
      </c>
      <c r="F23" s="53"/>
      <c r="G23" s="320">
        <f>CONTROL!C57</f>
        <v>0</v>
      </c>
      <c r="H23" s="95"/>
      <c r="I23" s="276"/>
      <c r="J23" s="102">
        <f>IF('4.) Yearly Budget'!$K$18&gt;0,'4.) Yearly Budget'!K23,'4.) Yearly Budget'!J23)</f>
        <v>0</v>
      </c>
      <c r="K23" s="377">
        <f t="shared" si="4"/>
        <v>0</v>
      </c>
      <c r="L23" s="276"/>
      <c r="M23" s="102">
        <f>IF('4.) Yearly Budget'!$N$18&gt;0,'4.) Yearly Budget'!N23,'4.) Yearly Budget'!M23)</f>
        <v>0</v>
      </c>
      <c r="N23" s="377">
        <f t="shared" si="5"/>
        <v>0</v>
      </c>
      <c r="O23" s="276"/>
      <c r="P23" s="102">
        <f>IF('4.) Yearly Budget'!$Q$18&gt;0,'4.) Yearly Budget'!Q23,'4.) Yearly Budget'!P23)</f>
        <v>0</v>
      </c>
      <c r="Q23" s="377">
        <f t="shared" si="6"/>
        <v>0</v>
      </c>
      <c r="R23" s="276"/>
      <c r="S23" s="102">
        <f>IF('4.) Yearly Budget'!$T$18&gt;0,'4.) Yearly Budget'!T23,'4.) Yearly Budget'!S23)</f>
        <v>0</v>
      </c>
      <c r="T23" s="105">
        <f t="shared" si="7"/>
        <v>0</v>
      </c>
      <c r="U23" s="277">
        <f t="shared" si="8"/>
        <v>0</v>
      </c>
      <c r="V23" s="379">
        <f t="shared" si="9"/>
        <v>0</v>
      </c>
      <c r="W23" s="379">
        <f t="shared" si="10"/>
        <v>0</v>
      </c>
      <c r="X23" s="379">
        <f>'4.) Yearly Budget'!W23</f>
        <v>0</v>
      </c>
      <c r="Y23" s="380">
        <f t="shared" si="11"/>
        <v>0</v>
      </c>
      <c r="Z23" s="381">
        <f>SUM(IF(I$18&lt;&gt;0,'4.) Yearly Budget'!J23,0)+IF(L$18&lt;&gt;0,'4.) Yearly Budget'!M23,0)+IF(O$18&lt;&gt;0,'4.) Yearly Budget'!P23,0)+IF(R$18&lt;&gt;0,'4.) Yearly Budget'!S23,0))</f>
        <v>0</v>
      </c>
      <c r="AA23" s="381">
        <f t="shared" si="12"/>
        <v>0</v>
      </c>
      <c r="AB23" s="381">
        <f>'4.) Yearly Budget'!V23</f>
        <v>0</v>
      </c>
      <c r="AC23" s="382">
        <f t="shared" si="13"/>
        <v>0</v>
      </c>
      <c r="AD23" s="381">
        <f>IF(U$18&lt;&gt;0,'4.) Yearly Budget'!I23/$AM$18,0)</f>
        <v>0</v>
      </c>
      <c r="AE23" s="105">
        <f t="shared" si="14"/>
        <v>0</v>
      </c>
      <c r="AF23" s="278"/>
    </row>
    <row r="24" spans="1:39" s="68" customFormat="1">
      <c r="A24" s="258">
        <f t="shared" si="0"/>
        <v>24</v>
      </c>
      <c r="B24" s="96"/>
      <c r="C24" s="50"/>
      <c r="D24" s="50"/>
      <c r="E24" s="53" t="str">
        <f>CONTROL!B58</f>
        <v>-</v>
      </c>
      <c r="F24" s="53"/>
      <c r="G24" s="320">
        <f>CONTROL!C58</f>
        <v>0</v>
      </c>
      <c r="H24" s="95"/>
      <c r="I24" s="276"/>
      <c r="J24" s="102">
        <f>IF('4.) Yearly Budget'!$K$18&gt;0,'4.) Yearly Budget'!K24,'4.) Yearly Budget'!J24)</f>
        <v>0</v>
      </c>
      <c r="K24" s="377">
        <f t="shared" si="4"/>
        <v>0</v>
      </c>
      <c r="L24" s="276"/>
      <c r="M24" s="102">
        <f>IF('4.) Yearly Budget'!$N$18&gt;0,'4.) Yearly Budget'!N24,'4.) Yearly Budget'!M24)</f>
        <v>0</v>
      </c>
      <c r="N24" s="377">
        <f t="shared" si="5"/>
        <v>0</v>
      </c>
      <c r="O24" s="276"/>
      <c r="P24" s="102">
        <f>IF('4.) Yearly Budget'!$Q$18&gt;0,'4.) Yearly Budget'!Q24,'4.) Yearly Budget'!P24)</f>
        <v>0</v>
      </c>
      <c r="Q24" s="377">
        <f t="shared" si="6"/>
        <v>0</v>
      </c>
      <c r="R24" s="276"/>
      <c r="S24" s="102">
        <f>IF('4.) Yearly Budget'!$T$18&gt;0,'4.) Yearly Budget'!T24,'4.) Yearly Budget'!S24)</f>
        <v>0</v>
      </c>
      <c r="T24" s="105">
        <f t="shared" si="7"/>
        <v>0</v>
      </c>
      <c r="U24" s="277">
        <f t="shared" si="8"/>
        <v>0</v>
      </c>
      <c r="V24" s="379">
        <f t="shared" si="9"/>
        <v>0</v>
      </c>
      <c r="W24" s="379">
        <f t="shared" si="10"/>
        <v>0</v>
      </c>
      <c r="X24" s="379">
        <f>'4.) Yearly Budget'!W24</f>
        <v>0</v>
      </c>
      <c r="Y24" s="380">
        <f t="shared" si="11"/>
        <v>0</v>
      </c>
      <c r="Z24" s="381">
        <f>SUM(IF(I$18&lt;&gt;0,'4.) Yearly Budget'!J24,0)+IF(L$18&lt;&gt;0,'4.) Yearly Budget'!M24,0)+IF(O$18&lt;&gt;0,'4.) Yearly Budget'!P24,0)+IF(R$18&lt;&gt;0,'4.) Yearly Budget'!S24,0))</f>
        <v>0</v>
      </c>
      <c r="AA24" s="381">
        <f t="shared" si="12"/>
        <v>0</v>
      </c>
      <c r="AB24" s="381">
        <f>'4.) Yearly Budget'!V24</f>
        <v>0</v>
      </c>
      <c r="AC24" s="382">
        <f t="shared" si="13"/>
        <v>0</v>
      </c>
      <c r="AD24" s="381">
        <f>IF(U$18&lt;&gt;0,'4.) Yearly Budget'!I24/$AM$18,0)</f>
        <v>0</v>
      </c>
      <c r="AE24" s="105">
        <f t="shared" si="14"/>
        <v>0</v>
      </c>
      <c r="AF24" s="278"/>
    </row>
    <row r="25" spans="1:39" s="68" customFormat="1">
      <c r="A25" s="258">
        <f t="shared" si="0"/>
        <v>25</v>
      </c>
      <c r="B25" s="96"/>
      <c r="C25" s="50"/>
      <c r="D25" s="50"/>
      <c r="E25" s="53" t="str">
        <f>CONTROL!B59</f>
        <v>-</v>
      </c>
      <c r="F25" s="53"/>
      <c r="G25" s="320">
        <f>CONTROL!C59</f>
        <v>0</v>
      </c>
      <c r="H25" s="95"/>
      <c r="I25" s="276"/>
      <c r="J25" s="102">
        <f>IF('4.) Yearly Budget'!$K$18&gt;0,'4.) Yearly Budget'!K25,'4.) Yearly Budget'!J25)</f>
        <v>0</v>
      </c>
      <c r="K25" s="377">
        <f t="shared" si="4"/>
        <v>0</v>
      </c>
      <c r="L25" s="276"/>
      <c r="M25" s="102">
        <f>IF('4.) Yearly Budget'!$N$18&gt;0,'4.) Yearly Budget'!N25,'4.) Yearly Budget'!M25)</f>
        <v>0</v>
      </c>
      <c r="N25" s="377">
        <f t="shared" si="5"/>
        <v>0</v>
      </c>
      <c r="O25" s="276"/>
      <c r="P25" s="102">
        <f>IF('4.) Yearly Budget'!$Q$18&gt;0,'4.) Yearly Budget'!Q25,'4.) Yearly Budget'!P25)</f>
        <v>0</v>
      </c>
      <c r="Q25" s="377">
        <f t="shared" si="6"/>
        <v>0</v>
      </c>
      <c r="R25" s="276"/>
      <c r="S25" s="102">
        <f>IF('4.) Yearly Budget'!$T$18&gt;0,'4.) Yearly Budget'!T25,'4.) Yearly Budget'!S25)</f>
        <v>0</v>
      </c>
      <c r="T25" s="105">
        <f t="shared" si="7"/>
        <v>0</v>
      </c>
      <c r="U25" s="277">
        <f t="shared" si="8"/>
        <v>0</v>
      </c>
      <c r="V25" s="379">
        <f t="shared" si="9"/>
        <v>0</v>
      </c>
      <c r="W25" s="379">
        <f t="shared" si="10"/>
        <v>0</v>
      </c>
      <c r="X25" s="379">
        <f>'4.) Yearly Budget'!W25</f>
        <v>0</v>
      </c>
      <c r="Y25" s="380">
        <f t="shared" si="11"/>
        <v>0</v>
      </c>
      <c r="Z25" s="381">
        <f>SUM(IF(I$18&lt;&gt;0,'4.) Yearly Budget'!J25,0)+IF(L$18&lt;&gt;0,'4.) Yearly Budget'!M25,0)+IF(O$18&lt;&gt;0,'4.) Yearly Budget'!P25,0)+IF(R$18&lt;&gt;0,'4.) Yearly Budget'!S25,0))</f>
        <v>0</v>
      </c>
      <c r="AA25" s="381">
        <f t="shared" si="12"/>
        <v>0</v>
      </c>
      <c r="AB25" s="381">
        <f>'4.) Yearly Budget'!V25</f>
        <v>0</v>
      </c>
      <c r="AC25" s="382">
        <f t="shared" si="13"/>
        <v>0</v>
      </c>
      <c r="AD25" s="381">
        <f>IF(U$18&lt;&gt;0,'4.) Yearly Budget'!I25/$AM$18,0)</f>
        <v>0</v>
      </c>
      <c r="AE25" s="105">
        <f t="shared" si="14"/>
        <v>0</v>
      </c>
      <c r="AF25" s="278"/>
    </row>
    <row r="26" spans="1:39" s="68" customFormat="1">
      <c r="A26" s="258">
        <f t="shared" si="0"/>
        <v>26</v>
      </c>
      <c r="B26" s="96"/>
      <c r="C26" s="50"/>
      <c r="D26" s="50"/>
      <c r="E26" s="53" t="str">
        <f>CONTROL!B60</f>
        <v>-</v>
      </c>
      <c r="F26" s="53"/>
      <c r="G26" s="320">
        <f>CONTROL!C60</f>
        <v>0</v>
      </c>
      <c r="H26" s="95"/>
      <c r="I26" s="276"/>
      <c r="J26" s="102">
        <f>IF('4.) Yearly Budget'!$K$18&gt;0,'4.) Yearly Budget'!K26,'4.) Yearly Budget'!J26)</f>
        <v>0</v>
      </c>
      <c r="K26" s="377">
        <f t="shared" si="4"/>
        <v>0</v>
      </c>
      <c r="L26" s="276"/>
      <c r="M26" s="102">
        <f>IF('4.) Yearly Budget'!$N$18&gt;0,'4.) Yearly Budget'!N26,'4.) Yearly Budget'!M26)</f>
        <v>0</v>
      </c>
      <c r="N26" s="377">
        <f t="shared" si="5"/>
        <v>0</v>
      </c>
      <c r="O26" s="276"/>
      <c r="P26" s="102">
        <f>IF('4.) Yearly Budget'!$Q$18&gt;0,'4.) Yearly Budget'!Q26,'4.) Yearly Budget'!P26)</f>
        <v>0</v>
      </c>
      <c r="Q26" s="377">
        <f t="shared" si="6"/>
        <v>0</v>
      </c>
      <c r="R26" s="276"/>
      <c r="S26" s="102">
        <f>IF('4.) Yearly Budget'!$T$18&gt;0,'4.) Yearly Budget'!T26,'4.) Yearly Budget'!S26)</f>
        <v>0</v>
      </c>
      <c r="T26" s="105">
        <f t="shared" si="7"/>
        <v>0</v>
      </c>
      <c r="U26" s="277">
        <f t="shared" si="8"/>
        <v>0</v>
      </c>
      <c r="V26" s="379">
        <f t="shared" si="9"/>
        <v>0</v>
      </c>
      <c r="W26" s="379">
        <f t="shared" si="10"/>
        <v>0</v>
      </c>
      <c r="X26" s="379">
        <f>'4.) Yearly Budget'!W26</f>
        <v>0</v>
      </c>
      <c r="Y26" s="380">
        <f t="shared" si="11"/>
        <v>0</v>
      </c>
      <c r="Z26" s="381">
        <f>SUM(IF(I$18&lt;&gt;0,'4.) Yearly Budget'!J26,0)+IF(L$18&lt;&gt;0,'4.) Yearly Budget'!M26,0)+IF(O$18&lt;&gt;0,'4.) Yearly Budget'!P26,0)+IF(R$18&lt;&gt;0,'4.) Yearly Budget'!S26,0))</f>
        <v>0</v>
      </c>
      <c r="AA26" s="381">
        <f t="shared" si="12"/>
        <v>0</v>
      </c>
      <c r="AB26" s="381">
        <f>'4.) Yearly Budget'!V26</f>
        <v>0</v>
      </c>
      <c r="AC26" s="382">
        <f t="shared" si="13"/>
        <v>0</v>
      </c>
      <c r="AD26" s="381">
        <f>IF(U$18&lt;&gt;0,'4.) Yearly Budget'!I26/$AM$18,0)</f>
        <v>0</v>
      </c>
      <c r="AE26" s="105">
        <f t="shared" si="14"/>
        <v>0</v>
      </c>
      <c r="AF26" s="278"/>
    </row>
    <row r="27" spans="1:39" s="68" customFormat="1">
      <c r="A27" s="258">
        <f t="shared" si="0"/>
        <v>27</v>
      </c>
      <c r="B27" s="96"/>
      <c r="C27" s="50"/>
      <c r="D27" s="50"/>
      <c r="E27" s="53" t="str">
        <f>CONTROL!B61</f>
        <v>-</v>
      </c>
      <c r="F27" s="53"/>
      <c r="G27" s="320">
        <f>CONTROL!C61</f>
        <v>0</v>
      </c>
      <c r="H27" s="95"/>
      <c r="I27" s="276"/>
      <c r="J27" s="102">
        <f>IF('4.) Yearly Budget'!$K$18&gt;0,'4.) Yearly Budget'!K27,'4.) Yearly Budget'!J27)</f>
        <v>0</v>
      </c>
      <c r="K27" s="377">
        <f t="shared" si="4"/>
        <v>0</v>
      </c>
      <c r="L27" s="276"/>
      <c r="M27" s="102">
        <f>IF('4.) Yearly Budget'!$N$18&gt;0,'4.) Yearly Budget'!N27,'4.) Yearly Budget'!M27)</f>
        <v>0</v>
      </c>
      <c r="N27" s="377">
        <f t="shared" si="5"/>
        <v>0</v>
      </c>
      <c r="O27" s="276"/>
      <c r="P27" s="102">
        <f>IF('4.) Yearly Budget'!$Q$18&gt;0,'4.) Yearly Budget'!Q27,'4.) Yearly Budget'!P27)</f>
        <v>0</v>
      </c>
      <c r="Q27" s="377">
        <f t="shared" si="6"/>
        <v>0</v>
      </c>
      <c r="R27" s="276"/>
      <c r="S27" s="102">
        <f>IF('4.) Yearly Budget'!$T$18&gt;0,'4.) Yearly Budget'!T27,'4.) Yearly Budget'!S27)</f>
        <v>0</v>
      </c>
      <c r="T27" s="105">
        <f t="shared" si="7"/>
        <v>0</v>
      </c>
      <c r="U27" s="277">
        <f t="shared" si="8"/>
        <v>0</v>
      </c>
      <c r="V27" s="379">
        <f t="shared" si="9"/>
        <v>0</v>
      </c>
      <c r="W27" s="379">
        <f t="shared" si="10"/>
        <v>0</v>
      </c>
      <c r="X27" s="379">
        <f>'4.) Yearly Budget'!W27</f>
        <v>0</v>
      </c>
      <c r="Y27" s="380">
        <f t="shared" si="11"/>
        <v>0</v>
      </c>
      <c r="Z27" s="381">
        <f>SUM(IF(I$18&lt;&gt;0,'4.) Yearly Budget'!J27,0)+IF(L$18&lt;&gt;0,'4.) Yearly Budget'!M27,0)+IF(O$18&lt;&gt;0,'4.) Yearly Budget'!P27,0)+IF(R$18&lt;&gt;0,'4.) Yearly Budget'!S27,0))</f>
        <v>0</v>
      </c>
      <c r="AA27" s="381">
        <f t="shared" si="12"/>
        <v>0</v>
      </c>
      <c r="AB27" s="381">
        <f>'4.) Yearly Budget'!V27</f>
        <v>0</v>
      </c>
      <c r="AC27" s="382">
        <f t="shared" si="13"/>
        <v>0</v>
      </c>
      <c r="AD27" s="381">
        <f>IF(U$18&lt;&gt;0,'4.) Yearly Budget'!I27/$AM$18,0)</f>
        <v>0</v>
      </c>
      <c r="AE27" s="105">
        <f t="shared" si="14"/>
        <v>0</v>
      </c>
      <c r="AF27" s="278"/>
    </row>
    <row r="28" spans="1:39" s="68" customFormat="1">
      <c r="A28" s="258">
        <f t="shared" si="0"/>
        <v>28</v>
      </c>
      <c r="B28" s="96"/>
      <c r="C28" s="50"/>
      <c r="D28" s="50"/>
      <c r="E28" s="53" t="str">
        <f>CONTROL!B62</f>
        <v>-</v>
      </c>
      <c r="F28" s="53"/>
      <c r="G28" s="320">
        <f>CONTROL!C62</f>
        <v>0</v>
      </c>
      <c r="H28" s="95"/>
      <c r="I28" s="276"/>
      <c r="J28" s="102">
        <f>IF('4.) Yearly Budget'!$K$18&gt;0,'4.) Yearly Budget'!K28,'4.) Yearly Budget'!J28)</f>
        <v>0</v>
      </c>
      <c r="K28" s="377">
        <f t="shared" si="4"/>
        <v>0</v>
      </c>
      <c r="L28" s="276"/>
      <c r="M28" s="102">
        <f>IF('4.) Yearly Budget'!$N$18&gt;0,'4.) Yearly Budget'!N28,'4.) Yearly Budget'!M28)</f>
        <v>0</v>
      </c>
      <c r="N28" s="377">
        <f t="shared" si="5"/>
        <v>0</v>
      </c>
      <c r="O28" s="276"/>
      <c r="P28" s="102">
        <f>IF('4.) Yearly Budget'!$Q$18&gt;0,'4.) Yearly Budget'!Q28,'4.) Yearly Budget'!P28)</f>
        <v>0</v>
      </c>
      <c r="Q28" s="377">
        <f t="shared" si="6"/>
        <v>0</v>
      </c>
      <c r="R28" s="276"/>
      <c r="S28" s="102">
        <f>IF('4.) Yearly Budget'!$T$18&gt;0,'4.) Yearly Budget'!T28,'4.) Yearly Budget'!S28)</f>
        <v>0</v>
      </c>
      <c r="T28" s="105">
        <f t="shared" si="7"/>
        <v>0</v>
      </c>
      <c r="U28" s="277">
        <f t="shared" si="8"/>
        <v>0</v>
      </c>
      <c r="V28" s="379">
        <f t="shared" si="9"/>
        <v>0</v>
      </c>
      <c r="W28" s="379">
        <f t="shared" si="10"/>
        <v>0</v>
      </c>
      <c r="X28" s="379">
        <f>'4.) Yearly Budget'!W28</f>
        <v>0</v>
      </c>
      <c r="Y28" s="380">
        <f t="shared" si="11"/>
        <v>0</v>
      </c>
      <c r="Z28" s="381">
        <f>SUM(IF(I$18&lt;&gt;0,'4.) Yearly Budget'!J28,0)+IF(L$18&lt;&gt;0,'4.) Yearly Budget'!M28,0)+IF(O$18&lt;&gt;0,'4.) Yearly Budget'!P28,0)+IF(R$18&lt;&gt;0,'4.) Yearly Budget'!S28,0))</f>
        <v>0</v>
      </c>
      <c r="AA28" s="381">
        <f t="shared" si="12"/>
        <v>0</v>
      </c>
      <c r="AB28" s="381">
        <f>'4.) Yearly Budget'!V28</f>
        <v>0</v>
      </c>
      <c r="AC28" s="382">
        <f t="shared" si="13"/>
        <v>0</v>
      </c>
      <c r="AD28" s="381">
        <f>IF(U$18&lt;&gt;0,'4.) Yearly Budget'!I28/$AM$18,0)</f>
        <v>0</v>
      </c>
      <c r="AE28" s="105">
        <f t="shared" si="14"/>
        <v>0</v>
      </c>
      <c r="AF28" s="278"/>
    </row>
    <row r="29" spans="1:39" s="68" customFormat="1">
      <c r="A29" s="258">
        <f t="shared" si="0"/>
        <v>29</v>
      </c>
      <c r="B29" s="96"/>
      <c r="C29" s="50"/>
      <c r="D29" s="50"/>
      <c r="E29" s="53" t="str">
        <f>CONTROL!B63</f>
        <v>-</v>
      </c>
      <c r="F29" s="53"/>
      <c r="G29" s="320">
        <f>CONTROL!C63</f>
        <v>0</v>
      </c>
      <c r="H29" s="95"/>
      <c r="I29" s="276"/>
      <c r="J29" s="102">
        <f>IF('4.) Yearly Budget'!$K$18&gt;0,'4.) Yearly Budget'!K29,'4.) Yearly Budget'!J29)</f>
        <v>0</v>
      </c>
      <c r="K29" s="377">
        <f t="shared" si="4"/>
        <v>0</v>
      </c>
      <c r="L29" s="276"/>
      <c r="M29" s="102">
        <f>IF('4.) Yearly Budget'!$N$18&gt;0,'4.) Yearly Budget'!N29,'4.) Yearly Budget'!M29)</f>
        <v>0</v>
      </c>
      <c r="N29" s="377">
        <f t="shared" si="5"/>
        <v>0</v>
      </c>
      <c r="O29" s="276"/>
      <c r="P29" s="102">
        <f>IF('4.) Yearly Budget'!$Q$18&gt;0,'4.) Yearly Budget'!Q29,'4.) Yearly Budget'!P29)</f>
        <v>0</v>
      </c>
      <c r="Q29" s="377">
        <f t="shared" si="6"/>
        <v>0</v>
      </c>
      <c r="R29" s="276"/>
      <c r="S29" s="102">
        <f>IF('4.) Yearly Budget'!$T$18&gt;0,'4.) Yearly Budget'!T29,'4.) Yearly Budget'!S29)</f>
        <v>0</v>
      </c>
      <c r="T29" s="105">
        <f t="shared" si="7"/>
        <v>0</v>
      </c>
      <c r="U29" s="277">
        <f t="shared" si="8"/>
        <v>0</v>
      </c>
      <c r="V29" s="379">
        <f t="shared" si="9"/>
        <v>0</v>
      </c>
      <c r="W29" s="379">
        <f t="shared" si="10"/>
        <v>0</v>
      </c>
      <c r="X29" s="379">
        <f>'4.) Yearly Budget'!W29</f>
        <v>0</v>
      </c>
      <c r="Y29" s="380">
        <f t="shared" si="11"/>
        <v>0</v>
      </c>
      <c r="Z29" s="381">
        <f>SUM(IF(I$18&lt;&gt;0,'4.) Yearly Budget'!J29,0)+IF(L$18&lt;&gt;0,'4.) Yearly Budget'!M29,0)+IF(O$18&lt;&gt;0,'4.) Yearly Budget'!P29,0)+IF(R$18&lt;&gt;0,'4.) Yearly Budget'!S29,0))</f>
        <v>0</v>
      </c>
      <c r="AA29" s="381">
        <f t="shared" si="12"/>
        <v>0</v>
      </c>
      <c r="AB29" s="381">
        <f>'4.) Yearly Budget'!V29</f>
        <v>0</v>
      </c>
      <c r="AC29" s="382">
        <f t="shared" si="13"/>
        <v>0</v>
      </c>
      <c r="AD29" s="381">
        <f>IF(U$18&lt;&gt;0,'4.) Yearly Budget'!I29/$AM$18,0)</f>
        <v>0</v>
      </c>
      <c r="AE29" s="105">
        <f t="shared" si="14"/>
        <v>0</v>
      </c>
      <c r="AF29" s="278"/>
    </row>
    <row r="30" spans="1:39" s="68" customFormat="1">
      <c r="A30" s="258">
        <f t="shared" si="0"/>
        <v>30</v>
      </c>
      <c r="B30" s="96"/>
      <c r="C30" s="50"/>
      <c r="D30" s="50"/>
      <c r="E30" s="53" t="str">
        <f>CONTROL!B64</f>
        <v>-</v>
      </c>
      <c r="F30" s="53"/>
      <c r="G30" s="320">
        <f>CONTROL!C64</f>
        <v>0</v>
      </c>
      <c r="H30" s="95"/>
      <c r="I30" s="276"/>
      <c r="J30" s="102">
        <f>IF('4.) Yearly Budget'!$K$18&gt;0,'4.) Yearly Budget'!K30,'4.) Yearly Budget'!J30)</f>
        <v>0</v>
      </c>
      <c r="K30" s="377">
        <f t="shared" si="4"/>
        <v>0</v>
      </c>
      <c r="L30" s="276"/>
      <c r="M30" s="102">
        <f>IF('4.) Yearly Budget'!$N$18&gt;0,'4.) Yearly Budget'!N30,'4.) Yearly Budget'!M30)</f>
        <v>0</v>
      </c>
      <c r="N30" s="377">
        <f t="shared" si="5"/>
        <v>0</v>
      </c>
      <c r="O30" s="276"/>
      <c r="P30" s="102">
        <f>IF('4.) Yearly Budget'!$Q$18&gt;0,'4.) Yearly Budget'!Q30,'4.) Yearly Budget'!P30)</f>
        <v>0</v>
      </c>
      <c r="Q30" s="377">
        <f t="shared" si="6"/>
        <v>0</v>
      </c>
      <c r="R30" s="276"/>
      <c r="S30" s="102">
        <f>IF('4.) Yearly Budget'!$T$18&gt;0,'4.) Yearly Budget'!T30,'4.) Yearly Budget'!S30)</f>
        <v>0</v>
      </c>
      <c r="T30" s="105">
        <f t="shared" si="7"/>
        <v>0</v>
      </c>
      <c r="U30" s="277">
        <f t="shared" si="8"/>
        <v>0</v>
      </c>
      <c r="V30" s="379">
        <f t="shared" si="9"/>
        <v>0</v>
      </c>
      <c r="W30" s="379">
        <f t="shared" si="10"/>
        <v>0</v>
      </c>
      <c r="X30" s="379">
        <f>'4.) Yearly Budget'!W30</f>
        <v>0</v>
      </c>
      <c r="Y30" s="380">
        <f t="shared" si="11"/>
        <v>0</v>
      </c>
      <c r="Z30" s="381">
        <f>SUM(IF(I$18&lt;&gt;0,'4.) Yearly Budget'!J30,0)+IF(L$18&lt;&gt;0,'4.) Yearly Budget'!M30,0)+IF(O$18&lt;&gt;0,'4.) Yearly Budget'!P30,0)+IF(R$18&lt;&gt;0,'4.) Yearly Budget'!S30,0))</f>
        <v>0</v>
      </c>
      <c r="AA30" s="381">
        <f t="shared" si="12"/>
        <v>0</v>
      </c>
      <c r="AB30" s="381">
        <f>'4.) Yearly Budget'!V30</f>
        <v>0</v>
      </c>
      <c r="AC30" s="382">
        <f t="shared" si="13"/>
        <v>0</v>
      </c>
      <c r="AD30" s="381">
        <f>IF(U$18&lt;&gt;0,'4.) Yearly Budget'!I30/$AM$18,0)</f>
        <v>0</v>
      </c>
      <c r="AE30" s="105">
        <f t="shared" si="14"/>
        <v>0</v>
      </c>
      <c r="AF30" s="278"/>
    </row>
    <row r="31" spans="1:39" s="68" customFormat="1">
      <c r="A31" s="258">
        <f t="shared" si="0"/>
        <v>31</v>
      </c>
      <c r="B31" s="96"/>
      <c r="C31" s="50"/>
      <c r="D31" s="50"/>
      <c r="E31" s="53" t="str">
        <f>CONTROL!B65</f>
        <v>-</v>
      </c>
      <c r="F31" s="53"/>
      <c r="G31" s="320">
        <f>CONTROL!C65</f>
        <v>0</v>
      </c>
      <c r="H31" s="95"/>
      <c r="I31" s="276"/>
      <c r="J31" s="102">
        <f>IF('4.) Yearly Budget'!$K$18&gt;0,'4.) Yearly Budget'!K31,'4.) Yearly Budget'!J31)</f>
        <v>0</v>
      </c>
      <c r="K31" s="377">
        <f t="shared" si="4"/>
        <v>0</v>
      </c>
      <c r="L31" s="276"/>
      <c r="M31" s="102">
        <f>IF('4.) Yearly Budget'!$N$18&gt;0,'4.) Yearly Budget'!N31,'4.) Yearly Budget'!M31)</f>
        <v>0</v>
      </c>
      <c r="N31" s="377">
        <f t="shared" si="5"/>
        <v>0</v>
      </c>
      <c r="O31" s="276"/>
      <c r="P31" s="102">
        <f>IF('4.) Yearly Budget'!$Q$18&gt;0,'4.) Yearly Budget'!Q31,'4.) Yearly Budget'!P31)</f>
        <v>0</v>
      </c>
      <c r="Q31" s="377">
        <f t="shared" si="6"/>
        <v>0</v>
      </c>
      <c r="R31" s="276"/>
      <c r="S31" s="102">
        <f>IF('4.) Yearly Budget'!$T$18&gt;0,'4.) Yearly Budget'!T31,'4.) Yearly Budget'!S31)</f>
        <v>0</v>
      </c>
      <c r="T31" s="105">
        <f t="shared" si="7"/>
        <v>0</v>
      </c>
      <c r="U31" s="277">
        <f t="shared" si="8"/>
        <v>0</v>
      </c>
      <c r="V31" s="379">
        <f t="shared" si="9"/>
        <v>0</v>
      </c>
      <c r="W31" s="379">
        <f t="shared" si="10"/>
        <v>0</v>
      </c>
      <c r="X31" s="379">
        <f>'4.) Yearly Budget'!W31</f>
        <v>0</v>
      </c>
      <c r="Y31" s="380">
        <f t="shared" si="11"/>
        <v>0</v>
      </c>
      <c r="Z31" s="381">
        <f>SUM(IF(I$18&lt;&gt;0,'4.) Yearly Budget'!J31,0)+IF(L$18&lt;&gt;0,'4.) Yearly Budget'!M31,0)+IF(O$18&lt;&gt;0,'4.) Yearly Budget'!P31,0)+IF(R$18&lt;&gt;0,'4.) Yearly Budget'!S31,0))</f>
        <v>0</v>
      </c>
      <c r="AA31" s="381">
        <f t="shared" si="12"/>
        <v>0</v>
      </c>
      <c r="AB31" s="381">
        <f>'4.) Yearly Budget'!V31</f>
        <v>0</v>
      </c>
      <c r="AC31" s="382">
        <f t="shared" si="13"/>
        <v>0</v>
      </c>
      <c r="AD31" s="381">
        <f>IF(U$18&lt;&gt;0,'4.) Yearly Budget'!I31/$AM$18,0)</f>
        <v>0</v>
      </c>
      <c r="AE31" s="105">
        <f t="shared" si="14"/>
        <v>0</v>
      </c>
      <c r="AF31" s="278"/>
    </row>
    <row r="32" spans="1:39" s="68" customFormat="1">
      <c r="A32" s="258">
        <f t="shared" si="0"/>
        <v>32</v>
      </c>
      <c r="B32" s="96"/>
      <c r="C32" s="50"/>
      <c r="D32" s="50"/>
      <c r="E32" s="53" t="str">
        <f>CONTROL!B66</f>
        <v>-</v>
      </c>
      <c r="F32" s="53"/>
      <c r="G32" s="320">
        <f>CONTROL!C66</f>
        <v>0</v>
      </c>
      <c r="H32" s="95"/>
      <c r="I32" s="276"/>
      <c r="J32" s="102">
        <f>IF('4.) Yearly Budget'!$K$18&gt;0,'4.) Yearly Budget'!K32,'4.) Yearly Budget'!J32)</f>
        <v>0</v>
      </c>
      <c r="K32" s="377">
        <f t="shared" si="4"/>
        <v>0</v>
      </c>
      <c r="L32" s="276"/>
      <c r="M32" s="102">
        <f>IF('4.) Yearly Budget'!$N$18&gt;0,'4.) Yearly Budget'!N32,'4.) Yearly Budget'!M32)</f>
        <v>0</v>
      </c>
      <c r="N32" s="377">
        <f t="shared" si="5"/>
        <v>0</v>
      </c>
      <c r="O32" s="276"/>
      <c r="P32" s="102">
        <f>IF('4.) Yearly Budget'!$Q$18&gt;0,'4.) Yearly Budget'!Q32,'4.) Yearly Budget'!P32)</f>
        <v>0</v>
      </c>
      <c r="Q32" s="377">
        <f t="shared" si="6"/>
        <v>0</v>
      </c>
      <c r="R32" s="276"/>
      <c r="S32" s="102">
        <f>IF('4.) Yearly Budget'!$T$18&gt;0,'4.) Yearly Budget'!T32,'4.) Yearly Budget'!S32)</f>
        <v>0</v>
      </c>
      <c r="T32" s="105">
        <f t="shared" si="7"/>
        <v>0</v>
      </c>
      <c r="U32" s="277">
        <f t="shared" si="8"/>
        <v>0</v>
      </c>
      <c r="V32" s="379">
        <f t="shared" si="9"/>
        <v>0</v>
      </c>
      <c r="W32" s="379">
        <f t="shared" si="10"/>
        <v>0</v>
      </c>
      <c r="X32" s="379">
        <f>'4.) Yearly Budget'!W32</f>
        <v>0</v>
      </c>
      <c r="Y32" s="380">
        <f t="shared" si="11"/>
        <v>0</v>
      </c>
      <c r="Z32" s="381">
        <f>SUM(IF(I$18&lt;&gt;0,'4.) Yearly Budget'!J32,0)+IF(L$18&lt;&gt;0,'4.) Yearly Budget'!M32,0)+IF(O$18&lt;&gt;0,'4.) Yearly Budget'!P32,0)+IF(R$18&lt;&gt;0,'4.) Yearly Budget'!S32,0))</f>
        <v>0</v>
      </c>
      <c r="AA32" s="381">
        <f t="shared" si="12"/>
        <v>0</v>
      </c>
      <c r="AB32" s="381">
        <f>'4.) Yearly Budget'!V32</f>
        <v>0</v>
      </c>
      <c r="AC32" s="382">
        <f t="shared" si="13"/>
        <v>0</v>
      </c>
      <c r="AD32" s="381">
        <f>IF(U$18&lt;&gt;0,'4.) Yearly Budget'!I32/$AM$18,0)</f>
        <v>0</v>
      </c>
      <c r="AE32" s="105">
        <f t="shared" si="14"/>
        <v>0</v>
      </c>
      <c r="AF32" s="278"/>
    </row>
    <row r="33" spans="1:32" s="68" customFormat="1">
      <c r="A33" s="258">
        <f t="shared" si="0"/>
        <v>33</v>
      </c>
      <c r="B33" s="96"/>
      <c r="C33" s="50"/>
      <c r="D33" s="50"/>
      <c r="E33" s="53" t="str">
        <f>"ALL OTHER School Districts: ( Count = "&amp;CONTROL!C104&amp;" )"</f>
        <v>ALL OTHER School Districts: ( Count = 0 )</v>
      </c>
      <c r="F33" s="53"/>
      <c r="G33" s="595">
        <f>CONTROL!F105</f>
        <v>0</v>
      </c>
      <c r="H33" s="95"/>
      <c r="I33" s="753"/>
      <c r="J33" s="102">
        <f>IF('4.) Yearly Budget'!$K$18&gt;0,'4.) Yearly Budget'!K33,'4.) Yearly Budget'!J33)</f>
        <v>0</v>
      </c>
      <c r="K33" s="377">
        <f t="shared" si="4"/>
        <v>0</v>
      </c>
      <c r="L33" s="276"/>
      <c r="M33" s="102">
        <f>IF('4.) Yearly Budget'!$N$18&gt;0,'4.) Yearly Budget'!N33,'4.) Yearly Budget'!M33)</f>
        <v>0</v>
      </c>
      <c r="N33" s="377">
        <f t="shared" si="5"/>
        <v>0</v>
      </c>
      <c r="O33" s="276"/>
      <c r="P33" s="102">
        <f>IF('4.) Yearly Budget'!$Q$18&gt;0,'4.) Yearly Budget'!Q33,'4.) Yearly Budget'!P33)</f>
        <v>0</v>
      </c>
      <c r="Q33" s="377">
        <f t="shared" si="6"/>
        <v>0</v>
      </c>
      <c r="R33" s="276"/>
      <c r="S33" s="102">
        <f>IF('4.) Yearly Budget'!$T$18&gt;0,'4.) Yearly Budget'!T33,'4.) Yearly Budget'!S33)</f>
        <v>0</v>
      </c>
      <c r="T33" s="105">
        <f t="shared" si="7"/>
        <v>0</v>
      </c>
      <c r="U33" s="277">
        <f t="shared" si="8"/>
        <v>0</v>
      </c>
      <c r="V33" s="379">
        <f t="shared" si="9"/>
        <v>0</v>
      </c>
      <c r="W33" s="379">
        <f t="shared" si="10"/>
        <v>0</v>
      </c>
      <c r="X33" s="379">
        <f>'4.) Yearly Budget'!W33</f>
        <v>0</v>
      </c>
      <c r="Y33" s="380">
        <f t="shared" si="11"/>
        <v>0</v>
      </c>
      <c r="Z33" s="381">
        <f>SUM(IF(I$18&lt;&gt;0,'4.) Yearly Budget'!J33,0)+IF(L$18&lt;&gt;0,'4.) Yearly Budget'!M33,0)+IF(O$18&lt;&gt;0,'4.) Yearly Budget'!P33,0)+IF(R$18&lt;&gt;0,'4.) Yearly Budget'!S33,0))</f>
        <v>0</v>
      </c>
      <c r="AA33" s="381">
        <f t="shared" si="12"/>
        <v>0</v>
      </c>
      <c r="AB33" s="381">
        <f>'4.) Yearly Budget'!V33</f>
        <v>0</v>
      </c>
      <c r="AC33" s="382">
        <f t="shared" si="13"/>
        <v>0</v>
      </c>
      <c r="AD33" s="381">
        <f>IF(U$18&lt;&gt;0,'4.) Yearly Budget'!I33/$AM$18,0)</f>
        <v>0</v>
      </c>
      <c r="AE33" s="105">
        <f t="shared" si="14"/>
        <v>0</v>
      </c>
      <c r="AF33" s="278"/>
    </row>
    <row r="34" spans="1:32" s="385" customFormat="1">
      <c r="A34" s="279">
        <f t="shared" si="0"/>
        <v>34</v>
      </c>
      <c r="B34" s="280"/>
      <c r="C34" s="140"/>
      <c r="D34" s="140" t="str">
        <f>'4.) Yearly Budget'!D34</f>
        <v>TOTAL Per Pupil Revenue (Weighted Average Per Pupil Funding)</v>
      </c>
      <c r="E34" s="53"/>
      <c r="F34"/>
      <c r="G34" s="596">
        <f>'4.) Yearly Budget'!G34</f>
        <v>0</v>
      </c>
      <c r="H34" s="95"/>
      <c r="I34" s="706">
        <f t="shared" ref="I34:AE34" si="15">SUM(I18:I33)</f>
        <v>0</v>
      </c>
      <c r="J34" s="158">
        <f t="shared" si="15"/>
        <v>0</v>
      </c>
      <c r="K34" s="383">
        <f t="shared" si="15"/>
        <v>0</v>
      </c>
      <c r="L34" s="102">
        <f t="shared" si="15"/>
        <v>0</v>
      </c>
      <c r="M34" s="158">
        <f t="shared" si="15"/>
        <v>0</v>
      </c>
      <c r="N34" s="383">
        <f t="shared" si="15"/>
        <v>0</v>
      </c>
      <c r="O34" s="102">
        <f t="shared" si="15"/>
        <v>0</v>
      </c>
      <c r="P34" s="158">
        <f t="shared" si="15"/>
        <v>0</v>
      </c>
      <c r="Q34" s="383">
        <f t="shared" si="15"/>
        <v>0</v>
      </c>
      <c r="R34" s="102">
        <f t="shared" si="15"/>
        <v>0</v>
      </c>
      <c r="S34" s="158">
        <f t="shared" si="15"/>
        <v>0</v>
      </c>
      <c r="T34" s="103">
        <f t="shared" si="15"/>
        <v>0</v>
      </c>
      <c r="U34" s="283">
        <f t="shared" si="15"/>
        <v>0</v>
      </c>
      <c r="V34" s="156">
        <f t="shared" si="15"/>
        <v>0</v>
      </c>
      <c r="W34" s="156">
        <f t="shared" si="15"/>
        <v>0</v>
      </c>
      <c r="X34" s="156">
        <f t="shared" si="15"/>
        <v>0</v>
      </c>
      <c r="Y34" s="380">
        <f t="shared" si="15"/>
        <v>0</v>
      </c>
      <c r="Z34" s="377">
        <f t="shared" si="15"/>
        <v>0</v>
      </c>
      <c r="AA34" s="383">
        <f t="shared" si="15"/>
        <v>0</v>
      </c>
      <c r="AB34" s="383">
        <f t="shared" si="15"/>
        <v>0</v>
      </c>
      <c r="AC34" s="383">
        <f t="shared" si="15"/>
        <v>0</v>
      </c>
      <c r="AD34" s="377">
        <f t="shared" si="15"/>
        <v>0</v>
      </c>
      <c r="AE34" s="384">
        <f t="shared" si="15"/>
        <v>0</v>
      </c>
      <c r="AF34" s="282"/>
    </row>
    <row r="35" spans="1:32" s="68" customFormat="1">
      <c r="A35" s="258">
        <f t="shared" si="0"/>
        <v>35</v>
      </c>
      <c r="B35" s="96"/>
      <c r="C35" s="50"/>
      <c r="D35" s="50" t="str">
        <f>'4.) Yearly Budget'!D35</f>
        <v>Special Education Revenue</v>
      </c>
      <c r="E35" s="94"/>
      <c r="F35" s="94"/>
      <c r="G35" s="57"/>
      <c r="H35" s="95"/>
      <c r="I35" s="753"/>
      <c r="J35" s="102">
        <f>IF('4.) Yearly Budget'!$K$18&gt;0,'4.) Yearly Budget'!K35,'4.) Yearly Budget'!J35)</f>
        <v>0</v>
      </c>
      <c r="K35" s="377">
        <f>IF(I$18&lt;&gt;0,I35-J35,0)</f>
        <v>0</v>
      </c>
      <c r="L35" s="100"/>
      <c r="M35" s="102">
        <f>IF('4.) Yearly Budget'!$N$18&gt;0,'4.) Yearly Budget'!N35,'4.) Yearly Budget'!M35)</f>
        <v>0</v>
      </c>
      <c r="N35" s="377">
        <f>IF(L$18&lt;&gt;0,L35-M35,0)</f>
        <v>0</v>
      </c>
      <c r="O35" s="100"/>
      <c r="P35" s="102">
        <f>IF('4.) Yearly Budget'!$Q$18&gt;0,'4.) Yearly Budget'!Q35,'4.) Yearly Budget'!P35)</f>
        <v>0</v>
      </c>
      <c r="Q35" s="377">
        <f>IF(O$18&lt;&gt;0,O35-P35,0)</f>
        <v>0</v>
      </c>
      <c r="R35" s="100"/>
      <c r="S35" s="102">
        <f>IF('4.) Yearly Budget'!$T$18&gt;0,'4.) Yearly Budget'!T35,'4.) Yearly Budget'!S35)</f>
        <v>0</v>
      </c>
      <c r="T35" s="105">
        <f>IF(R$18&lt;&gt;0,R35-S35,0)</f>
        <v>0</v>
      </c>
      <c r="U35" s="277">
        <f>IF(I$6&lt;&gt;0,I35,0)+IF(L$6&lt;&gt;0,L35,0)+IF(O$6&lt;&gt;0,O35,0)+IF(R$6&lt;&gt;0,R35,0)</f>
        <v>0</v>
      </c>
      <c r="V35" s="379">
        <f>SUM(IF(I$6&lt;&gt;0,J35,0)+IF(L$6&lt;&gt;0,M35,0)+IF(O$6&lt;&gt;0,P35,0)+IF(R$6&lt;&gt;0,S35,0))</f>
        <v>0</v>
      </c>
      <c r="W35" s="379">
        <f>U35-V35</f>
        <v>0</v>
      </c>
      <c r="X35" s="379">
        <f>'4.) Yearly Budget'!W35</f>
        <v>0</v>
      </c>
      <c r="Y35" s="380">
        <f>IF(U35&lt;&gt;0,U35-X35,IF(U35=0,-X35,0))</f>
        <v>0</v>
      </c>
      <c r="Z35" s="381">
        <f>SUM(IF(I$18&lt;&gt;0,'4.) Yearly Budget'!J35,0)+IF(L$18&lt;&gt;0,'4.) Yearly Budget'!M35,0)+IF(O$18&lt;&gt;0,'4.) Yearly Budget'!P35,0)+IF(R$18&lt;&gt;0,'4.) Yearly Budget'!S35,0))</f>
        <v>0</v>
      </c>
      <c r="AA35" s="381">
        <f>U35-Z35</f>
        <v>0</v>
      </c>
      <c r="AB35" s="381">
        <f>'4.) Yearly Budget'!V35</f>
        <v>0</v>
      </c>
      <c r="AC35" s="382">
        <f>IF(U35&lt;&gt;0,U35-AB35,IF(U35=0,-AB35,0))</f>
        <v>0</v>
      </c>
      <c r="AD35" s="381">
        <f>IF(U$6&lt;&gt;0,'4.) Yearly Budget'!I35/$AM$18,0)</f>
        <v>0</v>
      </c>
      <c r="AE35" s="105">
        <f>U35-AD35</f>
        <v>0</v>
      </c>
      <c r="AF35" s="278"/>
    </row>
    <row r="36" spans="1:32" s="68" customFormat="1">
      <c r="A36" s="258">
        <f t="shared" si="0"/>
        <v>36</v>
      </c>
      <c r="B36" s="96"/>
      <c r="C36" s="50"/>
      <c r="D36" s="50" t="str">
        <f>'4.) Yearly Budget'!D36</f>
        <v>Grants</v>
      </c>
      <c r="E36" s="94"/>
      <c r="F36" s="94"/>
      <c r="G36" s="57"/>
      <c r="H36" s="95"/>
      <c r="I36" s="104"/>
      <c r="J36" s="104"/>
      <c r="K36" s="104"/>
      <c r="L36" s="104"/>
      <c r="M36" s="104"/>
      <c r="N36" s="104"/>
      <c r="O36" s="104"/>
      <c r="P36" s="104"/>
      <c r="Q36" s="104"/>
      <c r="R36" s="104"/>
      <c r="S36" s="104"/>
      <c r="T36" s="105"/>
      <c r="U36" s="283"/>
      <c r="V36" s="386"/>
      <c r="W36" s="386"/>
      <c r="X36" s="386"/>
      <c r="Y36" s="386"/>
      <c r="Z36" s="386"/>
      <c r="AA36" s="386"/>
      <c r="AB36" s="386"/>
      <c r="AC36" s="104"/>
      <c r="AD36" s="386"/>
      <c r="AE36" s="105"/>
      <c r="AF36" s="278"/>
    </row>
    <row r="37" spans="1:32" s="68" customFormat="1">
      <c r="A37" s="258">
        <f t="shared" si="0"/>
        <v>37</v>
      </c>
      <c r="B37" s="96"/>
      <c r="C37" s="50"/>
      <c r="D37" s="50"/>
      <c r="E37" s="120" t="str">
        <f>'4.) Yearly Budget'!E37</f>
        <v>Stimulus</v>
      </c>
      <c r="F37" s="120"/>
      <c r="G37" s="56"/>
      <c r="H37" s="95"/>
      <c r="I37" s="276"/>
      <c r="J37" s="102">
        <f>IF('4.) Yearly Budget'!$K$18&gt;0,'4.) Yearly Budget'!K37,'4.) Yearly Budget'!J37)</f>
        <v>0</v>
      </c>
      <c r="K37" s="377">
        <f>IF(I$18&lt;&gt;0,I37-J37,0)</f>
        <v>0</v>
      </c>
      <c r="L37" s="100"/>
      <c r="M37" s="102">
        <f>IF('4.) Yearly Budget'!$N$18&gt;0,'4.) Yearly Budget'!N37,'4.) Yearly Budget'!M37)</f>
        <v>0</v>
      </c>
      <c r="N37" s="377">
        <f>IF(L$18&lt;&gt;0,L37-M37,0)</f>
        <v>0</v>
      </c>
      <c r="O37" s="100"/>
      <c r="P37" s="102">
        <f>IF('4.) Yearly Budget'!$Q$18&gt;0,'4.) Yearly Budget'!Q37,'4.) Yearly Budget'!P37)</f>
        <v>0</v>
      </c>
      <c r="Q37" s="377">
        <f>IF(O$18&lt;&gt;0,O37-P37,0)</f>
        <v>0</v>
      </c>
      <c r="R37" s="100"/>
      <c r="S37" s="102">
        <f>IF('4.) Yearly Budget'!$T$18&gt;0,'4.) Yearly Budget'!T37,'4.) Yearly Budget'!S37)</f>
        <v>0</v>
      </c>
      <c r="T37" s="105">
        <f>IF(R$18&lt;&gt;0,R37-S37,0)</f>
        <v>0</v>
      </c>
      <c r="U37" s="277">
        <f>IF(I$6&lt;&gt;0,I37,0)+IF(L$6&lt;&gt;0,L37,0)+IF(O$6&lt;&gt;0,O37,0)+IF(R$6&lt;&gt;0,R37,0)</f>
        <v>0</v>
      </c>
      <c r="V37" s="379">
        <f>SUM(IF(I$6&lt;&gt;0,J37,0)+IF(L$6&lt;&gt;0,M37,0)+IF(O$6&lt;&gt;0,P37,0)+IF(R$6&lt;&gt;0,S37,0))</f>
        <v>0</v>
      </c>
      <c r="W37" s="379">
        <f>U37-V37</f>
        <v>0</v>
      </c>
      <c r="X37" s="379">
        <f>'4.) Yearly Budget'!W37</f>
        <v>0</v>
      </c>
      <c r="Y37" s="380">
        <f>IF(U37&lt;&gt;0,U37-X37,IF(U37=0,-X37,0))</f>
        <v>0</v>
      </c>
      <c r="Z37" s="381">
        <f>SUM(IF(I$18&lt;&gt;0,'4.) Yearly Budget'!J37,0)+IF(L$18&lt;&gt;0,'4.) Yearly Budget'!M37,0)+IF(O$18&lt;&gt;0,'4.) Yearly Budget'!P37,0)+IF(R$18&lt;&gt;0,'4.) Yearly Budget'!S37,0))</f>
        <v>0</v>
      </c>
      <c r="AA37" s="381">
        <f>U37-Z37</f>
        <v>0</v>
      </c>
      <c r="AB37" s="381">
        <f>'4.) Yearly Budget'!V37</f>
        <v>0</v>
      </c>
      <c r="AC37" s="382">
        <f>IF(U37&lt;&gt;0,U37-AB37,IF(U37=0,-AB37,0))</f>
        <v>0</v>
      </c>
      <c r="AD37" s="381">
        <f>IF(U$6&lt;&gt;0,'4.) Yearly Budget'!I37/$AM$18,0)</f>
        <v>0</v>
      </c>
      <c r="AE37" s="105">
        <f>U37-AD37</f>
        <v>0</v>
      </c>
      <c r="AF37" s="278"/>
    </row>
    <row r="38" spans="1:32" s="68" customFormat="1">
      <c r="A38" s="258">
        <f t="shared" si="0"/>
        <v>38</v>
      </c>
      <c r="B38" s="96"/>
      <c r="C38" s="50"/>
      <c r="D38" s="50"/>
      <c r="E38" s="120" t="str">
        <f>'4.) Yearly Budget'!E38</f>
        <v>DYCD (Department of Youth and Community Development)</v>
      </c>
      <c r="F38" s="120"/>
      <c r="G38" s="56"/>
      <c r="H38" s="95"/>
      <c r="I38" s="276"/>
      <c r="J38" s="102">
        <f>IF('4.) Yearly Budget'!$K$18&gt;0,'4.) Yearly Budget'!K38,'4.) Yearly Budget'!J38)</f>
        <v>0</v>
      </c>
      <c r="K38" s="377">
        <f>IF(I$18&lt;&gt;0,I38-J38,0)</f>
        <v>0</v>
      </c>
      <c r="L38" s="100"/>
      <c r="M38" s="102">
        <f>IF('4.) Yearly Budget'!$N$18&gt;0,'4.) Yearly Budget'!N38,'4.) Yearly Budget'!M38)</f>
        <v>0</v>
      </c>
      <c r="N38" s="377">
        <f>IF(L$18&lt;&gt;0,L38-M38,0)</f>
        <v>0</v>
      </c>
      <c r="O38" s="100"/>
      <c r="P38" s="102">
        <f>IF('4.) Yearly Budget'!$Q$18&gt;0,'4.) Yearly Budget'!Q38,'4.) Yearly Budget'!P38)</f>
        <v>0</v>
      </c>
      <c r="Q38" s="377">
        <f>IF(O$18&lt;&gt;0,O38-P38,0)</f>
        <v>0</v>
      </c>
      <c r="R38" s="100"/>
      <c r="S38" s="102">
        <f>IF('4.) Yearly Budget'!$T$18&gt;0,'4.) Yearly Budget'!T38,'4.) Yearly Budget'!S38)</f>
        <v>0</v>
      </c>
      <c r="T38" s="105">
        <f>IF(R$18&lt;&gt;0,R38-S38,0)</f>
        <v>0</v>
      </c>
      <c r="U38" s="277">
        <f>IF(I$6&lt;&gt;0,I38,0)+IF(L$6&lt;&gt;0,L38,0)+IF(O$6&lt;&gt;0,O38,0)+IF(R$6&lt;&gt;0,R38,0)</f>
        <v>0</v>
      </c>
      <c r="V38" s="379">
        <f>SUM(IF(I$6&lt;&gt;0,J38,0)+IF(L$6&lt;&gt;0,M38,0)+IF(O$6&lt;&gt;0,P38,0)+IF(R$6&lt;&gt;0,S38,0))</f>
        <v>0</v>
      </c>
      <c r="W38" s="379">
        <f>U38-V38</f>
        <v>0</v>
      </c>
      <c r="X38" s="379">
        <f>'4.) Yearly Budget'!W38</f>
        <v>0</v>
      </c>
      <c r="Y38" s="380">
        <f>IF(U38&lt;&gt;0,U38-X38,IF(U38=0,-X38,0))</f>
        <v>0</v>
      </c>
      <c r="Z38" s="381">
        <f>SUM(IF(I$18&lt;&gt;0,'4.) Yearly Budget'!J38,0)+IF(L$18&lt;&gt;0,'4.) Yearly Budget'!M38,0)+IF(O$18&lt;&gt;0,'4.) Yearly Budget'!P38,0)+IF(R$18&lt;&gt;0,'4.) Yearly Budget'!S38,0))</f>
        <v>0</v>
      </c>
      <c r="AA38" s="381">
        <f>U38-Z38</f>
        <v>0</v>
      </c>
      <c r="AB38" s="381">
        <f>'4.) Yearly Budget'!V38</f>
        <v>0</v>
      </c>
      <c r="AC38" s="382">
        <f>IF(U38&lt;&gt;0,U38-AB38,IF(U38=0,-AB38,0))</f>
        <v>0</v>
      </c>
      <c r="AD38" s="381">
        <f>IF(U$6&lt;&gt;0,'4.) Yearly Budget'!I38/$AM$18,0)</f>
        <v>0</v>
      </c>
      <c r="AE38" s="105">
        <f>U38-AD38</f>
        <v>0</v>
      </c>
      <c r="AF38" s="278"/>
    </row>
    <row r="39" spans="1:32" s="68" customFormat="1">
      <c r="A39" s="258">
        <f t="shared" si="0"/>
        <v>39</v>
      </c>
      <c r="B39" s="96"/>
      <c r="C39" s="50"/>
      <c r="D39" s="50"/>
      <c r="E39" s="120" t="str">
        <f>'4.) Yearly Budget'!E39</f>
        <v>Other</v>
      </c>
      <c r="F39" s="120"/>
      <c r="G39" s="56"/>
      <c r="H39" s="95"/>
      <c r="I39" s="276"/>
      <c r="J39" s="102">
        <f>IF('4.) Yearly Budget'!$K$18&gt;0,'4.) Yearly Budget'!K39,'4.) Yearly Budget'!J39)</f>
        <v>0</v>
      </c>
      <c r="K39" s="377">
        <f>IF(I$18&lt;&gt;0,I39-J39,0)</f>
        <v>0</v>
      </c>
      <c r="L39" s="100"/>
      <c r="M39" s="102">
        <f>IF('4.) Yearly Budget'!$N$18&gt;0,'4.) Yearly Budget'!N39,'4.) Yearly Budget'!M39)</f>
        <v>0</v>
      </c>
      <c r="N39" s="377">
        <f>IF(L$18&lt;&gt;0,L39-M39,0)</f>
        <v>0</v>
      </c>
      <c r="O39" s="100"/>
      <c r="P39" s="102">
        <f>IF('4.) Yearly Budget'!$Q$18&gt;0,'4.) Yearly Budget'!Q39,'4.) Yearly Budget'!P39)</f>
        <v>0</v>
      </c>
      <c r="Q39" s="377">
        <f>IF(O$18&lt;&gt;0,O39-P39,0)</f>
        <v>0</v>
      </c>
      <c r="R39" s="100"/>
      <c r="S39" s="102">
        <f>IF('4.) Yearly Budget'!$T$18&gt;0,'4.) Yearly Budget'!T39,'4.) Yearly Budget'!S39)</f>
        <v>0</v>
      </c>
      <c r="T39" s="105">
        <f>IF(R$18&lt;&gt;0,R39-S39,0)</f>
        <v>0</v>
      </c>
      <c r="U39" s="277">
        <f>IF(I$6&lt;&gt;0,I39,0)+IF(L$6&lt;&gt;0,L39,0)+IF(O$6&lt;&gt;0,O39,0)+IF(R$6&lt;&gt;0,R39,0)</f>
        <v>0</v>
      </c>
      <c r="V39" s="379">
        <f>SUM(IF(I$6&lt;&gt;0,J39,0)+IF(L$6&lt;&gt;0,M39,0)+IF(O$6&lt;&gt;0,P39,0)+IF(R$6&lt;&gt;0,S39,0))</f>
        <v>0</v>
      </c>
      <c r="W39" s="379">
        <f>U39-V39</f>
        <v>0</v>
      </c>
      <c r="X39" s="379">
        <f>'4.) Yearly Budget'!W39</f>
        <v>0</v>
      </c>
      <c r="Y39" s="380">
        <f>IF(U39&lt;&gt;0,U39-X39,IF(U39=0,-X39,0))</f>
        <v>0</v>
      </c>
      <c r="Z39" s="381">
        <f>SUM(IF(I$18&lt;&gt;0,'4.) Yearly Budget'!J39,0)+IF(L$18&lt;&gt;0,'4.) Yearly Budget'!M39,0)+IF(O$18&lt;&gt;0,'4.) Yearly Budget'!P39,0)+IF(R$18&lt;&gt;0,'4.) Yearly Budget'!S39,0))</f>
        <v>0</v>
      </c>
      <c r="AA39" s="381">
        <f>U39-Z39</f>
        <v>0</v>
      </c>
      <c r="AB39" s="381">
        <f>'4.) Yearly Budget'!V39</f>
        <v>0</v>
      </c>
      <c r="AC39" s="382">
        <f>IF(U39&lt;&gt;0,U39-AB39,IF(U39=0,-AB39,0))</f>
        <v>0</v>
      </c>
      <c r="AD39" s="381">
        <f>IF(U$6&lt;&gt;0,'4.) Yearly Budget'!I39/$AM$18,0)</f>
        <v>0</v>
      </c>
      <c r="AE39" s="105">
        <f>U39-AD39</f>
        <v>0</v>
      </c>
      <c r="AF39" s="278"/>
    </row>
    <row r="40" spans="1:32" s="68" customFormat="1">
      <c r="A40" s="258">
        <f t="shared" si="0"/>
        <v>40</v>
      </c>
      <c r="B40" s="96"/>
      <c r="C40" s="50"/>
      <c r="D40" s="97" t="str">
        <f>'4.) Yearly Budget'!D40</f>
        <v>NYC DoE Rental Assistance</v>
      </c>
      <c r="E40" s="120"/>
      <c r="F40" s="120"/>
      <c r="G40" s="56"/>
      <c r="H40" s="95"/>
      <c r="I40" s="672"/>
      <c r="J40" s="102">
        <f>IF('4.) Yearly Budget'!$K$18&gt;0,'4.) Yearly Budget'!K40,'4.) Yearly Budget'!J40)</f>
        <v>0</v>
      </c>
      <c r="K40" s="377">
        <f>IF(I$18&lt;&gt;0,I40-J40,0)</f>
        <v>0</v>
      </c>
      <c r="L40" s="855"/>
      <c r="M40" s="102">
        <f>IF('4.) Yearly Budget'!$N$18&gt;0,'4.) Yearly Budget'!N40,'4.) Yearly Budget'!M40)</f>
        <v>0</v>
      </c>
      <c r="N40" s="377">
        <f>IF(L$18&lt;&gt;0,L40-M40,0)</f>
        <v>0</v>
      </c>
      <c r="O40" s="855"/>
      <c r="P40" s="102">
        <f>IF('4.) Yearly Budget'!$Q$18&gt;0,'4.) Yearly Budget'!Q40,'4.) Yearly Budget'!P40)</f>
        <v>0</v>
      </c>
      <c r="Q40" s="377">
        <f>IF(O$18&lt;&gt;0,O40-P40,0)</f>
        <v>0</v>
      </c>
      <c r="R40" s="855"/>
      <c r="S40" s="102">
        <f>IF('4.) Yearly Budget'!$T$18&gt;0,'4.) Yearly Budget'!T40,'4.) Yearly Budget'!S40)</f>
        <v>0</v>
      </c>
      <c r="T40" s="105">
        <f>IF(R$18&lt;&gt;0,R40-S40,0)</f>
        <v>0</v>
      </c>
      <c r="U40" s="277">
        <f>IF(I$6&lt;&gt;0,I40,0)+IF(L$6&lt;&gt;0,L40,0)+IF(O$6&lt;&gt;0,O40,0)+IF(R$6&lt;&gt;0,R40,0)</f>
        <v>0</v>
      </c>
      <c r="V40" s="379">
        <f>SUM(IF(I$6&lt;&gt;0,J40,0)+IF(L$6&lt;&gt;0,M40,0)+IF(O$6&lt;&gt;0,P40,0)+IF(R$6&lt;&gt;0,S40,0))</f>
        <v>0</v>
      </c>
      <c r="W40" s="379">
        <f>U40-V40</f>
        <v>0</v>
      </c>
      <c r="X40" s="379">
        <f>'4.) Yearly Budget'!W40</f>
        <v>0</v>
      </c>
      <c r="Y40" s="380">
        <f>IF(U40&lt;&gt;0,U40-X40,IF(U40=0,-X40,0))</f>
        <v>0</v>
      </c>
      <c r="Z40" s="381">
        <f>SUM(IF(I$18&lt;&gt;0,'4.) Yearly Budget'!J40,0)+IF(L$18&lt;&gt;0,'4.) Yearly Budget'!M40,0)+IF(O$18&lt;&gt;0,'4.) Yearly Budget'!P40,0)+IF(R$18&lt;&gt;0,'4.) Yearly Budget'!S40,0))</f>
        <v>0</v>
      </c>
      <c r="AA40" s="381">
        <f>U40-Z40</f>
        <v>0</v>
      </c>
      <c r="AB40" s="381">
        <f>'4.) Yearly Budget'!V40</f>
        <v>0</v>
      </c>
      <c r="AC40" s="382">
        <f>IF(U40&lt;&gt;0,U40-AB40,IF(U40=0,-AB40,0))</f>
        <v>0</v>
      </c>
      <c r="AD40" s="381">
        <f>IF(U$6&lt;&gt;0,'4.) Yearly Budget'!I40/$AM$18,0)</f>
        <v>0</v>
      </c>
      <c r="AE40" s="105">
        <f>U40-AD40</f>
        <v>0</v>
      </c>
      <c r="AF40" s="278"/>
    </row>
    <row r="41" spans="1:32" s="68" customFormat="1" ht="17.25">
      <c r="A41" s="258">
        <f t="shared" si="0"/>
        <v>41</v>
      </c>
      <c r="B41" s="96"/>
      <c r="C41" s="50"/>
      <c r="D41" s="97" t="str">
        <f>'4.) Yearly Budget'!D41</f>
        <v>Other</v>
      </c>
      <c r="E41" s="94"/>
      <c r="F41" s="94"/>
      <c r="G41" s="57"/>
      <c r="H41" s="95"/>
      <c r="I41" s="284"/>
      <c r="J41" s="549">
        <f>IF('4.) Yearly Budget'!$K$18&gt;0,'4.) Yearly Budget'!K41,'4.) Yearly Budget'!J41)</f>
        <v>0</v>
      </c>
      <c r="K41" s="387">
        <f>IF(I$18&lt;&gt;0,I41-J41,0)</f>
        <v>0</v>
      </c>
      <c r="L41" s="106"/>
      <c r="M41" s="549">
        <f>IF('4.) Yearly Budget'!$N$18&gt;0,'4.) Yearly Budget'!N41,'4.) Yearly Budget'!M41)</f>
        <v>0</v>
      </c>
      <c r="N41" s="387">
        <f>IF(L$18&lt;&gt;0,L41-M41,0)</f>
        <v>0</v>
      </c>
      <c r="O41" s="106"/>
      <c r="P41" s="549">
        <f>IF('4.) Yearly Budget'!$Q$18&gt;0,'4.) Yearly Budget'!Q41,'4.) Yearly Budget'!P41)</f>
        <v>0</v>
      </c>
      <c r="Q41" s="387">
        <f>IF(O$18&lt;&gt;0,O41-P41,0)</f>
        <v>0</v>
      </c>
      <c r="R41" s="106"/>
      <c r="S41" s="549">
        <f>IF('4.) Yearly Budget'!$T$18&gt;0,'4.) Yearly Budget'!T41,'4.) Yearly Budget'!S41)</f>
        <v>0</v>
      </c>
      <c r="T41" s="388">
        <f>IF(R$18&lt;&gt;0,R41-S41,0)</f>
        <v>0</v>
      </c>
      <c r="U41" s="285">
        <f>IF(I$6&lt;&gt;0,I41,0)+IF(L$6&lt;&gt;0,L41,0)+IF(O$6&lt;&gt;0,O41,0)+IF(R$6&lt;&gt;0,R41,0)</f>
        <v>0</v>
      </c>
      <c r="V41" s="389">
        <f>SUM(IF(I$6&lt;&gt;0,J41,0)+IF(L$6&lt;&gt;0,M41,0)+IF(O$6&lt;&gt;0,P41,0)+IF(R$6&lt;&gt;0,S41,0))</f>
        <v>0</v>
      </c>
      <c r="W41" s="389">
        <f>U41-V41</f>
        <v>0</v>
      </c>
      <c r="X41" s="389">
        <f>'4.) Yearly Budget'!W41</f>
        <v>0</v>
      </c>
      <c r="Y41" s="390">
        <f>IF(U41&lt;&gt;0,U41-X41,IF(U41=0,-X41,0))</f>
        <v>0</v>
      </c>
      <c r="Z41" s="391">
        <f>SUM(IF(I$18&lt;&gt;0,'4.) Yearly Budget'!J41,0)+IF(L$18&lt;&gt;0,'4.) Yearly Budget'!M41,0)+IF(O$18&lt;&gt;0,'4.) Yearly Budget'!P41,0)+IF(R$18&lt;&gt;0,'4.) Yearly Budget'!S41,0))</f>
        <v>0</v>
      </c>
      <c r="AA41" s="391">
        <f>U41-Z41</f>
        <v>0</v>
      </c>
      <c r="AB41" s="391">
        <f>'4.) Yearly Budget'!V41</f>
        <v>0</v>
      </c>
      <c r="AC41" s="392">
        <f>IF(U41&lt;&gt;0,U41-AB41,IF(U41=0,-AB41,0))</f>
        <v>0</v>
      </c>
      <c r="AD41" s="391">
        <f>IF(U$6&lt;&gt;0,'4.) Yearly Budget'!I41/$AM$18,0)</f>
        <v>0</v>
      </c>
      <c r="AE41" s="388">
        <f>U41-AD41</f>
        <v>0</v>
      </c>
      <c r="AF41" s="278"/>
    </row>
    <row r="42" spans="1:32" s="68" customFormat="1">
      <c r="A42" s="258">
        <f t="shared" si="0"/>
        <v>42</v>
      </c>
      <c r="B42" s="96"/>
      <c r="C42" s="50" t="str">
        <f>'4.) Yearly Budget'!C42</f>
        <v>TOTAL REVENUE FROM STATE SOURCES</v>
      </c>
      <c r="D42" s="97"/>
      <c r="E42" s="94"/>
      <c r="F42" s="94"/>
      <c r="G42" s="57"/>
      <c r="H42" s="95"/>
      <c r="I42" s="281">
        <f t="shared" ref="I42:AE42" si="16">SUM(I34:I41)</f>
        <v>0</v>
      </c>
      <c r="J42" s="158">
        <f t="shared" si="16"/>
        <v>0</v>
      </c>
      <c r="K42" s="383">
        <f t="shared" si="16"/>
        <v>0</v>
      </c>
      <c r="L42" s="102">
        <f t="shared" si="16"/>
        <v>0</v>
      </c>
      <c r="M42" s="158">
        <f t="shared" si="16"/>
        <v>0</v>
      </c>
      <c r="N42" s="383">
        <f t="shared" si="16"/>
        <v>0</v>
      </c>
      <c r="O42" s="102">
        <f t="shared" si="16"/>
        <v>0</v>
      </c>
      <c r="P42" s="158">
        <f t="shared" si="16"/>
        <v>0</v>
      </c>
      <c r="Q42" s="383">
        <f t="shared" si="16"/>
        <v>0</v>
      </c>
      <c r="R42" s="102">
        <f t="shared" si="16"/>
        <v>0</v>
      </c>
      <c r="S42" s="158">
        <f t="shared" si="16"/>
        <v>0</v>
      </c>
      <c r="T42" s="103">
        <f t="shared" si="16"/>
        <v>0</v>
      </c>
      <c r="U42" s="277">
        <f t="shared" si="16"/>
        <v>0</v>
      </c>
      <c r="V42" s="156">
        <f t="shared" si="16"/>
        <v>0</v>
      </c>
      <c r="W42" s="156">
        <f t="shared" si="16"/>
        <v>0</v>
      </c>
      <c r="X42" s="156">
        <f t="shared" si="16"/>
        <v>0</v>
      </c>
      <c r="Y42" s="383">
        <f t="shared" si="16"/>
        <v>0</v>
      </c>
      <c r="Z42" s="104">
        <f t="shared" si="16"/>
        <v>0</v>
      </c>
      <c r="AA42" s="104">
        <f t="shared" si="16"/>
        <v>0</v>
      </c>
      <c r="AB42" s="104">
        <f t="shared" si="16"/>
        <v>0</v>
      </c>
      <c r="AC42" s="382">
        <f t="shared" si="16"/>
        <v>0</v>
      </c>
      <c r="AD42" s="104">
        <f t="shared" si="16"/>
        <v>0</v>
      </c>
      <c r="AE42" s="105">
        <f t="shared" si="16"/>
        <v>0</v>
      </c>
      <c r="AF42" s="278"/>
    </row>
    <row r="43" spans="1:32" s="94" customFormat="1" ht="7.5" customHeight="1">
      <c r="A43" s="258">
        <f t="shared" si="0"/>
        <v>43</v>
      </c>
      <c r="B43" s="96"/>
      <c r="C43" s="50"/>
      <c r="D43" s="50"/>
      <c r="E43" s="53"/>
      <c r="F43" s="53"/>
      <c r="G43" s="51"/>
      <c r="H43" s="95"/>
      <c r="I43" s="107"/>
      <c r="J43" s="107"/>
      <c r="K43" s="107"/>
      <c r="L43" s="107"/>
      <c r="M43" s="107"/>
      <c r="N43" s="107"/>
      <c r="O43" s="107"/>
      <c r="P43" s="107"/>
      <c r="Q43" s="107"/>
      <c r="R43" s="107"/>
      <c r="S43" s="107"/>
      <c r="T43" s="108"/>
      <c r="U43" s="107"/>
      <c r="V43" s="107"/>
      <c r="W43" s="107"/>
      <c r="X43" s="107"/>
      <c r="Y43" s="107"/>
      <c r="Z43" s="107"/>
      <c r="AA43" s="107"/>
      <c r="AB43" s="107"/>
      <c r="AC43" s="107"/>
      <c r="AD43" s="107"/>
      <c r="AE43" s="108"/>
      <c r="AF43" s="278"/>
    </row>
    <row r="44" spans="1:32" s="68" customFormat="1">
      <c r="A44" s="258">
        <f t="shared" si="0"/>
        <v>44</v>
      </c>
      <c r="B44" s="92"/>
      <c r="C44" s="93" t="s">
        <v>31</v>
      </c>
      <c r="D44" s="93"/>
      <c r="E44" s="53"/>
      <c r="F44" s="53"/>
      <c r="G44" s="51"/>
      <c r="H44" s="95"/>
      <c r="I44" s="98"/>
      <c r="J44" s="98"/>
      <c r="K44" s="98"/>
      <c r="L44" s="98"/>
      <c r="M44" s="98"/>
      <c r="N44" s="98"/>
      <c r="O44" s="98"/>
      <c r="P44" s="98"/>
      <c r="Q44" s="98"/>
      <c r="R44" s="98"/>
      <c r="S44" s="98"/>
      <c r="T44" s="99"/>
      <c r="U44" s="98"/>
      <c r="V44" s="98"/>
      <c r="W44" s="98"/>
      <c r="X44" s="98"/>
      <c r="Y44" s="98"/>
      <c r="Z44" s="98"/>
      <c r="AA44" s="98"/>
      <c r="AB44" s="98"/>
      <c r="AC44" s="98"/>
      <c r="AD44" s="98"/>
      <c r="AE44" s="99"/>
      <c r="AF44" s="278"/>
    </row>
    <row r="45" spans="1:32" s="68" customFormat="1">
      <c r="A45" s="258">
        <f t="shared" si="0"/>
        <v>45</v>
      </c>
      <c r="B45" s="96"/>
      <c r="C45" s="50"/>
      <c r="D45" s="97" t="s">
        <v>32</v>
      </c>
      <c r="E45" s="94"/>
      <c r="F45" s="94"/>
      <c r="G45" s="57"/>
      <c r="H45" s="95"/>
      <c r="I45" s="276"/>
      <c r="J45" s="102">
        <f>IF('4.) Yearly Budget'!$K$18&gt;0,'4.) Yearly Budget'!K45,'4.) Yearly Budget'!J45)</f>
        <v>0</v>
      </c>
      <c r="K45" s="382">
        <f>IF(I$18&lt;&gt;0,I45-J45,0)</f>
        <v>0</v>
      </c>
      <c r="L45" s="100"/>
      <c r="M45" s="102">
        <f>IF('4.) Yearly Budget'!$N$18&gt;0,'4.) Yearly Budget'!N45,'4.) Yearly Budget'!M45)</f>
        <v>0</v>
      </c>
      <c r="N45" s="382">
        <f>IF(L$18&lt;&gt;0,L45-M45,0)</f>
        <v>0</v>
      </c>
      <c r="O45" s="100"/>
      <c r="P45" s="102">
        <f>IF('4.) Yearly Budget'!$Q$18&gt;0,'4.) Yearly Budget'!Q45,'4.) Yearly Budget'!P45)</f>
        <v>0</v>
      </c>
      <c r="Q45" s="382">
        <f>IF(O$18&lt;&gt;0,O45-P45,0)</f>
        <v>0</v>
      </c>
      <c r="R45" s="100"/>
      <c r="S45" s="102">
        <f>IF('4.) Yearly Budget'!$T$18&gt;0,'4.) Yearly Budget'!T45,'4.) Yearly Budget'!S45)</f>
        <v>0</v>
      </c>
      <c r="T45" s="105">
        <f>IF(R$18&lt;&gt;0,R45-S45,0)</f>
        <v>0</v>
      </c>
      <c r="U45" s="277">
        <f>IF(I$6&lt;&gt;0,I45,0)+IF(L$6&lt;&gt;0,L45,0)+IF(O$6&lt;&gt;0,O45,0)+IF(R$6&lt;&gt;0,R45,0)</f>
        <v>0</v>
      </c>
      <c r="V45" s="379">
        <f>SUM(IF(I$6&lt;&gt;0,J45,0)+IF(L$6&lt;&gt;0,M45,0)+IF(O$6&lt;&gt;0,P45,0)+IF(R$6&lt;&gt;0,S45,0))</f>
        <v>0</v>
      </c>
      <c r="W45" s="379">
        <f>U45-V45</f>
        <v>0</v>
      </c>
      <c r="X45" s="379">
        <f>'4.) Yearly Budget'!W45</f>
        <v>0</v>
      </c>
      <c r="Y45" s="380">
        <f>IF(U45&lt;&gt;0,U45-X45,IF(U45=0,-X45,0))</f>
        <v>0</v>
      </c>
      <c r="Z45" s="381">
        <f>SUM(IF(I$18&lt;&gt;0,'4.) Yearly Budget'!J45,0)+IF(L$18&lt;&gt;0,'4.) Yearly Budget'!M45,0)+IF(O$18&lt;&gt;0,'4.) Yearly Budget'!P45,0)+IF(R$18&lt;&gt;0,'4.) Yearly Budget'!S45,0))</f>
        <v>0</v>
      </c>
      <c r="AA45" s="381">
        <f>U45-Z45</f>
        <v>0</v>
      </c>
      <c r="AB45" s="381">
        <f>'4.) Yearly Budget'!V45</f>
        <v>0</v>
      </c>
      <c r="AC45" s="382">
        <f>IF(U45&lt;&gt;0,U45-AB45,IF(U45=0,-AB45,0))</f>
        <v>0</v>
      </c>
      <c r="AD45" s="381">
        <f>IF(U$6&lt;&gt;0,'4.) Yearly Budget'!I45/$AM$18,0)</f>
        <v>0</v>
      </c>
      <c r="AE45" s="105">
        <f>U45-AD45</f>
        <v>0</v>
      </c>
      <c r="AF45" s="278"/>
    </row>
    <row r="46" spans="1:32" s="68" customFormat="1">
      <c r="A46" s="258">
        <f t="shared" si="0"/>
        <v>46</v>
      </c>
      <c r="B46" s="96"/>
      <c r="C46" s="50"/>
      <c r="D46" s="97" t="s">
        <v>33</v>
      </c>
      <c r="E46" s="94"/>
      <c r="F46" s="94"/>
      <c r="G46" s="57"/>
      <c r="H46" s="95"/>
      <c r="I46" s="276"/>
      <c r="J46" s="102">
        <f>IF('4.) Yearly Budget'!$K$18&gt;0,'4.) Yearly Budget'!K46,'4.) Yearly Budget'!J46)</f>
        <v>0</v>
      </c>
      <c r="K46" s="382">
        <f>IF(I$18&lt;&gt;0,I46-J46,0)</f>
        <v>0</v>
      </c>
      <c r="L46" s="100"/>
      <c r="M46" s="102">
        <f>IF('4.) Yearly Budget'!$N$18&gt;0,'4.) Yearly Budget'!N46,'4.) Yearly Budget'!M46)</f>
        <v>0</v>
      </c>
      <c r="N46" s="382">
        <f>IF(L$18&lt;&gt;0,L46-M46,0)</f>
        <v>0</v>
      </c>
      <c r="O46" s="100"/>
      <c r="P46" s="102">
        <f>IF('4.) Yearly Budget'!$Q$18&gt;0,'4.) Yearly Budget'!Q46,'4.) Yearly Budget'!P46)</f>
        <v>0</v>
      </c>
      <c r="Q46" s="382">
        <f>IF(O$18&lt;&gt;0,O46-P46,0)</f>
        <v>0</v>
      </c>
      <c r="R46" s="100"/>
      <c r="S46" s="102">
        <f>IF('4.) Yearly Budget'!$T$18&gt;0,'4.) Yearly Budget'!T46,'4.) Yearly Budget'!S46)</f>
        <v>0</v>
      </c>
      <c r="T46" s="105">
        <f>IF(R$18&lt;&gt;0,R46-S46,0)</f>
        <v>0</v>
      </c>
      <c r="U46" s="277">
        <f>IF(I$6&lt;&gt;0,I46,0)+IF(L$6&lt;&gt;0,L46,0)+IF(O$6&lt;&gt;0,O46,0)+IF(R$6&lt;&gt;0,R46,0)</f>
        <v>0</v>
      </c>
      <c r="V46" s="379">
        <f>SUM(IF(I$6&lt;&gt;0,J46,0)+IF(L$6&lt;&gt;0,M46,0)+IF(O$6&lt;&gt;0,P46,0)+IF(R$6&lt;&gt;0,S46,0))</f>
        <v>0</v>
      </c>
      <c r="W46" s="379">
        <f>U46-V46</f>
        <v>0</v>
      </c>
      <c r="X46" s="379">
        <f>'4.) Yearly Budget'!W46</f>
        <v>0</v>
      </c>
      <c r="Y46" s="380">
        <f>IF(U46&lt;&gt;0,U46-X46,IF(U46=0,-X46,0))</f>
        <v>0</v>
      </c>
      <c r="Z46" s="381">
        <f>SUM(IF(I$18&lt;&gt;0,'4.) Yearly Budget'!J46,0)+IF(L$18&lt;&gt;0,'4.) Yearly Budget'!M46,0)+IF(O$18&lt;&gt;0,'4.) Yearly Budget'!P46,0)+IF(R$18&lt;&gt;0,'4.) Yearly Budget'!S46,0))</f>
        <v>0</v>
      </c>
      <c r="AA46" s="381">
        <f>U46-Z46</f>
        <v>0</v>
      </c>
      <c r="AB46" s="381">
        <f>'4.) Yearly Budget'!V46</f>
        <v>0</v>
      </c>
      <c r="AC46" s="382">
        <f>IF(U46&lt;&gt;0,U46-AB46,IF(U46=0,-AB46,0))</f>
        <v>0</v>
      </c>
      <c r="AD46" s="381">
        <f>IF(U$6&lt;&gt;0,'4.) Yearly Budget'!I46/$AM$18,0)</f>
        <v>0</v>
      </c>
      <c r="AE46" s="105">
        <f>U46-AD46</f>
        <v>0</v>
      </c>
      <c r="AF46" s="278"/>
    </row>
    <row r="47" spans="1:32" s="68" customFormat="1">
      <c r="A47" s="258">
        <f t="shared" si="0"/>
        <v>47</v>
      </c>
      <c r="B47" s="96"/>
      <c r="C47" s="50"/>
      <c r="D47" s="97" t="s">
        <v>34</v>
      </c>
      <c r="E47" s="94"/>
      <c r="F47" s="94"/>
      <c r="G47" s="57"/>
      <c r="H47" s="95"/>
      <c r="I47" s="276"/>
      <c r="J47" s="102">
        <f>IF('4.) Yearly Budget'!$K$18&gt;0,'4.) Yearly Budget'!K47,'4.) Yearly Budget'!J47)</f>
        <v>0</v>
      </c>
      <c r="K47" s="382">
        <f>IF(I$18&lt;&gt;0,I47-J47,0)</f>
        <v>0</v>
      </c>
      <c r="L47" s="100"/>
      <c r="M47" s="102">
        <f>IF('4.) Yearly Budget'!$N$18&gt;0,'4.) Yearly Budget'!N47,'4.) Yearly Budget'!M47)</f>
        <v>0</v>
      </c>
      <c r="N47" s="382">
        <f>IF(L$18&lt;&gt;0,L47-M47,0)</f>
        <v>0</v>
      </c>
      <c r="O47" s="100"/>
      <c r="P47" s="102">
        <f>IF('4.) Yearly Budget'!$Q$18&gt;0,'4.) Yearly Budget'!Q47,'4.) Yearly Budget'!P47)</f>
        <v>0</v>
      </c>
      <c r="Q47" s="382">
        <f>IF(O$18&lt;&gt;0,O47-P47,0)</f>
        <v>0</v>
      </c>
      <c r="R47" s="100"/>
      <c r="S47" s="102">
        <f>IF('4.) Yearly Budget'!$T$18&gt;0,'4.) Yearly Budget'!T47,'4.) Yearly Budget'!S47)</f>
        <v>0</v>
      </c>
      <c r="T47" s="105">
        <f>IF(R$18&lt;&gt;0,R47-S47,0)</f>
        <v>0</v>
      </c>
      <c r="U47" s="277">
        <f>IF(I$6&lt;&gt;0,I47,0)+IF(L$6&lt;&gt;0,L47,0)+IF(O$6&lt;&gt;0,O47,0)+IF(R$6&lt;&gt;0,R47,0)</f>
        <v>0</v>
      </c>
      <c r="V47" s="379">
        <f>SUM(IF(I$6&lt;&gt;0,J47,0)+IF(L$6&lt;&gt;0,M47,0)+IF(O$6&lt;&gt;0,P47,0)+IF(R$6&lt;&gt;0,S47,0))</f>
        <v>0</v>
      </c>
      <c r="W47" s="379">
        <f>U47-V47</f>
        <v>0</v>
      </c>
      <c r="X47" s="379">
        <f>'4.) Yearly Budget'!W47</f>
        <v>0</v>
      </c>
      <c r="Y47" s="380">
        <f>IF(U47&lt;&gt;0,U47-X47,IF(U47=0,-X47,0))</f>
        <v>0</v>
      </c>
      <c r="Z47" s="381">
        <f>SUM(IF(I$18&lt;&gt;0,'4.) Yearly Budget'!J47,0)+IF(L$18&lt;&gt;0,'4.) Yearly Budget'!M47,0)+IF(O$18&lt;&gt;0,'4.) Yearly Budget'!P47,0)+IF(R$18&lt;&gt;0,'4.) Yearly Budget'!S47,0))</f>
        <v>0</v>
      </c>
      <c r="AA47" s="381">
        <f>U47-Z47</f>
        <v>0</v>
      </c>
      <c r="AB47" s="381">
        <f>'4.) Yearly Budget'!V47</f>
        <v>0</v>
      </c>
      <c r="AC47" s="382">
        <f>IF(U47&lt;&gt;0,U47-AB47,IF(U47=0,-AB47,0))</f>
        <v>0</v>
      </c>
      <c r="AD47" s="381">
        <f>IF(U$6&lt;&gt;0,'4.) Yearly Budget'!I47/$AM$18,0)</f>
        <v>0</v>
      </c>
      <c r="AE47" s="105">
        <f>U47-AD47</f>
        <v>0</v>
      </c>
      <c r="AF47" s="278"/>
    </row>
    <row r="48" spans="1:32" s="68" customFormat="1">
      <c r="A48" s="258">
        <f t="shared" si="0"/>
        <v>48</v>
      </c>
      <c r="B48" s="96"/>
      <c r="C48" s="50"/>
      <c r="D48" s="97" t="s">
        <v>35</v>
      </c>
      <c r="E48" s="94"/>
      <c r="F48" s="94"/>
      <c r="G48" s="57"/>
      <c r="H48" s="95"/>
      <c r="I48" s="276"/>
      <c r="J48" s="102">
        <f>IF('4.) Yearly Budget'!$K$18&gt;0,'4.) Yearly Budget'!K48,'4.) Yearly Budget'!J48)</f>
        <v>0</v>
      </c>
      <c r="K48" s="382">
        <f>IF(I$18&lt;&gt;0,I48-J48,0)</f>
        <v>0</v>
      </c>
      <c r="L48" s="100"/>
      <c r="M48" s="102">
        <f>IF('4.) Yearly Budget'!$N$18&gt;0,'4.) Yearly Budget'!N48,'4.) Yearly Budget'!M48)</f>
        <v>0</v>
      </c>
      <c r="N48" s="382">
        <f>IF(L$18&lt;&gt;0,L48-M48,0)</f>
        <v>0</v>
      </c>
      <c r="O48" s="100"/>
      <c r="P48" s="102">
        <f>IF('4.) Yearly Budget'!$Q$18&gt;0,'4.) Yearly Budget'!Q48,'4.) Yearly Budget'!P48)</f>
        <v>0</v>
      </c>
      <c r="Q48" s="382">
        <f>IF(O$18&lt;&gt;0,O48-P48,0)</f>
        <v>0</v>
      </c>
      <c r="R48" s="100"/>
      <c r="S48" s="102">
        <f>IF('4.) Yearly Budget'!$T$18&gt;0,'4.) Yearly Budget'!T48,'4.) Yearly Budget'!S48)</f>
        <v>0</v>
      </c>
      <c r="T48" s="105">
        <f>IF(R$18&lt;&gt;0,R48-S48,0)</f>
        <v>0</v>
      </c>
      <c r="U48" s="277">
        <f>IF(I$6&lt;&gt;0,I48,0)+IF(L$6&lt;&gt;0,L48,0)+IF(O$6&lt;&gt;0,O48,0)+IF(R$6&lt;&gt;0,R48,0)</f>
        <v>0</v>
      </c>
      <c r="V48" s="379">
        <f>SUM(IF(I$6&lt;&gt;0,J48,0)+IF(L$6&lt;&gt;0,M48,0)+IF(O$6&lt;&gt;0,P48,0)+IF(R$6&lt;&gt;0,S48,0))</f>
        <v>0</v>
      </c>
      <c r="W48" s="379">
        <f>U48-V48</f>
        <v>0</v>
      </c>
      <c r="X48" s="379">
        <f>'4.) Yearly Budget'!W48</f>
        <v>0</v>
      </c>
      <c r="Y48" s="380">
        <f>IF(U48&lt;&gt;0,U48-X48,IF(U48=0,-X48,0))</f>
        <v>0</v>
      </c>
      <c r="Z48" s="381">
        <f>SUM(IF(I$18&lt;&gt;0,'4.) Yearly Budget'!J48,0)+IF(L$18&lt;&gt;0,'4.) Yearly Budget'!M48,0)+IF(O$18&lt;&gt;0,'4.) Yearly Budget'!P48,0)+IF(R$18&lt;&gt;0,'4.) Yearly Budget'!S48,0))</f>
        <v>0</v>
      </c>
      <c r="AA48" s="381">
        <f>U48-Z48</f>
        <v>0</v>
      </c>
      <c r="AB48" s="381">
        <f>'4.) Yearly Budget'!V48</f>
        <v>0</v>
      </c>
      <c r="AC48" s="382">
        <f>IF(U48&lt;&gt;0,U48-AB48,IF(U48=0,-AB48,0))</f>
        <v>0</v>
      </c>
      <c r="AD48" s="381">
        <f>IF(U$6&lt;&gt;0,'4.) Yearly Budget'!I48/$AM$18,0)</f>
        <v>0</v>
      </c>
      <c r="AE48" s="105">
        <f>U48-AD48</f>
        <v>0</v>
      </c>
      <c r="AF48" s="278"/>
    </row>
    <row r="49" spans="1:32" s="68" customFormat="1">
      <c r="A49" s="258">
        <f t="shared" si="0"/>
        <v>49</v>
      </c>
      <c r="B49" s="96"/>
      <c r="C49" s="50"/>
      <c r="D49" s="97" t="s">
        <v>27</v>
      </c>
      <c r="E49" s="94"/>
      <c r="F49" s="94"/>
      <c r="G49" s="57"/>
      <c r="H49" s="95"/>
      <c r="I49" s="104"/>
      <c r="J49" s="104"/>
      <c r="K49" s="104"/>
      <c r="L49" s="104"/>
      <c r="M49" s="104"/>
      <c r="N49" s="104"/>
      <c r="O49" s="104"/>
      <c r="P49" s="104"/>
      <c r="Q49" s="104"/>
      <c r="R49" s="104"/>
      <c r="S49" s="104"/>
      <c r="T49" s="105"/>
      <c r="U49" s="283"/>
      <c r="V49" s="386"/>
      <c r="W49" s="386"/>
      <c r="X49" s="386"/>
      <c r="Y49" s="386"/>
      <c r="Z49" s="386"/>
      <c r="AA49" s="386"/>
      <c r="AB49" s="386"/>
      <c r="AC49" s="104"/>
      <c r="AD49" s="386"/>
      <c r="AE49" s="105"/>
      <c r="AF49" s="278"/>
    </row>
    <row r="50" spans="1:32" s="68" customFormat="1">
      <c r="A50" s="258">
        <f t="shared" si="0"/>
        <v>50</v>
      </c>
      <c r="B50" s="96"/>
      <c r="C50" s="50"/>
      <c r="D50" s="50"/>
      <c r="E50" s="120" t="s">
        <v>36</v>
      </c>
      <c r="F50" s="120"/>
      <c r="G50" s="56"/>
      <c r="H50" s="95"/>
      <c r="I50" s="276"/>
      <c r="J50" s="102">
        <f>IF('4.) Yearly Budget'!$K$18&gt;0,'4.) Yearly Budget'!K50,'4.) Yearly Budget'!J50)</f>
        <v>0</v>
      </c>
      <c r="K50" s="382">
        <f>IF(I$18&lt;&gt;0,I50-J50,0)</f>
        <v>0</v>
      </c>
      <c r="L50" s="100"/>
      <c r="M50" s="102">
        <f>IF('4.) Yearly Budget'!$N$18&gt;0,'4.) Yearly Budget'!N50,'4.) Yearly Budget'!M50)</f>
        <v>0</v>
      </c>
      <c r="N50" s="382">
        <f>IF(L$18&lt;&gt;0,L50-M50,0)</f>
        <v>0</v>
      </c>
      <c r="O50" s="100"/>
      <c r="P50" s="102">
        <f>IF('4.) Yearly Budget'!$Q$18&gt;0,'4.) Yearly Budget'!Q50,'4.) Yearly Budget'!P50)</f>
        <v>0</v>
      </c>
      <c r="Q50" s="382">
        <f>IF(O$18&lt;&gt;0,O50-P50,0)</f>
        <v>0</v>
      </c>
      <c r="R50" s="100"/>
      <c r="S50" s="102">
        <f>IF('4.) Yearly Budget'!$T$18&gt;0,'4.) Yearly Budget'!T50,'4.) Yearly Budget'!S50)</f>
        <v>0</v>
      </c>
      <c r="T50" s="105">
        <f>IF(R$18&lt;&gt;0,R50-S50,0)</f>
        <v>0</v>
      </c>
      <c r="U50" s="277">
        <f>IF(I$6&lt;&gt;0,I50,0)+IF(L$6&lt;&gt;0,L50,0)+IF(O$6&lt;&gt;0,O50,0)+IF(R$6&lt;&gt;0,R50,0)</f>
        <v>0</v>
      </c>
      <c r="V50" s="379">
        <f>SUM(IF(I$6&lt;&gt;0,J50,0)+IF(L$6&lt;&gt;0,M50,0)+IF(O$6&lt;&gt;0,P50,0)+IF(R$6&lt;&gt;0,S50,0))</f>
        <v>0</v>
      </c>
      <c r="W50" s="379">
        <f>U50-V50</f>
        <v>0</v>
      </c>
      <c r="X50" s="379">
        <f>'4.) Yearly Budget'!W50</f>
        <v>0</v>
      </c>
      <c r="Y50" s="380">
        <f>IF(U50&lt;&gt;0,U50-X50,IF(U50=0,-X50,0))</f>
        <v>0</v>
      </c>
      <c r="Z50" s="381">
        <f>SUM(IF(I$18&lt;&gt;0,'4.) Yearly Budget'!J50,0)+IF(L$18&lt;&gt;0,'4.) Yearly Budget'!M50,0)+IF(O$18&lt;&gt;0,'4.) Yearly Budget'!P50,0)+IF(R$18&lt;&gt;0,'4.) Yearly Budget'!S50,0))</f>
        <v>0</v>
      </c>
      <c r="AA50" s="381">
        <f>U50-Z50</f>
        <v>0</v>
      </c>
      <c r="AB50" s="381">
        <f>'4.) Yearly Budget'!V50</f>
        <v>0</v>
      </c>
      <c r="AC50" s="382">
        <f>IF(U50&lt;&gt;0,U50-AB50,IF(U50=0,-AB50,0))</f>
        <v>0</v>
      </c>
      <c r="AD50" s="381">
        <f>IF(U$6&lt;&gt;0,'4.) Yearly Budget'!I50/$AM$18,0)</f>
        <v>0</v>
      </c>
      <c r="AE50" s="105">
        <f>U50-AD50</f>
        <v>0</v>
      </c>
      <c r="AF50" s="278"/>
    </row>
    <row r="51" spans="1:32" s="68" customFormat="1">
      <c r="A51" s="258">
        <f t="shared" si="0"/>
        <v>51</v>
      </c>
      <c r="B51" s="96"/>
      <c r="C51" s="50"/>
      <c r="D51" s="50"/>
      <c r="E51" s="120" t="s">
        <v>29</v>
      </c>
      <c r="F51" s="120"/>
      <c r="G51" s="56"/>
      <c r="H51" s="95"/>
      <c r="I51" s="276"/>
      <c r="J51" s="102">
        <f>IF('4.) Yearly Budget'!$K$18&gt;0,'4.) Yearly Budget'!K51,'4.) Yearly Budget'!J51)</f>
        <v>0</v>
      </c>
      <c r="K51" s="382">
        <f>IF(I$18&lt;&gt;0,I51-J51,0)</f>
        <v>0</v>
      </c>
      <c r="L51" s="100"/>
      <c r="M51" s="102">
        <f>IF('4.) Yearly Budget'!$N$18&gt;0,'4.) Yearly Budget'!N51,'4.) Yearly Budget'!M51)</f>
        <v>0</v>
      </c>
      <c r="N51" s="382">
        <f>IF(L$18&lt;&gt;0,L51-M51,0)</f>
        <v>0</v>
      </c>
      <c r="O51" s="100"/>
      <c r="P51" s="102">
        <f>IF('4.) Yearly Budget'!$Q$18&gt;0,'4.) Yearly Budget'!Q51,'4.) Yearly Budget'!P51)</f>
        <v>0</v>
      </c>
      <c r="Q51" s="382">
        <f>IF(O$18&lt;&gt;0,O51-P51,0)</f>
        <v>0</v>
      </c>
      <c r="R51" s="100"/>
      <c r="S51" s="102">
        <f>IF('4.) Yearly Budget'!$T$18&gt;0,'4.) Yearly Budget'!T51,'4.) Yearly Budget'!S51)</f>
        <v>0</v>
      </c>
      <c r="T51" s="105">
        <f>IF(R$18&lt;&gt;0,R51-S51,0)</f>
        <v>0</v>
      </c>
      <c r="U51" s="277">
        <f>IF(I$6&lt;&gt;0,I51,0)+IF(L$6&lt;&gt;0,L51,0)+IF(O$6&lt;&gt;0,O51,0)+IF(R$6&lt;&gt;0,R51,0)</f>
        <v>0</v>
      </c>
      <c r="V51" s="379">
        <f>SUM(IF(I$6&lt;&gt;0,J51,0)+IF(L$6&lt;&gt;0,M51,0)+IF(O$6&lt;&gt;0,P51,0)+IF(R$6&lt;&gt;0,S51,0))</f>
        <v>0</v>
      </c>
      <c r="W51" s="379">
        <f>U51-V51</f>
        <v>0</v>
      </c>
      <c r="X51" s="379">
        <f>'4.) Yearly Budget'!W51</f>
        <v>0</v>
      </c>
      <c r="Y51" s="380">
        <f>IF(U51&lt;&gt;0,U51-X51,IF(U51=0,-X51,0))</f>
        <v>0</v>
      </c>
      <c r="Z51" s="381">
        <f>SUM(IF(I$18&lt;&gt;0,'4.) Yearly Budget'!J51,0)+IF(L$18&lt;&gt;0,'4.) Yearly Budget'!M51,0)+IF(O$18&lt;&gt;0,'4.) Yearly Budget'!P51,0)+IF(R$18&lt;&gt;0,'4.) Yearly Budget'!S51,0))</f>
        <v>0</v>
      </c>
      <c r="AA51" s="381">
        <f>U51-Z51</f>
        <v>0</v>
      </c>
      <c r="AB51" s="381">
        <f>'4.) Yearly Budget'!V51</f>
        <v>0</v>
      </c>
      <c r="AC51" s="382">
        <f>IF(U51&lt;&gt;0,U51-AB51,IF(U51=0,-AB51,0))</f>
        <v>0</v>
      </c>
      <c r="AD51" s="381">
        <f>IF(U$6&lt;&gt;0,'4.) Yearly Budget'!I51/$AM$18,0)</f>
        <v>0</v>
      </c>
      <c r="AE51" s="105">
        <f>U51-AD51</f>
        <v>0</v>
      </c>
      <c r="AF51" s="278"/>
    </row>
    <row r="52" spans="1:32" s="68" customFormat="1" ht="17.25">
      <c r="A52" s="258">
        <f t="shared" si="0"/>
        <v>52</v>
      </c>
      <c r="B52" s="96"/>
      <c r="C52" s="50"/>
      <c r="D52" s="97" t="s">
        <v>37</v>
      </c>
      <c r="E52" s="94"/>
      <c r="F52" s="94"/>
      <c r="G52" s="57"/>
      <c r="H52" s="95"/>
      <c r="I52" s="284"/>
      <c r="J52" s="549">
        <f>IF('4.) Yearly Budget'!$K$18&gt;0,'4.) Yearly Budget'!K52,'4.) Yearly Budget'!J52)</f>
        <v>0</v>
      </c>
      <c r="K52" s="392">
        <f>IF(I$18&lt;&gt;0,I52-J52,0)</f>
        <v>0</v>
      </c>
      <c r="L52" s="106"/>
      <c r="M52" s="549">
        <f>IF('4.) Yearly Budget'!$N$18&gt;0,'4.) Yearly Budget'!N52,'4.) Yearly Budget'!M52)</f>
        <v>0</v>
      </c>
      <c r="N52" s="392">
        <f>IF(L$18&lt;&gt;0,L52-M52,0)</f>
        <v>0</v>
      </c>
      <c r="O52" s="106"/>
      <c r="P52" s="549">
        <f>IF('4.) Yearly Budget'!$Q$18&gt;0,'4.) Yearly Budget'!Q52,'4.) Yearly Budget'!P52)</f>
        <v>0</v>
      </c>
      <c r="Q52" s="392">
        <f>IF(O$18&lt;&gt;0,O52-P52,0)</f>
        <v>0</v>
      </c>
      <c r="R52" s="106"/>
      <c r="S52" s="549">
        <f>IF('4.) Yearly Budget'!$T$18&gt;0,'4.) Yearly Budget'!T52,'4.) Yearly Budget'!S52)</f>
        <v>0</v>
      </c>
      <c r="T52" s="388">
        <f>IF(R$18&lt;&gt;0,R52-S52,0)</f>
        <v>0</v>
      </c>
      <c r="U52" s="285">
        <f>IF(I$6&lt;&gt;0,I52,0)+IF(L$6&lt;&gt;0,L52,0)+IF(O$6&lt;&gt;0,O52,0)+IF(R$6&lt;&gt;0,R52,0)</f>
        <v>0</v>
      </c>
      <c r="V52" s="389">
        <f>SUM(IF(I$6&lt;&gt;0,J52,0)+IF(L$6&lt;&gt;0,M52,0)+IF(O$6&lt;&gt;0,P52,0)+IF(R$6&lt;&gt;0,S52,0))</f>
        <v>0</v>
      </c>
      <c r="W52" s="389">
        <f>U52-V52</f>
        <v>0</v>
      </c>
      <c r="X52" s="389">
        <f>'4.) Yearly Budget'!W52</f>
        <v>0</v>
      </c>
      <c r="Y52" s="390">
        <f>IF(U52&lt;&gt;0,U52-X52,IF(U52=0,-X52,0))</f>
        <v>0</v>
      </c>
      <c r="Z52" s="391">
        <f>SUM(IF(I$18&lt;&gt;0,'4.) Yearly Budget'!J52,0)+IF(L$18&lt;&gt;0,'4.) Yearly Budget'!M52,0)+IF(O$18&lt;&gt;0,'4.) Yearly Budget'!P52,0)+IF(R$18&lt;&gt;0,'4.) Yearly Budget'!S52,0))</f>
        <v>0</v>
      </c>
      <c r="AA52" s="391">
        <f>U52-Z52</f>
        <v>0</v>
      </c>
      <c r="AB52" s="391">
        <f>'4.) Yearly Budget'!V52</f>
        <v>0</v>
      </c>
      <c r="AC52" s="392">
        <f>IF(U52&lt;&gt;0,U52-AB52,IF(U52=0,-AB52,0))</f>
        <v>0</v>
      </c>
      <c r="AD52" s="391">
        <f>IF(U$6&lt;&gt;0,'4.) Yearly Budget'!I52/$AM$18,0)</f>
        <v>0</v>
      </c>
      <c r="AE52" s="388">
        <f>U52-AD52</f>
        <v>0</v>
      </c>
      <c r="AF52" s="278"/>
    </row>
    <row r="53" spans="1:32" s="68" customFormat="1">
      <c r="A53" s="258">
        <f t="shared" si="0"/>
        <v>53</v>
      </c>
      <c r="B53" s="96"/>
      <c r="C53" s="50" t="s">
        <v>38</v>
      </c>
      <c r="D53" s="97"/>
      <c r="E53" s="94"/>
      <c r="F53" s="94"/>
      <c r="G53" s="57"/>
      <c r="H53" s="95"/>
      <c r="I53" s="281">
        <f t="shared" ref="I53:AE53" si="17">SUM(I45:I52)</f>
        <v>0</v>
      </c>
      <c r="J53" s="281">
        <f t="shared" si="17"/>
        <v>0</v>
      </c>
      <c r="K53" s="393">
        <f t="shared" si="17"/>
        <v>0</v>
      </c>
      <c r="L53" s="102">
        <f t="shared" si="17"/>
        <v>0</v>
      </c>
      <c r="M53" s="158">
        <f t="shared" si="17"/>
        <v>0</v>
      </c>
      <c r="N53" s="393">
        <f t="shared" si="17"/>
        <v>0</v>
      </c>
      <c r="O53" s="102">
        <f t="shared" si="17"/>
        <v>0</v>
      </c>
      <c r="P53" s="158">
        <f t="shared" si="17"/>
        <v>0</v>
      </c>
      <c r="Q53" s="393">
        <f t="shared" si="17"/>
        <v>0</v>
      </c>
      <c r="R53" s="102">
        <f t="shared" si="17"/>
        <v>0</v>
      </c>
      <c r="S53" s="158">
        <f t="shared" si="17"/>
        <v>0</v>
      </c>
      <c r="T53" s="103">
        <f t="shared" si="17"/>
        <v>0</v>
      </c>
      <c r="U53" s="283">
        <f t="shared" si="17"/>
        <v>0</v>
      </c>
      <c r="V53" s="394">
        <f t="shared" si="17"/>
        <v>0</v>
      </c>
      <c r="W53" s="394">
        <f t="shared" si="17"/>
        <v>0</v>
      </c>
      <c r="X53" s="394">
        <f t="shared" si="17"/>
        <v>0</v>
      </c>
      <c r="Y53" s="104">
        <f t="shared" si="17"/>
        <v>0</v>
      </c>
      <c r="Z53" s="395">
        <f t="shared" si="17"/>
        <v>0</v>
      </c>
      <c r="AA53" s="135">
        <f t="shared" si="17"/>
        <v>0</v>
      </c>
      <c r="AB53" s="135">
        <f t="shared" si="17"/>
        <v>0</v>
      </c>
      <c r="AC53" s="393">
        <f t="shared" si="17"/>
        <v>0</v>
      </c>
      <c r="AD53" s="395">
        <f t="shared" si="17"/>
        <v>0</v>
      </c>
      <c r="AE53" s="105">
        <f t="shared" si="17"/>
        <v>0</v>
      </c>
      <c r="AF53" s="278"/>
    </row>
    <row r="54" spans="1:32" s="94" customFormat="1" ht="7.5" customHeight="1">
      <c r="A54" s="258">
        <f t="shared" si="0"/>
        <v>54</v>
      </c>
      <c r="B54" s="96"/>
      <c r="C54" s="50"/>
      <c r="D54" s="50"/>
      <c r="E54" s="53"/>
      <c r="F54" s="53"/>
      <c r="G54" s="51"/>
      <c r="H54" s="95"/>
      <c r="I54" s="107"/>
      <c r="J54" s="107"/>
      <c r="K54" s="107"/>
      <c r="L54" s="107"/>
      <c r="M54" s="107"/>
      <c r="N54" s="107"/>
      <c r="O54" s="107"/>
      <c r="P54" s="107"/>
      <c r="Q54" s="107"/>
      <c r="R54" s="107"/>
      <c r="S54" s="107"/>
      <c r="T54" s="108"/>
      <c r="U54" s="107"/>
      <c r="V54" s="107"/>
      <c r="W54" s="107"/>
      <c r="X54" s="107"/>
      <c r="Y54" s="107"/>
      <c r="Z54" s="107"/>
      <c r="AA54" s="107"/>
      <c r="AB54" s="107"/>
      <c r="AC54" s="107"/>
      <c r="AD54" s="107"/>
      <c r="AE54" s="108"/>
      <c r="AF54" s="278"/>
    </row>
    <row r="55" spans="1:32" s="68" customFormat="1">
      <c r="A55" s="258">
        <f t="shared" si="0"/>
        <v>55</v>
      </c>
      <c r="B55" s="92"/>
      <c r="C55" s="93" t="s">
        <v>39</v>
      </c>
      <c r="D55" s="93"/>
      <c r="E55" s="53"/>
      <c r="F55" s="53"/>
      <c r="G55" s="51"/>
      <c r="H55" s="95"/>
      <c r="I55" s="98"/>
      <c r="J55" s="98"/>
      <c r="K55" s="98"/>
      <c r="L55" s="98"/>
      <c r="M55" s="98"/>
      <c r="N55" s="98"/>
      <c r="O55" s="98"/>
      <c r="P55" s="98"/>
      <c r="Q55" s="98"/>
      <c r="R55" s="98"/>
      <c r="S55" s="98"/>
      <c r="T55" s="99"/>
      <c r="U55" s="98"/>
      <c r="V55" s="98"/>
      <c r="W55" s="98"/>
      <c r="X55" s="98"/>
      <c r="Y55" s="98"/>
      <c r="Z55" s="98"/>
      <c r="AA55" s="98"/>
      <c r="AB55" s="98"/>
      <c r="AC55" s="98"/>
      <c r="AD55" s="98"/>
      <c r="AE55" s="99"/>
      <c r="AF55" s="278"/>
    </row>
    <row r="56" spans="1:32" s="68" customFormat="1">
      <c r="A56" s="258">
        <f t="shared" si="0"/>
        <v>56</v>
      </c>
      <c r="B56" s="96"/>
      <c r="C56" s="50"/>
      <c r="D56" s="97" t="s">
        <v>40</v>
      </c>
      <c r="E56" s="94"/>
      <c r="F56" s="94"/>
      <c r="G56" s="57"/>
      <c r="H56" s="95"/>
      <c r="I56" s="276"/>
      <c r="J56" s="102">
        <f>IF('4.) Yearly Budget'!$K$18&gt;0,'4.) Yearly Budget'!K56,'4.) Yearly Budget'!J56)</f>
        <v>0</v>
      </c>
      <c r="K56" s="382">
        <f t="shared" ref="K56:K63" si="18">IF(I$18&lt;&gt;0,I56-J56,0)</f>
        <v>0</v>
      </c>
      <c r="L56" s="100"/>
      <c r="M56" s="102">
        <f>IF('4.) Yearly Budget'!$N$18&gt;0,'4.) Yearly Budget'!N56,'4.) Yearly Budget'!M56)</f>
        <v>0</v>
      </c>
      <c r="N56" s="382">
        <f t="shared" ref="N56:N63" si="19">IF(L$18&lt;&gt;0,L56-M56,0)</f>
        <v>0</v>
      </c>
      <c r="O56" s="100"/>
      <c r="P56" s="102">
        <f>IF('4.) Yearly Budget'!$Q$18&gt;0,'4.) Yearly Budget'!Q56,'4.) Yearly Budget'!P56)</f>
        <v>0</v>
      </c>
      <c r="Q56" s="382">
        <f t="shared" ref="Q56:Q63" si="20">IF(O$18&lt;&gt;0,O56-P56,0)</f>
        <v>0</v>
      </c>
      <c r="R56" s="100"/>
      <c r="S56" s="102">
        <f>IF('4.) Yearly Budget'!$T$18&gt;0,'4.) Yearly Budget'!T56,'4.) Yearly Budget'!S56)</f>
        <v>0</v>
      </c>
      <c r="T56" s="105">
        <f t="shared" ref="T56:T63" si="21">IF(R$18&lt;&gt;0,R56-S56,0)</f>
        <v>0</v>
      </c>
      <c r="U56" s="277">
        <f t="shared" ref="U56:U63" si="22">IF(I$6&lt;&gt;0,I56,0)+IF(L$6&lt;&gt;0,L56,0)+IF(O$6&lt;&gt;0,O56,0)+IF(R$6&lt;&gt;0,R56,0)</f>
        <v>0</v>
      </c>
      <c r="V56" s="379">
        <f t="shared" ref="V56:V63" si="23">SUM(IF(I$6&lt;&gt;0,J56,0)+IF(L$6&lt;&gt;0,M56,0)+IF(O$6&lt;&gt;0,P56,0)+IF(R$6&lt;&gt;0,S56,0))</f>
        <v>0</v>
      </c>
      <c r="W56" s="379">
        <f t="shared" ref="W56:W63" si="24">U56-V56</f>
        <v>0</v>
      </c>
      <c r="X56" s="379">
        <f>'4.) Yearly Budget'!W56</f>
        <v>0</v>
      </c>
      <c r="Y56" s="380">
        <f t="shared" ref="Y56:Y63" si="25">IF(U56&lt;&gt;0,U56-X56,IF(U56=0,-X56,0))</f>
        <v>0</v>
      </c>
      <c r="Z56" s="381">
        <f>SUM(IF(I$18&lt;&gt;0,'4.) Yearly Budget'!J56,0)+IF(L$18&lt;&gt;0,'4.) Yearly Budget'!M56,0)+IF(O$18&lt;&gt;0,'4.) Yearly Budget'!P56,0)+IF(R$18&lt;&gt;0,'4.) Yearly Budget'!S56,0))</f>
        <v>0</v>
      </c>
      <c r="AA56" s="381">
        <f t="shared" ref="AA56:AA63" si="26">U56-Z56</f>
        <v>0</v>
      </c>
      <c r="AB56" s="381">
        <f>'4.) Yearly Budget'!V56</f>
        <v>0</v>
      </c>
      <c r="AC56" s="382">
        <f t="shared" ref="AC56:AC63" si="27">IF(U56&lt;&gt;0,U56-AB56,IF(U56=0,-AB56,0))</f>
        <v>0</v>
      </c>
      <c r="AD56" s="381">
        <f>IF(U$6&lt;&gt;0,'4.) Yearly Budget'!I56/$AM$18,0)</f>
        <v>0</v>
      </c>
      <c r="AE56" s="105">
        <f t="shared" ref="AE56:AE63" si="28">U56-AD56</f>
        <v>0</v>
      </c>
      <c r="AF56" s="278"/>
    </row>
    <row r="57" spans="1:32" s="68" customFormat="1">
      <c r="A57" s="258">
        <f t="shared" si="0"/>
        <v>57</v>
      </c>
      <c r="B57" s="96"/>
      <c r="C57" s="50"/>
      <c r="D57" s="97" t="s">
        <v>41</v>
      </c>
      <c r="E57" s="94"/>
      <c r="F57" s="94"/>
      <c r="G57" s="57"/>
      <c r="H57" s="95"/>
      <c r="I57" s="276"/>
      <c r="J57" s="102">
        <f>IF('4.) Yearly Budget'!$K$18&gt;0,'4.) Yearly Budget'!K57,'4.) Yearly Budget'!J57)</f>
        <v>0</v>
      </c>
      <c r="K57" s="382">
        <f t="shared" si="18"/>
        <v>0</v>
      </c>
      <c r="L57" s="100"/>
      <c r="M57" s="102">
        <f>IF('4.) Yearly Budget'!$N$18&gt;0,'4.) Yearly Budget'!N57,'4.) Yearly Budget'!M57)</f>
        <v>0</v>
      </c>
      <c r="N57" s="382">
        <f t="shared" si="19"/>
        <v>0</v>
      </c>
      <c r="O57" s="100"/>
      <c r="P57" s="102">
        <f>IF('4.) Yearly Budget'!$Q$18&gt;0,'4.) Yearly Budget'!Q57,'4.) Yearly Budget'!P57)</f>
        <v>0</v>
      </c>
      <c r="Q57" s="382">
        <f t="shared" si="20"/>
        <v>0</v>
      </c>
      <c r="R57" s="100"/>
      <c r="S57" s="102">
        <f>IF('4.) Yearly Budget'!$T$18&gt;0,'4.) Yearly Budget'!T57,'4.) Yearly Budget'!S57)</f>
        <v>0</v>
      </c>
      <c r="T57" s="105">
        <f t="shared" si="21"/>
        <v>0</v>
      </c>
      <c r="U57" s="277">
        <f t="shared" si="22"/>
        <v>0</v>
      </c>
      <c r="V57" s="379">
        <f t="shared" si="23"/>
        <v>0</v>
      </c>
      <c r="W57" s="379">
        <f t="shared" si="24"/>
        <v>0</v>
      </c>
      <c r="X57" s="379">
        <f>'4.) Yearly Budget'!W57</f>
        <v>0</v>
      </c>
      <c r="Y57" s="380">
        <f t="shared" si="25"/>
        <v>0</v>
      </c>
      <c r="Z57" s="381">
        <f>SUM(IF(I$18&lt;&gt;0,'4.) Yearly Budget'!J57,0)+IF(L$18&lt;&gt;0,'4.) Yearly Budget'!M57,0)+IF(O$18&lt;&gt;0,'4.) Yearly Budget'!P57,0)+IF(R$18&lt;&gt;0,'4.) Yearly Budget'!S57,0))</f>
        <v>0</v>
      </c>
      <c r="AA57" s="381">
        <f t="shared" si="26"/>
        <v>0</v>
      </c>
      <c r="AB57" s="381">
        <f>'4.) Yearly Budget'!V57</f>
        <v>0</v>
      </c>
      <c r="AC57" s="382">
        <f t="shared" si="27"/>
        <v>0</v>
      </c>
      <c r="AD57" s="381">
        <f>IF(U$6&lt;&gt;0,'4.) Yearly Budget'!I57/$AM$18,0)</f>
        <v>0</v>
      </c>
      <c r="AE57" s="105">
        <f t="shared" si="28"/>
        <v>0</v>
      </c>
      <c r="AF57" s="278"/>
    </row>
    <row r="58" spans="1:32" s="68" customFormat="1">
      <c r="A58" s="258">
        <f t="shared" si="0"/>
        <v>58</v>
      </c>
      <c r="B58" s="96"/>
      <c r="C58" s="50"/>
      <c r="D58" s="97" t="s">
        <v>42</v>
      </c>
      <c r="E58" s="94"/>
      <c r="F58" s="94"/>
      <c r="G58" s="57"/>
      <c r="H58" s="95"/>
      <c r="I58" s="276"/>
      <c r="J58" s="102">
        <f>IF('4.) Yearly Budget'!$K$18&gt;0,'4.) Yearly Budget'!K58,'4.) Yearly Budget'!J58)</f>
        <v>0</v>
      </c>
      <c r="K58" s="382">
        <f t="shared" si="18"/>
        <v>0</v>
      </c>
      <c r="L58" s="100"/>
      <c r="M58" s="102">
        <f>IF('4.) Yearly Budget'!$N$18&gt;0,'4.) Yearly Budget'!N58,'4.) Yearly Budget'!M58)</f>
        <v>0</v>
      </c>
      <c r="N58" s="382">
        <f t="shared" si="19"/>
        <v>0</v>
      </c>
      <c r="O58" s="100"/>
      <c r="P58" s="102">
        <f>IF('4.) Yearly Budget'!$Q$18&gt;0,'4.) Yearly Budget'!Q58,'4.) Yearly Budget'!P58)</f>
        <v>0</v>
      </c>
      <c r="Q58" s="382">
        <f t="shared" si="20"/>
        <v>0</v>
      </c>
      <c r="R58" s="100"/>
      <c r="S58" s="102">
        <f>IF('4.) Yearly Budget'!$T$18&gt;0,'4.) Yearly Budget'!T58,'4.) Yearly Budget'!S58)</f>
        <v>0</v>
      </c>
      <c r="T58" s="105">
        <f t="shared" si="21"/>
        <v>0</v>
      </c>
      <c r="U58" s="277">
        <f t="shared" si="22"/>
        <v>0</v>
      </c>
      <c r="V58" s="379">
        <f t="shared" si="23"/>
        <v>0</v>
      </c>
      <c r="W58" s="379">
        <f t="shared" si="24"/>
        <v>0</v>
      </c>
      <c r="X58" s="379">
        <f>'4.) Yearly Budget'!W58</f>
        <v>0</v>
      </c>
      <c r="Y58" s="380">
        <f t="shared" si="25"/>
        <v>0</v>
      </c>
      <c r="Z58" s="381">
        <f>SUM(IF(I$18&lt;&gt;0,'4.) Yearly Budget'!J58,0)+IF(L$18&lt;&gt;0,'4.) Yearly Budget'!M58,0)+IF(O$18&lt;&gt;0,'4.) Yearly Budget'!P58,0)+IF(R$18&lt;&gt;0,'4.) Yearly Budget'!S58,0))</f>
        <v>0</v>
      </c>
      <c r="AA58" s="381">
        <f t="shared" si="26"/>
        <v>0</v>
      </c>
      <c r="AB58" s="381">
        <f>'4.) Yearly Budget'!V58</f>
        <v>0</v>
      </c>
      <c r="AC58" s="382">
        <f t="shared" si="27"/>
        <v>0</v>
      </c>
      <c r="AD58" s="381">
        <f>IF(U$6&lt;&gt;0,'4.) Yearly Budget'!I58/$AM$18,0)</f>
        <v>0</v>
      </c>
      <c r="AE58" s="105">
        <f t="shared" si="28"/>
        <v>0</v>
      </c>
      <c r="AF58" s="278"/>
    </row>
    <row r="59" spans="1:32" s="68" customFormat="1">
      <c r="A59" s="258">
        <f t="shared" si="0"/>
        <v>59</v>
      </c>
      <c r="B59" s="96"/>
      <c r="C59" s="50"/>
      <c r="D59" s="97" t="s">
        <v>43</v>
      </c>
      <c r="E59" s="94"/>
      <c r="F59" s="94"/>
      <c r="G59" s="57"/>
      <c r="H59" s="95"/>
      <c r="I59" s="276"/>
      <c r="J59" s="102">
        <f>IF('4.) Yearly Budget'!$K$18&gt;0,'4.) Yearly Budget'!K59,'4.) Yearly Budget'!J59)</f>
        <v>0</v>
      </c>
      <c r="K59" s="382">
        <f t="shared" si="18"/>
        <v>0</v>
      </c>
      <c r="L59" s="100"/>
      <c r="M59" s="102">
        <f>IF('4.) Yearly Budget'!$N$18&gt;0,'4.) Yearly Budget'!N59,'4.) Yearly Budget'!M59)</f>
        <v>0</v>
      </c>
      <c r="N59" s="382">
        <f t="shared" si="19"/>
        <v>0</v>
      </c>
      <c r="O59" s="100"/>
      <c r="P59" s="102">
        <f>IF('4.) Yearly Budget'!$Q$18&gt;0,'4.) Yearly Budget'!Q59,'4.) Yearly Budget'!P59)</f>
        <v>0</v>
      </c>
      <c r="Q59" s="382">
        <f t="shared" si="20"/>
        <v>0</v>
      </c>
      <c r="R59" s="100"/>
      <c r="S59" s="102">
        <f>IF('4.) Yearly Budget'!$T$18&gt;0,'4.) Yearly Budget'!T59,'4.) Yearly Budget'!S59)</f>
        <v>0</v>
      </c>
      <c r="T59" s="105">
        <f t="shared" si="21"/>
        <v>0</v>
      </c>
      <c r="U59" s="277">
        <f t="shared" si="22"/>
        <v>0</v>
      </c>
      <c r="V59" s="379">
        <f t="shared" si="23"/>
        <v>0</v>
      </c>
      <c r="W59" s="379">
        <f t="shared" si="24"/>
        <v>0</v>
      </c>
      <c r="X59" s="379">
        <f>'4.) Yearly Budget'!W59</f>
        <v>0</v>
      </c>
      <c r="Y59" s="380">
        <f t="shared" si="25"/>
        <v>0</v>
      </c>
      <c r="Z59" s="381">
        <f>SUM(IF(I$18&lt;&gt;0,'4.) Yearly Budget'!J59,0)+IF(L$18&lt;&gt;0,'4.) Yearly Budget'!M59,0)+IF(O$18&lt;&gt;0,'4.) Yearly Budget'!P59,0)+IF(R$18&lt;&gt;0,'4.) Yearly Budget'!S59,0))</f>
        <v>0</v>
      </c>
      <c r="AA59" s="381">
        <f t="shared" si="26"/>
        <v>0</v>
      </c>
      <c r="AB59" s="381">
        <f>'4.) Yearly Budget'!V59</f>
        <v>0</v>
      </c>
      <c r="AC59" s="382">
        <f t="shared" si="27"/>
        <v>0</v>
      </c>
      <c r="AD59" s="381">
        <f>IF(U$6&lt;&gt;0,'4.) Yearly Budget'!I59/$AM$18,0)</f>
        <v>0</v>
      </c>
      <c r="AE59" s="105">
        <f t="shared" si="28"/>
        <v>0</v>
      </c>
      <c r="AF59" s="278"/>
    </row>
    <row r="60" spans="1:32" s="68" customFormat="1">
      <c r="A60" s="258">
        <f t="shared" si="0"/>
        <v>60</v>
      </c>
      <c r="B60" s="96"/>
      <c r="C60" s="50"/>
      <c r="D60" s="97" t="s">
        <v>44</v>
      </c>
      <c r="E60" s="94"/>
      <c r="F60" s="94"/>
      <c r="G60" s="57"/>
      <c r="H60" s="95"/>
      <c r="I60" s="276"/>
      <c r="J60" s="102">
        <f>IF('4.) Yearly Budget'!$K$18&gt;0,'4.) Yearly Budget'!K60,'4.) Yearly Budget'!J60)</f>
        <v>0</v>
      </c>
      <c r="K60" s="382">
        <f t="shared" si="18"/>
        <v>0</v>
      </c>
      <c r="L60" s="100"/>
      <c r="M60" s="102">
        <f>IF('4.) Yearly Budget'!$N$18&gt;0,'4.) Yearly Budget'!N60,'4.) Yearly Budget'!M60)</f>
        <v>0</v>
      </c>
      <c r="N60" s="382">
        <f t="shared" si="19"/>
        <v>0</v>
      </c>
      <c r="O60" s="100"/>
      <c r="P60" s="102">
        <f>IF('4.) Yearly Budget'!$Q$18&gt;0,'4.) Yearly Budget'!Q60,'4.) Yearly Budget'!P60)</f>
        <v>0</v>
      </c>
      <c r="Q60" s="382">
        <f t="shared" si="20"/>
        <v>0</v>
      </c>
      <c r="R60" s="100"/>
      <c r="S60" s="102">
        <f>IF('4.) Yearly Budget'!$T$18&gt;0,'4.) Yearly Budget'!T60,'4.) Yearly Budget'!S60)</f>
        <v>0</v>
      </c>
      <c r="T60" s="105">
        <f t="shared" si="21"/>
        <v>0</v>
      </c>
      <c r="U60" s="277">
        <f t="shared" si="22"/>
        <v>0</v>
      </c>
      <c r="V60" s="379">
        <f t="shared" si="23"/>
        <v>0</v>
      </c>
      <c r="W60" s="379">
        <f t="shared" si="24"/>
        <v>0</v>
      </c>
      <c r="X60" s="379">
        <f>'4.) Yearly Budget'!W60</f>
        <v>0</v>
      </c>
      <c r="Y60" s="380">
        <f t="shared" si="25"/>
        <v>0</v>
      </c>
      <c r="Z60" s="381">
        <f>SUM(IF(I$18&lt;&gt;0,'4.) Yearly Budget'!J60,0)+IF(L$18&lt;&gt;0,'4.) Yearly Budget'!M60,0)+IF(O$18&lt;&gt;0,'4.) Yearly Budget'!P60,0)+IF(R$18&lt;&gt;0,'4.) Yearly Budget'!S60,0))</f>
        <v>0</v>
      </c>
      <c r="AA60" s="381">
        <f t="shared" si="26"/>
        <v>0</v>
      </c>
      <c r="AB60" s="381">
        <f>'4.) Yearly Budget'!V60</f>
        <v>0</v>
      </c>
      <c r="AC60" s="382">
        <f t="shared" si="27"/>
        <v>0</v>
      </c>
      <c r="AD60" s="381">
        <f>IF(U$6&lt;&gt;0,'4.) Yearly Budget'!I60/$AM$18,0)</f>
        <v>0</v>
      </c>
      <c r="AE60" s="105">
        <f t="shared" si="28"/>
        <v>0</v>
      </c>
      <c r="AF60" s="278"/>
    </row>
    <row r="61" spans="1:32" s="68" customFormat="1">
      <c r="A61" s="258">
        <f t="shared" si="0"/>
        <v>61</v>
      </c>
      <c r="B61" s="96"/>
      <c r="C61" s="50"/>
      <c r="D61" s="97" t="s">
        <v>45</v>
      </c>
      <c r="E61" s="94"/>
      <c r="F61" s="94"/>
      <c r="G61" s="57"/>
      <c r="H61" s="95"/>
      <c r="I61" s="276"/>
      <c r="J61" s="102">
        <f>IF('4.) Yearly Budget'!$K$18&gt;0,'4.) Yearly Budget'!K61,'4.) Yearly Budget'!J61)</f>
        <v>0</v>
      </c>
      <c r="K61" s="382">
        <f t="shared" si="18"/>
        <v>0</v>
      </c>
      <c r="L61" s="100"/>
      <c r="M61" s="102">
        <f>IF('4.) Yearly Budget'!$N$18&gt;0,'4.) Yearly Budget'!N61,'4.) Yearly Budget'!M61)</f>
        <v>0</v>
      </c>
      <c r="N61" s="382">
        <f t="shared" si="19"/>
        <v>0</v>
      </c>
      <c r="O61" s="100"/>
      <c r="P61" s="102">
        <f>IF('4.) Yearly Budget'!$Q$18&gt;0,'4.) Yearly Budget'!Q61,'4.) Yearly Budget'!P61)</f>
        <v>0</v>
      </c>
      <c r="Q61" s="382">
        <f t="shared" si="20"/>
        <v>0</v>
      </c>
      <c r="R61" s="100"/>
      <c r="S61" s="102">
        <f>IF('4.) Yearly Budget'!$T$18&gt;0,'4.) Yearly Budget'!T61,'4.) Yearly Budget'!S61)</f>
        <v>0</v>
      </c>
      <c r="T61" s="105">
        <f t="shared" si="21"/>
        <v>0</v>
      </c>
      <c r="U61" s="277">
        <f t="shared" si="22"/>
        <v>0</v>
      </c>
      <c r="V61" s="379">
        <f t="shared" si="23"/>
        <v>0</v>
      </c>
      <c r="W61" s="379">
        <f t="shared" si="24"/>
        <v>0</v>
      </c>
      <c r="X61" s="379">
        <f>'4.) Yearly Budget'!W61</f>
        <v>0</v>
      </c>
      <c r="Y61" s="380">
        <f t="shared" si="25"/>
        <v>0</v>
      </c>
      <c r="Z61" s="381">
        <f>SUM(IF(I$18&lt;&gt;0,'4.) Yearly Budget'!J61,0)+IF(L$18&lt;&gt;0,'4.) Yearly Budget'!M61,0)+IF(O$18&lt;&gt;0,'4.) Yearly Budget'!P61,0)+IF(R$18&lt;&gt;0,'4.) Yearly Budget'!S61,0))</f>
        <v>0</v>
      </c>
      <c r="AA61" s="381">
        <f t="shared" si="26"/>
        <v>0</v>
      </c>
      <c r="AB61" s="381">
        <f>'4.) Yearly Budget'!V61</f>
        <v>0</v>
      </c>
      <c r="AC61" s="382">
        <f t="shared" si="27"/>
        <v>0</v>
      </c>
      <c r="AD61" s="381">
        <f>IF(U$6&lt;&gt;0,'4.) Yearly Budget'!I61/$AM$18,0)</f>
        <v>0</v>
      </c>
      <c r="AE61" s="105">
        <f t="shared" si="28"/>
        <v>0</v>
      </c>
      <c r="AF61" s="278"/>
    </row>
    <row r="62" spans="1:32" s="68" customFormat="1">
      <c r="A62" s="258">
        <f t="shared" si="0"/>
        <v>62</v>
      </c>
      <c r="B62" s="96"/>
      <c r="C62" s="50"/>
      <c r="D62" s="97" t="s">
        <v>46</v>
      </c>
      <c r="E62" s="94"/>
      <c r="F62" s="94"/>
      <c r="G62" s="57"/>
      <c r="H62" s="95"/>
      <c r="I62" s="276"/>
      <c r="J62" s="102">
        <f>IF('4.) Yearly Budget'!$K$18&gt;0,'4.) Yearly Budget'!K62,'4.) Yearly Budget'!J62)</f>
        <v>0</v>
      </c>
      <c r="K62" s="382">
        <f t="shared" si="18"/>
        <v>0</v>
      </c>
      <c r="L62" s="100"/>
      <c r="M62" s="102">
        <f>IF('4.) Yearly Budget'!$N$18&gt;0,'4.) Yearly Budget'!N62,'4.) Yearly Budget'!M62)</f>
        <v>0</v>
      </c>
      <c r="N62" s="382">
        <f t="shared" si="19"/>
        <v>0</v>
      </c>
      <c r="O62" s="100"/>
      <c r="P62" s="102">
        <f>IF('4.) Yearly Budget'!$Q$18&gt;0,'4.) Yearly Budget'!Q62,'4.) Yearly Budget'!P62)</f>
        <v>0</v>
      </c>
      <c r="Q62" s="382">
        <f t="shared" si="20"/>
        <v>0</v>
      </c>
      <c r="R62" s="100"/>
      <c r="S62" s="102">
        <f>IF('4.) Yearly Budget'!$T$18&gt;0,'4.) Yearly Budget'!T62,'4.) Yearly Budget'!S62)</f>
        <v>0</v>
      </c>
      <c r="T62" s="105">
        <f t="shared" si="21"/>
        <v>0</v>
      </c>
      <c r="U62" s="277">
        <f t="shared" si="22"/>
        <v>0</v>
      </c>
      <c r="V62" s="379">
        <f t="shared" si="23"/>
        <v>0</v>
      </c>
      <c r="W62" s="379">
        <f t="shared" si="24"/>
        <v>0</v>
      </c>
      <c r="X62" s="379">
        <f>'4.) Yearly Budget'!W62</f>
        <v>0</v>
      </c>
      <c r="Y62" s="380">
        <f t="shared" si="25"/>
        <v>0</v>
      </c>
      <c r="Z62" s="381">
        <f>SUM(IF(I$18&lt;&gt;0,'4.) Yearly Budget'!J62,0)+IF(L$18&lt;&gt;0,'4.) Yearly Budget'!M62,0)+IF(O$18&lt;&gt;0,'4.) Yearly Budget'!P62,0)+IF(R$18&lt;&gt;0,'4.) Yearly Budget'!S62,0))</f>
        <v>0</v>
      </c>
      <c r="AA62" s="381">
        <f t="shared" si="26"/>
        <v>0</v>
      </c>
      <c r="AB62" s="381">
        <f>'4.) Yearly Budget'!V62</f>
        <v>0</v>
      </c>
      <c r="AC62" s="382">
        <f t="shared" si="27"/>
        <v>0</v>
      </c>
      <c r="AD62" s="381">
        <f>IF(U$6&lt;&gt;0,'4.) Yearly Budget'!I62/$AM$18,0)</f>
        <v>0</v>
      </c>
      <c r="AE62" s="105">
        <f t="shared" si="28"/>
        <v>0</v>
      </c>
      <c r="AF62" s="278"/>
    </row>
    <row r="63" spans="1:32" s="68" customFormat="1" ht="17.25">
      <c r="A63" s="258">
        <f t="shared" si="0"/>
        <v>63</v>
      </c>
      <c r="B63" s="96"/>
      <c r="C63" s="50"/>
      <c r="D63" s="97" t="s">
        <v>47</v>
      </c>
      <c r="E63" s="94"/>
      <c r="F63" s="94"/>
      <c r="G63" s="57"/>
      <c r="H63" s="95"/>
      <c r="I63" s="284"/>
      <c r="J63" s="549">
        <f>IF('4.) Yearly Budget'!$K$18&gt;0,'4.) Yearly Budget'!K63,'4.) Yearly Budget'!J63)</f>
        <v>0</v>
      </c>
      <c r="K63" s="392">
        <f t="shared" si="18"/>
        <v>0</v>
      </c>
      <c r="L63" s="106"/>
      <c r="M63" s="549">
        <f>IF('4.) Yearly Budget'!$N$18&gt;0,'4.) Yearly Budget'!N63,'4.) Yearly Budget'!M63)</f>
        <v>0</v>
      </c>
      <c r="N63" s="392">
        <f t="shared" si="19"/>
        <v>0</v>
      </c>
      <c r="O63" s="106"/>
      <c r="P63" s="549">
        <f>IF('4.) Yearly Budget'!$Q$18&gt;0,'4.) Yearly Budget'!Q63,'4.) Yearly Budget'!P63)</f>
        <v>0</v>
      </c>
      <c r="Q63" s="392">
        <f t="shared" si="20"/>
        <v>0</v>
      </c>
      <c r="R63" s="106"/>
      <c r="S63" s="549">
        <f>IF('4.) Yearly Budget'!$T$18&gt;0,'4.) Yearly Budget'!T63,'4.) Yearly Budget'!S63)</f>
        <v>0</v>
      </c>
      <c r="T63" s="388">
        <f t="shared" si="21"/>
        <v>0</v>
      </c>
      <c r="U63" s="285">
        <f t="shared" si="22"/>
        <v>0</v>
      </c>
      <c r="V63" s="389">
        <f t="shared" si="23"/>
        <v>0</v>
      </c>
      <c r="W63" s="389">
        <f t="shared" si="24"/>
        <v>0</v>
      </c>
      <c r="X63" s="389">
        <f>'4.) Yearly Budget'!W63</f>
        <v>0</v>
      </c>
      <c r="Y63" s="390">
        <f t="shared" si="25"/>
        <v>0</v>
      </c>
      <c r="Z63" s="391">
        <f>SUM(IF(I$18&lt;&gt;0,'4.) Yearly Budget'!J63,0)+IF(L$18&lt;&gt;0,'4.) Yearly Budget'!M63,0)+IF(O$18&lt;&gt;0,'4.) Yearly Budget'!P63,0)+IF(R$18&lt;&gt;0,'4.) Yearly Budget'!S63,0))</f>
        <v>0</v>
      </c>
      <c r="AA63" s="391">
        <f t="shared" si="26"/>
        <v>0</v>
      </c>
      <c r="AB63" s="391">
        <f>'4.) Yearly Budget'!V63</f>
        <v>0</v>
      </c>
      <c r="AC63" s="392">
        <f t="shared" si="27"/>
        <v>0</v>
      </c>
      <c r="AD63" s="391">
        <f>IF(U$6&lt;&gt;0,'4.) Yearly Budget'!I63/$AM$18,0)</f>
        <v>0</v>
      </c>
      <c r="AE63" s="388">
        <f t="shared" si="28"/>
        <v>0</v>
      </c>
      <c r="AF63" s="278"/>
    </row>
    <row r="64" spans="1:32" s="68" customFormat="1">
      <c r="A64" s="258">
        <f t="shared" si="0"/>
        <v>64</v>
      </c>
      <c r="B64" s="96"/>
      <c r="C64" s="50" t="s">
        <v>48</v>
      </c>
      <c r="D64" s="97"/>
      <c r="E64" s="94"/>
      <c r="F64" s="94"/>
      <c r="G64" s="57"/>
      <c r="H64" s="95"/>
      <c r="I64" s="281">
        <f t="shared" ref="I64:AE64" si="29">SUM(I56:I63)</f>
        <v>0</v>
      </c>
      <c r="J64" s="158">
        <f t="shared" si="29"/>
        <v>0</v>
      </c>
      <c r="K64" s="393">
        <f t="shared" si="29"/>
        <v>0</v>
      </c>
      <c r="L64" s="102">
        <f t="shared" si="29"/>
        <v>0</v>
      </c>
      <c r="M64" s="158">
        <f t="shared" si="29"/>
        <v>0</v>
      </c>
      <c r="N64" s="393">
        <f t="shared" si="29"/>
        <v>0</v>
      </c>
      <c r="O64" s="102">
        <f t="shared" si="29"/>
        <v>0</v>
      </c>
      <c r="P64" s="158">
        <f t="shared" si="29"/>
        <v>0</v>
      </c>
      <c r="Q64" s="393">
        <f t="shared" si="29"/>
        <v>0</v>
      </c>
      <c r="R64" s="102">
        <f t="shared" si="29"/>
        <v>0</v>
      </c>
      <c r="S64" s="158">
        <f t="shared" si="29"/>
        <v>0</v>
      </c>
      <c r="T64" s="103">
        <f t="shared" si="29"/>
        <v>0</v>
      </c>
      <c r="U64" s="283">
        <f t="shared" si="29"/>
        <v>0</v>
      </c>
      <c r="V64" s="394">
        <f t="shared" si="29"/>
        <v>0</v>
      </c>
      <c r="W64" s="394">
        <f t="shared" si="29"/>
        <v>0</v>
      </c>
      <c r="X64" s="394">
        <f t="shared" si="29"/>
        <v>0</v>
      </c>
      <c r="Y64" s="396">
        <f t="shared" si="29"/>
        <v>0</v>
      </c>
      <c r="Z64" s="104">
        <f t="shared" si="29"/>
        <v>0</v>
      </c>
      <c r="AA64" s="394">
        <f t="shared" si="29"/>
        <v>0</v>
      </c>
      <c r="AB64" s="397">
        <f t="shared" si="29"/>
        <v>0</v>
      </c>
      <c r="AC64" s="382">
        <f t="shared" si="29"/>
        <v>0</v>
      </c>
      <c r="AD64" s="104">
        <f t="shared" si="29"/>
        <v>0</v>
      </c>
      <c r="AE64" s="105">
        <f t="shared" si="29"/>
        <v>0</v>
      </c>
      <c r="AF64" s="278"/>
    </row>
    <row r="65" spans="1:32" s="94" customFormat="1">
      <c r="A65" s="258">
        <f t="shared" si="0"/>
        <v>65</v>
      </c>
      <c r="B65" s="96"/>
      <c r="C65" s="50"/>
      <c r="D65" s="97"/>
      <c r="G65" s="57"/>
      <c r="H65" s="95"/>
      <c r="I65" s="104"/>
      <c r="J65" s="104"/>
      <c r="K65" s="104"/>
      <c r="L65" s="104"/>
      <c r="M65" s="104"/>
      <c r="N65" s="104"/>
      <c r="O65" s="104"/>
      <c r="P65" s="104"/>
      <c r="Q65" s="104"/>
      <c r="R65" s="104"/>
      <c r="S65" s="104"/>
      <c r="T65" s="105"/>
      <c r="U65" s="104"/>
      <c r="V65" s="104"/>
      <c r="W65" s="104"/>
      <c r="X65" s="104"/>
      <c r="Y65" s="104"/>
      <c r="Z65" s="104"/>
      <c r="AA65" s="104"/>
      <c r="AB65" s="104"/>
      <c r="AC65" s="104"/>
      <c r="AD65" s="104"/>
      <c r="AE65" s="105"/>
      <c r="AF65" s="278"/>
    </row>
    <row r="66" spans="1:32" s="68" customFormat="1" ht="18" thickBot="1">
      <c r="A66" s="258">
        <f t="shared" si="0"/>
        <v>66</v>
      </c>
      <c r="B66" s="109" t="s">
        <v>49</v>
      </c>
      <c r="C66" s="110"/>
      <c r="D66" s="110"/>
      <c r="E66" s="111"/>
      <c r="F66" s="127"/>
      <c r="G66" s="112"/>
      <c r="H66" s="136"/>
      <c r="I66" s="286">
        <f t="shared" ref="I66:AE66" si="30">I64+I53+I42</f>
        <v>0</v>
      </c>
      <c r="J66" s="114">
        <f t="shared" si="30"/>
        <v>0</v>
      </c>
      <c r="K66" s="398">
        <f t="shared" si="30"/>
        <v>0</v>
      </c>
      <c r="L66" s="113">
        <f t="shared" si="30"/>
        <v>0</v>
      </c>
      <c r="M66" s="114">
        <f t="shared" si="30"/>
        <v>0</v>
      </c>
      <c r="N66" s="398">
        <f t="shared" si="30"/>
        <v>0</v>
      </c>
      <c r="O66" s="113">
        <f t="shared" si="30"/>
        <v>0</v>
      </c>
      <c r="P66" s="114">
        <f t="shared" si="30"/>
        <v>0</v>
      </c>
      <c r="Q66" s="398">
        <f t="shared" si="30"/>
        <v>0</v>
      </c>
      <c r="R66" s="113">
        <f t="shared" si="30"/>
        <v>0</v>
      </c>
      <c r="S66" s="114">
        <f t="shared" si="30"/>
        <v>0</v>
      </c>
      <c r="T66" s="115">
        <f t="shared" si="30"/>
        <v>0</v>
      </c>
      <c r="U66" s="399">
        <f t="shared" si="30"/>
        <v>0</v>
      </c>
      <c r="V66" s="400">
        <f t="shared" si="30"/>
        <v>0</v>
      </c>
      <c r="W66" s="400">
        <f t="shared" si="30"/>
        <v>0</v>
      </c>
      <c r="X66" s="400">
        <f t="shared" si="30"/>
        <v>0</v>
      </c>
      <c r="Y66" s="401">
        <f t="shared" si="30"/>
        <v>0</v>
      </c>
      <c r="Z66" s="402">
        <f t="shared" si="30"/>
        <v>0</v>
      </c>
      <c r="AA66" s="400">
        <f t="shared" si="30"/>
        <v>0</v>
      </c>
      <c r="AB66" s="400">
        <f t="shared" si="30"/>
        <v>0</v>
      </c>
      <c r="AC66" s="403">
        <f t="shared" si="30"/>
        <v>0</v>
      </c>
      <c r="AD66" s="402">
        <f t="shared" si="30"/>
        <v>0</v>
      </c>
      <c r="AE66" s="404">
        <f t="shared" si="30"/>
        <v>0</v>
      </c>
      <c r="AF66" s="288"/>
    </row>
    <row r="67" spans="1:32" s="94" customFormat="1" ht="7.5" customHeight="1" thickTop="1">
      <c r="A67" s="258">
        <f t="shared" si="0"/>
        <v>67</v>
      </c>
      <c r="B67" s="93"/>
      <c r="C67" s="93"/>
      <c r="D67" s="93"/>
      <c r="G67" s="57"/>
      <c r="H67" s="95"/>
      <c r="I67" s="95"/>
      <c r="J67" s="95"/>
      <c r="K67" s="95"/>
      <c r="L67" s="95"/>
      <c r="M67" s="95"/>
      <c r="N67" s="95"/>
      <c r="O67" s="95"/>
      <c r="P67" s="95"/>
      <c r="Q67" s="95"/>
      <c r="R67" s="95"/>
      <c r="S67" s="95"/>
      <c r="T67" s="95"/>
      <c r="U67" s="749"/>
      <c r="V67" s="290"/>
      <c r="W67" s="290"/>
      <c r="X67" s="290"/>
      <c r="Y67" s="290"/>
      <c r="Z67" s="290"/>
      <c r="AA67" s="290"/>
      <c r="AB67" s="290"/>
      <c r="AC67" s="290"/>
      <c r="AD67" s="290"/>
      <c r="AE67" s="290"/>
      <c r="AF67" s="405"/>
    </row>
    <row r="68" spans="1:32" s="94" customFormat="1" ht="7.5" hidden="1" customHeight="1">
      <c r="A68" s="258">
        <f t="shared" ref="A68:A131" si="31">A67+1</f>
        <v>68</v>
      </c>
      <c r="B68" s="92"/>
      <c r="C68" s="93"/>
      <c r="D68" s="93"/>
      <c r="G68" s="57"/>
      <c r="H68" s="95"/>
      <c r="I68" s="95"/>
      <c r="J68" s="95"/>
      <c r="K68" s="95"/>
      <c r="L68" s="95"/>
      <c r="M68" s="95"/>
      <c r="N68" s="95"/>
      <c r="O68" s="95"/>
      <c r="P68" s="95"/>
      <c r="Q68" s="95"/>
      <c r="R68" s="95"/>
      <c r="S68" s="95"/>
      <c r="T68" s="95"/>
      <c r="U68" s="750"/>
      <c r="V68" s="95"/>
      <c r="W68" s="95"/>
      <c r="X68" s="95"/>
      <c r="Y68" s="95"/>
      <c r="Z68" s="95"/>
      <c r="AA68" s="95"/>
      <c r="AB68" s="95"/>
      <c r="AC68" s="95"/>
      <c r="AD68" s="95"/>
      <c r="AE68" s="118"/>
      <c r="AF68" s="291"/>
    </row>
    <row r="69" spans="1:32" s="68" customFormat="1">
      <c r="A69" s="258">
        <f t="shared" si="31"/>
        <v>69</v>
      </c>
      <c r="B69" s="92" t="s">
        <v>50</v>
      </c>
      <c r="C69" s="93"/>
      <c r="D69" s="93"/>
      <c r="E69" s="94"/>
      <c r="F69" s="94"/>
      <c r="G69" s="57" t="str">
        <f>"Quarter "&amp;COUNTIF('3.) Staffing Plan'!$O$44:$R$44,"&gt;0")</f>
        <v>Quarter 0</v>
      </c>
      <c r="H69" s="95"/>
      <c r="I69" s="95"/>
      <c r="J69" s="95"/>
      <c r="K69" s="95"/>
      <c r="L69" s="95"/>
      <c r="M69" s="95"/>
      <c r="N69" s="95"/>
      <c r="O69" s="95"/>
      <c r="P69" s="95"/>
      <c r="Q69" s="95"/>
      <c r="R69" s="95"/>
      <c r="S69" s="95"/>
      <c r="T69" s="95"/>
      <c r="U69" s="750"/>
      <c r="V69" s="95"/>
      <c r="W69" s="95"/>
      <c r="X69" s="95"/>
      <c r="Y69" s="95"/>
      <c r="Z69" s="95"/>
      <c r="AA69" s="95"/>
      <c r="AB69" s="95"/>
      <c r="AC69" s="95"/>
      <c r="AD69" s="95"/>
      <c r="AE69" s="118"/>
      <c r="AF69" s="291"/>
    </row>
    <row r="70" spans="1:32" s="68" customFormat="1">
      <c r="A70" s="258">
        <f t="shared" si="31"/>
        <v>70</v>
      </c>
      <c r="B70" s="96"/>
      <c r="C70" s="119" t="s">
        <v>76</v>
      </c>
      <c r="D70" s="50"/>
      <c r="E70" s="94"/>
      <c r="F70" s="94"/>
      <c r="G70" s="57" t="s">
        <v>20</v>
      </c>
      <c r="H70" s="95"/>
      <c r="I70"/>
      <c r="J70"/>
      <c r="K70"/>
      <c r="L70"/>
      <c r="M70"/>
      <c r="N70"/>
      <c r="O70"/>
      <c r="P70"/>
      <c r="Q70"/>
      <c r="R70"/>
      <c r="S70" s="98"/>
      <c r="T70" s="98"/>
      <c r="U70" s="751"/>
      <c r="V70" s="95"/>
      <c r="W70" s="95"/>
      <c r="X70" s="95"/>
      <c r="Y70" s="95"/>
      <c r="Z70" s="95"/>
      <c r="AA70" s="95"/>
      <c r="AB70" s="95"/>
      <c r="AC70" s="95"/>
      <c r="AD70" s="95"/>
      <c r="AE70" s="118"/>
      <c r="AF70" s="291"/>
    </row>
    <row r="71" spans="1:32" s="68" customFormat="1">
      <c r="A71" s="258">
        <f t="shared" si="31"/>
        <v>71</v>
      </c>
      <c r="B71" s="96"/>
      <c r="C71" s="94"/>
      <c r="D71" s="54" t="s">
        <v>110</v>
      </c>
      <c r="E71" s="120"/>
      <c r="F71" s="120"/>
      <c r="G71" s="594">
        <f>IFERROR(INDEX('3.) Staffing Plan'!O13:R13,COUNTIF('3.) Staffing Plan'!$O$44:$R$44,"&gt;0")),0)</f>
        <v>0</v>
      </c>
      <c r="H71" s="95"/>
      <c r="I71" s="276"/>
      <c r="J71" s="102">
        <f>IF('4.) Yearly Budget'!$K$18&gt;0,'4.) Yearly Budget'!K71,'4.) Yearly Budget'!J71)</f>
        <v>0</v>
      </c>
      <c r="K71" s="382">
        <f t="shared" ref="K71:K76" si="32">IF(I$18&lt;&gt;0,J71-I71,0)</f>
        <v>0</v>
      </c>
      <c r="L71" s="276"/>
      <c r="M71" s="102">
        <f>IF('4.) Yearly Budget'!$N$18&gt;0,'4.) Yearly Budget'!N71,'4.) Yearly Budget'!M71)</f>
        <v>0</v>
      </c>
      <c r="N71" s="382">
        <f t="shared" ref="N71:N76" si="33">IF(L$18&lt;&gt;0,M71-L71,0)</f>
        <v>0</v>
      </c>
      <c r="O71" s="276"/>
      <c r="P71" s="102">
        <f>IF('4.) Yearly Budget'!$Q$18&gt;0,'4.) Yearly Budget'!Q71,'4.) Yearly Budget'!P71)</f>
        <v>0</v>
      </c>
      <c r="Q71" s="382">
        <f t="shared" ref="Q71:Q76" si="34">IF(O$18&lt;&gt;0,P71-O71,0)</f>
        <v>0</v>
      </c>
      <c r="R71" s="276"/>
      <c r="S71" s="102">
        <f>IF('4.) Yearly Budget'!$T$18&gt;0,'4.) Yearly Budget'!T71,'4.) Yearly Budget'!S71)</f>
        <v>0</v>
      </c>
      <c r="T71" s="105">
        <f t="shared" ref="T71:T76" si="35">IF(R$18&lt;&gt;0,S71-R71,0)</f>
        <v>0</v>
      </c>
      <c r="U71" s="277">
        <f t="shared" ref="U71:U76" si="36">IF(I$6&lt;&gt;0,I71,0)+IF(L$6&lt;&gt;0,L71,0)+IF(O$6&lt;&gt;0,O71,0)+IF(R$6&lt;&gt;0,R71,0)</f>
        <v>0</v>
      </c>
      <c r="V71" s="379">
        <f t="shared" ref="V71:V76" si="37">SUM(IF(I$6&lt;&gt;0,J71,0)+IF(L$6&lt;&gt;0,M71,0)+IF(O$6&lt;&gt;0,P71,0)+IF(R$6&lt;&gt;0,S71,0))</f>
        <v>0</v>
      </c>
      <c r="W71" s="379">
        <f t="shared" ref="W71:W76" si="38">V71-U71</f>
        <v>0</v>
      </c>
      <c r="X71" s="379">
        <f>'4.) Yearly Budget'!W71</f>
        <v>0</v>
      </c>
      <c r="Y71" s="380">
        <f t="shared" ref="Y71:Y76" si="39">IF(U71&lt;&gt;0,X71-U71,IF(U71=0,X71,0))</f>
        <v>0</v>
      </c>
      <c r="Z71" s="381">
        <f>SUM(IF(I$18&lt;&gt;0,'4.) Yearly Budget'!J71,0)+IF(L$18&lt;&gt;0,'4.) Yearly Budget'!M71,0)+IF(O$18&lt;&gt;0,'4.) Yearly Budget'!P71,0)+IF(R$18&lt;&gt;0,'4.) Yearly Budget'!S71,0))</f>
        <v>0</v>
      </c>
      <c r="AA71" s="381">
        <f t="shared" ref="AA71:AA76" si="40">Z71-U71</f>
        <v>0</v>
      </c>
      <c r="AB71" s="381">
        <f>'4.) Yearly Budget'!V71</f>
        <v>0</v>
      </c>
      <c r="AC71" s="382">
        <f t="shared" ref="AC71:AC76" si="41">IF(U71&lt;&gt;0,AB71-U71,IF(U71=0,AB71,0))</f>
        <v>0</v>
      </c>
      <c r="AD71" s="381">
        <f>IF(U$6&lt;&gt;0,'4.) Yearly Budget'!I71/$AM$18,0)</f>
        <v>0</v>
      </c>
      <c r="AE71" s="105">
        <f t="shared" ref="AE71:AE76" si="42">AD71-U71</f>
        <v>0</v>
      </c>
      <c r="AF71" s="291"/>
    </row>
    <row r="72" spans="1:32" s="68" customFormat="1">
      <c r="A72" s="258">
        <f t="shared" si="31"/>
        <v>72</v>
      </c>
      <c r="B72" s="96"/>
      <c r="C72" s="94"/>
      <c r="D72" s="54" t="s">
        <v>111</v>
      </c>
      <c r="E72" s="120"/>
      <c r="F72" s="120"/>
      <c r="G72" s="594">
        <f>IFERROR(INDEX('3.) Staffing Plan'!O14:R14,COUNTIF('3.) Staffing Plan'!$O$44:$R$44,"&gt;0")),0)</f>
        <v>0</v>
      </c>
      <c r="H72" s="95"/>
      <c r="I72" s="276"/>
      <c r="J72" s="102">
        <f>IF('4.) Yearly Budget'!$K$18&gt;0,'4.) Yearly Budget'!K72,'4.) Yearly Budget'!J72)</f>
        <v>0</v>
      </c>
      <c r="K72" s="382">
        <f t="shared" si="32"/>
        <v>0</v>
      </c>
      <c r="L72" s="276"/>
      <c r="M72" s="102">
        <f>IF('4.) Yearly Budget'!$N$18&gt;0,'4.) Yearly Budget'!N72,'4.) Yearly Budget'!M72)</f>
        <v>0</v>
      </c>
      <c r="N72" s="382">
        <f t="shared" si="33"/>
        <v>0</v>
      </c>
      <c r="O72" s="276"/>
      <c r="P72" s="102">
        <f>IF('4.) Yearly Budget'!$Q$18&gt;0,'4.) Yearly Budget'!Q72,'4.) Yearly Budget'!P72)</f>
        <v>0</v>
      </c>
      <c r="Q72" s="382">
        <f t="shared" si="34"/>
        <v>0</v>
      </c>
      <c r="R72" s="276"/>
      <c r="S72" s="102">
        <f>IF('4.) Yearly Budget'!$T$18&gt;0,'4.) Yearly Budget'!T72,'4.) Yearly Budget'!S72)</f>
        <v>0</v>
      </c>
      <c r="T72" s="105">
        <f t="shared" si="35"/>
        <v>0</v>
      </c>
      <c r="U72" s="277">
        <f t="shared" si="36"/>
        <v>0</v>
      </c>
      <c r="V72" s="379">
        <f t="shared" si="37"/>
        <v>0</v>
      </c>
      <c r="W72" s="379">
        <f t="shared" si="38"/>
        <v>0</v>
      </c>
      <c r="X72" s="379">
        <f>'4.) Yearly Budget'!W72</f>
        <v>0</v>
      </c>
      <c r="Y72" s="380">
        <f t="shared" si="39"/>
        <v>0</v>
      </c>
      <c r="Z72" s="381">
        <f>SUM(IF(I$18&lt;&gt;0,'4.) Yearly Budget'!J72,0)+IF(L$18&lt;&gt;0,'4.) Yearly Budget'!M72,0)+IF(O$18&lt;&gt;0,'4.) Yearly Budget'!P72,0)+IF(R$18&lt;&gt;0,'4.) Yearly Budget'!S72,0))</f>
        <v>0</v>
      </c>
      <c r="AA72" s="381">
        <f t="shared" si="40"/>
        <v>0</v>
      </c>
      <c r="AB72" s="381">
        <f>'4.) Yearly Budget'!V72</f>
        <v>0</v>
      </c>
      <c r="AC72" s="382">
        <f t="shared" si="41"/>
        <v>0</v>
      </c>
      <c r="AD72" s="381">
        <f>IF(U$6&lt;&gt;0,'4.) Yearly Budget'!I72/$AM$18,0)</f>
        <v>0</v>
      </c>
      <c r="AE72" s="105">
        <f t="shared" si="42"/>
        <v>0</v>
      </c>
      <c r="AF72" s="291"/>
    </row>
    <row r="73" spans="1:32" s="68" customFormat="1">
      <c r="A73" s="258">
        <f t="shared" si="31"/>
        <v>73</v>
      </c>
      <c r="B73" s="96"/>
      <c r="C73" s="94"/>
      <c r="D73" s="54" t="s">
        <v>112</v>
      </c>
      <c r="E73" s="120"/>
      <c r="F73" s="120"/>
      <c r="G73" s="594">
        <f>IFERROR(INDEX('3.) Staffing Plan'!O15:R15,COUNTIF('3.) Staffing Plan'!$O$44:$R$44,"&gt;0")),0)</f>
        <v>0</v>
      </c>
      <c r="H73" s="95"/>
      <c r="I73" s="276"/>
      <c r="J73" s="102">
        <f>IF('4.) Yearly Budget'!$K$18&gt;0,'4.) Yearly Budget'!K73,'4.) Yearly Budget'!J73)</f>
        <v>0</v>
      </c>
      <c r="K73" s="382">
        <f t="shared" si="32"/>
        <v>0</v>
      </c>
      <c r="L73" s="276"/>
      <c r="M73" s="102">
        <f>IF('4.) Yearly Budget'!$N$18&gt;0,'4.) Yearly Budget'!N73,'4.) Yearly Budget'!M73)</f>
        <v>0</v>
      </c>
      <c r="N73" s="382">
        <f t="shared" si="33"/>
        <v>0</v>
      </c>
      <c r="O73" s="276"/>
      <c r="P73" s="102">
        <f>IF('4.) Yearly Budget'!$Q$18&gt;0,'4.) Yearly Budget'!Q73,'4.) Yearly Budget'!P73)</f>
        <v>0</v>
      </c>
      <c r="Q73" s="382">
        <f t="shared" si="34"/>
        <v>0</v>
      </c>
      <c r="R73" s="276"/>
      <c r="S73" s="102">
        <f>IF('4.) Yearly Budget'!$T$18&gt;0,'4.) Yearly Budget'!T73,'4.) Yearly Budget'!S73)</f>
        <v>0</v>
      </c>
      <c r="T73" s="105">
        <f t="shared" si="35"/>
        <v>0</v>
      </c>
      <c r="U73" s="277">
        <f t="shared" si="36"/>
        <v>0</v>
      </c>
      <c r="V73" s="379">
        <f t="shared" si="37"/>
        <v>0</v>
      </c>
      <c r="W73" s="379">
        <f t="shared" si="38"/>
        <v>0</v>
      </c>
      <c r="X73" s="379">
        <f>'4.) Yearly Budget'!W73</f>
        <v>0</v>
      </c>
      <c r="Y73" s="380">
        <f t="shared" si="39"/>
        <v>0</v>
      </c>
      <c r="Z73" s="381">
        <f>SUM(IF(I$18&lt;&gt;0,'4.) Yearly Budget'!J73,0)+IF(L$18&lt;&gt;0,'4.) Yearly Budget'!M73,0)+IF(O$18&lt;&gt;0,'4.) Yearly Budget'!P73,0)+IF(R$18&lt;&gt;0,'4.) Yearly Budget'!S73,0))</f>
        <v>0</v>
      </c>
      <c r="AA73" s="381">
        <f t="shared" si="40"/>
        <v>0</v>
      </c>
      <c r="AB73" s="381">
        <f>'4.) Yearly Budget'!V73</f>
        <v>0</v>
      </c>
      <c r="AC73" s="382">
        <f t="shared" si="41"/>
        <v>0</v>
      </c>
      <c r="AD73" s="381">
        <f>IF(U$6&lt;&gt;0,'4.) Yearly Budget'!I73/$AM$18,0)</f>
        <v>0</v>
      </c>
      <c r="AE73" s="105">
        <f t="shared" si="42"/>
        <v>0</v>
      </c>
      <c r="AF73" s="291"/>
    </row>
    <row r="74" spans="1:32" s="68" customFormat="1">
      <c r="A74" s="258">
        <f t="shared" si="31"/>
        <v>74</v>
      </c>
      <c r="B74" s="96"/>
      <c r="C74" s="94"/>
      <c r="D74" s="54" t="s">
        <v>98</v>
      </c>
      <c r="E74" s="120"/>
      <c r="F74" s="120"/>
      <c r="G74" s="594">
        <f>IFERROR(INDEX('3.) Staffing Plan'!O16:R16,COUNTIF('3.) Staffing Plan'!$O$44:$R$44,"&gt;0")),0)</f>
        <v>0</v>
      </c>
      <c r="H74" s="95"/>
      <c r="I74" s="276"/>
      <c r="J74" s="102">
        <f>IF('4.) Yearly Budget'!$K$18&gt;0,'4.) Yearly Budget'!K74,'4.) Yearly Budget'!J74)</f>
        <v>0</v>
      </c>
      <c r="K74" s="382">
        <f t="shared" si="32"/>
        <v>0</v>
      </c>
      <c r="L74" s="276"/>
      <c r="M74" s="102">
        <f>IF('4.) Yearly Budget'!$N$18&gt;0,'4.) Yearly Budget'!N74,'4.) Yearly Budget'!M74)</f>
        <v>0</v>
      </c>
      <c r="N74" s="382">
        <f t="shared" si="33"/>
        <v>0</v>
      </c>
      <c r="O74" s="276"/>
      <c r="P74" s="102">
        <f>IF('4.) Yearly Budget'!$Q$18&gt;0,'4.) Yearly Budget'!Q74,'4.) Yearly Budget'!P74)</f>
        <v>0</v>
      </c>
      <c r="Q74" s="382">
        <f t="shared" si="34"/>
        <v>0</v>
      </c>
      <c r="R74" s="276"/>
      <c r="S74" s="102">
        <f>IF('4.) Yearly Budget'!$T$18&gt;0,'4.) Yearly Budget'!T74,'4.) Yearly Budget'!S74)</f>
        <v>0</v>
      </c>
      <c r="T74" s="105">
        <f t="shared" si="35"/>
        <v>0</v>
      </c>
      <c r="U74" s="277">
        <f t="shared" si="36"/>
        <v>0</v>
      </c>
      <c r="V74" s="379">
        <f t="shared" si="37"/>
        <v>0</v>
      </c>
      <c r="W74" s="379">
        <f t="shared" si="38"/>
        <v>0</v>
      </c>
      <c r="X74" s="379">
        <f>'4.) Yearly Budget'!W74</f>
        <v>0</v>
      </c>
      <c r="Y74" s="380">
        <f t="shared" si="39"/>
        <v>0</v>
      </c>
      <c r="Z74" s="381">
        <f>SUM(IF(I$18&lt;&gt;0,'4.) Yearly Budget'!J74,0)+IF(L$18&lt;&gt;0,'4.) Yearly Budget'!M74,0)+IF(O$18&lt;&gt;0,'4.) Yearly Budget'!P74,0)+IF(R$18&lt;&gt;0,'4.) Yearly Budget'!S74,0))</f>
        <v>0</v>
      </c>
      <c r="AA74" s="381">
        <f t="shared" si="40"/>
        <v>0</v>
      </c>
      <c r="AB74" s="381">
        <f>'4.) Yearly Budget'!V74</f>
        <v>0</v>
      </c>
      <c r="AC74" s="382">
        <f t="shared" si="41"/>
        <v>0</v>
      </c>
      <c r="AD74" s="381">
        <f>IF(U$6&lt;&gt;0,'4.) Yearly Budget'!I74/$AM$18,0)</f>
        <v>0</v>
      </c>
      <c r="AE74" s="105">
        <f t="shared" si="42"/>
        <v>0</v>
      </c>
      <c r="AF74" s="291"/>
    </row>
    <row r="75" spans="1:32" s="68" customFormat="1">
      <c r="A75" s="258">
        <f t="shared" si="31"/>
        <v>75</v>
      </c>
      <c r="B75" s="96"/>
      <c r="C75" s="94"/>
      <c r="D75" s="54" t="s">
        <v>99</v>
      </c>
      <c r="E75" s="120"/>
      <c r="F75" s="120"/>
      <c r="G75" s="594">
        <f>IFERROR(INDEX('3.) Staffing Plan'!O17:R17,COUNTIF('3.) Staffing Plan'!$O$44:$R$44,"&gt;0")),0)</f>
        <v>0</v>
      </c>
      <c r="H75" s="95"/>
      <c r="I75" s="276"/>
      <c r="J75" s="102">
        <f>IF('4.) Yearly Budget'!$K$18&gt;0,'4.) Yearly Budget'!K75,'4.) Yearly Budget'!J75)</f>
        <v>0</v>
      </c>
      <c r="K75" s="382">
        <f t="shared" si="32"/>
        <v>0</v>
      </c>
      <c r="L75" s="276"/>
      <c r="M75" s="102">
        <f>IF('4.) Yearly Budget'!$N$18&gt;0,'4.) Yearly Budget'!N75,'4.) Yearly Budget'!M75)</f>
        <v>0</v>
      </c>
      <c r="N75" s="382">
        <f t="shared" si="33"/>
        <v>0</v>
      </c>
      <c r="O75" s="276"/>
      <c r="P75" s="102">
        <f>IF('4.) Yearly Budget'!$Q$18&gt;0,'4.) Yearly Budget'!Q75,'4.) Yearly Budget'!P75)</f>
        <v>0</v>
      </c>
      <c r="Q75" s="382">
        <f t="shared" si="34"/>
        <v>0</v>
      </c>
      <c r="R75" s="276"/>
      <c r="S75" s="102">
        <f>IF('4.) Yearly Budget'!$T$18&gt;0,'4.) Yearly Budget'!T75,'4.) Yearly Budget'!S75)</f>
        <v>0</v>
      </c>
      <c r="T75" s="105">
        <f t="shared" si="35"/>
        <v>0</v>
      </c>
      <c r="U75" s="277">
        <f t="shared" si="36"/>
        <v>0</v>
      </c>
      <c r="V75" s="379">
        <f t="shared" si="37"/>
        <v>0</v>
      </c>
      <c r="W75" s="379">
        <f t="shared" si="38"/>
        <v>0</v>
      </c>
      <c r="X75" s="379">
        <f>'4.) Yearly Budget'!W75</f>
        <v>0</v>
      </c>
      <c r="Y75" s="380">
        <f t="shared" si="39"/>
        <v>0</v>
      </c>
      <c r="Z75" s="381">
        <f>SUM(IF(I$18&lt;&gt;0,'4.) Yearly Budget'!J75,0)+IF(L$18&lt;&gt;0,'4.) Yearly Budget'!M75,0)+IF(O$18&lt;&gt;0,'4.) Yearly Budget'!P75,0)+IF(R$18&lt;&gt;0,'4.) Yearly Budget'!S75,0))</f>
        <v>0</v>
      </c>
      <c r="AA75" s="381">
        <f t="shared" si="40"/>
        <v>0</v>
      </c>
      <c r="AB75" s="381">
        <f>'4.) Yearly Budget'!V75</f>
        <v>0</v>
      </c>
      <c r="AC75" s="382">
        <f t="shared" si="41"/>
        <v>0</v>
      </c>
      <c r="AD75" s="381">
        <f>IF(U$6&lt;&gt;0,'4.) Yearly Budget'!I75/$AM$18,0)</f>
        <v>0</v>
      </c>
      <c r="AE75" s="105">
        <f t="shared" si="42"/>
        <v>0</v>
      </c>
      <c r="AF75" s="291"/>
    </row>
    <row r="76" spans="1:32" s="68" customFormat="1" ht="17.25">
      <c r="A76" s="258">
        <f t="shared" si="31"/>
        <v>76</v>
      </c>
      <c r="B76" s="96"/>
      <c r="C76" s="94"/>
      <c r="D76" s="54" t="s">
        <v>113</v>
      </c>
      <c r="E76" s="120"/>
      <c r="F76" s="120"/>
      <c r="G76" s="597">
        <f>IFERROR(INDEX('3.) Staffing Plan'!O18:R18,COUNTIF('3.) Staffing Plan'!$O$44:$R$44,"&gt;0")),0)</f>
        <v>0</v>
      </c>
      <c r="H76" s="95"/>
      <c r="I76" s="284"/>
      <c r="J76" s="549">
        <f>IF('4.) Yearly Budget'!$K$18&gt;0,'4.) Yearly Budget'!K76,'4.) Yearly Budget'!J76)</f>
        <v>0</v>
      </c>
      <c r="K76" s="392">
        <f t="shared" si="32"/>
        <v>0</v>
      </c>
      <c r="L76" s="284"/>
      <c r="M76" s="549">
        <f>IF('4.) Yearly Budget'!$N$18&gt;0,'4.) Yearly Budget'!N76,'4.) Yearly Budget'!M76)</f>
        <v>0</v>
      </c>
      <c r="N76" s="392">
        <f t="shared" si="33"/>
        <v>0</v>
      </c>
      <c r="O76" s="284"/>
      <c r="P76" s="549">
        <f>IF('4.) Yearly Budget'!$Q$18&gt;0,'4.) Yearly Budget'!Q76,'4.) Yearly Budget'!P76)</f>
        <v>0</v>
      </c>
      <c r="Q76" s="392">
        <f t="shared" si="34"/>
        <v>0</v>
      </c>
      <c r="R76" s="284"/>
      <c r="S76" s="549">
        <f>IF('4.) Yearly Budget'!$T$18&gt;0,'4.) Yearly Budget'!T76,'4.) Yearly Budget'!S76)</f>
        <v>0</v>
      </c>
      <c r="T76" s="388">
        <f t="shared" si="35"/>
        <v>0</v>
      </c>
      <c r="U76" s="285">
        <f t="shared" si="36"/>
        <v>0</v>
      </c>
      <c r="V76" s="389">
        <f t="shared" si="37"/>
        <v>0</v>
      </c>
      <c r="W76" s="389">
        <f t="shared" si="38"/>
        <v>0</v>
      </c>
      <c r="X76" s="389">
        <f>'4.) Yearly Budget'!W76</f>
        <v>0</v>
      </c>
      <c r="Y76" s="390">
        <f t="shared" si="39"/>
        <v>0</v>
      </c>
      <c r="Z76" s="391">
        <f>SUM(IF(I$18&lt;&gt;0,'4.) Yearly Budget'!J76,0)+IF(L$18&lt;&gt;0,'4.) Yearly Budget'!M76,0)+IF(O$18&lt;&gt;0,'4.) Yearly Budget'!P76,0)+IF(R$18&lt;&gt;0,'4.) Yearly Budget'!S76,0))</f>
        <v>0</v>
      </c>
      <c r="AA76" s="391">
        <f t="shared" si="40"/>
        <v>0</v>
      </c>
      <c r="AB76" s="391">
        <f>'4.) Yearly Budget'!V76</f>
        <v>0</v>
      </c>
      <c r="AC76" s="392">
        <f t="shared" si="41"/>
        <v>0</v>
      </c>
      <c r="AD76" s="391">
        <f>IF(U$6&lt;&gt;0,'4.) Yearly Budget'!I76/$AM$18,0)</f>
        <v>0</v>
      </c>
      <c r="AE76" s="388">
        <f t="shared" si="42"/>
        <v>0</v>
      </c>
      <c r="AF76" s="291"/>
    </row>
    <row r="77" spans="1:32" s="68" customFormat="1">
      <c r="A77" s="258">
        <f t="shared" si="31"/>
        <v>77</v>
      </c>
      <c r="B77" s="96"/>
      <c r="C77" s="55" t="s">
        <v>75</v>
      </c>
      <c r="D77" s="94"/>
      <c r="E77" s="120"/>
      <c r="F77" s="120"/>
      <c r="G77" s="594">
        <f>SUM(G71:G76)</f>
        <v>0</v>
      </c>
      <c r="H77" s="95"/>
      <c r="I77" s="627">
        <f t="shared" ref="I77:AE77" si="43">SUM(I71:I76)</f>
        <v>0</v>
      </c>
      <c r="J77" s="52">
        <f t="shared" si="43"/>
        <v>0</v>
      </c>
      <c r="K77" s="406">
        <f t="shared" si="43"/>
        <v>0</v>
      </c>
      <c r="L77" s="52">
        <f>SUM(L71:L76)</f>
        <v>0</v>
      </c>
      <c r="M77" s="52">
        <f t="shared" si="43"/>
        <v>0</v>
      </c>
      <c r="N77" s="406">
        <f t="shared" si="43"/>
        <v>0</v>
      </c>
      <c r="O77" s="52">
        <f>SUM(O71:O76)</f>
        <v>0</v>
      </c>
      <c r="P77" s="52">
        <f t="shared" si="43"/>
        <v>0</v>
      </c>
      <c r="Q77" s="406">
        <f t="shared" si="43"/>
        <v>0</v>
      </c>
      <c r="R77" s="52">
        <f>SUM(R71:R76)</f>
        <v>0</v>
      </c>
      <c r="S77" s="52">
        <f t="shared" si="43"/>
        <v>0</v>
      </c>
      <c r="T77" s="122">
        <f t="shared" si="43"/>
        <v>0</v>
      </c>
      <c r="U77" s="294">
        <f t="shared" si="43"/>
        <v>0</v>
      </c>
      <c r="V77" s="52">
        <f t="shared" si="43"/>
        <v>0</v>
      </c>
      <c r="W77" s="52">
        <f t="shared" si="43"/>
        <v>0</v>
      </c>
      <c r="X77" s="52">
        <f t="shared" si="43"/>
        <v>0</v>
      </c>
      <c r="Y77" s="407">
        <f t="shared" si="43"/>
        <v>0</v>
      </c>
      <c r="Z77" s="121">
        <f t="shared" si="43"/>
        <v>0</v>
      </c>
      <c r="AA77" s="121">
        <f t="shared" si="43"/>
        <v>0</v>
      </c>
      <c r="AB77" s="121">
        <f t="shared" si="43"/>
        <v>0</v>
      </c>
      <c r="AC77" s="406">
        <f t="shared" si="43"/>
        <v>0</v>
      </c>
      <c r="AD77" s="121">
        <f t="shared" si="43"/>
        <v>0</v>
      </c>
      <c r="AE77" s="408">
        <f t="shared" si="43"/>
        <v>0</v>
      </c>
      <c r="AF77" s="291"/>
    </row>
    <row r="78" spans="1:32" s="68" customFormat="1" ht="7.5" customHeight="1">
      <c r="A78" s="258">
        <f t="shared" si="31"/>
        <v>78</v>
      </c>
      <c r="B78" s="96"/>
      <c r="C78" s="94"/>
      <c r="D78" s="120"/>
      <c r="E78" s="120"/>
      <c r="F78" s="120"/>
      <c r="G78" s="598"/>
      <c r="H78" s="95"/>
      <c r="I78" s="95"/>
      <c r="J78" s="95"/>
      <c r="K78" s="95"/>
      <c r="L78" s="95"/>
      <c r="M78" s="95"/>
      <c r="N78" s="95"/>
      <c r="O78" s="95"/>
      <c r="P78" s="95"/>
      <c r="Q78" s="95"/>
      <c r="R78" s="95"/>
      <c r="S78" s="95"/>
      <c r="T78" s="118"/>
      <c r="U78" s="95"/>
      <c r="V78" s="95"/>
      <c r="W78" s="95"/>
      <c r="X78" s="95"/>
      <c r="Y78" s="95"/>
      <c r="Z78" s="95"/>
      <c r="AA78" s="95"/>
      <c r="AB78" s="95"/>
      <c r="AC78" s="95"/>
      <c r="AD78" s="95"/>
      <c r="AE78" s="118"/>
      <c r="AF78" s="291"/>
    </row>
    <row r="79" spans="1:32" s="68" customFormat="1">
      <c r="A79" s="258">
        <f t="shared" si="31"/>
        <v>79</v>
      </c>
      <c r="B79" s="96"/>
      <c r="C79" s="119" t="s">
        <v>77</v>
      </c>
      <c r="D79" s="50"/>
      <c r="E79" s="94"/>
      <c r="F79" s="94"/>
      <c r="G79" s="599"/>
      <c r="H79" s="95"/>
      <c r="I79" s="98"/>
      <c r="J79" s="98"/>
      <c r="K79" s="98"/>
      <c r="L79" s="98"/>
      <c r="M79" s="98"/>
      <c r="N79" s="98"/>
      <c r="O79" s="98"/>
      <c r="P79" s="98"/>
      <c r="Q79" s="98"/>
      <c r="R79" s="98"/>
      <c r="S79" s="98"/>
      <c r="T79" s="99"/>
      <c r="U79" s="95"/>
      <c r="V79" s="95"/>
      <c r="W79" s="95"/>
      <c r="X79" s="95"/>
      <c r="Y79" s="95"/>
      <c r="Z79" s="95"/>
      <c r="AA79" s="95"/>
      <c r="AB79" s="95"/>
      <c r="AC79" s="95"/>
      <c r="AD79" s="95"/>
      <c r="AE79" s="118"/>
      <c r="AF79" s="291"/>
    </row>
    <row r="80" spans="1:32" s="68" customFormat="1">
      <c r="A80" s="258">
        <f t="shared" si="31"/>
        <v>80</v>
      </c>
      <c r="B80" s="96"/>
      <c r="C80" s="94"/>
      <c r="D80" s="54" t="s">
        <v>51</v>
      </c>
      <c r="E80" s="120"/>
      <c r="F80" s="120"/>
      <c r="G80" s="594">
        <f>IFERROR(INDEX('3.) Staffing Plan'!O24:R24,COUNTIF('3.) Staffing Plan'!$O$44:$R$44,"&gt;0")),0)</f>
        <v>0</v>
      </c>
      <c r="H80" s="297"/>
      <c r="I80" s="276"/>
      <c r="J80" s="102">
        <f>IF('4.) Yearly Budget'!$K$18&gt;0,'4.) Yearly Budget'!K80,'4.) Yearly Budget'!J80)</f>
        <v>0</v>
      </c>
      <c r="K80" s="382">
        <f t="shared" ref="K80:K87" si="44">IF(I$18&lt;&gt;0,J80-I80,0)</f>
        <v>0</v>
      </c>
      <c r="L80" s="276"/>
      <c r="M80" s="102">
        <f>IF('4.) Yearly Budget'!$N$18&gt;0,'4.) Yearly Budget'!N80,'4.) Yearly Budget'!M80)</f>
        <v>0</v>
      </c>
      <c r="N80" s="382">
        <f t="shared" ref="N80:N87" si="45">IF(L$18&lt;&gt;0,M80-L80,0)</f>
        <v>0</v>
      </c>
      <c r="O80" s="276"/>
      <c r="P80" s="102">
        <f>IF('4.) Yearly Budget'!$Q$18&gt;0,'4.) Yearly Budget'!Q80,'4.) Yearly Budget'!P80)</f>
        <v>0</v>
      </c>
      <c r="Q80" s="382">
        <f t="shared" ref="Q80:Q87" si="46">IF(O$18&lt;&gt;0,P80-O80,0)</f>
        <v>0</v>
      </c>
      <c r="R80" s="276"/>
      <c r="S80" s="102">
        <f>IF('4.) Yearly Budget'!$T$18&gt;0,'4.) Yearly Budget'!T80,'4.) Yearly Budget'!S80)</f>
        <v>0</v>
      </c>
      <c r="T80" s="105">
        <f t="shared" ref="T80:T87" si="47">IF(R$18&lt;&gt;0,S80-R80,0)</f>
        <v>0</v>
      </c>
      <c r="U80" s="277">
        <f t="shared" ref="U80:U87" si="48">IF(I$6&lt;&gt;0,I80,0)+IF(L$6&lt;&gt;0,L80,0)+IF(O$6&lt;&gt;0,O80,0)+IF(R$6&lt;&gt;0,R80,0)</f>
        <v>0</v>
      </c>
      <c r="V80" s="379">
        <f t="shared" ref="V80:V87" si="49">SUM(IF(I$6&lt;&gt;0,J80,0)+IF(L$6&lt;&gt;0,M80,0)+IF(O$6&lt;&gt;0,P80,0)+IF(R$6&lt;&gt;0,S80,0))</f>
        <v>0</v>
      </c>
      <c r="W80" s="379">
        <f t="shared" ref="W80:W87" si="50">V80-U80</f>
        <v>0</v>
      </c>
      <c r="X80" s="379">
        <f>'4.) Yearly Budget'!W80</f>
        <v>0</v>
      </c>
      <c r="Y80" s="380">
        <f t="shared" ref="Y80:Y87" si="51">IF(U80&lt;&gt;0,X80-U80,IF(U80=0,X80,0))</f>
        <v>0</v>
      </c>
      <c r="Z80" s="381">
        <f>SUM(IF(I$18&lt;&gt;0,'4.) Yearly Budget'!J80,0)+IF(L$18&lt;&gt;0,'4.) Yearly Budget'!M80,0)+IF(O$18&lt;&gt;0,'4.) Yearly Budget'!P80,0)+IF(R$18&lt;&gt;0,'4.) Yearly Budget'!S80,0))</f>
        <v>0</v>
      </c>
      <c r="AA80" s="381">
        <f t="shared" ref="AA80:AA87" si="52">Z80-U80</f>
        <v>0</v>
      </c>
      <c r="AB80" s="381">
        <f>'4.) Yearly Budget'!V80</f>
        <v>0</v>
      </c>
      <c r="AC80" s="382">
        <f t="shared" ref="AC80:AC87" si="53">IF(U80&lt;&gt;0,AB80-U80,IF(U80=0,AB80,0))</f>
        <v>0</v>
      </c>
      <c r="AD80" s="381">
        <f>IF(U$6&lt;&gt;0,'4.) Yearly Budget'!I80/$AM$18,0)</f>
        <v>0</v>
      </c>
      <c r="AE80" s="105">
        <f t="shared" ref="AE80:AE87" si="54">AD80-U80</f>
        <v>0</v>
      </c>
      <c r="AF80" s="291"/>
    </row>
    <row r="81" spans="1:32" s="68" customFormat="1">
      <c r="A81" s="258">
        <f t="shared" si="31"/>
        <v>81</v>
      </c>
      <c r="B81" s="96"/>
      <c r="C81" s="94"/>
      <c r="D81" s="54" t="s">
        <v>52</v>
      </c>
      <c r="E81" s="120"/>
      <c r="F81" s="120"/>
      <c r="G81" s="594">
        <f>IFERROR(INDEX('3.) Staffing Plan'!O25:R25,COUNTIF('3.) Staffing Plan'!$O$44:$R$44,"&gt;0")),0)</f>
        <v>0</v>
      </c>
      <c r="H81" s="297"/>
      <c r="I81" s="276"/>
      <c r="J81" s="102">
        <f>IF('4.) Yearly Budget'!$K$18&gt;0,'4.) Yearly Budget'!K81,'4.) Yearly Budget'!J81)</f>
        <v>0</v>
      </c>
      <c r="K81" s="382">
        <f t="shared" si="44"/>
        <v>0</v>
      </c>
      <c r="L81" s="276"/>
      <c r="M81" s="102">
        <f>IF('4.) Yearly Budget'!$N$18&gt;0,'4.) Yearly Budget'!N81,'4.) Yearly Budget'!M81)</f>
        <v>0</v>
      </c>
      <c r="N81" s="382">
        <f t="shared" si="45"/>
        <v>0</v>
      </c>
      <c r="O81" s="276"/>
      <c r="P81" s="102">
        <f>IF('4.) Yearly Budget'!$Q$18&gt;0,'4.) Yearly Budget'!Q81,'4.) Yearly Budget'!P81)</f>
        <v>0</v>
      </c>
      <c r="Q81" s="382">
        <f t="shared" si="46"/>
        <v>0</v>
      </c>
      <c r="R81" s="276"/>
      <c r="S81" s="102">
        <f>IF('4.) Yearly Budget'!$T$18&gt;0,'4.) Yearly Budget'!T81,'4.) Yearly Budget'!S81)</f>
        <v>0</v>
      </c>
      <c r="T81" s="105">
        <f t="shared" si="47"/>
        <v>0</v>
      </c>
      <c r="U81" s="277">
        <f t="shared" si="48"/>
        <v>0</v>
      </c>
      <c r="V81" s="379">
        <f t="shared" si="49"/>
        <v>0</v>
      </c>
      <c r="W81" s="379">
        <f t="shared" si="50"/>
        <v>0</v>
      </c>
      <c r="X81" s="379">
        <f>'4.) Yearly Budget'!W81</f>
        <v>0</v>
      </c>
      <c r="Y81" s="380">
        <f t="shared" si="51"/>
        <v>0</v>
      </c>
      <c r="Z81" s="381">
        <f>SUM(IF(I$18&lt;&gt;0,'4.) Yearly Budget'!J81,0)+IF(L$18&lt;&gt;0,'4.) Yearly Budget'!M81,0)+IF(O$18&lt;&gt;0,'4.) Yearly Budget'!P81,0)+IF(R$18&lt;&gt;0,'4.) Yearly Budget'!S81,0))</f>
        <v>0</v>
      </c>
      <c r="AA81" s="381">
        <f t="shared" si="52"/>
        <v>0</v>
      </c>
      <c r="AB81" s="381">
        <f>'4.) Yearly Budget'!V81</f>
        <v>0</v>
      </c>
      <c r="AC81" s="382">
        <f t="shared" si="53"/>
        <v>0</v>
      </c>
      <c r="AD81" s="381">
        <f>IF(U$6&lt;&gt;0,'4.) Yearly Budget'!I81/$AM$18,0)</f>
        <v>0</v>
      </c>
      <c r="AE81" s="105">
        <f t="shared" si="54"/>
        <v>0</v>
      </c>
      <c r="AF81" s="291"/>
    </row>
    <row r="82" spans="1:32" s="68" customFormat="1">
      <c r="A82" s="258">
        <f t="shared" si="31"/>
        <v>82</v>
      </c>
      <c r="B82" s="96"/>
      <c r="C82" s="94"/>
      <c r="D82" s="54" t="s">
        <v>10</v>
      </c>
      <c r="E82" s="120"/>
      <c r="F82" s="120"/>
      <c r="G82" s="594">
        <f>IFERROR(INDEX('3.) Staffing Plan'!O26:R26,COUNTIF('3.) Staffing Plan'!$O$44:$R$44,"&gt;0")),0)</f>
        <v>0</v>
      </c>
      <c r="H82" s="297"/>
      <c r="I82" s="276"/>
      <c r="J82" s="102">
        <f>IF('4.) Yearly Budget'!$K$18&gt;0,'4.) Yearly Budget'!K82,'4.) Yearly Budget'!J82)</f>
        <v>0</v>
      </c>
      <c r="K82" s="382">
        <f t="shared" si="44"/>
        <v>0</v>
      </c>
      <c r="L82" s="276"/>
      <c r="M82" s="102">
        <f>IF('4.) Yearly Budget'!$N$18&gt;0,'4.) Yearly Budget'!N82,'4.) Yearly Budget'!M82)</f>
        <v>0</v>
      </c>
      <c r="N82" s="382">
        <f t="shared" si="45"/>
        <v>0</v>
      </c>
      <c r="O82" s="276"/>
      <c r="P82" s="102">
        <f>IF('4.) Yearly Budget'!$Q$18&gt;0,'4.) Yearly Budget'!Q82,'4.) Yearly Budget'!P82)</f>
        <v>0</v>
      </c>
      <c r="Q82" s="382">
        <f t="shared" si="46"/>
        <v>0</v>
      </c>
      <c r="R82" s="276"/>
      <c r="S82" s="102">
        <f>IF('4.) Yearly Budget'!$T$18&gt;0,'4.) Yearly Budget'!T82,'4.) Yearly Budget'!S82)</f>
        <v>0</v>
      </c>
      <c r="T82" s="105">
        <f t="shared" si="47"/>
        <v>0</v>
      </c>
      <c r="U82" s="277">
        <f t="shared" si="48"/>
        <v>0</v>
      </c>
      <c r="V82" s="379">
        <f t="shared" si="49"/>
        <v>0</v>
      </c>
      <c r="W82" s="379">
        <f t="shared" si="50"/>
        <v>0</v>
      </c>
      <c r="X82" s="379">
        <f>'4.) Yearly Budget'!W82</f>
        <v>0</v>
      </c>
      <c r="Y82" s="380">
        <f t="shared" si="51"/>
        <v>0</v>
      </c>
      <c r="Z82" s="381">
        <f>SUM(IF(I$18&lt;&gt;0,'4.) Yearly Budget'!J82,0)+IF(L$18&lt;&gt;0,'4.) Yearly Budget'!M82,0)+IF(O$18&lt;&gt;0,'4.) Yearly Budget'!P82,0)+IF(R$18&lt;&gt;0,'4.) Yearly Budget'!S82,0))</f>
        <v>0</v>
      </c>
      <c r="AA82" s="381">
        <f t="shared" si="52"/>
        <v>0</v>
      </c>
      <c r="AB82" s="381">
        <f>'4.) Yearly Budget'!V82</f>
        <v>0</v>
      </c>
      <c r="AC82" s="382">
        <f t="shared" si="53"/>
        <v>0</v>
      </c>
      <c r="AD82" s="381">
        <f>IF(U$6&lt;&gt;0,'4.) Yearly Budget'!I82/$AM$18,0)</f>
        <v>0</v>
      </c>
      <c r="AE82" s="105">
        <f t="shared" si="54"/>
        <v>0</v>
      </c>
      <c r="AF82" s="291"/>
    </row>
    <row r="83" spans="1:32" s="68" customFormat="1">
      <c r="A83" s="258">
        <f t="shared" si="31"/>
        <v>83</v>
      </c>
      <c r="B83" s="96"/>
      <c r="C83" s="94"/>
      <c r="D83" s="54" t="s">
        <v>11</v>
      </c>
      <c r="E83" s="120"/>
      <c r="F83" s="120"/>
      <c r="G83" s="594">
        <f>IFERROR(INDEX('3.) Staffing Plan'!O27:R27,COUNTIF('3.) Staffing Plan'!$O$44:$R$44,"&gt;0")),0)</f>
        <v>0</v>
      </c>
      <c r="H83" s="297"/>
      <c r="I83" s="276"/>
      <c r="J83" s="102">
        <f>IF('4.) Yearly Budget'!$K$18&gt;0,'4.) Yearly Budget'!K83,'4.) Yearly Budget'!J83)</f>
        <v>0</v>
      </c>
      <c r="K83" s="382">
        <f t="shared" si="44"/>
        <v>0</v>
      </c>
      <c r="L83" s="276"/>
      <c r="M83" s="102">
        <f>IF('4.) Yearly Budget'!$N$18&gt;0,'4.) Yearly Budget'!N83,'4.) Yearly Budget'!M83)</f>
        <v>0</v>
      </c>
      <c r="N83" s="382">
        <f t="shared" si="45"/>
        <v>0</v>
      </c>
      <c r="O83" s="276"/>
      <c r="P83" s="102">
        <f>IF('4.) Yearly Budget'!$Q$18&gt;0,'4.) Yearly Budget'!Q83,'4.) Yearly Budget'!P83)</f>
        <v>0</v>
      </c>
      <c r="Q83" s="382">
        <f t="shared" si="46"/>
        <v>0</v>
      </c>
      <c r="R83" s="276"/>
      <c r="S83" s="102">
        <f>IF('4.) Yearly Budget'!$T$18&gt;0,'4.) Yearly Budget'!T83,'4.) Yearly Budget'!S83)</f>
        <v>0</v>
      </c>
      <c r="T83" s="105">
        <f t="shared" si="47"/>
        <v>0</v>
      </c>
      <c r="U83" s="277">
        <f t="shared" si="48"/>
        <v>0</v>
      </c>
      <c r="V83" s="379">
        <f t="shared" si="49"/>
        <v>0</v>
      </c>
      <c r="W83" s="379">
        <f t="shared" si="50"/>
        <v>0</v>
      </c>
      <c r="X83" s="379">
        <f>'4.) Yearly Budget'!W83</f>
        <v>0</v>
      </c>
      <c r="Y83" s="380">
        <f t="shared" si="51"/>
        <v>0</v>
      </c>
      <c r="Z83" s="381">
        <f>SUM(IF(I$18&lt;&gt;0,'4.) Yearly Budget'!J83,0)+IF(L$18&lt;&gt;0,'4.) Yearly Budget'!M83,0)+IF(O$18&lt;&gt;0,'4.) Yearly Budget'!P83,0)+IF(R$18&lt;&gt;0,'4.) Yearly Budget'!S83,0))</f>
        <v>0</v>
      </c>
      <c r="AA83" s="381">
        <f t="shared" si="52"/>
        <v>0</v>
      </c>
      <c r="AB83" s="381">
        <f>'4.) Yearly Budget'!V83</f>
        <v>0</v>
      </c>
      <c r="AC83" s="382">
        <f t="shared" si="53"/>
        <v>0</v>
      </c>
      <c r="AD83" s="381">
        <f>IF(U$6&lt;&gt;0,'4.) Yearly Budget'!I83/$AM$18,0)</f>
        <v>0</v>
      </c>
      <c r="AE83" s="105">
        <f t="shared" si="54"/>
        <v>0</v>
      </c>
      <c r="AF83" s="291"/>
    </row>
    <row r="84" spans="1:32" s="68" customFormat="1">
      <c r="A84" s="258">
        <f t="shared" si="31"/>
        <v>84</v>
      </c>
      <c r="B84" s="96"/>
      <c r="C84" s="94"/>
      <c r="D84" s="54" t="s">
        <v>12</v>
      </c>
      <c r="E84" s="120"/>
      <c r="F84" s="120"/>
      <c r="G84" s="594">
        <f>IFERROR(INDEX('3.) Staffing Plan'!O28:R28,COUNTIF('3.) Staffing Plan'!$O$44:$R$44,"&gt;0")),0)</f>
        <v>0</v>
      </c>
      <c r="H84" s="297"/>
      <c r="I84" s="276"/>
      <c r="J84" s="102">
        <f>IF('4.) Yearly Budget'!$K$18&gt;0,'4.) Yearly Budget'!K84,'4.) Yearly Budget'!J84)</f>
        <v>0</v>
      </c>
      <c r="K84" s="382">
        <f t="shared" si="44"/>
        <v>0</v>
      </c>
      <c r="L84" s="276"/>
      <c r="M84" s="102">
        <f>IF('4.) Yearly Budget'!$N$18&gt;0,'4.) Yearly Budget'!N84,'4.) Yearly Budget'!M84)</f>
        <v>0</v>
      </c>
      <c r="N84" s="382">
        <f t="shared" si="45"/>
        <v>0</v>
      </c>
      <c r="O84" s="276"/>
      <c r="P84" s="102">
        <f>IF('4.) Yearly Budget'!$Q$18&gt;0,'4.) Yearly Budget'!Q84,'4.) Yearly Budget'!P84)</f>
        <v>0</v>
      </c>
      <c r="Q84" s="382">
        <f t="shared" si="46"/>
        <v>0</v>
      </c>
      <c r="R84" s="276"/>
      <c r="S84" s="102">
        <f>IF('4.) Yearly Budget'!$T$18&gt;0,'4.) Yearly Budget'!T84,'4.) Yearly Budget'!S84)</f>
        <v>0</v>
      </c>
      <c r="T84" s="105">
        <f t="shared" si="47"/>
        <v>0</v>
      </c>
      <c r="U84" s="277">
        <f t="shared" si="48"/>
        <v>0</v>
      </c>
      <c r="V84" s="379">
        <f t="shared" si="49"/>
        <v>0</v>
      </c>
      <c r="W84" s="379">
        <f t="shared" si="50"/>
        <v>0</v>
      </c>
      <c r="X84" s="379">
        <f>'4.) Yearly Budget'!W84</f>
        <v>0</v>
      </c>
      <c r="Y84" s="380">
        <f t="shared" si="51"/>
        <v>0</v>
      </c>
      <c r="Z84" s="381">
        <f>SUM(IF(I$18&lt;&gt;0,'4.) Yearly Budget'!J84,0)+IF(L$18&lt;&gt;0,'4.) Yearly Budget'!M84,0)+IF(O$18&lt;&gt;0,'4.) Yearly Budget'!P84,0)+IF(R$18&lt;&gt;0,'4.) Yearly Budget'!S84,0))</f>
        <v>0</v>
      </c>
      <c r="AA84" s="381">
        <f t="shared" si="52"/>
        <v>0</v>
      </c>
      <c r="AB84" s="381">
        <f>'4.) Yearly Budget'!V84</f>
        <v>0</v>
      </c>
      <c r="AC84" s="382">
        <f t="shared" si="53"/>
        <v>0</v>
      </c>
      <c r="AD84" s="381">
        <f>IF(U$6&lt;&gt;0,'4.) Yearly Budget'!I84/$AM$18,0)</f>
        <v>0</v>
      </c>
      <c r="AE84" s="105">
        <f t="shared" si="54"/>
        <v>0</v>
      </c>
      <c r="AF84" s="291"/>
    </row>
    <row r="85" spans="1:32" s="68" customFormat="1">
      <c r="A85" s="258">
        <f t="shared" si="31"/>
        <v>85</v>
      </c>
      <c r="B85" s="96"/>
      <c r="C85" s="94"/>
      <c r="D85" s="54" t="s">
        <v>13</v>
      </c>
      <c r="E85" s="120"/>
      <c r="F85" s="120"/>
      <c r="G85" s="594">
        <f>IFERROR(INDEX('3.) Staffing Plan'!O29:R29,COUNTIF('3.) Staffing Plan'!$O$44:$R$44,"&gt;0")),0)</f>
        <v>0</v>
      </c>
      <c r="H85" s="297"/>
      <c r="I85" s="276"/>
      <c r="J85" s="102">
        <f>IF('4.) Yearly Budget'!$K$18&gt;0,'4.) Yearly Budget'!K85,'4.) Yearly Budget'!J85)</f>
        <v>0</v>
      </c>
      <c r="K85" s="382">
        <f t="shared" si="44"/>
        <v>0</v>
      </c>
      <c r="L85" s="276"/>
      <c r="M85" s="102">
        <f>IF('4.) Yearly Budget'!$N$18&gt;0,'4.) Yearly Budget'!N85,'4.) Yearly Budget'!M85)</f>
        <v>0</v>
      </c>
      <c r="N85" s="382">
        <f t="shared" si="45"/>
        <v>0</v>
      </c>
      <c r="O85" s="276"/>
      <c r="P85" s="102">
        <f>IF('4.) Yearly Budget'!$Q$18&gt;0,'4.) Yearly Budget'!Q85,'4.) Yearly Budget'!P85)</f>
        <v>0</v>
      </c>
      <c r="Q85" s="382">
        <f t="shared" si="46"/>
        <v>0</v>
      </c>
      <c r="R85" s="276"/>
      <c r="S85" s="102">
        <f>IF('4.) Yearly Budget'!$T$18&gt;0,'4.) Yearly Budget'!T85,'4.) Yearly Budget'!S85)</f>
        <v>0</v>
      </c>
      <c r="T85" s="105">
        <f t="shared" si="47"/>
        <v>0</v>
      </c>
      <c r="U85" s="277">
        <f t="shared" si="48"/>
        <v>0</v>
      </c>
      <c r="V85" s="379">
        <f t="shared" si="49"/>
        <v>0</v>
      </c>
      <c r="W85" s="379">
        <f t="shared" si="50"/>
        <v>0</v>
      </c>
      <c r="X85" s="379">
        <f>'4.) Yearly Budget'!W85</f>
        <v>0</v>
      </c>
      <c r="Y85" s="380">
        <f t="shared" si="51"/>
        <v>0</v>
      </c>
      <c r="Z85" s="381">
        <f>SUM(IF(I$18&lt;&gt;0,'4.) Yearly Budget'!J85,0)+IF(L$18&lt;&gt;0,'4.) Yearly Budget'!M85,0)+IF(O$18&lt;&gt;0,'4.) Yearly Budget'!P85,0)+IF(R$18&lt;&gt;0,'4.) Yearly Budget'!S85,0))</f>
        <v>0</v>
      </c>
      <c r="AA85" s="381">
        <f t="shared" si="52"/>
        <v>0</v>
      </c>
      <c r="AB85" s="381">
        <f>'4.) Yearly Budget'!V85</f>
        <v>0</v>
      </c>
      <c r="AC85" s="382">
        <f t="shared" si="53"/>
        <v>0</v>
      </c>
      <c r="AD85" s="381">
        <f>IF(U$6&lt;&gt;0,'4.) Yearly Budget'!I85/$AM$18,0)</f>
        <v>0</v>
      </c>
      <c r="AE85" s="105">
        <f t="shared" si="54"/>
        <v>0</v>
      </c>
      <c r="AF85" s="291"/>
    </row>
    <row r="86" spans="1:32" s="68" customFormat="1">
      <c r="A86" s="258">
        <f t="shared" si="31"/>
        <v>86</v>
      </c>
      <c r="B86" s="96"/>
      <c r="C86" s="94"/>
      <c r="D86" s="54" t="s">
        <v>73</v>
      </c>
      <c r="E86" s="120"/>
      <c r="F86" s="120"/>
      <c r="G86" s="594">
        <f>IFERROR(INDEX('3.) Staffing Plan'!O30:R30,COUNTIF('3.) Staffing Plan'!$O$44:$R$44,"&gt;0")),0)</f>
        <v>0</v>
      </c>
      <c r="H86" s="297"/>
      <c r="I86" s="276"/>
      <c r="J86" s="102">
        <f>IF('4.) Yearly Budget'!$K$18&gt;0,'4.) Yearly Budget'!K86,'4.) Yearly Budget'!J86)</f>
        <v>0</v>
      </c>
      <c r="K86" s="382">
        <f t="shared" si="44"/>
        <v>0</v>
      </c>
      <c r="L86" s="276"/>
      <c r="M86" s="102">
        <f>IF('4.) Yearly Budget'!$N$18&gt;0,'4.) Yearly Budget'!N86,'4.) Yearly Budget'!M86)</f>
        <v>0</v>
      </c>
      <c r="N86" s="382">
        <f t="shared" si="45"/>
        <v>0</v>
      </c>
      <c r="O86" s="276"/>
      <c r="P86" s="102">
        <f>IF('4.) Yearly Budget'!$Q$18&gt;0,'4.) Yearly Budget'!Q86,'4.) Yearly Budget'!P86)</f>
        <v>0</v>
      </c>
      <c r="Q86" s="382">
        <f t="shared" si="46"/>
        <v>0</v>
      </c>
      <c r="R86" s="276"/>
      <c r="S86" s="102">
        <f>IF('4.) Yearly Budget'!$T$18&gt;0,'4.) Yearly Budget'!T86,'4.) Yearly Budget'!S86)</f>
        <v>0</v>
      </c>
      <c r="T86" s="105">
        <f t="shared" si="47"/>
        <v>0</v>
      </c>
      <c r="U86" s="277">
        <f t="shared" si="48"/>
        <v>0</v>
      </c>
      <c r="V86" s="379">
        <f t="shared" si="49"/>
        <v>0</v>
      </c>
      <c r="W86" s="379">
        <f t="shared" si="50"/>
        <v>0</v>
      </c>
      <c r="X86" s="379">
        <f>'4.) Yearly Budget'!W86</f>
        <v>0</v>
      </c>
      <c r="Y86" s="380">
        <f t="shared" si="51"/>
        <v>0</v>
      </c>
      <c r="Z86" s="381">
        <f>SUM(IF(I$18&lt;&gt;0,'4.) Yearly Budget'!J86,0)+IF(L$18&lt;&gt;0,'4.) Yearly Budget'!M86,0)+IF(O$18&lt;&gt;0,'4.) Yearly Budget'!P86,0)+IF(R$18&lt;&gt;0,'4.) Yearly Budget'!S86,0))</f>
        <v>0</v>
      </c>
      <c r="AA86" s="381">
        <f t="shared" si="52"/>
        <v>0</v>
      </c>
      <c r="AB86" s="381">
        <f>'4.) Yearly Budget'!V86</f>
        <v>0</v>
      </c>
      <c r="AC86" s="382">
        <f t="shared" si="53"/>
        <v>0</v>
      </c>
      <c r="AD86" s="381">
        <f>IF(U$6&lt;&gt;0,'4.) Yearly Budget'!I86/$AM$18,0)</f>
        <v>0</v>
      </c>
      <c r="AE86" s="105">
        <f t="shared" si="54"/>
        <v>0</v>
      </c>
      <c r="AF86" s="291"/>
    </row>
    <row r="87" spans="1:32" s="68" customFormat="1" ht="17.25">
      <c r="A87" s="258">
        <f t="shared" si="31"/>
        <v>87</v>
      </c>
      <c r="B87" s="96"/>
      <c r="C87" s="94"/>
      <c r="D87" s="58" t="s">
        <v>29</v>
      </c>
      <c r="E87" s="120"/>
      <c r="F87" s="120"/>
      <c r="G87" s="597">
        <f>IFERROR(INDEX('3.) Staffing Plan'!O31:R31,COUNTIF('3.) Staffing Plan'!$O$44:$R$44,"&gt;0")),0)</f>
        <v>0</v>
      </c>
      <c r="H87" s="297"/>
      <c r="I87" s="284"/>
      <c r="J87" s="549">
        <f>IF('4.) Yearly Budget'!$K$18&gt;0,'4.) Yearly Budget'!K87,'4.) Yearly Budget'!J87)</f>
        <v>0</v>
      </c>
      <c r="K87" s="392">
        <f t="shared" si="44"/>
        <v>0</v>
      </c>
      <c r="L87" s="284"/>
      <c r="M87" s="549">
        <f>IF('4.) Yearly Budget'!$N$18&gt;0,'4.) Yearly Budget'!N87,'4.) Yearly Budget'!M87)</f>
        <v>0</v>
      </c>
      <c r="N87" s="392">
        <f t="shared" si="45"/>
        <v>0</v>
      </c>
      <c r="O87" s="284"/>
      <c r="P87" s="549">
        <f>IF('4.) Yearly Budget'!$Q$18&gt;0,'4.) Yearly Budget'!Q87,'4.) Yearly Budget'!P87)</f>
        <v>0</v>
      </c>
      <c r="Q87" s="392">
        <f t="shared" si="46"/>
        <v>0</v>
      </c>
      <c r="R87" s="284"/>
      <c r="S87" s="549">
        <f>IF('4.) Yearly Budget'!$T$18&gt;0,'4.) Yearly Budget'!T87,'4.) Yearly Budget'!S87)</f>
        <v>0</v>
      </c>
      <c r="T87" s="388">
        <f t="shared" si="47"/>
        <v>0</v>
      </c>
      <c r="U87" s="285">
        <f t="shared" si="48"/>
        <v>0</v>
      </c>
      <c r="V87" s="389">
        <f t="shared" si="49"/>
        <v>0</v>
      </c>
      <c r="W87" s="389">
        <f t="shared" si="50"/>
        <v>0</v>
      </c>
      <c r="X87" s="389">
        <f>'4.) Yearly Budget'!W87</f>
        <v>0</v>
      </c>
      <c r="Y87" s="390">
        <f t="shared" si="51"/>
        <v>0</v>
      </c>
      <c r="Z87" s="391">
        <f>SUM(IF(I$18&lt;&gt;0,'4.) Yearly Budget'!J87,0)+IF(L$18&lt;&gt;0,'4.) Yearly Budget'!M87,0)+IF(O$18&lt;&gt;0,'4.) Yearly Budget'!P87,0)+IF(R$18&lt;&gt;0,'4.) Yearly Budget'!S87,0))</f>
        <v>0</v>
      </c>
      <c r="AA87" s="391">
        <f t="shared" si="52"/>
        <v>0</v>
      </c>
      <c r="AB87" s="391">
        <f>'4.) Yearly Budget'!V87</f>
        <v>0</v>
      </c>
      <c r="AC87" s="392">
        <f t="shared" si="53"/>
        <v>0</v>
      </c>
      <c r="AD87" s="391">
        <f>IF(U$6&lt;&gt;0,'4.) Yearly Budget'!I87/$AM$18,0)</f>
        <v>0</v>
      </c>
      <c r="AE87" s="388">
        <f t="shared" si="54"/>
        <v>0</v>
      </c>
      <c r="AF87" s="291"/>
    </row>
    <row r="88" spans="1:32" s="68" customFormat="1">
      <c r="A88" s="258">
        <f t="shared" si="31"/>
        <v>88</v>
      </c>
      <c r="B88" s="96"/>
      <c r="C88" s="55" t="s">
        <v>78</v>
      </c>
      <c r="D88" s="94"/>
      <c r="E88" s="120"/>
      <c r="F88" s="120"/>
      <c r="G88" s="594">
        <f>SUM(G80:G87)</f>
        <v>0</v>
      </c>
      <c r="H88" s="297"/>
      <c r="I88" s="627">
        <f t="shared" ref="I88:AE88" si="55">SUM(I80:I87)</f>
        <v>0</v>
      </c>
      <c r="J88" s="52">
        <f t="shared" si="55"/>
        <v>0</v>
      </c>
      <c r="K88" s="406">
        <f t="shared" si="55"/>
        <v>0</v>
      </c>
      <c r="L88" s="52">
        <f>SUM(L80:L87)</f>
        <v>0</v>
      </c>
      <c r="M88" s="52">
        <f t="shared" si="55"/>
        <v>0</v>
      </c>
      <c r="N88" s="406">
        <f t="shared" si="55"/>
        <v>0</v>
      </c>
      <c r="O88" s="52">
        <f>SUM(O80:O87)</f>
        <v>0</v>
      </c>
      <c r="P88" s="52">
        <f t="shared" si="55"/>
        <v>0</v>
      </c>
      <c r="Q88" s="406">
        <f t="shared" si="55"/>
        <v>0</v>
      </c>
      <c r="R88" s="52">
        <f>SUM(R80:R87)</f>
        <v>0</v>
      </c>
      <c r="S88" s="52">
        <f t="shared" si="55"/>
        <v>0</v>
      </c>
      <c r="T88" s="122">
        <f t="shared" si="55"/>
        <v>0</v>
      </c>
      <c r="U88" s="294">
        <f t="shared" si="55"/>
        <v>0</v>
      </c>
      <c r="V88" s="52">
        <f t="shared" si="55"/>
        <v>0</v>
      </c>
      <c r="W88" s="52">
        <f t="shared" si="55"/>
        <v>0</v>
      </c>
      <c r="X88" s="52">
        <f t="shared" si="55"/>
        <v>0</v>
      </c>
      <c r="Y88" s="407">
        <f t="shared" si="55"/>
        <v>0</v>
      </c>
      <c r="Z88" s="121">
        <f t="shared" si="55"/>
        <v>0</v>
      </c>
      <c r="AA88" s="121">
        <f t="shared" si="55"/>
        <v>0</v>
      </c>
      <c r="AB88" s="121">
        <f t="shared" si="55"/>
        <v>0</v>
      </c>
      <c r="AC88" s="406">
        <f t="shared" si="55"/>
        <v>0</v>
      </c>
      <c r="AD88" s="121">
        <f t="shared" si="55"/>
        <v>0</v>
      </c>
      <c r="AE88" s="409">
        <f t="shared" si="55"/>
        <v>0</v>
      </c>
      <c r="AF88" s="291"/>
    </row>
    <row r="89" spans="1:32" s="68" customFormat="1" ht="7.5" customHeight="1">
      <c r="A89" s="258">
        <f t="shared" si="31"/>
        <v>89</v>
      </c>
      <c r="B89" s="96"/>
      <c r="C89" s="94"/>
      <c r="D89" s="120"/>
      <c r="E89" s="120"/>
      <c r="F89" s="120"/>
      <c r="G89" s="598"/>
      <c r="H89" s="95"/>
      <c r="I89" s="95"/>
      <c r="J89" s="95"/>
      <c r="K89" s="95"/>
      <c r="L89" s="95"/>
      <c r="M89" s="95"/>
      <c r="N89" s="95"/>
      <c r="O89" s="95"/>
      <c r="P89" s="95"/>
      <c r="Q89" s="95"/>
      <c r="R89" s="95"/>
      <c r="S89" s="95"/>
      <c r="T89" s="118"/>
      <c r="U89" s="95"/>
      <c r="V89" s="95"/>
      <c r="W89" s="95"/>
      <c r="X89" s="95"/>
      <c r="Y89" s="95"/>
      <c r="Z89" s="95"/>
      <c r="AA89" s="95"/>
      <c r="AB89" s="95"/>
      <c r="AC89" s="95"/>
      <c r="AD89" s="95"/>
      <c r="AE89" s="118"/>
      <c r="AF89" s="291"/>
    </row>
    <row r="90" spans="1:32" s="68" customFormat="1">
      <c r="A90" s="258">
        <f t="shared" si="31"/>
        <v>90</v>
      </c>
      <c r="B90" s="96"/>
      <c r="C90" s="119" t="s">
        <v>79</v>
      </c>
      <c r="D90" s="50"/>
      <c r="E90" s="94"/>
      <c r="F90" s="94"/>
      <c r="G90" s="600"/>
      <c r="H90" s="95"/>
      <c r="I90" s="98"/>
      <c r="J90" s="98"/>
      <c r="K90" s="98"/>
      <c r="L90" s="98"/>
      <c r="M90" s="98"/>
      <c r="N90" s="98"/>
      <c r="O90" s="98"/>
      <c r="P90" s="98"/>
      <c r="Q90" s="98"/>
      <c r="R90" s="98"/>
      <c r="S90" s="98"/>
      <c r="T90" s="99"/>
      <c r="U90" s="95"/>
      <c r="V90" s="95"/>
      <c r="W90" s="95"/>
      <c r="X90" s="95"/>
      <c r="Y90" s="95"/>
      <c r="Z90" s="95"/>
      <c r="AA90" s="95"/>
      <c r="AB90" s="95"/>
      <c r="AC90" s="95"/>
      <c r="AD90" s="95"/>
      <c r="AE90" s="118"/>
      <c r="AF90" s="291"/>
    </row>
    <row r="91" spans="1:32" s="68" customFormat="1">
      <c r="A91" s="258">
        <f t="shared" si="31"/>
        <v>91</v>
      </c>
      <c r="B91" s="96"/>
      <c r="C91" s="94"/>
      <c r="D91" s="54" t="s">
        <v>100</v>
      </c>
      <c r="E91" s="120"/>
      <c r="F91" s="120"/>
      <c r="G91" s="594">
        <f>IFERROR(INDEX('3.) Staffing Plan'!O37:R37,COUNTIF('3.) Staffing Plan'!$O$44:$R$44,"&gt;0")),0)</f>
        <v>0</v>
      </c>
      <c r="H91" s="95"/>
      <c r="I91" s="276"/>
      <c r="J91" s="102">
        <f>IF('4.) Yearly Budget'!$K$18&gt;0,'4.) Yearly Budget'!K91,'4.) Yearly Budget'!J91)</f>
        <v>0</v>
      </c>
      <c r="K91" s="382">
        <f>IF(I$18&lt;&gt;0,J91-I91,0)</f>
        <v>0</v>
      </c>
      <c r="L91" s="276"/>
      <c r="M91" s="102">
        <f>IF('4.) Yearly Budget'!$N$18&gt;0,'4.) Yearly Budget'!N91,'4.) Yearly Budget'!M91)</f>
        <v>0</v>
      </c>
      <c r="N91" s="382">
        <f>IF(L$18&lt;&gt;0,M91-L91,0)</f>
        <v>0</v>
      </c>
      <c r="O91" s="276"/>
      <c r="P91" s="102">
        <f>IF('4.) Yearly Budget'!$Q$18&gt;0,'4.) Yearly Budget'!Q91,'4.) Yearly Budget'!P91)</f>
        <v>0</v>
      </c>
      <c r="Q91" s="382">
        <f>IF(O$18&lt;&gt;0,P91-O91,0)</f>
        <v>0</v>
      </c>
      <c r="R91" s="276"/>
      <c r="S91" s="102">
        <f>IF('4.) Yearly Budget'!$T$18&gt;0,'4.) Yearly Budget'!T91,'4.) Yearly Budget'!S91)</f>
        <v>0</v>
      </c>
      <c r="T91" s="105">
        <f>IF(R$18&lt;&gt;0,S91-R91,0)</f>
        <v>0</v>
      </c>
      <c r="U91" s="277">
        <f>IF(I$6&lt;&gt;0,I91,0)+IF(L$6&lt;&gt;0,L91,0)+IF(O$6&lt;&gt;0,O91,0)+IF(R$6&lt;&gt;0,R91,0)</f>
        <v>0</v>
      </c>
      <c r="V91" s="379">
        <f>SUM(IF(I$6&lt;&gt;0,J91,0)+IF(L$6&lt;&gt;0,M91,0)+IF(O$6&lt;&gt;0,P91,0)+IF(R$6&lt;&gt;0,S91,0))</f>
        <v>0</v>
      </c>
      <c r="W91" s="379">
        <f>V91-U91</f>
        <v>0</v>
      </c>
      <c r="X91" s="379">
        <f>'4.) Yearly Budget'!W91</f>
        <v>0</v>
      </c>
      <c r="Y91" s="380">
        <f>IF(U91&lt;&gt;0,X91-U91,IF(U91=0,X91,0))</f>
        <v>0</v>
      </c>
      <c r="Z91" s="381">
        <f>SUM(IF(I$18&lt;&gt;0,'4.) Yearly Budget'!J91,0)+IF(L$18&lt;&gt;0,'4.) Yearly Budget'!M91,0)+IF(O$18&lt;&gt;0,'4.) Yearly Budget'!P91,0)+IF(R$18&lt;&gt;0,'4.) Yearly Budget'!S91,0))</f>
        <v>0</v>
      </c>
      <c r="AA91" s="381">
        <f>Z91-U91</f>
        <v>0</v>
      </c>
      <c r="AB91" s="381">
        <f>'4.) Yearly Budget'!V91</f>
        <v>0</v>
      </c>
      <c r="AC91" s="382">
        <f>IF(U91&lt;&gt;0,AB91-U91,IF(U91=0,AB91,0))</f>
        <v>0</v>
      </c>
      <c r="AD91" s="381">
        <f>IF(U$6&lt;&gt;0,'4.) Yearly Budget'!I91/$AM$18,0)</f>
        <v>0</v>
      </c>
      <c r="AE91" s="105">
        <f>AD91-U91</f>
        <v>0</v>
      </c>
      <c r="AF91" s="291"/>
    </row>
    <row r="92" spans="1:32" s="68" customFormat="1">
      <c r="A92" s="258">
        <f t="shared" si="31"/>
        <v>92</v>
      </c>
      <c r="B92" s="96"/>
      <c r="C92" s="94"/>
      <c r="D92" s="54" t="s">
        <v>101</v>
      </c>
      <c r="E92" s="120"/>
      <c r="F92" s="120"/>
      <c r="G92" s="594">
        <f>IFERROR(INDEX('3.) Staffing Plan'!O38:R38,COUNTIF('3.) Staffing Plan'!$O$44:$R$44,"&gt;0")),0)</f>
        <v>0</v>
      </c>
      <c r="H92" s="95"/>
      <c r="I92" s="276"/>
      <c r="J92" s="102">
        <f>IF('4.) Yearly Budget'!$K$18&gt;0,'4.) Yearly Budget'!K92,'4.) Yearly Budget'!J92)</f>
        <v>0</v>
      </c>
      <c r="K92" s="382">
        <f>IF(I$18&lt;&gt;0,J92-I92,0)</f>
        <v>0</v>
      </c>
      <c r="L92" s="276"/>
      <c r="M92" s="102">
        <f>IF('4.) Yearly Budget'!$N$18&gt;0,'4.) Yearly Budget'!N92,'4.) Yearly Budget'!M92)</f>
        <v>0</v>
      </c>
      <c r="N92" s="382">
        <f>IF(L$18&lt;&gt;0,M92-L92,0)</f>
        <v>0</v>
      </c>
      <c r="O92" s="276"/>
      <c r="P92" s="102">
        <f>IF('4.) Yearly Budget'!$Q$18&gt;0,'4.) Yearly Budget'!Q92,'4.) Yearly Budget'!P92)</f>
        <v>0</v>
      </c>
      <c r="Q92" s="382">
        <f>IF(O$18&lt;&gt;0,P92-O92,0)</f>
        <v>0</v>
      </c>
      <c r="R92" s="276"/>
      <c r="S92" s="102">
        <f>IF('4.) Yearly Budget'!$T$18&gt;0,'4.) Yearly Budget'!T92,'4.) Yearly Budget'!S92)</f>
        <v>0</v>
      </c>
      <c r="T92" s="105">
        <f>IF(R$18&lt;&gt;0,S92-R92,0)</f>
        <v>0</v>
      </c>
      <c r="U92" s="277">
        <f>IF(I$6&lt;&gt;0,I92,0)+IF(L$6&lt;&gt;0,L92,0)+IF(O$6&lt;&gt;0,O92,0)+IF(R$6&lt;&gt;0,R92,0)</f>
        <v>0</v>
      </c>
      <c r="V92" s="379">
        <f>SUM(IF(I$6&lt;&gt;0,J92,0)+IF(L$6&lt;&gt;0,M92,0)+IF(O$6&lt;&gt;0,P92,0)+IF(R$6&lt;&gt;0,S92,0))</f>
        <v>0</v>
      </c>
      <c r="W92" s="379">
        <f>V92-U92</f>
        <v>0</v>
      </c>
      <c r="X92" s="379">
        <f>'4.) Yearly Budget'!W92</f>
        <v>0</v>
      </c>
      <c r="Y92" s="380">
        <f>IF(U92&lt;&gt;0,X92-U92,IF(U92=0,X92,0))</f>
        <v>0</v>
      </c>
      <c r="Z92" s="381">
        <f>SUM(IF(I$18&lt;&gt;0,'4.) Yearly Budget'!J92,0)+IF(L$18&lt;&gt;0,'4.) Yearly Budget'!M92,0)+IF(O$18&lt;&gt;0,'4.) Yearly Budget'!P92,0)+IF(R$18&lt;&gt;0,'4.) Yearly Budget'!S92,0))</f>
        <v>0</v>
      </c>
      <c r="AA92" s="381">
        <f>Z92-U92</f>
        <v>0</v>
      </c>
      <c r="AB92" s="381">
        <f>'4.) Yearly Budget'!V92</f>
        <v>0</v>
      </c>
      <c r="AC92" s="382">
        <f>IF(U92&lt;&gt;0,AB92-U92,IF(U92=0,AB92,0))</f>
        <v>0</v>
      </c>
      <c r="AD92" s="381">
        <f>IF(U$6&lt;&gt;0,'4.) Yearly Budget'!I92/$AM$18,0)</f>
        <v>0</v>
      </c>
      <c r="AE92" s="105">
        <f>AD92-U92</f>
        <v>0</v>
      </c>
      <c r="AF92" s="291"/>
    </row>
    <row r="93" spans="1:32" s="68" customFormat="1">
      <c r="A93" s="258">
        <f t="shared" si="31"/>
        <v>93</v>
      </c>
      <c r="B93" s="96"/>
      <c r="C93" s="94"/>
      <c r="D93" s="54" t="s">
        <v>102</v>
      </c>
      <c r="E93" s="120"/>
      <c r="F93" s="120"/>
      <c r="G93" s="594">
        <f>IFERROR(INDEX('3.) Staffing Plan'!O39:R39,COUNTIF('3.) Staffing Plan'!$O$44:$R$44,"&gt;0")),0)</f>
        <v>0</v>
      </c>
      <c r="H93" s="95"/>
      <c r="I93" s="276"/>
      <c r="J93" s="102">
        <f>IF('4.) Yearly Budget'!$K$18&gt;0,'4.) Yearly Budget'!K93,'4.) Yearly Budget'!J93)</f>
        <v>0</v>
      </c>
      <c r="K93" s="382">
        <f>IF(I$18&lt;&gt;0,J93-I93,0)</f>
        <v>0</v>
      </c>
      <c r="L93" s="276"/>
      <c r="M93" s="102">
        <f>IF('4.) Yearly Budget'!$N$18&gt;0,'4.) Yearly Budget'!N93,'4.) Yearly Budget'!M93)</f>
        <v>0</v>
      </c>
      <c r="N93" s="382">
        <f>IF(L$18&lt;&gt;0,M93-L93,0)</f>
        <v>0</v>
      </c>
      <c r="O93" s="276"/>
      <c r="P93" s="102">
        <f>IF('4.) Yearly Budget'!$Q$18&gt;0,'4.) Yearly Budget'!Q93,'4.) Yearly Budget'!P93)</f>
        <v>0</v>
      </c>
      <c r="Q93" s="382">
        <f>IF(O$18&lt;&gt;0,P93-O93,0)</f>
        <v>0</v>
      </c>
      <c r="R93" s="276"/>
      <c r="S93" s="102">
        <f>IF('4.) Yearly Budget'!$T$18&gt;0,'4.) Yearly Budget'!T93,'4.) Yearly Budget'!S93)</f>
        <v>0</v>
      </c>
      <c r="T93" s="105">
        <f>IF(R$18&lt;&gt;0,S93-R93,0)</f>
        <v>0</v>
      </c>
      <c r="U93" s="277">
        <f>IF(I$6&lt;&gt;0,I93,0)+IF(L$6&lt;&gt;0,L93,0)+IF(O$6&lt;&gt;0,O93,0)+IF(R$6&lt;&gt;0,R93,0)</f>
        <v>0</v>
      </c>
      <c r="V93" s="379">
        <f>SUM(IF(I$6&lt;&gt;0,J93,0)+IF(L$6&lt;&gt;0,M93,0)+IF(O$6&lt;&gt;0,P93,0)+IF(R$6&lt;&gt;0,S93,0))</f>
        <v>0</v>
      </c>
      <c r="W93" s="379">
        <f>V93-U93</f>
        <v>0</v>
      </c>
      <c r="X93" s="379">
        <f>'4.) Yearly Budget'!W93</f>
        <v>0</v>
      </c>
      <c r="Y93" s="380">
        <f>IF(U93&lt;&gt;0,X93-U93,IF(U93=0,X93,0))</f>
        <v>0</v>
      </c>
      <c r="Z93" s="381">
        <f>SUM(IF(I$18&lt;&gt;0,'4.) Yearly Budget'!J93,0)+IF(L$18&lt;&gt;0,'4.) Yearly Budget'!M93,0)+IF(O$18&lt;&gt;0,'4.) Yearly Budget'!P93,0)+IF(R$18&lt;&gt;0,'4.) Yearly Budget'!S93,0))</f>
        <v>0</v>
      </c>
      <c r="AA93" s="381">
        <f>Z93-U93</f>
        <v>0</v>
      </c>
      <c r="AB93" s="381">
        <f>'4.) Yearly Budget'!V93</f>
        <v>0</v>
      </c>
      <c r="AC93" s="382">
        <f>IF(U93&lt;&gt;0,AB93-U93,IF(U93=0,AB93,0))</f>
        <v>0</v>
      </c>
      <c r="AD93" s="381">
        <f>IF(U$6&lt;&gt;0,'4.) Yearly Budget'!I93/$AM$18,0)</f>
        <v>0</v>
      </c>
      <c r="AE93" s="105">
        <f>AD93-U93</f>
        <v>0</v>
      </c>
      <c r="AF93" s="291"/>
    </row>
    <row r="94" spans="1:32" s="68" customFormat="1">
      <c r="A94" s="258">
        <f t="shared" si="31"/>
        <v>94</v>
      </c>
      <c r="B94" s="96"/>
      <c r="C94" s="94"/>
      <c r="D94" s="54" t="s">
        <v>7</v>
      </c>
      <c r="E94" s="120"/>
      <c r="F94" s="120"/>
      <c r="G94" s="594">
        <f>IFERROR(INDEX('3.) Staffing Plan'!O40:R40,COUNTIF('3.) Staffing Plan'!$O$44:$R$44,"&gt;0")),0)</f>
        <v>0</v>
      </c>
      <c r="H94" s="95"/>
      <c r="I94" s="276"/>
      <c r="J94" s="102">
        <f>IF('4.) Yearly Budget'!$K$18&gt;0,'4.) Yearly Budget'!K94,'4.) Yearly Budget'!J94)</f>
        <v>0</v>
      </c>
      <c r="K94" s="382">
        <f>IF(I$18&lt;&gt;0,J94-I94,0)</f>
        <v>0</v>
      </c>
      <c r="L94" s="276"/>
      <c r="M94" s="102">
        <f>IF('4.) Yearly Budget'!$N$18&gt;0,'4.) Yearly Budget'!N94,'4.) Yearly Budget'!M94)</f>
        <v>0</v>
      </c>
      <c r="N94" s="382">
        <f>IF(L$18&lt;&gt;0,M94-L94,0)</f>
        <v>0</v>
      </c>
      <c r="O94" s="276"/>
      <c r="P94" s="102">
        <f>IF('4.) Yearly Budget'!$Q$18&gt;0,'4.) Yearly Budget'!Q94,'4.) Yearly Budget'!P94)</f>
        <v>0</v>
      </c>
      <c r="Q94" s="382">
        <f>IF(O$18&lt;&gt;0,P94-O94,0)</f>
        <v>0</v>
      </c>
      <c r="R94" s="276"/>
      <c r="S94" s="102">
        <f>IF('4.) Yearly Budget'!$T$18&gt;0,'4.) Yearly Budget'!T94,'4.) Yearly Budget'!S94)</f>
        <v>0</v>
      </c>
      <c r="T94" s="105">
        <f>IF(R$18&lt;&gt;0,S94-R94,0)</f>
        <v>0</v>
      </c>
      <c r="U94" s="277">
        <f>IF(I$6&lt;&gt;0,I94,0)+IF(L$6&lt;&gt;0,L94,0)+IF(O$6&lt;&gt;0,O94,0)+IF(R$6&lt;&gt;0,R94,0)</f>
        <v>0</v>
      </c>
      <c r="V94" s="379">
        <f>SUM(IF(I$6&lt;&gt;0,J94,0)+IF(L$6&lt;&gt;0,M94,0)+IF(O$6&lt;&gt;0,P94,0)+IF(R$6&lt;&gt;0,S94,0))</f>
        <v>0</v>
      </c>
      <c r="W94" s="379">
        <f>V94-U94</f>
        <v>0</v>
      </c>
      <c r="X94" s="379">
        <f>'4.) Yearly Budget'!W94</f>
        <v>0</v>
      </c>
      <c r="Y94" s="380">
        <f>IF(U94&lt;&gt;0,X94-U94,IF(U94=0,X94,0))</f>
        <v>0</v>
      </c>
      <c r="Z94" s="381">
        <f>SUM(IF(I$18&lt;&gt;0,'4.) Yearly Budget'!J94,0)+IF(L$18&lt;&gt;0,'4.) Yearly Budget'!M94,0)+IF(O$18&lt;&gt;0,'4.) Yearly Budget'!P94,0)+IF(R$18&lt;&gt;0,'4.) Yearly Budget'!S94,0))</f>
        <v>0</v>
      </c>
      <c r="AA94" s="381">
        <f>Z94-U94</f>
        <v>0</v>
      </c>
      <c r="AB94" s="381">
        <f>'4.) Yearly Budget'!V94</f>
        <v>0</v>
      </c>
      <c r="AC94" s="382">
        <f>IF(U94&lt;&gt;0,AB94-U94,IF(U94=0,AB94,0))</f>
        <v>0</v>
      </c>
      <c r="AD94" s="381">
        <f>IF(U$6&lt;&gt;0,'4.) Yearly Budget'!I94/$AM$18,0)</f>
        <v>0</v>
      </c>
      <c r="AE94" s="105">
        <f>AD94-U94</f>
        <v>0</v>
      </c>
      <c r="AF94" s="291"/>
    </row>
    <row r="95" spans="1:32" s="68" customFormat="1" ht="17.25">
      <c r="A95" s="258">
        <f t="shared" si="31"/>
        <v>95</v>
      </c>
      <c r="B95" s="96"/>
      <c r="C95" s="94"/>
      <c r="D95" s="54" t="s">
        <v>29</v>
      </c>
      <c r="E95" s="120"/>
      <c r="F95" s="120"/>
      <c r="G95" s="597">
        <f>IFERROR(INDEX('3.) Staffing Plan'!O41:R41,COUNTIF('3.) Staffing Plan'!$O$44:$R$44,"&gt;0")),0)</f>
        <v>0</v>
      </c>
      <c r="H95" s="95"/>
      <c r="I95" s="284"/>
      <c r="J95" s="549">
        <f>IF('4.) Yearly Budget'!$K$18&gt;0,'4.) Yearly Budget'!K95,'4.) Yearly Budget'!J95)</f>
        <v>0</v>
      </c>
      <c r="K95" s="392">
        <f>IF(I$18&lt;&gt;0,J95-I95,0)</f>
        <v>0</v>
      </c>
      <c r="L95" s="284"/>
      <c r="M95" s="549">
        <f>IF('4.) Yearly Budget'!$N$18&gt;0,'4.) Yearly Budget'!N95,'4.) Yearly Budget'!M95)</f>
        <v>0</v>
      </c>
      <c r="N95" s="392">
        <f>IF(L$18&lt;&gt;0,M95-L95,0)</f>
        <v>0</v>
      </c>
      <c r="O95" s="284"/>
      <c r="P95" s="549">
        <f>IF('4.) Yearly Budget'!$Q$18&gt;0,'4.) Yearly Budget'!Q95,'4.) Yearly Budget'!P95)</f>
        <v>0</v>
      </c>
      <c r="Q95" s="392">
        <f>IF(O$18&lt;&gt;0,P95-O95,0)</f>
        <v>0</v>
      </c>
      <c r="R95" s="284"/>
      <c r="S95" s="549">
        <f>IF('4.) Yearly Budget'!$T$18&gt;0,'4.) Yearly Budget'!T95,'4.) Yearly Budget'!S95)</f>
        <v>0</v>
      </c>
      <c r="T95" s="388">
        <f>IF(R$18&lt;&gt;0,S95-R95,0)</f>
        <v>0</v>
      </c>
      <c r="U95" s="285">
        <f>IF(I$6&lt;&gt;0,I95,0)+IF(L$6&lt;&gt;0,L95,0)+IF(O$6&lt;&gt;0,O95,0)+IF(R$6&lt;&gt;0,R95,0)</f>
        <v>0</v>
      </c>
      <c r="V95" s="389">
        <f>SUM(IF(I$6&lt;&gt;0,J95,0)+IF(L$6&lt;&gt;0,M95,0)+IF(O$6&lt;&gt;0,P95,0)+IF(R$6&lt;&gt;0,S95,0))</f>
        <v>0</v>
      </c>
      <c r="W95" s="389">
        <f>V95-U95</f>
        <v>0</v>
      </c>
      <c r="X95" s="389">
        <f>'4.) Yearly Budget'!W95</f>
        <v>0</v>
      </c>
      <c r="Y95" s="390">
        <f>IF(U95&lt;&gt;0,X95-U95,IF(U95=0,X95,0))</f>
        <v>0</v>
      </c>
      <c r="Z95" s="391">
        <f>SUM(IF(I$18&lt;&gt;0,'4.) Yearly Budget'!J95,0)+IF(L$18&lt;&gt;0,'4.) Yearly Budget'!M95,0)+IF(O$18&lt;&gt;0,'4.) Yearly Budget'!P95,0)+IF(R$18&lt;&gt;0,'4.) Yearly Budget'!S95,0))</f>
        <v>0</v>
      </c>
      <c r="AA95" s="391">
        <f>Z95-U95</f>
        <v>0</v>
      </c>
      <c r="AB95" s="391">
        <f>'4.) Yearly Budget'!V95</f>
        <v>0</v>
      </c>
      <c r="AC95" s="392">
        <f>IF(U95&lt;&gt;0,AB95-U95,IF(U95=0,AB95,0))</f>
        <v>0</v>
      </c>
      <c r="AD95" s="391">
        <f>IF(U$6&lt;&gt;0,'4.) Yearly Budget'!I95/$AM$18,0)</f>
        <v>0</v>
      </c>
      <c r="AE95" s="388">
        <f>AD95-U95</f>
        <v>0</v>
      </c>
      <c r="AF95" s="291"/>
    </row>
    <row r="96" spans="1:32" s="68" customFormat="1">
      <c r="A96" s="258">
        <f t="shared" si="31"/>
        <v>96</v>
      </c>
      <c r="B96" s="96"/>
      <c r="C96" s="55" t="s">
        <v>80</v>
      </c>
      <c r="D96" s="94"/>
      <c r="E96" s="120"/>
      <c r="F96" s="120"/>
      <c r="G96" s="594">
        <f>SUM(G91:G95)</f>
        <v>0</v>
      </c>
      <c r="H96" s="95"/>
      <c r="I96" s="627">
        <f t="shared" ref="I96:AE96" si="56">SUM(I91:I95)</f>
        <v>0</v>
      </c>
      <c r="J96" s="52">
        <f t="shared" si="56"/>
        <v>0</v>
      </c>
      <c r="K96" s="406">
        <f t="shared" si="56"/>
        <v>0</v>
      </c>
      <c r="L96" s="52">
        <f>SUM(L91:L95)</f>
        <v>0</v>
      </c>
      <c r="M96" s="52">
        <f t="shared" si="56"/>
        <v>0</v>
      </c>
      <c r="N96" s="406">
        <f t="shared" si="56"/>
        <v>0</v>
      </c>
      <c r="O96" s="52">
        <f>SUM(O91:O95)</f>
        <v>0</v>
      </c>
      <c r="P96" s="52">
        <f t="shared" si="56"/>
        <v>0</v>
      </c>
      <c r="Q96" s="406">
        <f t="shared" si="56"/>
        <v>0</v>
      </c>
      <c r="R96" s="52">
        <f>SUM(R91:R95)</f>
        <v>0</v>
      </c>
      <c r="S96" s="52">
        <f t="shared" si="56"/>
        <v>0</v>
      </c>
      <c r="T96" s="122">
        <f t="shared" si="56"/>
        <v>0</v>
      </c>
      <c r="U96" s="294">
        <f t="shared" si="56"/>
        <v>0</v>
      </c>
      <c r="V96" s="52">
        <f t="shared" si="56"/>
        <v>0</v>
      </c>
      <c r="W96" s="52">
        <f t="shared" si="56"/>
        <v>0</v>
      </c>
      <c r="X96" s="52">
        <f t="shared" si="56"/>
        <v>0</v>
      </c>
      <c r="Y96" s="407">
        <f t="shared" si="56"/>
        <v>0</v>
      </c>
      <c r="Z96" s="121">
        <f t="shared" si="56"/>
        <v>0</v>
      </c>
      <c r="AA96" s="121">
        <f t="shared" si="56"/>
        <v>0</v>
      </c>
      <c r="AB96" s="121">
        <f t="shared" si="56"/>
        <v>0</v>
      </c>
      <c r="AC96" s="406">
        <f t="shared" si="56"/>
        <v>0</v>
      </c>
      <c r="AD96" s="121">
        <f t="shared" si="56"/>
        <v>0</v>
      </c>
      <c r="AE96" s="408">
        <f t="shared" si="56"/>
        <v>0</v>
      </c>
      <c r="AF96" s="291"/>
    </row>
    <row r="97" spans="1:32" s="68" customFormat="1" ht="7.5" customHeight="1">
      <c r="A97" s="258">
        <f t="shared" si="31"/>
        <v>97</v>
      </c>
      <c r="B97" s="96"/>
      <c r="C97" s="94"/>
      <c r="D97" s="120"/>
      <c r="E97" s="120"/>
      <c r="F97" s="120"/>
      <c r="G97" s="598"/>
      <c r="H97" s="95"/>
      <c r="I97" s="104"/>
      <c r="J97" s="104"/>
      <c r="K97" s="104"/>
      <c r="L97" s="104"/>
      <c r="M97" s="104"/>
      <c r="N97" s="104"/>
      <c r="O97" s="104"/>
      <c r="P97" s="104"/>
      <c r="Q97" s="104"/>
      <c r="R97" s="104"/>
      <c r="S97" s="104"/>
      <c r="T97" s="105"/>
      <c r="U97" s="107"/>
      <c r="V97" s="107"/>
      <c r="W97" s="107"/>
      <c r="X97" s="107"/>
      <c r="Y97" s="107"/>
      <c r="Z97" s="107"/>
      <c r="AA97" s="107"/>
      <c r="AB97" s="107"/>
      <c r="AC97" s="107"/>
      <c r="AD97" s="107"/>
      <c r="AE97" s="107"/>
      <c r="AF97" s="291"/>
    </row>
    <row r="98" spans="1:32" s="68" customFormat="1">
      <c r="A98" s="258">
        <f t="shared" si="31"/>
        <v>98</v>
      </c>
      <c r="B98" s="96"/>
      <c r="C98" s="60" t="s">
        <v>81</v>
      </c>
      <c r="D98" s="50"/>
      <c r="E98" s="50"/>
      <c r="F98" s="50"/>
      <c r="G98" s="601">
        <f>G77+G88+G96</f>
        <v>0</v>
      </c>
      <c r="H98" s="95"/>
      <c r="I98" s="281">
        <f t="shared" ref="I98:AE98" si="57">I77+I88+I96</f>
        <v>0</v>
      </c>
      <c r="J98" s="158">
        <f t="shared" si="57"/>
        <v>0</v>
      </c>
      <c r="K98" s="393">
        <f t="shared" si="57"/>
        <v>0</v>
      </c>
      <c r="L98" s="158">
        <f>L77+L88+L96</f>
        <v>0</v>
      </c>
      <c r="M98" s="158">
        <f t="shared" si="57"/>
        <v>0</v>
      </c>
      <c r="N98" s="393">
        <f t="shared" si="57"/>
        <v>0</v>
      </c>
      <c r="O98" s="158">
        <f>O77+O88+O96</f>
        <v>0</v>
      </c>
      <c r="P98" s="158">
        <f t="shared" si="57"/>
        <v>0</v>
      </c>
      <c r="Q98" s="393">
        <f t="shared" si="57"/>
        <v>0</v>
      </c>
      <c r="R98" s="158">
        <f>R77+R88+R96</f>
        <v>0</v>
      </c>
      <c r="S98" s="158">
        <f t="shared" si="57"/>
        <v>0</v>
      </c>
      <c r="T98" s="103">
        <f t="shared" si="57"/>
        <v>0</v>
      </c>
      <c r="U98" s="277">
        <f t="shared" si="57"/>
        <v>0</v>
      </c>
      <c r="V98" s="158">
        <f t="shared" si="57"/>
        <v>0</v>
      </c>
      <c r="W98" s="158">
        <f t="shared" si="57"/>
        <v>0</v>
      </c>
      <c r="X98" s="158">
        <f t="shared" si="57"/>
        <v>0</v>
      </c>
      <c r="Y98" s="383">
        <f t="shared" si="57"/>
        <v>0</v>
      </c>
      <c r="Z98" s="102">
        <f t="shared" si="57"/>
        <v>0</v>
      </c>
      <c r="AA98" s="102">
        <f t="shared" si="57"/>
        <v>0</v>
      </c>
      <c r="AB98" s="102">
        <f t="shared" si="57"/>
        <v>0</v>
      </c>
      <c r="AC98" s="393">
        <f t="shared" si="57"/>
        <v>0</v>
      </c>
      <c r="AD98" s="102">
        <f t="shared" si="57"/>
        <v>0</v>
      </c>
      <c r="AE98" s="105">
        <f t="shared" si="57"/>
        <v>0</v>
      </c>
      <c r="AF98" s="291"/>
    </row>
    <row r="99" spans="1:32" s="68" customFormat="1" ht="7.5" customHeight="1">
      <c r="A99" s="258">
        <f t="shared" si="31"/>
        <v>99</v>
      </c>
      <c r="B99" s="96"/>
      <c r="C99" s="94"/>
      <c r="D99" s="120"/>
      <c r="E99" s="120"/>
      <c r="F99" s="120"/>
      <c r="G99" s="598"/>
      <c r="H99" s="95"/>
      <c r="I99" s="107"/>
      <c r="J99" s="107"/>
      <c r="K99" s="107"/>
      <c r="L99" s="107"/>
      <c r="M99" s="107"/>
      <c r="N99" s="107"/>
      <c r="O99" s="107"/>
      <c r="P99" s="107"/>
      <c r="Q99" s="107"/>
      <c r="R99" s="107"/>
      <c r="S99" s="107"/>
      <c r="T99" s="108"/>
      <c r="U99" s="107"/>
      <c r="V99" s="107"/>
      <c r="W99" s="107"/>
      <c r="X99" s="107"/>
      <c r="Y99" s="107"/>
      <c r="Z99" s="107"/>
      <c r="AA99" s="107"/>
      <c r="AB99" s="107"/>
      <c r="AC99" s="107"/>
      <c r="AD99" s="107"/>
      <c r="AE99" s="108"/>
      <c r="AF99" s="291"/>
    </row>
    <row r="100" spans="1:32" s="68" customFormat="1">
      <c r="A100" s="258">
        <f t="shared" si="31"/>
        <v>100</v>
      </c>
      <c r="B100" s="96"/>
      <c r="C100" s="119" t="s">
        <v>82</v>
      </c>
      <c r="D100" s="50"/>
      <c r="E100" s="50"/>
      <c r="F100" s="50"/>
      <c r="G100" s="600"/>
      <c r="H100" s="95"/>
      <c r="I100" s="98"/>
      <c r="J100" s="98"/>
      <c r="K100" s="98"/>
      <c r="L100" s="98"/>
      <c r="M100" s="98"/>
      <c r="N100" s="98"/>
      <c r="O100" s="98"/>
      <c r="P100" s="98"/>
      <c r="Q100" s="98"/>
      <c r="R100" s="98"/>
      <c r="S100" s="98"/>
      <c r="T100" s="99"/>
      <c r="U100" s="95"/>
      <c r="V100" s="95"/>
      <c r="W100" s="95"/>
      <c r="X100" s="95"/>
      <c r="Y100" s="95"/>
      <c r="Z100" s="95"/>
      <c r="AA100" s="95"/>
      <c r="AB100" s="95"/>
      <c r="AC100" s="95"/>
      <c r="AD100" s="95"/>
      <c r="AE100" s="118"/>
      <c r="AF100" s="291"/>
    </row>
    <row r="101" spans="1:32" s="68" customFormat="1">
      <c r="A101" s="258">
        <f t="shared" si="31"/>
        <v>101</v>
      </c>
      <c r="B101" s="96"/>
      <c r="C101" s="94"/>
      <c r="D101" s="54" t="s">
        <v>14</v>
      </c>
      <c r="E101" s="50"/>
      <c r="F101" s="50"/>
      <c r="G101" s="600"/>
      <c r="H101" s="95"/>
      <c r="I101" s="276"/>
      <c r="J101" s="102">
        <f>IF('4.) Yearly Budget'!$K$18&gt;0,'4.) Yearly Budget'!K101,'4.) Yearly Budget'!J101)</f>
        <v>0</v>
      </c>
      <c r="K101" s="382">
        <f>IF(I$18&lt;&gt;0,J101-I101,0)</f>
        <v>0</v>
      </c>
      <c r="L101" s="100"/>
      <c r="M101" s="102">
        <f>IF('4.) Yearly Budget'!$N$18&gt;0,'4.) Yearly Budget'!N101,'4.) Yearly Budget'!M101)</f>
        <v>0</v>
      </c>
      <c r="N101" s="382">
        <f>IF(L$18&lt;&gt;0,M101-L101,0)</f>
        <v>0</v>
      </c>
      <c r="O101" s="100"/>
      <c r="P101" s="102">
        <f>IF('4.) Yearly Budget'!$Q$18&gt;0,'4.) Yearly Budget'!Q101,'4.) Yearly Budget'!P101)</f>
        <v>0</v>
      </c>
      <c r="Q101" s="382">
        <f>IF(O$18&lt;&gt;0,P101-O101,0)</f>
        <v>0</v>
      </c>
      <c r="R101" s="100"/>
      <c r="S101" s="102">
        <f>IF('4.) Yearly Budget'!$T$18&gt;0,'4.) Yearly Budget'!T101,'4.) Yearly Budget'!S101)</f>
        <v>0</v>
      </c>
      <c r="T101" s="105">
        <f>IF(R$18&lt;&gt;0,S101-R101,0)</f>
        <v>0</v>
      </c>
      <c r="U101" s="277">
        <f>IF(I$6&lt;&gt;0,I101,0)+IF(L$6&lt;&gt;0,L101,0)+IF(O$6&lt;&gt;0,O101,0)+IF(R$6&lt;&gt;0,R101,0)</f>
        <v>0</v>
      </c>
      <c r="V101" s="379">
        <f>SUM(IF(I$6&lt;&gt;0,J101,0)+IF(L$6&lt;&gt;0,M101,0)+IF(O$6&lt;&gt;0,P101,0)+IF(R$6&lt;&gt;0,S101,0))</f>
        <v>0</v>
      </c>
      <c r="W101" s="379">
        <f>V101-U101</f>
        <v>0</v>
      </c>
      <c r="X101" s="379">
        <f>'4.) Yearly Budget'!W101</f>
        <v>0</v>
      </c>
      <c r="Y101" s="380">
        <f>IF(U101&lt;&gt;0,X101-U101,IF(U101=0,X101,0))</f>
        <v>0</v>
      </c>
      <c r="Z101" s="381">
        <f>SUM(IF(I$18&lt;&gt;0,'4.) Yearly Budget'!J101,0)+IF(L$18&lt;&gt;0,'4.) Yearly Budget'!M101,0)+IF(O$18&lt;&gt;0,'4.) Yearly Budget'!P101,0)+IF(R$18&lt;&gt;0,'4.) Yearly Budget'!S101,0))</f>
        <v>0</v>
      </c>
      <c r="AA101" s="381">
        <f>Z101-U101</f>
        <v>0</v>
      </c>
      <c r="AB101" s="381">
        <f>'4.) Yearly Budget'!V101</f>
        <v>0</v>
      </c>
      <c r="AC101" s="382">
        <f>IF(U101&lt;&gt;0,AB101-U101,IF(U101=0,AB101,0))</f>
        <v>0</v>
      </c>
      <c r="AD101" s="381">
        <f>IF(U$6&lt;&gt;0,'4.) Yearly Budget'!I101/$AM$18,0)</f>
        <v>0</v>
      </c>
      <c r="AE101" s="105">
        <f>AD101-U101</f>
        <v>0</v>
      </c>
      <c r="AF101" s="291"/>
    </row>
    <row r="102" spans="1:32" s="68" customFormat="1">
      <c r="A102" s="258">
        <f t="shared" si="31"/>
        <v>102</v>
      </c>
      <c r="B102" s="96"/>
      <c r="C102" s="94"/>
      <c r="D102" s="120" t="s">
        <v>69</v>
      </c>
      <c r="E102" s="50"/>
      <c r="F102" s="50"/>
      <c r="G102" s="600"/>
      <c r="H102" s="95"/>
      <c r="I102" s="276"/>
      <c r="J102" s="102">
        <f>IF('4.) Yearly Budget'!$K$18&gt;0,'4.) Yearly Budget'!K102,'4.) Yearly Budget'!J102)</f>
        <v>0</v>
      </c>
      <c r="K102" s="382">
        <f>IF(I$18&lt;&gt;0,J102-I102,0)</f>
        <v>0</v>
      </c>
      <c r="L102" s="100"/>
      <c r="M102" s="102">
        <f>IF('4.) Yearly Budget'!$N$18&gt;0,'4.) Yearly Budget'!N102,'4.) Yearly Budget'!M102)</f>
        <v>0</v>
      </c>
      <c r="N102" s="382">
        <f>IF(L$18&lt;&gt;0,M102-L102,0)</f>
        <v>0</v>
      </c>
      <c r="O102" s="100"/>
      <c r="P102" s="102">
        <f>IF('4.) Yearly Budget'!$Q$18&gt;0,'4.) Yearly Budget'!Q102,'4.) Yearly Budget'!P102)</f>
        <v>0</v>
      </c>
      <c r="Q102" s="382">
        <f>IF(O$18&lt;&gt;0,P102-O102,0)</f>
        <v>0</v>
      </c>
      <c r="R102" s="100"/>
      <c r="S102" s="102">
        <f>IF('4.) Yearly Budget'!$T$18&gt;0,'4.) Yearly Budget'!T102,'4.) Yearly Budget'!S102)</f>
        <v>0</v>
      </c>
      <c r="T102" s="105">
        <f>IF(R$18&lt;&gt;0,S102-R102,0)</f>
        <v>0</v>
      </c>
      <c r="U102" s="277">
        <f>IF(I$6&lt;&gt;0,I102,0)+IF(L$6&lt;&gt;0,L102,0)+IF(O$6&lt;&gt;0,O102,0)+IF(R$6&lt;&gt;0,R102,0)</f>
        <v>0</v>
      </c>
      <c r="V102" s="379">
        <f>SUM(IF(I$6&lt;&gt;0,J102,0)+IF(L$6&lt;&gt;0,M102,0)+IF(O$6&lt;&gt;0,P102,0)+IF(R$6&lt;&gt;0,S102,0))</f>
        <v>0</v>
      </c>
      <c r="W102" s="379">
        <f>V102-U102</f>
        <v>0</v>
      </c>
      <c r="X102" s="379">
        <f>'4.) Yearly Budget'!W102</f>
        <v>0</v>
      </c>
      <c r="Y102" s="380">
        <f>IF(U102&lt;&gt;0,X102-U102,IF(U102=0,X102,0))</f>
        <v>0</v>
      </c>
      <c r="Z102" s="381">
        <f>SUM(IF(I$18&lt;&gt;0,'4.) Yearly Budget'!J102,0)+IF(L$18&lt;&gt;0,'4.) Yearly Budget'!M102,0)+IF(O$18&lt;&gt;0,'4.) Yearly Budget'!P102,0)+IF(R$18&lt;&gt;0,'4.) Yearly Budget'!S102,0))</f>
        <v>0</v>
      </c>
      <c r="AA102" s="381">
        <f>Z102-U102</f>
        <v>0</v>
      </c>
      <c r="AB102" s="381">
        <f>'4.) Yearly Budget'!V102</f>
        <v>0</v>
      </c>
      <c r="AC102" s="382">
        <f>IF(U102&lt;&gt;0,AB102-U102,IF(U102=0,AB102,0))</f>
        <v>0</v>
      </c>
      <c r="AD102" s="381">
        <f>IF(U$6&lt;&gt;0,'4.) Yearly Budget'!I102/$AM$18,0)</f>
        <v>0</v>
      </c>
      <c r="AE102" s="105">
        <f>AD102-U102</f>
        <v>0</v>
      </c>
      <c r="AF102" s="291"/>
    </row>
    <row r="103" spans="1:32" s="68" customFormat="1" ht="17.25">
      <c r="A103" s="258">
        <f t="shared" si="31"/>
        <v>103</v>
      </c>
      <c r="B103" s="96"/>
      <c r="C103" s="94"/>
      <c r="D103" s="54" t="s">
        <v>58</v>
      </c>
      <c r="E103" s="50"/>
      <c r="F103" s="50"/>
      <c r="G103" s="600"/>
      <c r="H103" s="95"/>
      <c r="I103" s="284"/>
      <c r="J103" s="549">
        <f>IF('4.) Yearly Budget'!$K$18&gt;0,'4.) Yearly Budget'!K103,'4.) Yearly Budget'!J103)</f>
        <v>0</v>
      </c>
      <c r="K103" s="392">
        <f>IF(I$18&lt;&gt;0,J103-I103,0)</f>
        <v>0</v>
      </c>
      <c r="L103" s="106"/>
      <c r="M103" s="549">
        <f>IF('4.) Yearly Budget'!$N$18&gt;0,'4.) Yearly Budget'!N103,'4.) Yearly Budget'!M103)</f>
        <v>0</v>
      </c>
      <c r="N103" s="392">
        <f>IF(L$18&lt;&gt;0,M103-L103,0)</f>
        <v>0</v>
      </c>
      <c r="O103" s="106"/>
      <c r="P103" s="549">
        <f>IF('4.) Yearly Budget'!$Q$18&gt;0,'4.) Yearly Budget'!Q103,'4.) Yearly Budget'!P103)</f>
        <v>0</v>
      </c>
      <c r="Q103" s="392">
        <f>IF(O$18&lt;&gt;0,P103-O103,0)</f>
        <v>0</v>
      </c>
      <c r="R103" s="106"/>
      <c r="S103" s="549">
        <f>IF('4.) Yearly Budget'!$T$18&gt;0,'4.) Yearly Budget'!T103,'4.) Yearly Budget'!S103)</f>
        <v>0</v>
      </c>
      <c r="T103" s="388">
        <f>IF(R$18&lt;&gt;0,S103-R103,0)</f>
        <v>0</v>
      </c>
      <c r="U103" s="285">
        <f>IF(I$6&lt;&gt;0,I103,0)+IF(L$6&lt;&gt;0,L103,0)+IF(O$6&lt;&gt;0,O103,0)+IF(R$6&lt;&gt;0,R103,0)</f>
        <v>0</v>
      </c>
      <c r="V103" s="389">
        <f>SUM(IF(I$6&lt;&gt;0,J103,0)+IF(L$6&lt;&gt;0,M103,0)+IF(O$6&lt;&gt;0,P103,0)+IF(R$6&lt;&gt;0,S103,0))</f>
        <v>0</v>
      </c>
      <c r="W103" s="389">
        <f>V103-U103</f>
        <v>0</v>
      </c>
      <c r="X103" s="389">
        <f>'4.) Yearly Budget'!W103</f>
        <v>0</v>
      </c>
      <c r="Y103" s="390">
        <f>IF(U103&lt;&gt;0,X103-U103,IF(U103=0,X103,0))</f>
        <v>0</v>
      </c>
      <c r="Z103" s="391">
        <f>SUM(IF(I$18&lt;&gt;0,'4.) Yearly Budget'!J103,0)+IF(L$18&lt;&gt;0,'4.) Yearly Budget'!M103,0)+IF(O$18&lt;&gt;0,'4.) Yearly Budget'!P103,0)+IF(R$18&lt;&gt;0,'4.) Yearly Budget'!S103,0))</f>
        <v>0</v>
      </c>
      <c r="AA103" s="391">
        <f>Z103-U103</f>
        <v>0</v>
      </c>
      <c r="AB103" s="391">
        <f>'4.) Yearly Budget'!V103</f>
        <v>0</v>
      </c>
      <c r="AC103" s="392">
        <f>IF(U103&lt;&gt;0,AB103-U103,IF(U103=0,AB103,0))</f>
        <v>0</v>
      </c>
      <c r="AD103" s="391">
        <f>IF(U$6&lt;&gt;0,'4.) Yearly Budget'!I103/$AM$18,0)</f>
        <v>0</v>
      </c>
      <c r="AE103" s="388">
        <f>AD103-U103</f>
        <v>0</v>
      </c>
      <c r="AF103" s="291"/>
    </row>
    <row r="104" spans="1:32" s="68" customFormat="1">
      <c r="A104" s="258">
        <f t="shared" si="31"/>
        <v>104</v>
      </c>
      <c r="B104" s="96"/>
      <c r="C104" s="55" t="s">
        <v>83</v>
      </c>
      <c r="D104" s="50"/>
      <c r="E104" s="50"/>
      <c r="F104" s="50"/>
      <c r="G104" s="600"/>
      <c r="H104" s="95"/>
      <c r="I104" s="281">
        <f t="shared" ref="I104:AE104" si="58">SUM(I101:I103)</f>
        <v>0</v>
      </c>
      <c r="J104" s="158">
        <f t="shared" si="58"/>
        <v>0</v>
      </c>
      <c r="K104" s="393">
        <f t="shared" si="58"/>
        <v>0</v>
      </c>
      <c r="L104" s="102">
        <f t="shared" si="58"/>
        <v>0</v>
      </c>
      <c r="M104" s="158">
        <f t="shared" si="58"/>
        <v>0</v>
      </c>
      <c r="N104" s="393">
        <f t="shared" si="58"/>
        <v>0</v>
      </c>
      <c r="O104" s="102">
        <f t="shared" si="58"/>
        <v>0</v>
      </c>
      <c r="P104" s="158">
        <f t="shared" si="58"/>
        <v>0</v>
      </c>
      <c r="Q104" s="393">
        <f t="shared" si="58"/>
        <v>0</v>
      </c>
      <c r="R104" s="102">
        <f t="shared" si="58"/>
        <v>0</v>
      </c>
      <c r="S104" s="158">
        <f t="shared" si="58"/>
        <v>0</v>
      </c>
      <c r="T104" s="103">
        <f t="shared" si="58"/>
        <v>0</v>
      </c>
      <c r="U104" s="277">
        <f t="shared" si="58"/>
        <v>0</v>
      </c>
      <c r="V104" s="158">
        <f t="shared" si="58"/>
        <v>0</v>
      </c>
      <c r="W104" s="158">
        <f t="shared" si="58"/>
        <v>0</v>
      </c>
      <c r="X104" s="158">
        <f t="shared" si="58"/>
        <v>0</v>
      </c>
      <c r="Y104" s="383">
        <f t="shared" si="58"/>
        <v>0</v>
      </c>
      <c r="Z104" s="102">
        <f t="shared" si="58"/>
        <v>0</v>
      </c>
      <c r="AA104" s="102">
        <f t="shared" si="58"/>
        <v>0</v>
      </c>
      <c r="AB104" s="102">
        <f t="shared" si="58"/>
        <v>0</v>
      </c>
      <c r="AC104" s="393">
        <f t="shared" si="58"/>
        <v>0</v>
      </c>
      <c r="AD104" s="102">
        <f t="shared" si="58"/>
        <v>0</v>
      </c>
      <c r="AE104" s="105">
        <f t="shared" si="58"/>
        <v>0</v>
      </c>
      <c r="AF104" s="291"/>
    </row>
    <row r="105" spans="1:32" s="68" customFormat="1" ht="7.5" customHeight="1">
      <c r="A105" s="258">
        <f t="shared" si="31"/>
        <v>105</v>
      </c>
      <c r="B105" s="96"/>
      <c r="C105" s="94"/>
      <c r="D105" s="120"/>
      <c r="E105" s="120"/>
      <c r="F105" s="120"/>
      <c r="G105" s="598"/>
      <c r="H105" s="95"/>
      <c r="I105" s="104"/>
      <c r="J105" s="104"/>
      <c r="K105" s="104"/>
      <c r="L105" s="104"/>
      <c r="M105" s="104"/>
      <c r="N105" s="104"/>
      <c r="O105" s="104"/>
      <c r="P105" s="104"/>
      <c r="Q105" s="104"/>
      <c r="R105" s="104"/>
      <c r="S105" s="104"/>
      <c r="T105" s="105"/>
      <c r="U105" s="107"/>
      <c r="V105" s="107"/>
      <c r="W105" s="107"/>
      <c r="X105" s="107"/>
      <c r="Y105" s="107"/>
      <c r="Z105" s="107"/>
      <c r="AA105" s="107"/>
      <c r="AB105" s="107"/>
      <c r="AC105" s="107"/>
      <c r="AD105" s="107"/>
      <c r="AE105" s="108"/>
      <c r="AF105" s="291"/>
    </row>
    <row r="106" spans="1:32" s="94" customFormat="1">
      <c r="A106" s="258">
        <f t="shared" si="31"/>
        <v>106</v>
      </c>
      <c r="B106" s="96"/>
      <c r="C106" s="60" t="s">
        <v>84</v>
      </c>
      <c r="D106" s="50"/>
      <c r="E106" s="50"/>
      <c r="F106" s="50"/>
      <c r="G106" s="601">
        <f>G98</f>
        <v>0</v>
      </c>
      <c r="H106" s="95"/>
      <c r="I106" s="281">
        <f t="shared" ref="I106:AE106" si="59">I98+I104</f>
        <v>0</v>
      </c>
      <c r="J106" s="158">
        <f t="shared" si="59"/>
        <v>0</v>
      </c>
      <c r="K106" s="393">
        <f t="shared" si="59"/>
        <v>0</v>
      </c>
      <c r="L106" s="102">
        <f t="shared" si="59"/>
        <v>0</v>
      </c>
      <c r="M106" s="158">
        <f t="shared" si="59"/>
        <v>0</v>
      </c>
      <c r="N106" s="393">
        <f t="shared" si="59"/>
        <v>0</v>
      </c>
      <c r="O106" s="102">
        <f t="shared" si="59"/>
        <v>0</v>
      </c>
      <c r="P106" s="158">
        <f t="shared" si="59"/>
        <v>0</v>
      </c>
      <c r="Q106" s="393">
        <f t="shared" si="59"/>
        <v>0</v>
      </c>
      <c r="R106" s="102">
        <f t="shared" si="59"/>
        <v>0</v>
      </c>
      <c r="S106" s="158">
        <f t="shared" si="59"/>
        <v>0</v>
      </c>
      <c r="T106" s="103">
        <f t="shared" si="59"/>
        <v>0</v>
      </c>
      <c r="U106" s="277">
        <f t="shared" si="59"/>
        <v>0</v>
      </c>
      <c r="V106" s="158">
        <f t="shared" si="59"/>
        <v>0</v>
      </c>
      <c r="W106" s="158">
        <f t="shared" si="59"/>
        <v>0</v>
      </c>
      <c r="X106" s="158">
        <f t="shared" si="59"/>
        <v>0</v>
      </c>
      <c r="Y106" s="383">
        <f t="shared" si="59"/>
        <v>0</v>
      </c>
      <c r="Z106" s="102">
        <f t="shared" si="59"/>
        <v>0</v>
      </c>
      <c r="AA106" s="102">
        <f t="shared" si="59"/>
        <v>0</v>
      </c>
      <c r="AB106" s="102">
        <f t="shared" si="59"/>
        <v>0</v>
      </c>
      <c r="AC106" s="393">
        <f t="shared" si="59"/>
        <v>0</v>
      </c>
      <c r="AD106" s="102">
        <f t="shared" si="59"/>
        <v>0</v>
      </c>
      <c r="AE106" s="105">
        <f t="shared" si="59"/>
        <v>0</v>
      </c>
      <c r="AF106" s="291"/>
    </row>
    <row r="107" spans="1:32" s="68" customFormat="1" ht="7.5" customHeight="1">
      <c r="A107" s="258">
        <f t="shared" si="31"/>
        <v>107</v>
      </c>
      <c r="B107" s="96"/>
      <c r="C107" s="94"/>
      <c r="D107" s="94"/>
      <c r="E107" s="120"/>
      <c r="F107" s="120"/>
      <c r="G107" s="56"/>
      <c r="H107" s="95"/>
      <c r="I107" s="107"/>
      <c r="J107" s="107"/>
      <c r="K107" s="107"/>
      <c r="L107" s="107"/>
      <c r="M107" s="107"/>
      <c r="N107" s="107"/>
      <c r="O107" s="107"/>
      <c r="P107" s="107"/>
      <c r="Q107" s="107"/>
      <c r="R107" s="107"/>
      <c r="S107" s="107"/>
      <c r="T107" s="108"/>
      <c r="U107" s="107"/>
      <c r="V107" s="107"/>
      <c r="W107" s="107"/>
      <c r="X107" s="107"/>
      <c r="Y107" s="107"/>
      <c r="Z107" s="107"/>
      <c r="AA107" s="107"/>
      <c r="AB107" s="107"/>
      <c r="AC107" s="107"/>
      <c r="AD107" s="107"/>
      <c r="AE107" s="108"/>
      <c r="AF107" s="291"/>
    </row>
    <row r="108" spans="1:32" s="68" customFormat="1">
      <c r="A108" s="258">
        <f t="shared" si="31"/>
        <v>108</v>
      </c>
      <c r="B108" s="96"/>
      <c r="C108" s="119" t="s">
        <v>85</v>
      </c>
      <c r="D108" s="94"/>
      <c r="E108" s="120"/>
      <c r="F108" s="120"/>
      <c r="G108" s="56"/>
      <c r="H108" s="95"/>
      <c r="I108" s="98"/>
      <c r="J108" s="98"/>
      <c r="K108" s="98"/>
      <c r="L108" s="98"/>
      <c r="M108" s="98"/>
      <c r="N108" s="98"/>
      <c r="O108" s="98"/>
      <c r="P108" s="98"/>
      <c r="Q108" s="98"/>
      <c r="R108" s="98"/>
      <c r="S108" s="98"/>
      <c r="T108" s="99"/>
      <c r="U108" s="95"/>
      <c r="V108" s="95"/>
      <c r="W108" s="95"/>
      <c r="X108" s="95"/>
      <c r="Y108" s="95"/>
      <c r="Z108" s="95"/>
      <c r="AA108" s="95"/>
      <c r="AB108" s="95"/>
      <c r="AC108" s="95"/>
      <c r="AD108" s="95"/>
      <c r="AE108" s="118"/>
      <c r="AF108" s="291"/>
    </row>
    <row r="109" spans="1:32" s="68" customFormat="1">
      <c r="A109" s="258">
        <f t="shared" si="31"/>
        <v>109</v>
      </c>
      <c r="B109" s="96"/>
      <c r="C109" s="94"/>
      <c r="D109" s="50" t="s">
        <v>65</v>
      </c>
      <c r="E109" s="120"/>
      <c r="F109" s="120"/>
      <c r="G109" s="56"/>
      <c r="H109" s="95"/>
      <c r="I109" s="276"/>
      <c r="J109" s="102">
        <f>IF('4.) Yearly Budget'!$K$18&gt;0,'4.) Yearly Budget'!K109,'4.) Yearly Budget'!J109)</f>
        <v>0</v>
      </c>
      <c r="K109" s="382">
        <f t="shared" ref="K109:K117" si="60">IF(I$18&lt;&gt;0,J109-I109,0)</f>
        <v>0</v>
      </c>
      <c r="L109" s="100"/>
      <c r="M109" s="102">
        <f>IF('4.) Yearly Budget'!$N$18&gt;0,'4.) Yearly Budget'!N109,'4.) Yearly Budget'!M109)</f>
        <v>0</v>
      </c>
      <c r="N109" s="382">
        <f t="shared" ref="N109:N117" si="61">IF(L$18&lt;&gt;0,M109-L109,0)</f>
        <v>0</v>
      </c>
      <c r="O109" s="100"/>
      <c r="P109" s="102">
        <f>IF('4.) Yearly Budget'!$Q$18&gt;0,'4.) Yearly Budget'!Q109,'4.) Yearly Budget'!P109)</f>
        <v>0</v>
      </c>
      <c r="Q109" s="382">
        <f t="shared" ref="Q109:Q117" si="62">IF(O$18&lt;&gt;0,P109-O109,0)</f>
        <v>0</v>
      </c>
      <c r="R109" s="100"/>
      <c r="S109" s="102">
        <f>IF('4.) Yearly Budget'!$T$18&gt;0,'4.) Yearly Budget'!T109,'4.) Yearly Budget'!S109)</f>
        <v>0</v>
      </c>
      <c r="T109" s="105">
        <f t="shared" ref="T109:T117" si="63">IF(R$18&lt;&gt;0,S109-R109,0)</f>
        <v>0</v>
      </c>
      <c r="U109" s="277">
        <f t="shared" ref="U109:U117" si="64">IF(I$6&lt;&gt;0,I109,0)+IF(L$6&lt;&gt;0,L109,0)+IF(O$6&lt;&gt;0,O109,0)+IF(R$6&lt;&gt;0,R109,0)</f>
        <v>0</v>
      </c>
      <c r="V109" s="379">
        <f t="shared" ref="V109:V117" si="65">SUM(IF(I$6&lt;&gt;0,J109,0)+IF(L$6&lt;&gt;0,M109,0)+IF(O$6&lt;&gt;0,P109,0)+IF(R$6&lt;&gt;0,S109,0))</f>
        <v>0</v>
      </c>
      <c r="W109" s="379">
        <f t="shared" ref="W109:W117" si="66">V109-U109</f>
        <v>0</v>
      </c>
      <c r="X109" s="379">
        <f>'4.) Yearly Budget'!W109</f>
        <v>0</v>
      </c>
      <c r="Y109" s="380">
        <f t="shared" ref="Y109:Y117" si="67">IF(U109&lt;&gt;0,X109-U109,IF(U109=0,X109,0))</f>
        <v>0</v>
      </c>
      <c r="Z109" s="381">
        <f>SUM(IF(I$18&lt;&gt;0,'4.) Yearly Budget'!J109,0)+IF(L$18&lt;&gt;0,'4.) Yearly Budget'!M109,0)+IF(O$18&lt;&gt;0,'4.) Yearly Budget'!P109,0)+IF(R$18&lt;&gt;0,'4.) Yearly Budget'!S109,0))</f>
        <v>0</v>
      </c>
      <c r="AA109" s="381">
        <f t="shared" ref="AA109:AA117" si="68">Z109-U109</f>
        <v>0</v>
      </c>
      <c r="AB109" s="381">
        <f>'4.) Yearly Budget'!V109</f>
        <v>0</v>
      </c>
      <c r="AC109" s="382">
        <f t="shared" ref="AC109:AC117" si="69">IF(U109&lt;&gt;0,AB109-U109,IF(U109=0,AB109,0))</f>
        <v>0</v>
      </c>
      <c r="AD109" s="381">
        <f>IF(U$6&lt;&gt;0,'4.) Yearly Budget'!I109/$AM$18,0)</f>
        <v>0</v>
      </c>
      <c r="AE109" s="105">
        <f t="shared" ref="AE109:AE117" si="70">AD109-U109</f>
        <v>0</v>
      </c>
      <c r="AF109" s="291"/>
    </row>
    <row r="110" spans="1:32" s="68" customFormat="1">
      <c r="A110" s="258">
        <f t="shared" si="31"/>
        <v>110</v>
      </c>
      <c r="B110" s="96"/>
      <c r="C110" s="94"/>
      <c r="D110" s="54" t="s">
        <v>5</v>
      </c>
      <c r="E110" s="120"/>
      <c r="F110" s="120"/>
      <c r="G110" s="56"/>
      <c r="H110" s="95"/>
      <c r="I110" s="276"/>
      <c r="J110" s="102">
        <f>IF('4.) Yearly Budget'!$K$18&gt;0,'4.) Yearly Budget'!K110,'4.) Yearly Budget'!J110)</f>
        <v>0</v>
      </c>
      <c r="K110" s="382">
        <f t="shared" si="60"/>
        <v>0</v>
      </c>
      <c r="L110" s="100"/>
      <c r="M110" s="102">
        <f>IF('4.) Yearly Budget'!$N$18&gt;0,'4.) Yearly Budget'!N110,'4.) Yearly Budget'!M110)</f>
        <v>0</v>
      </c>
      <c r="N110" s="382">
        <f t="shared" si="61"/>
        <v>0</v>
      </c>
      <c r="O110" s="100"/>
      <c r="P110" s="102">
        <f>IF('4.) Yearly Budget'!$Q$18&gt;0,'4.) Yearly Budget'!Q110,'4.) Yearly Budget'!P110)</f>
        <v>0</v>
      </c>
      <c r="Q110" s="382">
        <f t="shared" si="62"/>
        <v>0</v>
      </c>
      <c r="R110" s="100"/>
      <c r="S110" s="102">
        <f>IF('4.) Yearly Budget'!$T$18&gt;0,'4.) Yearly Budget'!T110,'4.) Yearly Budget'!S110)</f>
        <v>0</v>
      </c>
      <c r="T110" s="105">
        <f t="shared" si="63"/>
        <v>0</v>
      </c>
      <c r="U110" s="277">
        <f t="shared" si="64"/>
        <v>0</v>
      </c>
      <c r="V110" s="379">
        <f t="shared" si="65"/>
        <v>0</v>
      </c>
      <c r="W110" s="379">
        <f t="shared" si="66"/>
        <v>0</v>
      </c>
      <c r="X110" s="379">
        <f>'4.) Yearly Budget'!W110</f>
        <v>0</v>
      </c>
      <c r="Y110" s="380">
        <f t="shared" si="67"/>
        <v>0</v>
      </c>
      <c r="Z110" s="381">
        <f>SUM(IF(I$18&lt;&gt;0,'4.) Yearly Budget'!J110,0)+IF(L$18&lt;&gt;0,'4.) Yearly Budget'!M110,0)+IF(O$18&lt;&gt;0,'4.) Yearly Budget'!P110,0)+IF(R$18&lt;&gt;0,'4.) Yearly Budget'!S110,0))</f>
        <v>0</v>
      </c>
      <c r="AA110" s="381">
        <f t="shared" si="68"/>
        <v>0</v>
      </c>
      <c r="AB110" s="381">
        <f>'4.) Yearly Budget'!V110</f>
        <v>0</v>
      </c>
      <c r="AC110" s="382">
        <f t="shared" si="69"/>
        <v>0</v>
      </c>
      <c r="AD110" s="381">
        <f>IF(U$6&lt;&gt;0,'4.) Yearly Budget'!I110/$AM$18,0)</f>
        <v>0</v>
      </c>
      <c r="AE110" s="105">
        <f t="shared" si="70"/>
        <v>0</v>
      </c>
      <c r="AF110" s="291"/>
    </row>
    <row r="111" spans="1:32" s="68" customFormat="1">
      <c r="A111" s="258">
        <f t="shared" si="31"/>
        <v>111</v>
      </c>
      <c r="B111" s="96"/>
      <c r="C111" s="94"/>
      <c r="D111" s="54" t="s">
        <v>66</v>
      </c>
      <c r="E111" s="120"/>
      <c r="F111" s="120"/>
      <c r="G111" s="56"/>
      <c r="H111" s="95"/>
      <c r="I111" s="276"/>
      <c r="J111" s="102">
        <f>IF('4.) Yearly Budget'!$K$18&gt;0,'4.) Yearly Budget'!K111,'4.) Yearly Budget'!J111)</f>
        <v>0</v>
      </c>
      <c r="K111" s="382">
        <f t="shared" si="60"/>
        <v>0</v>
      </c>
      <c r="L111" s="100"/>
      <c r="M111" s="102">
        <f>IF('4.) Yearly Budget'!$N$18&gt;0,'4.) Yearly Budget'!N111,'4.) Yearly Budget'!M111)</f>
        <v>0</v>
      </c>
      <c r="N111" s="382">
        <f t="shared" si="61"/>
        <v>0</v>
      </c>
      <c r="O111" s="100"/>
      <c r="P111" s="102">
        <f>IF('4.) Yearly Budget'!$Q$18&gt;0,'4.) Yearly Budget'!Q111,'4.) Yearly Budget'!P111)</f>
        <v>0</v>
      </c>
      <c r="Q111" s="382">
        <f t="shared" si="62"/>
        <v>0</v>
      </c>
      <c r="R111" s="100"/>
      <c r="S111" s="102">
        <f>IF('4.) Yearly Budget'!$T$18&gt;0,'4.) Yearly Budget'!T111,'4.) Yearly Budget'!S111)</f>
        <v>0</v>
      </c>
      <c r="T111" s="105">
        <f t="shared" si="63"/>
        <v>0</v>
      </c>
      <c r="U111" s="277">
        <f t="shared" si="64"/>
        <v>0</v>
      </c>
      <c r="V111" s="379">
        <f t="shared" si="65"/>
        <v>0</v>
      </c>
      <c r="W111" s="379">
        <f t="shared" si="66"/>
        <v>0</v>
      </c>
      <c r="X111" s="379">
        <f>'4.) Yearly Budget'!W111</f>
        <v>0</v>
      </c>
      <c r="Y111" s="380">
        <f t="shared" si="67"/>
        <v>0</v>
      </c>
      <c r="Z111" s="381">
        <f>SUM(IF(I$18&lt;&gt;0,'4.) Yearly Budget'!J111,0)+IF(L$18&lt;&gt;0,'4.) Yearly Budget'!M111,0)+IF(O$18&lt;&gt;0,'4.) Yearly Budget'!P111,0)+IF(R$18&lt;&gt;0,'4.) Yearly Budget'!S111,0))</f>
        <v>0</v>
      </c>
      <c r="AA111" s="381">
        <f t="shared" si="68"/>
        <v>0</v>
      </c>
      <c r="AB111" s="381">
        <f>'4.) Yearly Budget'!V111</f>
        <v>0</v>
      </c>
      <c r="AC111" s="382">
        <f t="shared" si="69"/>
        <v>0</v>
      </c>
      <c r="AD111" s="381">
        <f>IF(U$6&lt;&gt;0,'4.) Yearly Budget'!I111/$AM$18,0)</f>
        <v>0</v>
      </c>
      <c r="AE111" s="105">
        <f t="shared" si="70"/>
        <v>0</v>
      </c>
      <c r="AF111" s="291"/>
    </row>
    <row r="112" spans="1:32" s="68" customFormat="1">
      <c r="A112" s="258">
        <f t="shared" si="31"/>
        <v>112</v>
      </c>
      <c r="B112" s="96"/>
      <c r="C112" s="94"/>
      <c r="D112" s="54" t="s">
        <v>15</v>
      </c>
      <c r="E112" s="120"/>
      <c r="F112" s="120"/>
      <c r="G112" s="56"/>
      <c r="H112" s="95"/>
      <c r="I112" s="276"/>
      <c r="J112" s="102">
        <f>IF('4.) Yearly Budget'!$K$18&gt;0,'4.) Yearly Budget'!K112,'4.) Yearly Budget'!J112)</f>
        <v>0</v>
      </c>
      <c r="K112" s="382">
        <f t="shared" si="60"/>
        <v>0</v>
      </c>
      <c r="L112" s="100"/>
      <c r="M112" s="102">
        <f>IF('4.) Yearly Budget'!$N$18&gt;0,'4.) Yearly Budget'!N112,'4.) Yearly Budget'!M112)</f>
        <v>0</v>
      </c>
      <c r="N112" s="382">
        <f t="shared" si="61"/>
        <v>0</v>
      </c>
      <c r="O112" s="100"/>
      <c r="P112" s="102">
        <f>IF('4.) Yearly Budget'!$Q$18&gt;0,'4.) Yearly Budget'!Q112,'4.) Yearly Budget'!P112)</f>
        <v>0</v>
      </c>
      <c r="Q112" s="382">
        <f t="shared" si="62"/>
        <v>0</v>
      </c>
      <c r="R112" s="100"/>
      <c r="S112" s="102">
        <f>IF('4.) Yearly Budget'!$T$18&gt;0,'4.) Yearly Budget'!T112,'4.) Yearly Budget'!S112)</f>
        <v>0</v>
      </c>
      <c r="T112" s="105">
        <f t="shared" si="63"/>
        <v>0</v>
      </c>
      <c r="U112" s="277">
        <f t="shared" si="64"/>
        <v>0</v>
      </c>
      <c r="V112" s="379">
        <f t="shared" si="65"/>
        <v>0</v>
      </c>
      <c r="W112" s="379">
        <f t="shared" si="66"/>
        <v>0</v>
      </c>
      <c r="X112" s="379">
        <f>'4.) Yearly Budget'!W112</f>
        <v>0</v>
      </c>
      <c r="Y112" s="380">
        <f t="shared" si="67"/>
        <v>0</v>
      </c>
      <c r="Z112" s="381">
        <f>SUM(IF(I$18&lt;&gt;0,'4.) Yearly Budget'!J112,0)+IF(L$18&lt;&gt;0,'4.) Yearly Budget'!M112,0)+IF(O$18&lt;&gt;0,'4.) Yearly Budget'!P112,0)+IF(R$18&lt;&gt;0,'4.) Yearly Budget'!S112,0))</f>
        <v>0</v>
      </c>
      <c r="AA112" s="381">
        <f t="shared" si="68"/>
        <v>0</v>
      </c>
      <c r="AB112" s="381">
        <f>'4.) Yearly Budget'!V112</f>
        <v>0</v>
      </c>
      <c r="AC112" s="382">
        <f t="shared" si="69"/>
        <v>0</v>
      </c>
      <c r="AD112" s="381">
        <f>IF(U$6&lt;&gt;0,'4.) Yearly Budget'!I112/$AM$18,0)</f>
        <v>0</v>
      </c>
      <c r="AE112" s="105">
        <f t="shared" si="70"/>
        <v>0</v>
      </c>
      <c r="AF112" s="291"/>
    </row>
    <row r="113" spans="1:32" s="68" customFormat="1">
      <c r="A113" s="258">
        <f t="shared" si="31"/>
        <v>113</v>
      </c>
      <c r="B113" s="96"/>
      <c r="C113" s="94"/>
      <c r="D113" s="54" t="s">
        <v>57</v>
      </c>
      <c r="E113" s="120"/>
      <c r="F113" s="120"/>
      <c r="G113" s="56"/>
      <c r="H113" s="95"/>
      <c r="I113" s="276"/>
      <c r="J113" s="102">
        <f>IF('4.) Yearly Budget'!$K$18&gt;0,'4.) Yearly Budget'!K113,'4.) Yearly Budget'!J113)</f>
        <v>0</v>
      </c>
      <c r="K113" s="382">
        <f t="shared" si="60"/>
        <v>0</v>
      </c>
      <c r="L113" s="100"/>
      <c r="M113" s="102">
        <f>IF('4.) Yearly Budget'!$N$18&gt;0,'4.) Yearly Budget'!N113,'4.) Yearly Budget'!M113)</f>
        <v>0</v>
      </c>
      <c r="N113" s="382">
        <f t="shared" si="61"/>
        <v>0</v>
      </c>
      <c r="O113" s="100"/>
      <c r="P113" s="102">
        <f>IF('4.) Yearly Budget'!$Q$18&gt;0,'4.) Yearly Budget'!Q113,'4.) Yearly Budget'!P113)</f>
        <v>0</v>
      </c>
      <c r="Q113" s="382">
        <f t="shared" si="62"/>
        <v>0</v>
      </c>
      <c r="R113" s="100"/>
      <c r="S113" s="102">
        <f>IF('4.) Yearly Budget'!$T$18&gt;0,'4.) Yearly Budget'!T113,'4.) Yearly Budget'!S113)</f>
        <v>0</v>
      </c>
      <c r="T113" s="105">
        <f t="shared" si="63"/>
        <v>0</v>
      </c>
      <c r="U113" s="277">
        <f t="shared" si="64"/>
        <v>0</v>
      </c>
      <c r="V113" s="379">
        <f t="shared" si="65"/>
        <v>0</v>
      </c>
      <c r="W113" s="379">
        <f t="shared" si="66"/>
        <v>0</v>
      </c>
      <c r="X113" s="379">
        <f>'4.) Yearly Budget'!W113</f>
        <v>0</v>
      </c>
      <c r="Y113" s="380">
        <f t="shared" si="67"/>
        <v>0</v>
      </c>
      <c r="Z113" s="381">
        <f>SUM(IF(I$18&lt;&gt;0,'4.) Yearly Budget'!J113,0)+IF(L$18&lt;&gt;0,'4.) Yearly Budget'!M113,0)+IF(O$18&lt;&gt;0,'4.) Yearly Budget'!P113,0)+IF(R$18&lt;&gt;0,'4.) Yearly Budget'!S113,0))</f>
        <v>0</v>
      </c>
      <c r="AA113" s="381">
        <f t="shared" si="68"/>
        <v>0</v>
      </c>
      <c r="AB113" s="381">
        <f>'4.) Yearly Budget'!V113</f>
        <v>0</v>
      </c>
      <c r="AC113" s="382">
        <f t="shared" si="69"/>
        <v>0</v>
      </c>
      <c r="AD113" s="381">
        <f>IF(U$6&lt;&gt;0,'4.) Yearly Budget'!I113/$AM$18,0)</f>
        <v>0</v>
      </c>
      <c r="AE113" s="105">
        <f t="shared" si="70"/>
        <v>0</v>
      </c>
      <c r="AF113" s="291"/>
    </row>
    <row r="114" spans="1:32" s="68" customFormat="1">
      <c r="A114" s="258">
        <f t="shared" si="31"/>
        <v>114</v>
      </c>
      <c r="B114" s="96"/>
      <c r="C114" s="94"/>
      <c r="D114" s="54" t="s">
        <v>16</v>
      </c>
      <c r="E114" s="120"/>
      <c r="F114" s="120"/>
      <c r="G114" s="56"/>
      <c r="H114" s="95"/>
      <c r="I114" s="276"/>
      <c r="J114" s="102">
        <f>IF('4.) Yearly Budget'!$K$18&gt;0,'4.) Yearly Budget'!K114,'4.) Yearly Budget'!J114)</f>
        <v>0</v>
      </c>
      <c r="K114" s="382">
        <f t="shared" si="60"/>
        <v>0</v>
      </c>
      <c r="L114" s="100"/>
      <c r="M114" s="102">
        <f>IF('4.) Yearly Budget'!$N$18&gt;0,'4.) Yearly Budget'!N114,'4.) Yearly Budget'!M114)</f>
        <v>0</v>
      </c>
      <c r="N114" s="382">
        <f t="shared" si="61"/>
        <v>0</v>
      </c>
      <c r="O114" s="100"/>
      <c r="P114" s="102">
        <f>IF('4.) Yearly Budget'!$Q$18&gt;0,'4.) Yearly Budget'!Q114,'4.) Yearly Budget'!P114)</f>
        <v>0</v>
      </c>
      <c r="Q114" s="382">
        <f t="shared" si="62"/>
        <v>0</v>
      </c>
      <c r="R114" s="100"/>
      <c r="S114" s="102">
        <f>IF('4.) Yearly Budget'!$T$18&gt;0,'4.) Yearly Budget'!T114,'4.) Yearly Budget'!S114)</f>
        <v>0</v>
      </c>
      <c r="T114" s="105">
        <f t="shared" si="63"/>
        <v>0</v>
      </c>
      <c r="U114" s="277">
        <f t="shared" si="64"/>
        <v>0</v>
      </c>
      <c r="V114" s="379">
        <f t="shared" si="65"/>
        <v>0</v>
      </c>
      <c r="W114" s="379">
        <f t="shared" si="66"/>
        <v>0</v>
      </c>
      <c r="X114" s="379">
        <f>'4.) Yearly Budget'!W114</f>
        <v>0</v>
      </c>
      <c r="Y114" s="380">
        <f t="shared" si="67"/>
        <v>0</v>
      </c>
      <c r="Z114" s="381">
        <f>SUM(IF(I$18&lt;&gt;0,'4.) Yearly Budget'!J114,0)+IF(L$18&lt;&gt;0,'4.) Yearly Budget'!M114,0)+IF(O$18&lt;&gt;0,'4.) Yearly Budget'!P114,0)+IF(R$18&lt;&gt;0,'4.) Yearly Budget'!S114,0))</f>
        <v>0</v>
      </c>
      <c r="AA114" s="381">
        <f t="shared" si="68"/>
        <v>0</v>
      </c>
      <c r="AB114" s="381">
        <f>'4.) Yearly Budget'!V114</f>
        <v>0</v>
      </c>
      <c r="AC114" s="382">
        <f t="shared" si="69"/>
        <v>0</v>
      </c>
      <c r="AD114" s="381">
        <f>IF(U$6&lt;&gt;0,'4.) Yearly Budget'!I114/$AM$18,0)</f>
        <v>0</v>
      </c>
      <c r="AE114" s="105">
        <f t="shared" si="70"/>
        <v>0</v>
      </c>
      <c r="AF114" s="291"/>
    </row>
    <row r="115" spans="1:32" s="68" customFormat="1">
      <c r="A115" s="258">
        <f t="shared" si="31"/>
        <v>115</v>
      </c>
      <c r="B115" s="96"/>
      <c r="C115" s="94"/>
      <c r="D115" s="54" t="s">
        <v>17</v>
      </c>
      <c r="E115" s="120"/>
      <c r="F115" s="120"/>
      <c r="G115" s="56"/>
      <c r="H115" s="95"/>
      <c r="I115" s="276"/>
      <c r="J115" s="102">
        <f>IF('4.) Yearly Budget'!$K$18&gt;0,'4.) Yearly Budget'!K115,'4.) Yearly Budget'!J115)</f>
        <v>0</v>
      </c>
      <c r="K115" s="382">
        <f t="shared" si="60"/>
        <v>0</v>
      </c>
      <c r="L115" s="100"/>
      <c r="M115" s="102">
        <f>IF('4.) Yearly Budget'!$N$18&gt;0,'4.) Yearly Budget'!N115,'4.) Yearly Budget'!M115)</f>
        <v>0</v>
      </c>
      <c r="N115" s="382">
        <f t="shared" si="61"/>
        <v>0</v>
      </c>
      <c r="O115" s="100"/>
      <c r="P115" s="102">
        <f>IF('4.) Yearly Budget'!$Q$18&gt;0,'4.) Yearly Budget'!Q115,'4.) Yearly Budget'!P115)</f>
        <v>0</v>
      </c>
      <c r="Q115" s="382">
        <f t="shared" si="62"/>
        <v>0</v>
      </c>
      <c r="R115" s="100"/>
      <c r="S115" s="102">
        <f>IF('4.) Yearly Budget'!$T$18&gt;0,'4.) Yearly Budget'!T115,'4.) Yearly Budget'!S115)</f>
        <v>0</v>
      </c>
      <c r="T115" s="105">
        <f t="shared" si="63"/>
        <v>0</v>
      </c>
      <c r="U115" s="277">
        <f t="shared" si="64"/>
        <v>0</v>
      </c>
      <c r="V115" s="379">
        <f t="shared" si="65"/>
        <v>0</v>
      </c>
      <c r="W115" s="379">
        <f t="shared" si="66"/>
        <v>0</v>
      </c>
      <c r="X115" s="379">
        <f>'4.) Yearly Budget'!W115</f>
        <v>0</v>
      </c>
      <c r="Y115" s="380">
        <f t="shared" si="67"/>
        <v>0</v>
      </c>
      <c r="Z115" s="381">
        <f>SUM(IF(I$18&lt;&gt;0,'4.) Yearly Budget'!J115,0)+IF(L$18&lt;&gt;0,'4.) Yearly Budget'!M115,0)+IF(O$18&lt;&gt;0,'4.) Yearly Budget'!P115,0)+IF(R$18&lt;&gt;0,'4.) Yearly Budget'!S115,0))</f>
        <v>0</v>
      </c>
      <c r="AA115" s="381">
        <f t="shared" si="68"/>
        <v>0</v>
      </c>
      <c r="AB115" s="381">
        <f>'4.) Yearly Budget'!V115</f>
        <v>0</v>
      </c>
      <c r="AC115" s="382">
        <f t="shared" si="69"/>
        <v>0</v>
      </c>
      <c r="AD115" s="381">
        <f>IF(U$6&lt;&gt;0,'4.) Yearly Budget'!I115/$AM$18,0)</f>
        <v>0</v>
      </c>
      <c r="AE115" s="105">
        <f t="shared" si="70"/>
        <v>0</v>
      </c>
      <c r="AF115" s="291"/>
    </row>
    <row r="116" spans="1:32" s="68" customFormat="1">
      <c r="A116" s="258">
        <f t="shared" si="31"/>
        <v>116</v>
      </c>
      <c r="B116" s="96"/>
      <c r="C116" s="94"/>
      <c r="D116" s="54" t="s">
        <v>68</v>
      </c>
      <c r="E116" s="120"/>
      <c r="F116" s="120"/>
      <c r="G116" s="56"/>
      <c r="H116" s="95"/>
      <c r="I116" s="276"/>
      <c r="J116" s="102">
        <f>IF('4.) Yearly Budget'!$K$18&gt;0,'4.) Yearly Budget'!K116,'4.) Yearly Budget'!J116)</f>
        <v>0</v>
      </c>
      <c r="K116" s="382">
        <f t="shared" si="60"/>
        <v>0</v>
      </c>
      <c r="L116" s="100"/>
      <c r="M116" s="102">
        <f>IF('4.) Yearly Budget'!$N$18&gt;0,'4.) Yearly Budget'!N116,'4.) Yearly Budget'!M116)</f>
        <v>0</v>
      </c>
      <c r="N116" s="382">
        <f t="shared" si="61"/>
        <v>0</v>
      </c>
      <c r="O116" s="100"/>
      <c r="P116" s="102">
        <f>IF('4.) Yearly Budget'!$Q$18&gt;0,'4.) Yearly Budget'!Q116,'4.) Yearly Budget'!P116)</f>
        <v>0</v>
      </c>
      <c r="Q116" s="382">
        <f t="shared" si="62"/>
        <v>0</v>
      </c>
      <c r="R116" s="100"/>
      <c r="S116" s="102">
        <f>IF('4.) Yearly Budget'!$T$18&gt;0,'4.) Yearly Budget'!T116,'4.) Yearly Budget'!S116)</f>
        <v>0</v>
      </c>
      <c r="T116" s="105">
        <f t="shared" si="63"/>
        <v>0</v>
      </c>
      <c r="U116" s="277">
        <f t="shared" si="64"/>
        <v>0</v>
      </c>
      <c r="V116" s="379">
        <f t="shared" si="65"/>
        <v>0</v>
      </c>
      <c r="W116" s="379">
        <f t="shared" si="66"/>
        <v>0</v>
      </c>
      <c r="X116" s="379">
        <f>'4.) Yearly Budget'!W116</f>
        <v>0</v>
      </c>
      <c r="Y116" s="380">
        <f t="shared" si="67"/>
        <v>0</v>
      </c>
      <c r="Z116" s="381">
        <f>SUM(IF(I$18&lt;&gt;0,'4.) Yearly Budget'!J116,0)+IF(L$18&lt;&gt;0,'4.) Yearly Budget'!M116,0)+IF(O$18&lt;&gt;0,'4.) Yearly Budget'!P116,0)+IF(R$18&lt;&gt;0,'4.) Yearly Budget'!S116,0))</f>
        <v>0</v>
      </c>
      <c r="AA116" s="381">
        <f t="shared" si="68"/>
        <v>0</v>
      </c>
      <c r="AB116" s="381">
        <f>'4.) Yearly Budget'!V116</f>
        <v>0</v>
      </c>
      <c r="AC116" s="382">
        <f t="shared" si="69"/>
        <v>0</v>
      </c>
      <c r="AD116" s="381">
        <f>IF(U$6&lt;&gt;0,'4.) Yearly Budget'!I116/$AM$18,0)</f>
        <v>0</v>
      </c>
      <c r="AE116" s="105">
        <f t="shared" si="70"/>
        <v>0</v>
      </c>
      <c r="AF116" s="291"/>
    </row>
    <row r="117" spans="1:32" s="68" customFormat="1" ht="17.25">
      <c r="A117" s="258">
        <f t="shared" si="31"/>
        <v>117</v>
      </c>
      <c r="B117" s="96"/>
      <c r="C117" s="94"/>
      <c r="D117" s="50" t="s">
        <v>67</v>
      </c>
      <c r="E117" s="120"/>
      <c r="F117" s="120"/>
      <c r="G117" s="56"/>
      <c r="H117" s="95"/>
      <c r="I117" s="284"/>
      <c r="J117" s="549">
        <f>IF('4.) Yearly Budget'!$K$18&gt;0,'4.) Yearly Budget'!K117,'4.) Yearly Budget'!J117)</f>
        <v>0</v>
      </c>
      <c r="K117" s="392">
        <f t="shared" si="60"/>
        <v>0</v>
      </c>
      <c r="L117" s="106"/>
      <c r="M117" s="549">
        <f>IF('4.) Yearly Budget'!$N$18&gt;0,'4.) Yearly Budget'!N117,'4.) Yearly Budget'!M117)</f>
        <v>0</v>
      </c>
      <c r="N117" s="392">
        <f t="shared" si="61"/>
        <v>0</v>
      </c>
      <c r="O117" s="106"/>
      <c r="P117" s="549">
        <f>IF('4.) Yearly Budget'!$Q$18&gt;0,'4.) Yearly Budget'!Q117,'4.) Yearly Budget'!P117)</f>
        <v>0</v>
      </c>
      <c r="Q117" s="392">
        <f t="shared" si="62"/>
        <v>0</v>
      </c>
      <c r="R117" s="106"/>
      <c r="S117" s="549">
        <f>IF('4.) Yearly Budget'!$T$18&gt;0,'4.) Yearly Budget'!T117,'4.) Yearly Budget'!S117)</f>
        <v>0</v>
      </c>
      <c r="T117" s="388">
        <f t="shared" si="63"/>
        <v>0</v>
      </c>
      <c r="U117" s="285">
        <f t="shared" si="64"/>
        <v>0</v>
      </c>
      <c r="V117" s="389">
        <f t="shared" si="65"/>
        <v>0</v>
      </c>
      <c r="W117" s="389">
        <f t="shared" si="66"/>
        <v>0</v>
      </c>
      <c r="X117" s="389">
        <f>'4.) Yearly Budget'!W117</f>
        <v>0</v>
      </c>
      <c r="Y117" s="390">
        <f t="shared" si="67"/>
        <v>0</v>
      </c>
      <c r="Z117" s="391">
        <f>SUM(IF(I$18&lt;&gt;0,'4.) Yearly Budget'!J117,0)+IF(L$18&lt;&gt;0,'4.) Yearly Budget'!M117,0)+IF(O$18&lt;&gt;0,'4.) Yearly Budget'!P117,0)+IF(R$18&lt;&gt;0,'4.) Yearly Budget'!S117,0))</f>
        <v>0</v>
      </c>
      <c r="AA117" s="391">
        <f t="shared" si="68"/>
        <v>0</v>
      </c>
      <c r="AB117" s="391">
        <f>'4.) Yearly Budget'!V117</f>
        <v>0</v>
      </c>
      <c r="AC117" s="392">
        <f t="shared" si="69"/>
        <v>0</v>
      </c>
      <c r="AD117" s="391">
        <f>IF(U$6&lt;&gt;0,'4.) Yearly Budget'!I117/$AM$18,0)</f>
        <v>0</v>
      </c>
      <c r="AE117" s="388">
        <f t="shared" si="70"/>
        <v>0</v>
      </c>
      <c r="AF117" s="291"/>
    </row>
    <row r="118" spans="1:32" s="68" customFormat="1" ht="15.75" thickBot="1">
      <c r="A118" s="258">
        <f t="shared" si="31"/>
        <v>118</v>
      </c>
      <c r="B118" s="453"/>
      <c r="C118" s="454" t="s">
        <v>86</v>
      </c>
      <c r="D118" s="455"/>
      <c r="E118" s="456"/>
      <c r="F118" s="456"/>
      <c r="G118" s="457"/>
      <c r="H118" s="458"/>
      <c r="I118" s="459">
        <f t="shared" ref="I118:AE118" si="71">SUM(I109:I117)</f>
        <v>0</v>
      </c>
      <c r="J118" s="460">
        <f t="shared" si="71"/>
        <v>0</v>
      </c>
      <c r="K118" s="461">
        <f t="shared" si="71"/>
        <v>0</v>
      </c>
      <c r="L118" s="462">
        <f t="shared" si="71"/>
        <v>0</v>
      </c>
      <c r="M118" s="460">
        <f t="shared" si="71"/>
        <v>0</v>
      </c>
      <c r="N118" s="461">
        <f t="shared" si="71"/>
        <v>0</v>
      </c>
      <c r="O118" s="462">
        <f t="shared" si="71"/>
        <v>0</v>
      </c>
      <c r="P118" s="460">
        <f t="shared" si="71"/>
        <v>0</v>
      </c>
      <c r="Q118" s="461">
        <f t="shared" si="71"/>
        <v>0</v>
      </c>
      <c r="R118" s="462">
        <f t="shared" si="71"/>
        <v>0</v>
      </c>
      <c r="S118" s="460">
        <f t="shared" si="71"/>
        <v>0</v>
      </c>
      <c r="T118" s="463">
        <f t="shared" si="71"/>
        <v>0</v>
      </c>
      <c r="U118" s="464">
        <f t="shared" si="71"/>
        <v>0</v>
      </c>
      <c r="V118" s="460">
        <f t="shared" si="71"/>
        <v>0</v>
      </c>
      <c r="W118" s="460">
        <f t="shared" si="71"/>
        <v>0</v>
      </c>
      <c r="X118" s="460">
        <f t="shared" si="71"/>
        <v>0</v>
      </c>
      <c r="Y118" s="465">
        <f t="shared" si="71"/>
        <v>0</v>
      </c>
      <c r="Z118" s="462">
        <f t="shared" si="71"/>
        <v>0</v>
      </c>
      <c r="AA118" s="462">
        <f t="shared" si="71"/>
        <v>0</v>
      </c>
      <c r="AB118" s="462">
        <f t="shared" si="71"/>
        <v>0</v>
      </c>
      <c r="AC118" s="461">
        <f t="shared" si="71"/>
        <v>0</v>
      </c>
      <c r="AD118" s="462">
        <f t="shared" si="71"/>
        <v>0</v>
      </c>
      <c r="AE118" s="466">
        <f t="shared" si="71"/>
        <v>0</v>
      </c>
      <c r="AF118" s="467"/>
    </row>
    <row r="119" spans="1:32" s="68" customFormat="1" ht="7.5" customHeight="1">
      <c r="A119" s="258">
        <f t="shared" si="31"/>
        <v>119</v>
      </c>
      <c r="B119" s="96"/>
      <c r="C119" s="94"/>
      <c r="D119" s="120"/>
      <c r="E119" s="120"/>
      <c r="F119" s="120"/>
      <c r="G119" s="56"/>
      <c r="H119" s="95"/>
      <c r="I119" s="95"/>
      <c r="J119" s="95"/>
      <c r="K119" s="95"/>
      <c r="L119" s="95"/>
      <c r="M119" s="95"/>
      <c r="N119" s="95"/>
      <c r="O119" s="95"/>
      <c r="P119" s="95"/>
      <c r="Q119" s="95"/>
      <c r="R119" s="95"/>
      <c r="S119" s="95"/>
      <c r="T119" s="118"/>
      <c r="U119" s="95"/>
      <c r="V119" s="95"/>
      <c r="W119" s="95"/>
      <c r="X119" s="95"/>
      <c r="Y119" s="95"/>
      <c r="Z119" s="95"/>
      <c r="AA119" s="95"/>
      <c r="AB119" s="95"/>
      <c r="AC119" s="95"/>
      <c r="AD119" s="95"/>
      <c r="AE119" s="118"/>
      <c r="AF119" s="291"/>
    </row>
    <row r="120" spans="1:32" s="68" customFormat="1">
      <c r="A120" s="258">
        <f t="shared" si="31"/>
        <v>120</v>
      </c>
      <c r="B120" s="96"/>
      <c r="C120" s="119" t="s">
        <v>87</v>
      </c>
      <c r="D120" s="120"/>
      <c r="E120" s="120"/>
      <c r="F120" s="120"/>
      <c r="G120" s="56"/>
      <c r="H120" s="95"/>
      <c r="I120" s="98"/>
      <c r="J120" s="98"/>
      <c r="K120" s="98"/>
      <c r="L120" s="98"/>
      <c r="M120" s="98"/>
      <c r="N120" s="98"/>
      <c r="O120" s="98"/>
      <c r="P120" s="98"/>
      <c r="Q120" s="98"/>
      <c r="R120" s="98"/>
      <c r="S120" s="98"/>
      <c r="T120" s="99"/>
      <c r="U120" s="95"/>
      <c r="V120" s="95"/>
      <c r="W120" s="95"/>
      <c r="X120" s="95"/>
      <c r="Y120" s="95"/>
      <c r="Z120" s="95"/>
      <c r="AA120" s="95"/>
      <c r="AB120" s="95"/>
      <c r="AC120" s="95"/>
      <c r="AD120" s="95"/>
      <c r="AE120" s="118"/>
      <c r="AF120" s="291"/>
    </row>
    <row r="121" spans="1:32" s="68" customFormat="1">
      <c r="A121" s="258">
        <f t="shared" si="31"/>
        <v>121</v>
      </c>
      <c r="B121" s="96"/>
      <c r="C121" s="94"/>
      <c r="D121" s="54" t="s">
        <v>1</v>
      </c>
      <c r="E121" s="50"/>
      <c r="F121" s="50"/>
      <c r="G121" s="59"/>
      <c r="H121" s="95"/>
      <c r="I121" s="276"/>
      <c r="J121" s="102">
        <f>IF('4.) Yearly Budget'!$K$18&gt;0,'4.) Yearly Budget'!K121,'4.) Yearly Budget'!J121)</f>
        <v>0</v>
      </c>
      <c r="K121" s="382">
        <f t="shared" ref="K121:K140" si="72">IF(I$18&lt;&gt;0,J121-I121,0)</f>
        <v>0</v>
      </c>
      <c r="L121" s="100"/>
      <c r="M121" s="102">
        <f>IF('4.) Yearly Budget'!$N$18&gt;0,'4.) Yearly Budget'!N121,'4.) Yearly Budget'!M121)</f>
        <v>0</v>
      </c>
      <c r="N121" s="382">
        <f t="shared" ref="N121:N140" si="73">IF(L$18&lt;&gt;0,M121-L121,0)</f>
        <v>0</v>
      </c>
      <c r="O121" s="100"/>
      <c r="P121" s="102">
        <f>IF('4.) Yearly Budget'!$Q$18&gt;0,'4.) Yearly Budget'!Q121,'4.) Yearly Budget'!P121)</f>
        <v>0</v>
      </c>
      <c r="Q121" s="382">
        <f t="shared" ref="Q121:Q140" si="74">IF(O$18&lt;&gt;0,P121-O121,0)</f>
        <v>0</v>
      </c>
      <c r="R121" s="100"/>
      <c r="S121" s="102">
        <f>IF('4.) Yearly Budget'!$T$18&gt;0,'4.) Yearly Budget'!T121,'4.) Yearly Budget'!S121)</f>
        <v>0</v>
      </c>
      <c r="T121" s="105">
        <f t="shared" ref="T121:T140" si="75">IF(R$18&lt;&gt;0,S121-R121,0)</f>
        <v>0</v>
      </c>
      <c r="U121" s="277">
        <f t="shared" ref="U121:U140" si="76">IF(I$6&lt;&gt;0,I121,0)+IF(L$6&lt;&gt;0,L121,0)+IF(O$6&lt;&gt;0,O121,0)+IF(R$6&lt;&gt;0,R121,0)</f>
        <v>0</v>
      </c>
      <c r="V121" s="379">
        <f t="shared" ref="V121:V140" si="77">SUM(IF(I$6&lt;&gt;0,J121,0)+IF(L$6&lt;&gt;0,M121,0)+IF(O$6&lt;&gt;0,P121,0)+IF(R$6&lt;&gt;0,S121,0))</f>
        <v>0</v>
      </c>
      <c r="W121" s="379">
        <f t="shared" ref="W121:W140" si="78">V121-U121</f>
        <v>0</v>
      </c>
      <c r="X121" s="379">
        <f>'4.) Yearly Budget'!W121</f>
        <v>0</v>
      </c>
      <c r="Y121" s="380">
        <f t="shared" ref="Y121:Y140" si="79">IF(U121&lt;&gt;0,X121-U121,IF(U121=0,X121,0))</f>
        <v>0</v>
      </c>
      <c r="Z121" s="381">
        <f>SUM(IF(I$18&lt;&gt;0,'4.) Yearly Budget'!J121,0)+IF(L$18&lt;&gt;0,'4.) Yearly Budget'!M121,0)+IF(O$18&lt;&gt;0,'4.) Yearly Budget'!P121,0)+IF(R$18&lt;&gt;0,'4.) Yearly Budget'!S121,0))</f>
        <v>0</v>
      </c>
      <c r="AA121" s="381">
        <f t="shared" ref="AA121:AA140" si="80">Z121-U121</f>
        <v>0</v>
      </c>
      <c r="AB121" s="381">
        <f>'4.) Yearly Budget'!V121</f>
        <v>0</v>
      </c>
      <c r="AC121" s="382">
        <f t="shared" ref="AC121:AC140" si="81">IF(U121&lt;&gt;0,AB121-U121,IF(U121=0,AB121,0))</f>
        <v>0</v>
      </c>
      <c r="AD121" s="381">
        <f>IF(U$6&lt;&gt;0,'4.) Yearly Budget'!I121/$AM$18,0)</f>
        <v>0</v>
      </c>
      <c r="AE121" s="105">
        <f t="shared" ref="AE121:AE140" si="82">AD121-U121</f>
        <v>0</v>
      </c>
      <c r="AF121" s="291"/>
    </row>
    <row r="122" spans="1:32" s="68" customFormat="1">
      <c r="A122" s="258">
        <f t="shared" si="31"/>
        <v>122</v>
      </c>
      <c r="B122" s="96"/>
      <c r="C122" s="94"/>
      <c r="D122" s="54" t="s">
        <v>71</v>
      </c>
      <c r="E122" s="50"/>
      <c r="F122" s="50"/>
      <c r="G122" s="59"/>
      <c r="H122" s="95"/>
      <c r="I122" s="276"/>
      <c r="J122" s="102">
        <f>IF('4.) Yearly Budget'!$K$18&gt;0,'4.) Yearly Budget'!K122,'4.) Yearly Budget'!J122)</f>
        <v>0</v>
      </c>
      <c r="K122" s="382">
        <f t="shared" si="72"/>
        <v>0</v>
      </c>
      <c r="L122" s="100"/>
      <c r="M122" s="102">
        <f>IF('4.) Yearly Budget'!$N$18&gt;0,'4.) Yearly Budget'!N122,'4.) Yearly Budget'!M122)</f>
        <v>0</v>
      </c>
      <c r="N122" s="382">
        <f t="shared" si="73"/>
        <v>0</v>
      </c>
      <c r="O122" s="100"/>
      <c r="P122" s="102">
        <f>IF('4.) Yearly Budget'!$Q$18&gt;0,'4.) Yearly Budget'!Q122,'4.) Yearly Budget'!P122)</f>
        <v>0</v>
      </c>
      <c r="Q122" s="382">
        <f t="shared" si="74"/>
        <v>0</v>
      </c>
      <c r="R122" s="100"/>
      <c r="S122" s="102">
        <f>IF('4.) Yearly Budget'!$T$18&gt;0,'4.) Yearly Budget'!T122,'4.) Yearly Budget'!S122)</f>
        <v>0</v>
      </c>
      <c r="T122" s="105">
        <f t="shared" si="75"/>
        <v>0</v>
      </c>
      <c r="U122" s="277">
        <f t="shared" si="76"/>
        <v>0</v>
      </c>
      <c r="V122" s="379">
        <f t="shared" si="77"/>
        <v>0</v>
      </c>
      <c r="W122" s="379">
        <f t="shared" si="78"/>
        <v>0</v>
      </c>
      <c r="X122" s="379">
        <f>'4.) Yearly Budget'!W122</f>
        <v>0</v>
      </c>
      <c r="Y122" s="380">
        <f t="shared" si="79"/>
        <v>0</v>
      </c>
      <c r="Z122" s="381">
        <f>SUM(IF(I$18&lt;&gt;0,'4.) Yearly Budget'!J122,0)+IF(L$18&lt;&gt;0,'4.) Yearly Budget'!M122,0)+IF(O$18&lt;&gt;0,'4.) Yearly Budget'!P122,0)+IF(R$18&lt;&gt;0,'4.) Yearly Budget'!S122,0))</f>
        <v>0</v>
      </c>
      <c r="AA122" s="381">
        <f t="shared" si="80"/>
        <v>0</v>
      </c>
      <c r="AB122" s="381">
        <f>'4.) Yearly Budget'!V122</f>
        <v>0</v>
      </c>
      <c r="AC122" s="382">
        <f t="shared" si="81"/>
        <v>0</v>
      </c>
      <c r="AD122" s="381">
        <f>IF(U$6&lt;&gt;0,'4.) Yearly Budget'!I122/$AM$18,0)</f>
        <v>0</v>
      </c>
      <c r="AE122" s="105">
        <f t="shared" si="82"/>
        <v>0</v>
      </c>
      <c r="AF122" s="291"/>
    </row>
    <row r="123" spans="1:32" s="68" customFormat="1">
      <c r="A123" s="258">
        <f t="shared" si="31"/>
        <v>123</v>
      </c>
      <c r="B123" s="96"/>
      <c r="C123" s="94"/>
      <c r="D123" s="54" t="s">
        <v>64</v>
      </c>
      <c r="E123" s="50"/>
      <c r="F123" s="50"/>
      <c r="G123" s="59"/>
      <c r="H123" s="95"/>
      <c r="I123" s="276"/>
      <c r="J123" s="102">
        <f>IF('4.) Yearly Budget'!$K$18&gt;0,'4.) Yearly Budget'!K123,'4.) Yearly Budget'!J123)</f>
        <v>0</v>
      </c>
      <c r="K123" s="382">
        <f t="shared" si="72"/>
        <v>0</v>
      </c>
      <c r="L123" s="100"/>
      <c r="M123" s="102">
        <f>IF('4.) Yearly Budget'!$N$18&gt;0,'4.) Yearly Budget'!N123,'4.) Yearly Budget'!M123)</f>
        <v>0</v>
      </c>
      <c r="N123" s="382">
        <f t="shared" si="73"/>
        <v>0</v>
      </c>
      <c r="O123" s="100"/>
      <c r="P123" s="102">
        <f>IF('4.) Yearly Budget'!$Q$18&gt;0,'4.) Yearly Budget'!Q123,'4.) Yearly Budget'!P123)</f>
        <v>0</v>
      </c>
      <c r="Q123" s="382">
        <f t="shared" si="74"/>
        <v>0</v>
      </c>
      <c r="R123" s="100"/>
      <c r="S123" s="102">
        <f>IF('4.) Yearly Budget'!$T$18&gt;0,'4.) Yearly Budget'!T123,'4.) Yearly Budget'!S123)</f>
        <v>0</v>
      </c>
      <c r="T123" s="105">
        <f t="shared" si="75"/>
        <v>0</v>
      </c>
      <c r="U123" s="277">
        <f t="shared" si="76"/>
        <v>0</v>
      </c>
      <c r="V123" s="379">
        <f t="shared" si="77"/>
        <v>0</v>
      </c>
      <c r="W123" s="379">
        <f t="shared" si="78"/>
        <v>0</v>
      </c>
      <c r="X123" s="379">
        <f>'4.) Yearly Budget'!W123</f>
        <v>0</v>
      </c>
      <c r="Y123" s="380">
        <f t="shared" si="79"/>
        <v>0</v>
      </c>
      <c r="Z123" s="381">
        <f>SUM(IF(I$18&lt;&gt;0,'4.) Yearly Budget'!J123,0)+IF(L$18&lt;&gt;0,'4.) Yearly Budget'!M123,0)+IF(O$18&lt;&gt;0,'4.) Yearly Budget'!P123,0)+IF(R$18&lt;&gt;0,'4.) Yearly Budget'!S123,0))</f>
        <v>0</v>
      </c>
      <c r="AA123" s="381">
        <f t="shared" si="80"/>
        <v>0</v>
      </c>
      <c r="AB123" s="381">
        <f>'4.) Yearly Budget'!V123</f>
        <v>0</v>
      </c>
      <c r="AC123" s="382">
        <f t="shared" si="81"/>
        <v>0</v>
      </c>
      <c r="AD123" s="381">
        <f>IF(U$6&lt;&gt;0,'4.) Yearly Budget'!I123/$AM$18,0)</f>
        <v>0</v>
      </c>
      <c r="AE123" s="105">
        <f t="shared" si="82"/>
        <v>0</v>
      </c>
      <c r="AF123" s="291"/>
    </row>
    <row r="124" spans="1:32" s="68" customFormat="1">
      <c r="A124" s="258">
        <f t="shared" si="31"/>
        <v>124</v>
      </c>
      <c r="B124" s="96"/>
      <c r="C124" s="94"/>
      <c r="D124" s="54" t="s">
        <v>70</v>
      </c>
      <c r="E124" s="50"/>
      <c r="F124" s="50"/>
      <c r="G124" s="59"/>
      <c r="H124" s="95"/>
      <c r="I124" s="276"/>
      <c r="J124" s="102">
        <f>IF('4.) Yearly Budget'!$K$18&gt;0,'4.) Yearly Budget'!K124,'4.) Yearly Budget'!J124)</f>
        <v>0</v>
      </c>
      <c r="K124" s="382">
        <f t="shared" si="72"/>
        <v>0</v>
      </c>
      <c r="L124" s="100"/>
      <c r="M124" s="102">
        <f>IF('4.) Yearly Budget'!$N$18&gt;0,'4.) Yearly Budget'!N124,'4.) Yearly Budget'!M124)</f>
        <v>0</v>
      </c>
      <c r="N124" s="382">
        <f t="shared" si="73"/>
        <v>0</v>
      </c>
      <c r="O124" s="100"/>
      <c r="P124" s="102">
        <f>IF('4.) Yearly Budget'!$Q$18&gt;0,'4.) Yearly Budget'!Q124,'4.) Yearly Budget'!P124)</f>
        <v>0</v>
      </c>
      <c r="Q124" s="382">
        <f t="shared" si="74"/>
        <v>0</v>
      </c>
      <c r="R124" s="100"/>
      <c r="S124" s="102">
        <f>IF('4.) Yearly Budget'!$T$18&gt;0,'4.) Yearly Budget'!T124,'4.) Yearly Budget'!S124)</f>
        <v>0</v>
      </c>
      <c r="T124" s="105">
        <f t="shared" si="75"/>
        <v>0</v>
      </c>
      <c r="U124" s="277">
        <f t="shared" si="76"/>
        <v>0</v>
      </c>
      <c r="V124" s="379">
        <f t="shared" si="77"/>
        <v>0</v>
      </c>
      <c r="W124" s="379">
        <f t="shared" si="78"/>
        <v>0</v>
      </c>
      <c r="X124" s="379">
        <f>'4.) Yearly Budget'!W124</f>
        <v>0</v>
      </c>
      <c r="Y124" s="380">
        <f t="shared" si="79"/>
        <v>0</v>
      </c>
      <c r="Z124" s="381">
        <f>SUM(IF(I$18&lt;&gt;0,'4.) Yearly Budget'!J124,0)+IF(L$18&lt;&gt;0,'4.) Yearly Budget'!M124,0)+IF(O$18&lt;&gt;0,'4.) Yearly Budget'!P124,0)+IF(R$18&lt;&gt;0,'4.) Yearly Budget'!S124,0))</f>
        <v>0</v>
      </c>
      <c r="AA124" s="381">
        <f t="shared" si="80"/>
        <v>0</v>
      </c>
      <c r="AB124" s="381">
        <f>'4.) Yearly Budget'!V124</f>
        <v>0</v>
      </c>
      <c r="AC124" s="382">
        <f t="shared" si="81"/>
        <v>0</v>
      </c>
      <c r="AD124" s="381">
        <f>IF(U$6&lt;&gt;0,'4.) Yearly Budget'!I124/$AM$18,0)</f>
        <v>0</v>
      </c>
      <c r="AE124" s="105">
        <f t="shared" si="82"/>
        <v>0</v>
      </c>
      <c r="AF124" s="291"/>
    </row>
    <row r="125" spans="1:32" s="68" customFormat="1">
      <c r="A125" s="258">
        <f t="shared" si="31"/>
        <v>125</v>
      </c>
      <c r="B125" s="96"/>
      <c r="C125" s="94"/>
      <c r="D125" s="50" t="s">
        <v>72</v>
      </c>
      <c r="E125" s="50"/>
      <c r="F125" s="50"/>
      <c r="G125" s="59"/>
      <c r="H125" s="95"/>
      <c r="I125" s="276"/>
      <c r="J125" s="102">
        <f>IF('4.) Yearly Budget'!$K$18&gt;0,'4.) Yearly Budget'!K125,'4.) Yearly Budget'!J125)</f>
        <v>0</v>
      </c>
      <c r="K125" s="382">
        <f t="shared" si="72"/>
        <v>0</v>
      </c>
      <c r="L125" s="100"/>
      <c r="M125" s="102">
        <f>IF('4.) Yearly Budget'!$N$18&gt;0,'4.) Yearly Budget'!N125,'4.) Yearly Budget'!M125)</f>
        <v>0</v>
      </c>
      <c r="N125" s="382">
        <f t="shared" si="73"/>
        <v>0</v>
      </c>
      <c r="O125" s="100"/>
      <c r="P125" s="102">
        <f>IF('4.) Yearly Budget'!$Q$18&gt;0,'4.) Yearly Budget'!Q125,'4.) Yearly Budget'!P125)</f>
        <v>0</v>
      </c>
      <c r="Q125" s="382">
        <f t="shared" si="74"/>
        <v>0</v>
      </c>
      <c r="R125" s="100"/>
      <c r="S125" s="102">
        <f>IF('4.) Yearly Budget'!$T$18&gt;0,'4.) Yearly Budget'!T125,'4.) Yearly Budget'!S125)</f>
        <v>0</v>
      </c>
      <c r="T125" s="105">
        <f t="shared" si="75"/>
        <v>0</v>
      </c>
      <c r="U125" s="277">
        <f t="shared" si="76"/>
        <v>0</v>
      </c>
      <c r="V125" s="379">
        <f t="shared" si="77"/>
        <v>0</v>
      </c>
      <c r="W125" s="379">
        <f t="shared" si="78"/>
        <v>0</v>
      </c>
      <c r="X125" s="379">
        <f>'4.) Yearly Budget'!W125</f>
        <v>0</v>
      </c>
      <c r="Y125" s="380">
        <f t="shared" si="79"/>
        <v>0</v>
      </c>
      <c r="Z125" s="381">
        <f>SUM(IF(I$18&lt;&gt;0,'4.) Yearly Budget'!J125,0)+IF(L$18&lt;&gt;0,'4.) Yearly Budget'!M125,0)+IF(O$18&lt;&gt;0,'4.) Yearly Budget'!P125,0)+IF(R$18&lt;&gt;0,'4.) Yearly Budget'!S125,0))</f>
        <v>0</v>
      </c>
      <c r="AA125" s="381">
        <f t="shared" si="80"/>
        <v>0</v>
      </c>
      <c r="AB125" s="381">
        <f>'4.) Yearly Budget'!V125</f>
        <v>0</v>
      </c>
      <c r="AC125" s="382">
        <f t="shared" si="81"/>
        <v>0</v>
      </c>
      <c r="AD125" s="381">
        <f>IF(U$6&lt;&gt;0,'4.) Yearly Budget'!I125/$AM$18,0)</f>
        <v>0</v>
      </c>
      <c r="AE125" s="105">
        <f t="shared" si="82"/>
        <v>0</v>
      </c>
      <c r="AF125" s="291"/>
    </row>
    <row r="126" spans="1:32" s="68" customFormat="1">
      <c r="A126" s="258">
        <f t="shared" si="31"/>
        <v>126</v>
      </c>
      <c r="B126" s="96"/>
      <c r="C126" s="94"/>
      <c r="D126" s="50" t="s">
        <v>56</v>
      </c>
      <c r="E126" s="50"/>
      <c r="F126" s="50"/>
      <c r="G126" s="59"/>
      <c r="H126" s="95"/>
      <c r="I126" s="276"/>
      <c r="J126" s="102">
        <f>IF('4.) Yearly Budget'!$K$18&gt;0,'4.) Yearly Budget'!K126,'4.) Yearly Budget'!J126)</f>
        <v>0</v>
      </c>
      <c r="K126" s="382">
        <f t="shared" si="72"/>
        <v>0</v>
      </c>
      <c r="L126" s="100"/>
      <c r="M126" s="102">
        <f>IF('4.) Yearly Budget'!$N$18&gt;0,'4.) Yearly Budget'!N126,'4.) Yearly Budget'!M126)</f>
        <v>0</v>
      </c>
      <c r="N126" s="382">
        <f t="shared" si="73"/>
        <v>0</v>
      </c>
      <c r="O126" s="100"/>
      <c r="P126" s="102">
        <f>IF('4.) Yearly Budget'!$Q$18&gt;0,'4.) Yearly Budget'!Q126,'4.) Yearly Budget'!P126)</f>
        <v>0</v>
      </c>
      <c r="Q126" s="382">
        <f t="shared" si="74"/>
        <v>0</v>
      </c>
      <c r="R126" s="100"/>
      <c r="S126" s="102">
        <f>IF('4.) Yearly Budget'!$T$18&gt;0,'4.) Yearly Budget'!T126,'4.) Yearly Budget'!S126)</f>
        <v>0</v>
      </c>
      <c r="T126" s="105">
        <f t="shared" si="75"/>
        <v>0</v>
      </c>
      <c r="U126" s="277">
        <f t="shared" si="76"/>
        <v>0</v>
      </c>
      <c r="V126" s="379">
        <f t="shared" si="77"/>
        <v>0</v>
      </c>
      <c r="W126" s="379">
        <f t="shared" si="78"/>
        <v>0</v>
      </c>
      <c r="X126" s="379">
        <f>'4.) Yearly Budget'!W126</f>
        <v>0</v>
      </c>
      <c r="Y126" s="380">
        <f t="shared" si="79"/>
        <v>0</v>
      </c>
      <c r="Z126" s="381">
        <f>SUM(IF(I$18&lt;&gt;0,'4.) Yearly Budget'!J126,0)+IF(L$18&lt;&gt;0,'4.) Yearly Budget'!M126,0)+IF(O$18&lt;&gt;0,'4.) Yearly Budget'!P126,0)+IF(R$18&lt;&gt;0,'4.) Yearly Budget'!S126,0))</f>
        <v>0</v>
      </c>
      <c r="AA126" s="381">
        <f t="shared" si="80"/>
        <v>0</v>
      </c>
      <c r="AB126" s="381">
        <f>'4.) Yearly Budget'!V126</f>
        <v>0</v>
      </c>
      <c r="AC126" s="382">
        <f t="shared" si="81"/>
        <v>0</v>
      </c>
      <c r="AD126" s="381">
        <f>IF(U$6&lt;&gt;0,'4.) Yearly Budget'!I126/$AM$18,0)</f>
        <v>0</v>
      </c>
      <c r="AE126" s="105">
        <f t="shared" si="82"/>
        <v>0</v>
      </c>
      <c r="AF126" s="291"/>
    </row>
    <row r="127" spans="1:32" s="68" customFormat="1">
      <c r="A127" s="258">
        <f t="shared" si="31"/>
        <v>127</v>
      </c>
      <c r="B127" s="96"/>
      <c r="C127" s="94"/>
      <c r="D127" s="54" t="s">
        <v>62</v>
      </c>
      <c r="E127" s="50"/>
      <c r="F127" s="50"/>
      <c r="G127" s="59"/>
      <c r="H127" s="95"/>
      <c r="I127" s="276"/>
      <c r="J127" s="102">
        <f>IF('4.) Yearly Budget'!$K$18&gt;0,'4.) Yearly Budget'!K127,'4.) Yearly Budget'!J127)</f>
        <v>0</v>
      </c>
      <c r="K127" s="382">
        <f t="shared" si="72"/>
        <v>0</v>
      </c>
      <c r="L127" s="100"/>
      <c r="M127" s="102">
        <f>IF('4.) Yearly Budget'!$N$18&gt;0,'4.) Yearly Budget'!N127,'4.) Yearly Budget'!M127)</f>
        <v>0</v>
      </c>
      <c r="N127" s="382">
        <f t="shared" si="73"/>
        <v>0</v>
      </c>
      <c r="O127" s="100"/>
      <c r="P127" s="102">
        <f>IF('4.) Yearly Budget'!$Q$18&gt;0,'4.) Yearly Budget'!Q127,'4.) Yearly Budget'!P127)</f>
        <v>0</v>
      </c>
      <c r="Q127" s="382">
        <f t="shared" si="74"/>
        <v>0</v>
      </c>
      <c r="R127" s="100"/>
      <c r="S127" s="102">
        <f>IF('4.) Yearly Budget'!$T$18&gt;0,'4.) Yearly Budget'!T127,'4.) Yearly Budget'!S127)</f>
        <v>0</v>
      </c>
      <c r="T127" s="105">
        <f t="shared" si="75"/>
        <v>0</v>
      </c>
      <c r="U127" s="277">
        <f t="shared" si="76"/>
        <v>0</v>
      </c>
      <c r="V127" s="379">
        <f t="shared" si="77"/>
        <v>0</v>
      </c>
      <c r="W127" s="379">
        <f t="shared" si="78"/>
        <v>0</v>
      </c>
      <c r="X127" s="379">
        <f>'4.) Yearly Budget'!W127</f>
        <v>0</v>
      </c>
      <c r="Y127" s="380">
        <f t="shared" si="79"/>
        <v>0</v>
      </c>
      <c r="Z127" s="381">
        <f>SUM(IF(I$18&lt;&gt;0,'4.) Yearly Budget'!J127,0)+IF(L$18&lt;&gt;0,'4.) Yearly Budget'!M127,0)+IF(O$18&lt;&gt;0,'4.) Yearly Budget'!P127,0)+IF(R$18&lt;&gt;0,'4.) Yearly Budget'!S127,0))</f>
        <v>0</v>
      </c>
      <c r="AA127" s="381">
        <f t="shared" si="80"/>
        <v>0</v>
      </c>
      <c r="AB127" s="381">
        <f>'4.) Yearly Budget'!V127</f>
        <v>0</v>
      </c>
      <c r="AC127" s="382">
        <f t="shared" si="81"/>
        <v>0</v>
      </c>
      <c r="AD127" s="381">
        <f>IF(U$6&lt;&gt;0,'4.) Yearly Budget'!I127/$AM$18,0)</f>
        <v>0</v>
      </c>
      <c r="AE127" s="105">
        <f t="shared" si="82"/>
        <v>0</v>
      </c>
      <c r="AF127" s="291"/>
    </row>
    <row r="128" spans="1:32" s="68" customFormat="1">
      <c r="A128" s="258">
        <f t="shared" si="31"/>
        <v>128</v>
      </c>
      <c r="B128" s="96"/>
      <c r="C128" s="94"/>
      <c r="D128" s="50" t="s">
        <v>53</v>
      </c>
      <c r="E128" s="50"/>
      <c r="F128" s="50"/>
      <c r="G128" s="59"/>
      <c r="H128" s="95"/>
      <c r="I128" s="276"/>
      <c r="J128" s="102">
        <f>IF('4.) Yearly Budget'!$K$18&gt;0,'4.) Yearly Budget'!K128,'4.) Yearly Budget'!J128)</f>
        <v>0</v>
      </c>
      <c r="K128" s="382">
        <f t="shared" si="72"/>
        <v>0</v>
      </c>
      <c r="L128" s="100"/>
      <c r="M128" s="102">
        <f>IF('4.) Yearly Budget'!$N$18&gt;0,'4.) Yearly Budget'!N128,'4.) Yearly Budget'!M128)</f>
        <v>0</v>
      </c>
      <c r="N128" s="382">
        <f t="shared" si="73"/>
        <v>0</v>
      </c>
      <c r="O128" s="100"/>
      <c r="P128" s="102">
        <f>IF('4.) Yearly Budget'!$Q$18&gt;0,'4.) Yearly Budget'!Q128,'4.) Yearly Budget'!P128)</f>
        <v>0</v>
      </c>
      <c r="Q128" s="382">
        <f t="shared" si="74"/>
        <v>0</v>
      </c>
      <c r="R128" s="100"/>
      <c r="S128" s="102">
        <f>IF('4.) Yearly Budget'!$T$18&gt;0,'4.) Yearly Budget'!T128,'4.) Yearly Budget'!S128)</f>
        <v>0</v>
      </c>
      <c r="T128" s="105">
        <f t="shared" si="75"/>
        <v>0</v>
      </c>
      <c r="U128" s="277">
        <f t="shared" si="76"/>
        <v>0</v>
      </c>
      <c r="V128" s="379">
        <f t="shared" si="77"/>
        <v>0</v>
      </c>
      <c r="W128" s="379">
        <f t="shared" si="78"/>
        <v>0</v>
      </c>
      <c r="X128" s="379">
        <f>'4.) Yearly Budget'!W128</f>
        <v>0</v>
      </c>
      <c r="Y128" s="380">
        <f t="shared" si="79"/>
        <v>0</v>
      </c>
      <c r="Z128" s="381">
        <f>SUM(IF(I$18&lt;&gt;0,'4.) Yearly Budget'!J128,0)+IF(L$18&lt;&gt;0,'4.) Yearly Budget'!M128,0)+IF(O$18&lt;&gt;0,'4.) Yearly Budget'!P128,0)+IF(R$18&lt;&gt;0,'4.) Yearly Budget'!S128,0))</f>
        <v>0</v>
      </c>
      <c r="AA128" s="381">
        <f t="shared" si="80"/>
        <v>0</v>
      </c>
      <c r="AB128" s="381">
        <f>'4.) Yearly Budget'!V128</f>
        <v>0</v>
      </c>
      <c r="AC128" s="382">
        <f t="shared" si="81"/>
        <v>0</v>
      </c>
      <c r="AD128" s="381">
        <f>IF(U$6&lt;&gt;0,'4.) Yearly Budget'!I128/$AM$18,0)</f>
        <v>0</v>
      </c>
      <c r="AE128" s="105">
        <f t="shared" si="82"/>
        <v>0</v>
      </c>
      <c r="AF128" s="291"/>
    </row>
    <row r="129" spans="1:32" s="68" customFormat="1">
      <c r="A129" s="258">
        <f t="shared" si="31"/>
        <v>129</v>
      </c>
      <c r="B129" s="96"/>
      <c r="C129" s="94"/>
      <c r="D129" s="54" t="s">
        <v>60</v>
      </c>
      <c r="E129" s="50"/>
      <c r="F129" s="50"/>
      <c r="G129" s="59"/>
      <c r="H129" s="95"/>
      <c r="I129" s="276"/>
      <c r="J129" s="102">
        <f>IF('4.) Yearly Budget'!$K$18&gt;0,'4.) Yearly Budget'!K129,'4.) Yearly Budget'!J129)</f>
        <v>0</v>
      </c>
      <c r="K129" s="382">
        <f t="shared" si="72"/>
        <v>0</v>
      </c>
      <c r="L129" s="100"/>
      <c r="M129" s="102">
        <f>IF('4.) Yearly Budget'!$N$18&gt;0,'4.) Yearly Budget'!N129,'4.) Yearly Budget'!M129)</f>
        <v>0</v>
      </c>
      <c r="N129" s="382">
        <f t="shared" si="73"/>
        <v>0</v>
      </c>
      <c r="O129" s="100"/>
      <c r="P129" s="102">
        <f>IF('4.) Yearly Budget'!$Q$18&gt;0,'4.) Yearly Budget'!Q129,'4.) Yearly Budget'!P129)</f>
        <v>0</v>
      </c>
      <c r="Q129" s="382">
        <f t="shared" si="74"/>
        <v>0</v>
      </c>
      <c r="R129" s="100"/>
      <c r="S129" s="102">
        <f>IF('4.) Yearly Budget'!$T$18&gt;0,'4.) Yearly Budget'!T129,'4.) Yearly Budget'!S129)</f>
        <v>0</v>
      </c>
      <c r="T129" s="105">
        <f t="shared" si="75"/>
        <v>0</v>
      </c>
      <c r="U129" s="277">
        <f t="shared" si="76"/>
        <v>0</v>
      </c>
      <c r="V129" s="379">
        <f t="shared" si="77"/>
        <v>0</v>
      </c>
      <c r="W129" s="379">
        <f t="shared" si="78"/>
        <v>0</v>
      </c>
      <c r="X129" s="379">
        <f>'4.) Yearly Budget'!W129</f>
        <v>0</v>
      </c>
      <c r="Y129" s="380">
        <f t="shared" si="79"/>
        <v>0</v>
      </c>
      <c r="Z129" s="381">
        <f>SUM(IF(I$18&lt;&gt;0,'4.) Yearly Budget'!J129,0)+IF(L$18&lt;&gt;0,'4.) Yearly Budget'!M129,0)+IF(O$18&lt;&gt;0,'4.) Yearly Budget'!P129,0)+IF(R$18&lt;&gt;0,'4.) Yearly Budget'!S129,0))</f>
        <v>0</v>
      </c>
      <c r="AA129" s="381">
        <f t="shared" si="80"/>
        <v>0</v>
      </c>
      <c r="AB129" s="381">
        <f>'4.) Yearly Budget'!V129</f>
        <v>0</v>
      </c>
      <c r="AC129" s="382">
        <f t="shared" si="81"/>
        <v>0</v>
      </c>
      <c r="AD129" s="381">
        <f>IF(U$6&lt;&gt;0,'4.) Yearly Budget'!I129/$AM$18,0)</f>
        <v>0</v>
      </c>
      <c r="AE129" s="105">
        <f t="shared" si="82"/>
        <v>0</v>
      </c>
      <c r="AF129" s="291"/>
    </row>
    <row r="130" spans="1:32" s="68" customFormat="1">
      <c r="A130" s="258">
        <f t="shared" si="31"/>
        <v>130</v>
      </c>
      <c r="B130" s="96"/>
      <c r="C130" s="94"/>
      <c r="D130" s="54" t="s">
        <v>2</v>
      </c>
      <c r="E130" s="50"/>
      <c r="F130" s="50"/>
      <c r="G130" s="59"/>
      <c r="H130" s="95"/>
      <c r="I130" s="276"/>
      <c r="J130" s="102">
        <f>IF('4.) Yearly Budget'!$K$18&gt;0,'4.) Yearly Budget'!K130,'4.) Yearly Budget'!J130)</f>
        <v>0</v>
      </c>
      <c r="K130" s="382">
        <f t="shared" si="72"/>
        <v>0</v>
      </c>
      <c r="L130" s="100"/>
      <c r="M130" s="102">
        <f>IF('4.) Yearly Budget'!$N$18&gt;0,'4.) Yearly Budget'!N130,'4.) Yearly Budget'!M130)</f>
        <v>0</v>
      </c>
      <c r="N130" s="382">
        <f t="shared" si="73"/>
        <v>0</v>
      </c>
      <c r="O130" s="100"/>
      <c r="P130" s="102">
        <f>IF('4.) Yearly Budget'!$Q$18&gt;0,'4.) Yearly Budget'!Q130,'4.) Yearly Budget'!P130)</f>
        <v>0</v>
      </c>
      <c r="Q130" s="382">
        <f t="shared" si="74"/>
        <v>0</v>
      </c>
      <c r="R130" s="100"/>
      <c r="S130" s="102">
        <f>IF('4.) Yearly Budget'!$T$18&gt;0,'4.) Yearly Budget'!T130,'4.) Yearly Budget'!S130)</f>
        <v>0</v>
      </c>
      <c r="T130" s="105">
        <f t="shared" si="75"/>
        <v>0</v>
      </c>
      <c r="U130" s="277">
        <f t="shared" si="76"/>
        <v>0</v>
      </c>
      <c r="V130" s="379">
        <f t="shared" si="77"/>
        <v>0</v>
      </c>
      <c r="W130" s="379">
        <f t="shared" si="78"/>
        <v>0</v>
      </c>
      <c r="X130" s="379">
        <f>'4.) Yearly Budget'!W130</f>
        <v>0</v>
      </c>
      <c r="Y130" s="380">
        <f t="shared" si="79"/>
        <v>0</v>
      </c>
      <c r="Z130" s="381">
        <f>SUM(IF(I$18&lt;&gt;0,'4.) Yearly Budget'!J130,0)+IF(L$18&lt;&gt;0,'4.) Yearly Budget'!M130,0)+IF(O$18&lt;&gt;0,'4.) Yearly Budget'!P130,0)+IF(R$18&lt;&gt;0,'4.) Yearly Budget'!S130,0))</f>
        <v>0</v>
      </c>
      <c r="AA130" s="381">
        <f t="shared" si="80"/>
        <v>0</v>
      </c>
      <c r="AB130" s="381">
        <f>'4.) Yearly Budget'!V130</f>
        <v>0</v>
      </c>
      <c r="AC130" s="382">
        <f t="shared" si="81"/>
        <v>0</v>
      </c>
      <c r="AD130" s="381">
        <f>IF(U$6&lt;&gt;0,'4.) Yearly Budget'!I130/$AM$18,0)</f>
        <v>0</v>
      </c>
      <c r="AE130" s="105">
        <f t="shared" si="82"/>
        <v>0</v>
      </c>
      <c r="AF130" s="291"/>
    </row>
    <row r="131" spans="1:32" s="68" customFormat="1">
      <c r="A131" s="258">
        <f t="shared" si="31"/>
        <v>131</v>
      </c>
      <c r="B131" s="96"/>
      <c r="C131" s="94"/>
      <c r="D131" s="54" t="s">
        <v>19</v>
      </c>
      <c r="E131" s="50"/>
      <c r="F131" s="50"/>
      <c r="G131" s="59"/>
      <c r="H131" s="95"/>
      <c r="I131" s="276"/>
      <c r="J131" s="102">
        <f>IF('4.) Yearly Budget'!$K$18&gt;0,'4.) Yearly Budget'!K131,'4.) Yearly Budget'!J131)</f>
        <v>0</v>
      </c>
      <c r="K131" s="382">
        <f t="shared" si="72"/>
        <v>0</v>
      </c>
      <c r="L131" s="100"/>
      <c r="M131" s="102">
        <f>IF('4.) Yearly Budget'!$N$18&gt;0,'4.) Yearly Budget'!N131,'4.) Yearly Budget'!M131)</f>
        <v>0</v>
      </c>
      <c r="N131" s="382">
        <f t="shared" si="73"/>
        <v>0</v>
      </c>
      <c r="O131" s="100"/>
      <c r="P131" s="102">
        <f>IF('4.) Yearly Budget'!$Q$18&gt;0,'4.) Yearly Budget'!Q131,'4.) Yearly Budget'!P131)</f>
        <v>0</v>
      </c>
      <c r="Q131" s="382">
        <f t="shared" si="74"/>
        <v>0</v>
      </c>
      <c r="R131" s="100"/>
      <c r="S131" s="102">
        <f>IF('4.) Yearly Budget'!$T$18&gt;0,'4.) Yearly Budget'!T131,'4.) Yearly Budget'!S131)</f>
        <v>0</v>
      </c>
      <c r="T131" s="105">
        <f t="shared" si="75"/>
        <v>0</v>
      </c>
      <c r="U131" s="277">
        <f t="shared" si="76"/>
        <v>0</v>
      </c>
      <c r="V131" s="379">
        <f t="shared" si="77"/>
        <v>0</v>
      </c>
      <c r="W131" s="379">
        <f t="shared" si="78"/>
        <v>0</v>
      </c>
      <c r="X131" s="379">
        <f>'4.) Yearly Budget'!W131</f>
        <v>0</v>
      </c>
      <c r="Y131" s="380">
        <f t="shared" si="79"/>
        <v>0</v>
      </c>
      <c r="Z131" s="381">
        <f>SUM(IF(I$18&lt;&gt;0,'4.) Yearly Budget'!J131,0)+IF(L$18&lt;&gt;0,'4.) Yearly Budget'!M131,0)+IF(O$18&lt;&gt;0,'4.) Yearly Budget'!P131,0)+IF(R$18&lt;&gt;0,'4.) Yearly Budget'!S131,0))</f>
        <v>0</v>
      </c>
      <c r="AA131" s="381">
        <f t="shared" si="80"/>
        <v>0</v>
      </c>
      <c r="AB131" s="381">
        <f>'4.) Yearly Budget'!V131</f>
        <v>0</v>
      </c>
      <c r="AC131" s="382">
        <f t="shared" si="81"/>
        <v>0</v>
      </c>
      <c r="AD131" s="381">
        <f>IF(U$6&lt;&gt;0,'4.) Yearly Budget'!I131/$AM$18,0)</f>
        <v>0</v>
      </c>
      <c r="AE131" s="105">
        <f t="shared" si="82"/>
        <v>0</v>
      </c>
      <c r="AF131" s="291"/>
    </row>
    <row r="132" spans="1:32" s="68" customFormat="1">
      <c r="A132" s="258">
        <f t="shared" ref="A132:A183" si="83">A131+1</f>
        <v>132</v>
      </c>
      <c r="B132" s="96"/>
      <c r="C132" s="94"/>
      <c r="D132" s="54" t="s">
        <v>63</v>
      </c>
      <c r="E132" s="50"/>
      <c r="F132" s="50"/>
      <c r="G132" s="59"/>
      <c r="H132" s="95"/>
      <c r="I132" s="276"/>
      <c r="J132" s="102">
        <f>IF('4.) Yearly Budget'!$K$18&gt;0,'4.) Yearly Budget'!K132,'4.) Yearly Budget'!J132)</f>
        <v>0</v>
      </c>
      <c r="K132" s="382">
        <f t="shared" si="72"/>
        <v>0</v>
      </c>
      <c r="L132" s="100"/>
      <c r="M132" s="102">
        <f>IF('4.) Yearly Budget'!$N$18&gt;0,'4.) Yearly Budget'!N132,'4.) Yearly Budget'!M132)</f>
        <v>0</v>
      </c>
      <c r="N132" s="382">
        <f t="shared" si="73"/>
        <v>0</v>
      </c>
      <c r="O132" s="100"/>
      <c r="P132" s="102">
        <f>IF('4.) Yearly Budget'!$Q$18&gt;0,'4.) Yearly Budget'!Q132,'4.) Yearly Budget'!P132)</f>
        <v>0</v>
      </c>
      <c r="Q132" s="382">
        <f t="shared" si="74"/>
        <v>0</v>
      </c>
      <c r="R132" s="100"/>
      <c r="S132" s="102">
        <f>IF('4.) Yearly Budget'!$T$18&gt;0,'4.) Yearly Budget'!T132,'4.) Yearly Budget'!S132)</f>
        <v>0</v>
      </c>
      <c r="T132" s="105">
        <f t="shared" si="75"/>
        <v>0</v>
      </c>
      <c r="U132" s="277">
        <f t="shared" si="76"/>
        <v>0</v>
      </c>
      <c r="V132" s="379">
        <f t="shared" si="77"/>
        <v>0</v>
      </c>
      <c r="W132" s="379">
        <f t="shared" si="78"/>
        <v>0</v>
      </c>
      <c r="X132" s="379">
        <f>'4.) Yearly Budget'!W132</f>
        <v>0</v>
      </c>
      <c r="Y132" s="380">
        <f t="shared" si="79"/>
        <v>0</v>
      </c>
      <c r="Z132" s="381">
        <f>SUM(IF(I$18&lt;&gt;0,'4.) Yearly Budget'!J132,0)+IF(L$18&lt;&gt;0,'4.) Yearly Budget'!M132,0)+IF(O$18&lt;&gt;0,'4.) Yearly Budget'!P132,0)+IF(R$18&lt;&gt;0,'4.) Yearly Budget'!S132,0))</f>
        <v>0</v>
      </c>
      <c r="AA132" s="381">
        <f t="shared" si="80"/>
        <v>0</v>
      </c>
      <c r="AB132" s="381">
        <f>'4.) Yearly Budget'!V132</f>
        <v>0</v>
      </c>
      <c r="AC132" s="382">
        <f t="shared" si="81"/>
        <v>0</v>
      </c>
      <c r="AD132" s="381">
        <f>IF(U$6&lt;&gt;0,'4.) Yearly Budget'!I132/$AM$18,0)</f>
        <v>0</v>
      </c>
      <c r="AE132" s="105">
        <f t="shared" si="82"/>
        <v>0</v>
      </c>
      <c r="AF132" s="291"/>
    </row>
    <row r="133" spans="1:32" s="68" customFormat="1">
      <c r="A133" s="258">
        <f t="shared" si="83"/>
        <v>133</v>
      </c>
      <c r="B133" s="96"/>
      <c r="C133" s="94"/>
      <c r="D133" s="50" t="s">
        <v>6</v>
      </c>
      <c r="E133" s="50"/>
      <c r="F133" s="50"/>
      <c r="G133" s="59"/>
      <c r="H133" s="95"/>
      <c r="I133" s="276"/>
      <c r="J133" s="102">
        <f>IF('4.) Yearly Budget'!$K$18&gt;0,'4.) Yearly Budget'!K133,'4.) Yearly Budget'!J133)</f>
        <v>0</v>
      </c>
      <c r="K133" s="382">
        <f t="shared" si="72"/>
        <v>0</v>
      </c>
      <c r="L133" s="100"/>
      <c r="M133" s="102">
        <f>IF('4.) Yearly Budget'!$N$18&gt;0,'4.) Yearly Budget'!N133,'4.) Yearly Budget'!M133)</f>
        <v>0</v>
      </c>
      <c r="N133" s="382">
        <f t="shared" si="73"/>
        <v>0</v>
      </c>
      <c r="O133" s="100"/>
      <c r="P133" s="102">
        <f>IF('4.) Yearly Budget'!$Q$18&gt;0,'4.) Yearly Budget'!Q133,'4.) Yearly Budget'!P133)</f>
        <v>0</v>
      </c>
      <c r="Q133" s="382">
        <f t="shared" si="74"/>
        <v>0</v>
      </c>
      <c r="R133" s="100"/>
      <c r="S133" s="102">
        <f>IF('4.) Yearly Budget'!$T$18&gt;0,'4.) Yearly Budget'!T133,'4.) Yearly Budget'!S133)</f>
        <v>0</v>
      </c>
      <c r="T133" s="105">
        <f t="shared" si="75"/>
        <v>0</v>
      </c>
      <c r="U133" s="277">
        <f t="shared" si="76"/>
        <v>0</v>
      </c>
      <c r="V133" s="379">
        <f t="shared" si="77"/>
        <v>0</v>
      </c>
      <c r="W133" s="379">
        <f t="shared" si="78"/>
        <v>0</v>
      </c>
      <c r="X133" s="379">
        <f>'4.) Yearly Budget'!W133</f>
        <v>0</v>
      </c>
      <c r="Y133" s="380">
        <f t="shared" si="79"/>
        <v>0</v>
      </c>
      <c r="Z133" s="381">
        <f>SUM(IF(I$18&lt;&gt;0,'4.) Yearly Budget'!J133,0)+IF(L$18&lt;&gt;0,'4.) Yearly Budget'!M133,0)+IF(O$18&lt;&gt;0,'4.) Yearly Budget'!P133,0)+IF(R$18&lt;&gt;0,'4.) Yearly Budget'!S133,0))</f>
        <v>0</v>
      </c>
      <c r="AA133" s="381">
        <f t="shared" si="80"/>
        <v>0</v>
      </c>
      <c r="AB133" s="381">
        <f>'4.) Yearly Budget'!V133</f>
        <v>0</v>
      </c>
      <c r="AC133" s="382">
        <f t="shared" si="81"/>
        <v>0</v>
      </c>
      <c r="AD133" s="381">
        <f>IF(U$6&lt;&gt;0,'4.) Yearly Budget'!I133/$AM$18,0)</f>
        <v>0</v>
      </c>
      <c r="AE133" s="105">
        <f t="shared" si="82"/>
        <v>0</v>
      </c>
      <c r="AF133" s="291"/>
    </row>
    <row r="134" spans="1:32" s="68" customFormat="1">
      <c r="A134" s="258">
        <f t="shared" si="83"/>
        <v>134</v>
      </c>
      <c r="B134" s="96"/>
      <c r="C134" s="94"/>
      <c r="D134" s="50" t="s">
        <v>18</v>
      </c>
      <c r="E134" s="50"/>
      <c r="F134" s="50"/>
      <c r="G134" s="59"/>
      <c r="H134" s="95"/>
      <c r="I134" s="276"/>
      <c r="J134" s="102">
        <f>IF('4.) Yearly Budget'!$K$18&gt;0,'4.) Yearly Budget'!K134,'4.) Yearly Budget'!J134)</f>
        <v>0</v>
      </c>
      <c r="K134" s="382">
        <f t="shared" si="72"/>
        <v>0</v>
      </c>
      <c r="L134" s="100"/>
      <c r="M134" s="102">
        <f>IF('4.) Yearly Budget'!$N$18&gt;0,'4.) Yearly Budget'!N134,'4.) Yearly Budget'!M134)</f>
        <v>0</v>
      </c>
      <c r="N134" s="382">
        <f t="shared" si="73"/>
        <v>0</v>
      </c>
      <c r="O134" s="100"/>
      <c r="P134" s="102">
        <f>IF('4.) Yearly Budget'!$Q$18&gt;0,'4.) Yearly Budget'!Q134,'4.) Yearly Budget'!P134)</f>
        <v>0</v>
      </c>
      <c r="Q134" s="382">
        <f t="shared" si="74"/>
        <v>0</v>
      </c>
      <c r="R134" s="100"/>
      <c r="S134" s="102">
        <f>IF('4.) Yearly Budget'!$T$18&gt;0,'4.) Yearly Budget'!T134,'4.) Yearly Budget'!S134)</f>
        <v>0</v>
      </c>
      <c r="T134" s="105">
        <f t="shared" si="75"/>
        <v>0</v>
      </c>
      <c r="U134" s="277">
        <f t="shared" si="76"/>
        <v>0</v>
      </c>
      <c r="V134" s="379">
        <f t="shared" si="77"/>
        <v>0</v>
      </c>
      <c r="W134" s="379">
        <f t="shared" si="78"/>
        <v>0</v>
      </c>
      <c r="X134" s="379">
        <f>'4.) Yearly Budget'!W134</f>
        <v>0</v>
      </c>
      <c r="Y134" s="380">
        <f t="shared" si="79"/>
        <v>0</v>
      </c>
      <c r="Z134" s="381">
        <f>SUM(IF(I$18&lt;&gt;0,'4.) Yearly Budget'!J134,0)+IF(L$18&lt;&gt;0,'4.) Yearly Budget'!M134,0)+IF(O$18&lt;&gt;0,'4.) Yearly Budget'!P134,0)+IF(R$18&lt;&gt;0,'4.) Yearly Budget'!S134,0))</f>
        <v>0</v>
      </c>
      <c r="AA134" s="381">
        <f t="shared" si="80"/>
        <v>0</v>
      </c>
      <c r="AB134" s="381">
        <f>'4.) Yearly Budget'!V134</f>
        <v>0</v>
      </c>
      <c r="AC134" s="382">
        <f t="shared" si="81"/>
        <v>0</v>
      </c>
      <c r="AD134" s="381">
        <f>IF(U$6&lt;&gt;0,'4.) Yearly Budget'!I134/$AM$18,0)</f>
        <v>0</v>
      </c>
      <c r="AE134" s="105">
        <f t="shared" si="82"/>
        <v>0</v>
      </c>
      <c r="AF134" s="291"/>
    </row>
    <row r="135" spans="1:32" s="68" customFormat="1">
      <c r="A135" s="258">
        <f t="shared" si="83"/>
        <v>135</v>
      </c>
      <c r="B135" s="96"/>
      <c r="C135" s="94"/>
      <c r="D135" s="54" t="s">
        <v>8</v>
      </c>
      <c r="E135" s="50"/>
      <c r="F135" s="50"/>
      <c r="G135" s="59"/>
      <c r="H135" s="95"/>
      <c r="I135" s="276"/>
      <c r="J135" s="102">
        <f>IF('4.) Yearly Budget'!$K$18&gt;0,'4.) Yearly Budget'!K135,'4.) Yearly Budget'!J135)</f>
        <v>0</v>
      </c>
      <c r="K135" s="382">
        <f t="shared" si="72"/>
        <v>0</v>
      </c>
      <c r="L135" s="100"/>
      <c r="M135" s="102">
        <f>IF('4.) Yearly Budget'!$N$18&gt;0,'4.) Yearly Budget'!N135,'4.) Yearly Budget'!M135)</f>
        <v>0</v>
      </c>
      <c r="N135" s="382">
        <f t="shared" si="73"/>
        <v>0</v>
      </c>
      <c r="O135" s="100"/>
      <c r="P135" s="102">
        <f>IF('4.) Yearly Budget'!$Q$18&gt;0,'4.) Yearly Budget'!Q135,'4.) Yearly Budget'!P135)</f>
        <v>0</v>
      </c>
      <c r="Q135" s="382">
        <f t="shared" si="74"/>
        <v>0</v>
      </c>
      <c r="R135" s="100"/>
      <c r="S135" s="102">
        <f>IF('4.) Yearly Budget'!$T$18&gt;0,'4.) Yearly Budget'!T135,'4.) Yearly Budget'!S135)</f>
        <v>0</v>
      </c>
      <c r="T135" s="105">
        <f t="shared" si="75"/>
        <v>0</v>
      </c>
      <c r="U135" s="277">
        <f t="shared" si="76"/>
        <v>0</v>
      </c>
      <c r="V135" s="379">
        <f t="shared" si="77"/>
        <v>0</v>
      </c>
      <c r="W135" s="379">
        <f t="shared" si="78"/>
        <v>0</v>
      </c>
      <c r="X135" s="379">
        <f>'4.) Yearly Budget'!W135</f>
        <v>0</v>
      </c>
      <c r="Y135" s="380">
        <f t="shared" si="79"/>
        <v>0</v>
      </c>
      <c r="Z135" s="381">
        <f>SUM(IF(I$18&lt;&gt;0,'4.) Yearly Budget'!J135,0)+IF(L$18&lt;&gt;0,'4.) Yearly Budget'!M135,0)+IF(O$18&lt;&gt;0,'4.) Yearly Budget'!P135,0)+IF(R$18&lt;&gt;0,'4.) Yearly Budget'!S135,0))</f>
        <v>0</v>
      </c>
      <c r="AA135" s="381">
        <f t="shared" si="80"/>
        <v>0</v>
      </c>
      <c r="AB135" s="381">
        <f>'4.) Yearly Budget'!V135</f>
        <v>0</v>
      </c>
      <c r="AC135" s="382">
        <f t="shared" si="81"/>
        <v>0</v>
      </c>
      <c r="AD135" s="381">
        <f>IF(U$6&lt;&gt;0,'4.) Yearly Budget'!I135/$AM$18,0)</f>
        <v>0</v>
      </c>
      <c r="AE135" s="105">
        <f t="shared" si="82"/>
        <v>0</v>
      </c>
      <c r="AF135" s="291"/>
    </row>
    <row r="136" spans="1:32" s="68" customFormat="1">
      <c r="A136" s="258">
        <f t="shared" si="83"/>
        <v>136</v>
      </c>
      <c r="B136" s="96"/>
      <c r="C136" s="94"/>
      <c r="D136" s="54" t="s">
        <v>59</v>
      </c>
      <c r="E136" s="50"/>
      <c r="F136" s="50"/>
      <c r="G136" s="59"/>
      <c r="H136" s="95"/>
      <c r="I136" s="276"/>
      <c r="J136" s="102">
        <f>IF('4.) Yearly Budget'!$K$18&gt;0,'4.) Yearly Budget'!K136,'4.) Yearly Budget'!J136)</f>
        <v>0</v>
      </c>
      <c r="K136" s="382">
        <f t="shared" si="72"/>
        <v>0</v>
      </c>
      <c r="L136" s="100"/>
      <c r="M136" s="102">
        <f>IF('4.) Yearly Budget'!$N$18&gt;0,'4.) Yearly Budget'!N136,'4.) Yearly Budget'!M136)</f>
        <v>0</v>
      </c>
      <c r="N136" s="382">
        <f t="shared" si="73"/>
        <v>0</v>
      </c>
      <c r="O136" s="100"/>
      <c r="P136" s="102">
        <f>IF('4.) Yearly Budget'!$Q$18&gt;0,'4.) Yearly Budget'!Q136,'4.) Yearly Budget'!P136)</f>
        <v>0</v>
      </c>
      <c r="Q136" s="382">
        <f t="shared" si="74"/>
        <v>0</v>
      </c>
      <c r="R136" s="100"/>
      <c r="S136" s="102">
        <f>IF('4.) Yearly Budget'!$T$18&gt;0,'4.) Yearly Budget'!T136,'4.) Yearly Budget'!S136)</f>
        <v>0</v>
      </c>
      <c r="T136" s="105">
        <f t="shared" si="75"/>
        <v>0</v>
      </c>
      <c r="U136" s="277">
        <f t="shared" si="76"/>
        <v>0</v>
      </c>
      <c r="V136" s="379">
        <f t="shared" si="77"/>
        <v>0</v>
      </c>
      <c r="W136" s="379">
        <f t="shared" si="78"/>
        <v>0</v>
      </c>
      <c r="X136" s="379">
        <f>'4.) Yearly Budget'!W136</f>
        <v>0</v>
      </c>
      <c r="Y136" s="380">
        <f t="shared" si="79"/>
        <v>0</v>
      </c>
      <c r="Z136" s="381">
        <f>SUM(IF(I$18&lt;&gt;0,'4.) Yearly Budget'!J136,0)+IF(L$18&lt;&gt;0,'4.) Yearly Budget'!M136,0)+IF(O$18&lt;&gt;0,'4.) Yearly Budget'!P136,0)+IF(R$18&lt;&gt;0,'4.) Yearly Budget'!S136,0))</f>
        <v>0</v>
      </c>
      <c r="AA136" s="381">
        <f t="shared" si="80"/>
        <v>0</v>
      </c>
      <c r="AB136" s="381">
        <f>'4.) Yearly Budget'!V136</f>
        <v>0</v>
      </c>
      <c r="AC136" s="382">
        <f t="shared" si="81"/>
        <v>0</v>
      </c>
      <c r="AD136" s="381">
        <f>IF(U$6&lt;&gt;0,'4.) Yearly Budget'!I136/$AM$18,0)</f>
        <v>0</v>
      </c>
      <c r="AE136" s="105">
        <f t="shared" si="82"/>
        <v>0</v>
      </c>
      <c r="AF136" s="291"/>
    </row>
    <row r="137" spans="1:32" s="68" customFormat="1">
      <c r="A137" s="258">
        <f t="shared" si="83"/>
        <v>137</v>
      </c>
      <c r="B137" s="96"/>
      <c r="C137" s="94"/>
      <c r="D137" s="54" t="s">
        <v>74</v>
      </c>
      <c r="E137" s="50"/>
      <c r="F137" s="50"/>
      <c r="G137" s="59"/>
      <c r="H137" s="95"/>
      <c r="I137" s="276"/>
      <c r="J137" s="102">
        <f>IF('4.) Yearly Budget'!$K$18&gt;0,'4.) Yearly Budget'!K137,'4.) Yearly Budget'!J137)</f>
        <v>0</v>
      </c>
      <c r="K137" s="382">
        <f t="shared" si="72"/>
        <v>0</v>
      </c>
      <c r="L137" s="100"/>
      <c r="M137" s="102">
        <f>IF('4.) Yearly Budget'!$N$18&gt;0,'4.) Yearly Budget'!N137,'4.) Yearly Budget'!M137)</f>
        <v>0</v>
      </c>
      <c r="N137" s="382">
        <f t="shared" si="73"/>
        <v>0</v>
      </c>
      <c r="O137" s="100"/>
      <c r="P137" s="102">
        <f>IF('4.) Yearly Budget'!$Q$18&gt;0,'4.) Yearly Budget'!Q137,'4.) Yearly Budget'!P137)</f>
        <v>0</v>
      </c>
      <c r="Q137" s="382">
        <f t="shared" si="74"/>
        <v>0</v>
      </c>
      <c r="R137" s="100"/>
      <c r="S137" s="102">
        <f>IF('4.) Yearly Budget'!$T$18&gt;0,'4.) Yearly Budget'!T137,'4.) Yearly Budget'!S137)</f>
        <v>0</v>
      </c>
      <c r="T137" s="105">
        <f t="shared" si="75"/>
        <v>0</v>
      </c>
      <c r="U137" s="277">
        <f t="shared" si="76"/>
        <v>0</v>
      </c>
      <c r="V137" s="379">
        <f t="shared" si="77"/>
        <v>0</v>
      </c>
      <c r="W137" s="379">
        <f t="shared" si="78"/>
        <v>0</v>
      </c>
      <c r="X137" s="379">
        <f>'4.) Yearly Budget'!W137</f>
        <v>0</v>
      </c>
      <c r="Y137" s="380">
        <f t="shared" si="79"/>
        <v>0</v>
      </c>
      <c r="Z137" s="381">
        <f>SUM(IF(I$18&lt;&gt;0,'4.) Yearly Budget'!J137,0)+IF(L$18&lt;&gt;0,'4.) Yearly Budget'!M137,0)+IF(O$18&lt;&gt;0,'4.) Yearly Budget'!P137,0)+IF(R$18&lt;&gt;0,'4.) Yearly Budget'!S137,0))</f>
        <v>0</v>
      </c>
      <c r="AA137" s="381">
        <f t="shared" si="80"/>
        <v>0</v>
      </c>
      <c r="AB137" s="381">
        <f>'4.) Yearly Budget'!V137</f>
        <v>0</v>
      </c>
      <c r="AC137" s="382">
        <f t="shared" si="81"/>
        <v>0</v>
      </c>
      <c r="AD137" s="381">
        <f>IF(U$6&lt;&gt;0,'4.) Yearly Budget'!I137/$AM$18,0)</f>
        <v>0</v>
      </c>
      <c r="AE137" s="105">
        <f t="shared" si="82"/>
        <v>0</v>
      </c>
      <c r="AF137" s="291"/>
    </row>
    <row r="138" spans="1:32" s="68" customFormat="1">
      <c r="A138" s="258">
        <f t="shared" si="83"/>
        <v>138</v>
      </c>
      <c r="B138" s="96"/>
      <c r="C138" s="94"/>
      <c r="D138" s="54" t="s">
        <v>61</v>
      </c>
      <c r="E138" s="50"/>
      <c r="F138" s="50"/>
      <c r="G138" s="59"/>
      <c r="H138" s="95"/>
      <c r="I138" s="276"/>
      <c r="J138" s="102">
        <f>IF('4.) Yearly Budget'!$K$18&gt;0,'4.) Yearly Budget'!K138,'4.) Yearly Budget'!J138)</f>
        <v>0</v>
      </c>
      <c r="K138" s="382">
        <f t="shared" si="72"/>
        <v>0</v>
      </c>
      <c r="L138" s="100"/>
      <c r="M138" s="102">
        <f>IF('4.) Yearly Budget'!$N$18&gt;0,'4.) Yearly Budget'!N138,'4.) Yearly Budget'!M138)</f>
        <v>0</v>
      </c>
      <c r="N138" s="382">
        <f t="shared" si="73"/>
        <v>0</v>
      </c>
      <c r="O138" s="100"/>
      <c r="P138" s="102">
        <f>IF('4.) Yearly Budget'!$Q$18&gt;0,'4.) Yearly Budget'!Q138,'4.) Yearly Budget'!P138)</f>
        <v>0</v>
      </c>
      <c r="Q138" s="382">
        <f t="shared" si="74"/>
        <v>0</v>
      </c>
      <c r="R138" s="100"/>
      <c r="S138" s="102">
        <f>IF('4.) Yearly Budget'!$T$18&gt;0,'4.) Yearly Budget'!T138,'4.) Yearly Budget'!S138)</f>
        <v>0</v>
      </c>
      <c r="T138" s="105">
        <f t="shared" si="75"/>
        <v>0</v>
      </c>
      <c r="U138" s="277">
        <f t="shared" si="76"/>
        <v>0</v>
      </c>
      <c r="V138" s="379">
        <f t="shared" si="77"/>
        <v>0</v>
      </c>
      <c r="W138" s="379">
        <f t="shared" si="78"/>
        <v>0</v>
      </c>
      <c r="X138" s="379">
        <f>'4.) Yearly Budget'!W138</f>
        <v>0</v>
      </c>
      <c r="Y138" s="380">
        <f t="shared" si="79"/>
        <v>0</v>
      </c>
      <c r="Z138" s="381">
        <f>SUM(IF(I$18&lt;&gt;0,'4.) Yearly Budget'!J138,0)+IF(L$18&lt;&gt;0,'4.) Yearly Budget'!M138,0)+IF(O$18&lt;&gt;0,'4.) Yearly Budget'!P138,0)+IF(R$18&lt;&gt;0,'4.) Yearly Budget'!S138,0))</f>
        <v>0</v>
      </c>
      <c r="AA138" s="381">
        <f t="shared" si="80"/>
        <v>0</v>
      </c>
      <c r="AB138" s="381">
        <f>'4.) Yearly Budget'!V138</f>
        <v>0</v>
      </c>
      <c r="AC138" s="382">
        <f t="shared" si="81"/>
        <v>0</v>
      </c>
      <c r="AD138" s="381">
        <f>IF(U$6&lt;&gt;0,'4.) Yearly Budget'!I138/$AM$18,0)</f>
        <v>0</v>
      </c>
      <c r="AE138" s="105">
        <f t="shared" si="82"/>
        <v>0</v>
      </c>
      <c r="AF138" s="291"/>
    </row>
    <row r="139" spans="1:32" s="68" customFormat="1">
      <c r="A139" s="258">
        <f t="shared" si="83"/>
        <v>139</v>
      </c>
      <c r="B139" s="96"/>
      <c r="C139" s="94"/>
      <c r="D139" s="54" t="s">
        <v>41</v>
      </c>
      <c r="E139" s="50"/>
      <c r="F139" s="50"/>
      <c r="G139" s="59"/>
      <c r="H139" s="95"/>
      <c r="I139" s="276"/>
      <c r="J139" s="102">
        <f>IF('4.) Yearly Budget'!$K$18&gt;0,'4.) Yearly Budget'!K139,'4.) Yearly Budget'!J139)</f>
        <v>0</v>
      </c>
      <c r="K139" s="382">
        <f t="shared" si="72"/>
        <v>0</v>
      </c>
      <c r="L139" s="100"/>
      <c r="M139" s="102">
        <f>IF('4.) Yearly Budget'!$N$18&gt;0,'4.) Yearly Budget'!N139,'4.) Yearly Budget'!M139)</f>
        <v>0</v>
      </c>
      <c r="N139" s="382">
        <f t="shared" si="73"/>
        <v>0</v>
      </c>
      <c r="O139" s="100"/>
      <c r="P139" s="102">
        <f>IF('4.) Yearly Budget'!$Q$18&gt;0,'4.) Yearly Budget'!Q139,'4.) Yearly Budget'!P139)</f>
        <v>0</v>
      </c>
      <c r="Q139" s="382">
        <f t="shared" si="74"/>
        <v>0</v>
      </c>
      <c r="R139" s="100"/>
      <c r="S139" s="102">
        <f>IF('4.) Yearly Budget'!$T$18&gt;0,'4.) Yearly Budget'!T139,'4.) Yearly Budget'!S139)</f>
        <v>0</v>
      </c>
      <c r="T139" s="105">
        <f t="shared" si="75"/>
        <v>0</v>
      </c>
      <c r="U139" s="277">
        <f t="shared" si="76"/>
        <v>0</v>
      </c>
      <c r="V139" s="379">
        <f t="shared" si="77"/>
        <v>0</v>
      </c>
      <c r="W139" s="379">
        <f t="shared" si="78"/>
        <v>0</v>
      </c>
      <c r="X139" s="379">
        <f>'4.) Yearly Budget'!W139</f>
        <v>0</v>
      </c>
      <c r="Y139" s="380">
        <f t="shared" si="79"/>
        <v>0</v>
      </c>
      <c r="Z139" s="381">
        <f>SUM(IF(I$18&lt;&gt;0,'4.) Yearly Budget'!J139,0)+IF(L$18&lt;&gt;0,'4.) Yearly Budget'!M139,0)+IF(O$18&lt;&gt;0,'4.) Yearly Budget'!P139,0)+IF(R$18&lt;&gt;0,'4.) Yearly Budget'!S139,0))</f>
        <v>0</v>
      </c>
      <c r="AA139" s="381">
        <f t="shared" si="80"/>
        <v>0</v>
      </c>
      <c r="AB139" s="381">
        <f>'4.) Yearly Budget'!V139</f>
        <v>0</v>
      </c>
      <c r="AC139" s="382">
        <f t="shared" si="81"/>
        <v>0</v>
      </c>
      <c r="AD139" s="381">
        <f>IF(U$6&lt;&gt;0,'4.) Yearly Budget'!I139/$AM$18,0)</f>
        <v>0</v>
      </c>
      <c r="AE139" s="105">
        <f t="shared" si="82"/>
        <v>0</v>
      </c>
      <c r="AF139" s="291"/>
    </row>
    <row r="140" spans="1:32" s="68" customFormat="1" ht="17.25">
      <c r="A140" s="258">
        <f t="shared" si="83"/>
        <v>140</v>
      </c>
      <c r="B140" s="96"/>
      <c r="C140" s="94"/>
      <c r="D140" s="50" t="s">
        <v>29</v>
      </c>
      <c r="E140" s="50"/>
      <c r="F140" s="50"/>
      <c r="G140" s="59"/>
      <c r="H140" s="95"/>
      <c r="I140" s="284"/>
      <c r="J140" s="392">
        <f>IF('4.) Yearly Budget'!$K$18&gt;0,'4.) Yearly Budget'!K140,'4.) Yearly Budget'!J140)</f>
        <v>0</v>
      </c>
      <c r="K140" s="392">
        <f t="shared" si="72"/>
        <v>0</v>
      </c>
      <c r="L140" s="106"/>
      <c r="M140" s="549">
        <f>IF('4.) Yearly Budget'!$N$18&gt;0,'4.) Yearly Budget'!N140,'4.) Yearly Budget'!M140)</f>
        <v>0</v>
      </c>
      <c r="N140" s="392">
        <f t="shared" si="73"/>
        <v>0</v>
      </c>
      <c r="O140" s="106"/>
      <c r="P140" s="549">
        <f>IF('4.) Yearly Budget'!$Q$18&gt;0,'4.) Yearly Budget'!Q140,'4.) Yearly Budget'!P140)</f>
        <v>0</v>
      </c>
      <c r="Q140" s="392">
        <f t="shared" si="74"/>
        <v>0</v>
      </c>
      <c r="R140" s="106"/>
      <c r="S140" s="549">
        <f>IF('4.) Yearly Budget'!$T$18&gt;0,'4.) Yearly Budget'!T140,'4.) Yearly Budget'!S140)</f>
        <v>0</v>
      </c>
      <c r="T140" s="388">
        <f t="shared" si="75"/>
        <v>0</v>
      </c>
      <c r="U140" s="285">
        <f t="shared" si="76"/>
        <v>0</v>
      </c>
      <c r="V140" s="389">
        <f t="shared" si="77"/>
        <v>0</v>
      </c>
      <c r="W140" s="389">
        <f t="shared" si="78"/>
        <v>0</v>
      </c>
      <c r="X140" s="389">
        <f>'4.) Yearly Budget'!W140</f>
        <v>0</v>
      </c>
      <c r="Y140" s="390">
        <f t="shared" si="79"/>
        <v>0</v>
      </c>
      <c r="Z140" s="391">
        <f>SUM(IF(I$18&lt;&gt;0,'4.) Yearly Budget'!J140,0)+IF(L$18&lt;&gt;0,'4.) Yearly Budget'!M140,0)+IF(O$18&lt;&gt;0,'4.) Yearly Budget'!P140,0)+IF(R$18&lt;&gt;0,'4.) Yearly Budget'!S140,0))</f>
        <v>0</v>
      </c>
      <c r="AA140" s="391">
        <f t="shared" si="80"/>
        <v>0</v>
      </c>
      <c r="AB140" s="391">
        <f>'4.) Yearly Budget'!V140</f>
        <v>0</v>
      </c>
      <c r="AC140" s="392">
        <f t="shared" si="81"/>
        <v>0</v>
      </c>
      <c r="AD140" s="391">
        <f>IF(U$6&lt;&gt;0,'4.) Yearly Budget'!I140/$AM$18,0)</f>
        <v>0</v>
      </c>
      <c r="AE140" s="388">
        <f t="shared" si="82"/>
        <v>0</v>
      </c>
      <c r="AF140" s="291"/>
    </row>
    <row r="141" spans="1:32" s="68" customFormat="1">
      <c r="A141" s="258">
        <f t="shared" si="83"/>
        <v>141</v>
      </c>
      <c r="B141" s="96"/>
      <c r="C141" s="55" t="s">
        <v>88</v>
      </c>
      <c r="D141" s="50"/>
      <c r="E141" s="50"/>
      <c r="F141" s="50"/>
      <c r="G141" s="59"/>
      <c r="H141" s="95"/>
      <c r="I141" s="281">
        <f t="shared" ref="I141:AE141" si="84">SUM(I121:I140)</f>
        <v>0</v>
      </c>
      <c r="J141" s="158">
        <f t="shared" si="84"/>
        <v>0</v>
      </c>
      <c r="K141" s="393">
        <f t="shared" si="84"/>
        <v>0</v>
      </c>
      <c r="L141" s="102">
        <f t="shared" si="84"/>
        <v>0</v>
      </c>
      <c r="M141" s="158">
        <f t="shared" si="84"/>
        <v>0</v>
      </c>
      <c r="N141" s="393">
        <f t="shared" si="84"/>
        <v>0</v>
      </c>
      <c r="O141" s="102">
        <f t="shared" si="84"/>
        <v>0</v>
      </c>
      <c r="P141" s="158">
        <f t="shared" si="84"/>
        <v>0</v>
      </c>
      <c r="Q141" s="393">
        <f t="shared" si="84"/>
        <v>0</v>
      </c>
      <c r="R141" s="102">
        <f t="shared" si="84"/>
        <v>0</v>
      </c>
      <c r="S141" s="158">
        <f t="shared" si="84"/>
        <v>0</v>
      </c>
      <c r="T141" s="103">
        <f t="shared" si="84"/>
        <v>0</v>
      </c>
      <c r="U141" s="277">
        <f t="shared" si="84"/>
        <v>0</v>
      </c>
      <c r="V141" s="158">
        <f t="shared" si="84"/>
        <v>0</v>
      </c>
      <c r="W141" s="158">
        <f t="shared" si="84"/>
        <v>0</v>
      </c>
      <c r="X141" s="158">
        <f t="shared" si="84"/>
        <v>0</v>
      </c>
      <c r="Y141" s="383">
        <f t="shared" si="84"/>
        <v>0</v>
      </c>
      <c r="Z141" s="102">
        <f t="shared" si="84"/>
        <v>0</v>
      </c>
      <c r="AA141" s="102">
        <f t="shared" si="84"/>
        <v>0</v>
      </c>
      <c r="AB141" s="102">
        <f t="shared" si="84"/>
        <v>0</v>
      </c>
      <c r="AC141" s="393">
        <f t="shared" si="84"/>
        <v>0</v>
      </c>
      <c r="AD141" s="102">
        <f t="shared" si="84"/>
        <v>0</v>
      </c>
      <c r="AE141" s="105">
        <f t="shared" si="84"/>
        <v>0</v>
      </c>
      <c r="AF141" s="291"/>
    </row>
    <row r="142" spans="1:32" s="68" customFormat="1" ht="7.5" customHeight="1">
      <c r="A142" s="258">
        <f t="shared" si="83"/>
        <v>142</v>
      </c>
      <c r="B142" s="96"/>
      <c r="C142" s="94"/>
      <c r="D142" s="120"/>
      <c r="E142" s="120"/>
      <c r="F142" s="120"/>
      <c r="G142" s="56"/>
      <c r="H142" s="95"/>
      <c r="I142" s="107"/>
      <c r="J142" s="107"/>
      <c r="K142" s="107"/>
      <c r="L142" s="107"/>
      <c r="M142" s="107"/>
      <c r="N142" s="107"/>
      <c r="O142" s="107"/>
      <c r="P142" s="107"/>
      <c r="Q142" s="107"/>
      <c r="R142" s="107"/>
      <c r="S142" s="107"/>
      <c r="T142" s="108"/>
      <c r="U142" s="107"/>
      <c r="V142" s="107"/>
      <c r="W142" s="107"/>
      <c r="X142" s="107"/>
      <c r="Y142" s="107"/>
      <c r="Z142" s="107"/>
      <c r="AA142" s="107"/>
      <c r="AB142" s="107"/>
      <c r="AC142" s="107"/>
      <c r="AD142" s="107"/>
      <c r="AE142" s="108"/>
      <c r="AF142" s="291"/>
    </row>
    <row r="143" spans="1:32" s="68" customFormat="1">
      <c r="A143" s="258">
        <f t="shared" si="83"/>
        <v>143</v>
      </c>
      <c r="B143" s="96"/>
      <c r="C143" s="119" t="s">
        <v>89</v>
      </c>
      <c r="D143" s="50"/>
      <c r="E143" s="123"/>
      <c r="F143" s="123"/>
      <c r="G143" s="124"/>
      <c r="H143" s="95"/>
      <c r="I143" s="98"/>
      <c r="J143" s="98"/>
      <c r="K143" s="98"/>
      <c r="L143" s="98"/>
      <c r="M143" s="98"/>
      <c r="N143" s="98"/>
      <c r="O143" s="98"/>
      <c r="P143" s="98"/>
      <c r="Q143" s="98"/>
      <c r="R143" s="98"/>
      <c r="S143" s="98"/>
      <c r="T143" s="99"/>
      <c r="U143" s="98"/>
      <c r="V143" s="98"/>
      <c r="W143" s="98"/>
      <c r="X143" s="98"/>
      <c r="Y143" s="98"/>
      <c r="Z143" s="98"/>
      <c r="AA143" s="98"/>
      <c r="AB143" s="98"/>
      <c r="AC143" s="98"/>
      <c r="AD143" s="98"/>
      <c r="AE143" s="99"/>
      <c r="AF143" s="291"/>
    </row>
    <row r="144" spans="1:32" s="68" customFormat="1">
      <c r="A144" s="258">
        <f t="shared" si="83"/>
        <v>144</v>
      </c>
      <c r="B144" s="96"/>
      <c r="C144" s="50"/>
      <c r="D144" s="54" t="s">
        <v>3</v>
      </c>
      <c r="E144" s="53"/>
      <c r="F144" s="53"/>
      <c r="G144" s="124"/>
      <c r="H144" s="95"/>
      <c r="I144" s="276"/>
      <c r="J144" s="102">
        <f>IF('4.) Yearly Budget'!$K$18&gt;0,'4.) Yearly Budget'!K144,'4.) Yearly Budget'!J144)</f>
        <v>0</v>
      </c>
      <c r="K144" s="382">
        <f t="shared" ref="K144:K150" si="85">IF(I$18&lt;&gt;0,J144-I144,0)</f>
        <v>0</v>
      </c>
      <c r="L144" s="100"/>
      <c r="M144" s="102">
        <f>IF('4.) Yearly Budget'!$N$18&gt;0,'4.) Yearly Budget'!N144,'4.) Yearly Budget'!M144)</f>
        <v>0</v>
      </c>
      <c r="N144" s="382">
        <f t="shared" ref="N144:N150" si="86">IF(L$18&lt;&gt;0,M144-L144,0)</f>
        <v>0</v>
      </c>
      <c r="O144" s="100"/>
      <c r="P144" s="102">
        <f>IF('4.) Yearly Budget'!$Q$18&gt;0,'4.) Yearly Budget'!Q144,'4.) Yearly Budget'!P144)</f>
        <v>0</v>
      </c>
      <c r="Q144" s="382">
        <f t="shared" ref="Q144:Q150" si="87">IF(O$18&lt;&gt;0,P144-O144,0)</f>
        <v>0</v>
      </c>
      <c r="R144" s="100"/>
      <c r="S144" s="102">
        <f>IF('4.) Yearly Budget'!$T$18&gt;0,'4.) Yearly Budget'!T144,'4.) Yearly Budget'!S144)</f>
        <v>0</v>
      </c>
      <c r="T144" s="105">
        <f t="shared" ref="T144:T150" si="88">IF(R$18&lt;&gt;0,S144-R144,0)</f>
        <v>0</v>
      </c>
      <c r="U144" s="277">
        <f t="shared" ref="U144:U150" si="89">IF(I$6&lt;&gt;0,I144,0)+IF(L$6&lt;&gt;0,L144,0)+IF(O$6&lt;&gt;0,O144,0)+IF(R$6&lt;&gt;0,R144,0)</f>
        <v>0</v>
      </c>
      <c r="V144" s="379">
        <f t="shared" ref="V144:V150" si="90">SUM(IF(I$6&lt;&gt;0,J144,0)+IF(L$6&lt;&gt;0,M144,0)+IF(O$6&lt;&gt;0,P144,0)+IF(R$6&lt;&gt;0,S144,0))</f>
        <v>0</v>
      </c>
      <c r="W144" s="379">
        <f t="shared" ref="W144:W150" si="91">V144-U144</f>
        <v>0</v>
      </c>
      <c r="X144" s="379">
        <f>'4.) Yearly Budget'!W144</f>
        <v>0</v>
      </c>
      <c r="Y144" s="380">
        <f t="shared" ref="Y144:Y150" si="92">IF(U144&lt;&gt;0,X144-U144,IF(U144=0,X144,0))</f>
        <v>0</v>
      </c>
      <c r="Z144" s="381">
        <f>SUM(IF(I$18&lt;&gt;0,'4.) Yearly Budget'!J144,0)+IF(L$18&lt;&gt;0,'4.) Yearly Budget'!M144,0)+IF(O$18&lt;&gt;0,'4.) Yearly Budget'!P144,0)+IF(R$18&lt;&gt;0,'4.) Yearly Budget'!S144,0))</f>
        <v>0</v>
      </c>
      <c r="AA144" s="381">
        <f t="shared" ref="AA144:AA150" si="93">Z144-U144</f>
        <v>0</v>
      </c>
      <c r="AB144" s="381">
        <f>'4.) Yearly Budget'!V144</f>
        <v>0</v>
      </c>
      <c r="AC144" s="382">
        <f t="shared" ref="AC144:AC150" si="94">IF(U144&lt;&gt;0,AB144-U144,IF(U144=0,AB144,0))</f>
        <v>0</v>
      </c>
      <c r="AD144" s="381">
        <f>IF(U$6&lt;&gt;0,'4.) Yearly Budget'!I144/$AM$18,0)</f>
        <v>0</v>
      </c>
      <c r="AE144" s="105">
        <f t="shared" ref="AE144:AE150" si="95">AD144-U144</f>
        <v>0</v>
      </c>
      <c r="AF144" s="291"/>
    </row>
    <row r="145" spans="1:32" s="68" customFormat="1">
      <c r="A145" s="258">
        <f t="shared" si="83"/>
        <v>145</v>
      </c>
      <c r="B145" s="96"/>
      <c r="C145" s="50"/>
      <c r="D145" s="54" t="s">
        <v>4</v>
      </c>
      <c r="E145" s="53"/>
      <c r="F145" s="53"/>
      <c r="G145" s="124"/>
      <c r="H145" s="95"/>
      <c r="I145" s="276"/>
      <c r="J145" s="102">
        <f>IF('4.) Yearly Budget'!$K$18&gt;0,'4.) Yearly Budget'!K145,'4.) Yearly Budget'!J145)</f>
        <v>0</v>
      </c>
      <c r="K145" s="382">
        <f t="shared" si="85"/>
        <v>0</v>
      </c>
      <c r="L145" s="100"/>
      <c r="M145" s="102">
        <f>IF('4.) Yearly Budget'!$N$18&gt;0,'4.) Yearly Budget'!N145,'4.) Yearly Budget'!M145)</f>
        <v>0</v>
      </c>
      <c r="N145" s="382">
        <f t="shared" si="86"/>
        <v>0</v>
      </c>
      <c r="O145" s="100"/>
      <c r="P145" s="102">
        <f>IF('4.) Yearly Budget'!$Q$18&gt;0,'4.) Yearly Budget'!Q145,'4.) Yearly Budget'!P145)</f>
        <v>0</v>
      </c>
      <c r="Q145" s="382">
        <f t="shared" si="87"/>
        <v>0</v>
      </c>
      <c r="R145" s="100"/>
      <c r="S145" s="102">
        <f>IF('4.) Yearly Budget'!$T$18&gt;0,'4.) Yearly Budget'!T145,'4.) Yearly Budget'!S145)</f>
        <v>0</v>
      </c>
      <c r="T145" s="105">
        <f t="shared" si="88"/>
        <v>0</v>
      </c>
      <c r="U145" s="277">
        <f t="shared" si="89"/>
        <v>0</v>
      </c>
      <c r="V145" s="379">
        <f t="shared" si="90"/>
        <v>0</v>
      </c>
      <c r="W145" s="379">
        <f t="shared" si="91"/>
        <v>0</v>
      </c>
      <c r="X145" s="379">
        <f>'4.) Yearly Budget'!W145</f>
        <v>0</v>
      </c>
      <c r="Y145" s="380">
        <f t="shared" si="92"/>
        <v>0</v>
      </c>
      <c r="Z145" s="381">
        <f>SUM(IF(I$18&lt;&gt;0,'4.) Yearly Budget'!J145,0)+IF(L$18&lt;&gt;0,'4.) Yearly Budget'!M145,0)+IF(O$18&lt;&gt;0,'4.) Yearly Budget'!P145,0)+IF(R$18&lt;&gt;0,'4.) Yearly Budget'!S145,0))</f>
        <v>0</v>
      </c>
      <c r="AA145" s="381">
        <f t="shared" si="93"/>
        <v>0</v>
      </c>
      <c r="AB145" s="381">
        <f>'4.) Yearly Budget'!V145</f>
        <v>0</v>
      </c>
      <c r="AC145" s="382">
        <f t="shared" si="94"/>
        <v>0</v>
      </c>
      <c r="AD145" s="381">
        <f>IF(U$6&lt;&gt;0,'4.) Yearly Budget'!I145/$AM$18,0)</f>
        <v>0</v>
      </c>
      <c r="AE145" s="105">
        <f t="shared" si="95"/>
        <v>0</v>
      </c>
      <c r="AF145" s="291"/>
    </row>
    <row r="146" spans="1:32" s="68" customFormat="1">
      <c r="A146" s="258">
        <f t="shared" si="83"/>
        <v>146</v>
      </c>
      <c r="B146" s="96"/>
      <c r="C146" s="50"/>
      <c r="D146" s="50" t="s">
        <v>346</v>
      </c>
      <c r="E146" s="53"/>
      <c r="F146" s="53"/>
      <c r="G146" s="124"/>
      <c r="H146" s="95"/>
      <c r="I146" s="276"/>
      <c r="J146" s="102">
        <f>IF('4.) Yearly Budget'!$K$18&gt;0,'4.) Yearly Budget'!K146,'4.) Yearly Budget'!J146)</f>
        <v>0</v>
      </c>
      <c r="K146" s="382">
        <f t="shared" si="85"/>
        <v>0</v>
      </c>
      <c r="L146" s="100"/>
      <c r="M146" s="102">
        <f>IF('4.) Yearly Budget'!$N$18&gt;0,'4.) Yearly Budget'!N146,'4.) Yearly Budget'!M146)</f>
        <v>0</v>
      </c>
      <c r="N146" s="382">
        <f t="shared" si="86"/>
        <v>0</v>
      </c>
      <c r="O146" s="100"/>
      <c r="P146" s="102">
        <f>IF('4.) Yearly Budget'!$Q$18&gt;0,'4.) Yearly Budget'!Q146,'4.) Yearly Budget'!P146)</f>
        <v>0</v>
      </c>
      <c r="Q146" s="382">
        <f t="shared" si="87"/>
        <v>0</v>
      </c>
      <c r="R146" s="100"/>
      <c r="S146" s="102">
        <f>IF('4.) Yearly Budget'!$T$18&gt;0,'4.) Yearly Budget'!T146,'4.) Yearly Budget'!S146)</f>
        <v>0</v>
      </c>
      <c r="T146" s="105">
        <f t="shared" si="88"/>
        <v>0</v>
      </c>
      <c r="U146" s="277">
        <f t="shared" si="89"/>
        <v>0</v>
      </c>
      <c r="V146" s="379">
        <f t="shared" si="90"/>
        <v>0</v>
      </c>
      <c r="W146" s="379">
        <f t="shared" si="91"/>
        <v>0</v>
      </c>
      <c r="X146" s="379">
        <f>'4.) Yearly Budget'!W146</f>
        <v>0</v>
      </c>
      <c r="Y146" s="380">
        <f t="shared" si="92"/>
        <v>0</v>
      </c>
      <c r="Z146" s="381">
        <f>SUM(IF(I$18&lt;&gt;0,'4.) Yearly Budget'!J146,0)+IF(L$18&lt;&gt;0,'4.) Yearly Budget'!M146,0)+IF(O$18&lt;&gt;0,'4.) Yearly Budget'!P146,0)+IF(R$18&lt;&gt;0,'4.) Yearly Budget'!S146,0))</f>
        <v>0</v>
      </c>
      <c r="AA146" s="381">
        <f t="shared" si="93"/>
        <v>0</v>
      </c>
      <c r="AB146" s="381">
        <f>'4.) Yearly Budget'!V146</f>
        <v>0</v>
      </c>
      <c r="AC146" s="382">
        <f t="shared" si="94"/>
        <v>0</v>
      </c>
      <c r="AD146" s="381">
        <f>IF(U$6&lt;&gt;0,'4.) Yearly Budget'!I146/$AM$18,0)</f>
        <v>0</v>
      </c>
      <c r="AE146" s="105">
        <f t="shared" si="95"/>
        <v>0</v>
      </c>
      <c r="AF146" s="291"/>
    </row>
    <row r="147" spans="1:32" s="68" customFormat="1">
      <c r="A147" s="258">
        <f t="shared" si="83"/>
        <v>147</v>
      </c>
      <c r="B147" s="96"/>
      <c r="C147" s="50"/>
      <c r="D147" s="50" t="s">
        <v>54</v>
      </c>
      <c r="E147" s="53"/>
      <c r="F147" s="53"/>
      <c r="G147" s="124"/>
      <c r="H147" s="95"/>
      <c r="I147" s="276"/>
      <c r="J147" s="102">
        <f>IF('4.) Yearly Budget'!$K$18&gt;0,'4.) Yearly Budget'!K147,'4.) Yearly Budget'!J147)</f>
        <v>0</v>
      </c>
      <c r="K147" s="382">
        <f t="shared" si="85"/>
        <v>0</v>
      </c>
      <c r="L147" s="100"/>
      <c r="M147" s="102">
        <f>IF('4.) Yearly Budget'!$N$18&gt;0,'4.) Yearly Budget'!N147,'4.) Yearly Budget'!M147)</f>
        <v>0</v>
      </c>
      <c r="N147" s="382">
        <f t="shared" si="86"/>
        <v>0</v>
      </c>
      <c r="O147" s="100"/>
      <c r="P147" s="102">
        <f>IF('4.) Yearly Budget'!$Q$18&gt;0,'4.) Yearly Budget'!Q147,'4.) Yearly Budget'!P147)</f>
        <v>0</v>
      </c>
      <c r="Q147" s="382">
        <f t="shared" si="87"/>
        <v>0</v>
      </c>
      <c r="R147" s="100"/>
      <c r="S147" s="102">
        <f>IF('4.) Yearly Budget'!$T$18&gt;0,'4.) Yearly Budget'!T147,'4.) Yearly Budget'!S147)</f>
        <v>0</v>
      </c>
      <c r="T147" s="105">
        <f t="shared" si="88"/>
        <v>0</v>
      </c>
      <c r="U147" s="277">
        <f t="shared" si="89"/>
        <v>0</v>
      </c>
      <c r="V147" s="379">
        <f t="shared" si="90"/>
        <v>0</v>
      </c>
      <c r="W147" s="379">
        <f t="shared" si="91"/>
        <v>0</v>
      </c>
      <c r="X147" s="379">
        <f>'4.) Yearly Budget'!W147</f>
        <v>0</v>
      </c>
      <c r="Y147" s="380">
        <f t="shared" si="92"/>
        <v>0</v>
      </c>
      <c r="Z147" s="381">
        <f>SUM(IF(I$18&lt;&gt;0,'4.) Yearly Budget'!J147,0)+IF(L$18&lt;&gt;0,'4.) Yearly Budget'!M147,0)+IF(O$18&lt;&gt;0,'4.) Yearly Budget'!P147,0)+IF(R$18&lt;&gt;0,'4.) Yearly Budget'!S147,0))</f>
        <v>0</v>
      </c>
      <c r="AA147" s="381">
        <f t="shared" si="93"/>
        <v>0</v>
      </c>
      <c r="AB147" s="381">
        <f>'4.) Yearly Budget'!V147</f>
        <v>0</v>
      </c>
      <c r="AC147" s="382">
        <f t="shared" si="94"/>
        <v>0</v>
      </c>
      <c r="AD147" s="381">
        <f>IF(U$6&lt;&gt;0,'4.) Yearly Budget'!I147/$AM$18,0)</f>
        <v>0</v>
      </c>
      <c r="AE147" s="105">
        <f t="shared" si="95"/>
        <v>0</v>
      </c>
      <c r="AF147" s="291"/>
    </row>
    <row r="148" spans="1:32" s="68" customFormat="1">
      <c r="A148" s="258">
        <f t="shared" si="83"/>
        <v>148</v>
      </c>
      <c r="B148" s="96"/>
      <c r="C148" s="50"/>
      <c r="D148" s="50" t="s">
        <v>56</v>
      </c>
      <c r="E148" s="53"/>
      <c r="F148" s="53"/>
      <c r="G148" s="124"/>
      <c r="H148" s="95"/>
      <c r="I148" s="276"/>
      <c r="J148" s="102">
        <f>IF('4.) Yearly Budget'!$K$18&gt;0,'4.) Yearly Budget'!K148,'4.) Yearly Budget'!J148)</f>
        <v>0</v>
      </c>
      <c r="K148" s="382">
        <f t="shared" si="85"/>
        <v>0</v>
      </c>
      <c r="L148" s="100"/>
      <c r="M148" s="102">
        <f>IF('4.) Yearly Budget'!$N$18&gt;0,'4.) Yearly Budget'!N148,'4.) Yearly Budget'!M148)</f>
        <v>0</v>
      </c>
      <c r="N148" s="382">
        <f t="shared" si="86"/>
        <v>0</v>
      </c>
      <c r="O148" s="100"/>
      <c r="P148" s="102">
        <f>IF('4.) Yearly Budget'!$Q$18&gt;0,'4.) Yearly Budget'!Q148,'4.) Yearly Budget'!P148)</f>
        <v>0</v>
      </c>
      <c r="Q148" s="382">
        <f t="shared" si="87"/>
        <v>0</v>
      </c>
      <c r="R148" s="100"/>
      <c r="S148" s="102">
        <f>IF('4.) Yearly Budget'!$T$18&gt;0,'4.) Yearly Budget'!T148,'4.) Yearly Budget'!S148)</f>
        <v>0</v>
      </c>
      <c r="T148" s="105">
        <f t="shared" si="88"/>
        <v>0</v>
      </c>
      <c r="U148" s="277">
        <f t="shared" si="89"/>
        <v>0</v>
      </c>
      <c r="V148" s="379">
        <f t="shared" si="90"/>
        <v>0</v>
      </c>
      <c r="W148" s="379">
        <f t="shared" si="91"/>
        <v>0</v>
      </c>
      <c r="X148" s="379">
        <f>'4.) Yearly Budget'!W148</f>
        <v>0</v>
      </c>
      <c r="Y148" s="380">
        <f t="shared" si="92"/>
        <v>0</v>
      </c>
      <c r="Z148" s="381">
        <f>SUM(IF(I$18&lt;&gt;0,'4.) Yearly Budget'!J148,0)+IF(L$18&lt;&gt;0,'4.) Yearly Budget'!M148,0)+IF(O$18&lt;&gt;0,'4.) Yearly Budget'!P148,0)+IF(R$18&lt;&gt;0,'4.) Yearly Budget'!S148,0))</f>
        <v>0</v>
      </c>
      <c r="AA148" s="381">
        <f t="shared" si="93"/>
        <v>0</v>
      </c>
      <c r="AB148" s="381">
        <f>'4.) Yearly Budget'!V148</f>
        <v>0</v>
      </c>
      <c r="AC148" s="382">
        <f t="shared" si="94"/>
        <v>0</v>
      </c>
      <c r="AD148" s="381">
        <f>IF(U$6&lt;&gt;0,'4.) Yearly Budget'!I148/$AM$18,0)</f>
        <v>0</v>
      </c>
      <c r="AE148" s="105">
        <f t="shared" si="95"/>
        <v>0</v>
      </c>
      <c r="AF148" s="291"/>
    </row>
    <row r="149" spans="1:32" s="68" customFormat="1">
      <c r="A149" s="258">
        <f t="shared" si="83"/>
        <v>149</v>
      </c>
      <c r="B149" s="96"/>
      <c r="C149" s="50"/>
      <c r="D149" s="54" t="s">
        <v>7</v>
      </c>
      <c r="E149" s="53"/>
      <c r="F149" s="53"/>
      <c r="G149" s="124"/>
      <c r="H149" s="95"/>
      <c r="I149" s="276"/>
      <c r="J149" s="102">
        <f>IF('4.) Yearly Budget'!$K$18&gt;0,'4.) Yearly Budget'!K149,'4.) Yearly Budget'!J149)</f>
        <v>0</v>
      </c>
      <c r="K149" s="382">
        <f t="shared" si="85"/>
        <v>0</v>
      </c>
      <c r="L149" s="100"/>
      <c r="M149" s="102">
        <f>IF('4.) Yearly Budget'!$N$18&gt;0,'4.) Yearly Budget'!N149,'4.) Yearly Budget'!M149)</f>
        <v>0</v>
      </c>
      <c r="N149" s="382">
        <f t="shared" si="86"/>
        <v>0</v>
      </c>
      <c r="O149" s="100"/>
      <c r="P149" s="102">
        <f>IF('4.) Yearly Budget'!$Q$18&gt;0,'4.) Yearly Budget'!Q149,'4.) Yearly Budget'!P149)</f>
        <v>0</v>
      </c>
      <c r="Q149" s="382">
        <f t="shared" si="87"/>
        <v>0</v>
      </c>
      <c r="R149" s="100"/>
      <c r="S149" s="102">
        <f>IF('4.) Yearly Budget'!$T$18&gt;0,'4.) Yearly Budget'!T149,'4.) Yearly Budget'!S149)</f>
        <v>0</v>
      </c>
      <c r="T149" s="105">
        <f t="shared" si="88"/>
        <v>0</v>
      </c>
      <c r="U149" s="277">
        <f t="shared" si="89"/>
        <v>0</v>
      </c>
      <c r="V149" s="379">
        <f t="shared" si="90"/>
        <v>0</v>
      </c>
      <c r="W149" s="379">
        <f t="shared" si="91"/>
        <v>0</v>
      </c>
      <c r="X149" s="379">
        <f>'4.) Yearly Budget'!W149</f>
        <v>0</v>
      </c>
      <c r="Y149" s="380">
        <f t="shared" si="92"/>
        <v>0</v>
      </c>
      <c r="Z149" s="381">
        <f>SUM(IF(I$18&lt;&gt;0,'4.) Yearly Budget'!J149,0)+IF(L$18&lt;&gt;0,'4.) Yearly Budget'!M149,0)+IF(O$18&lt;&gt;0,'4.) Yearly Budget'!P149,0)+IF(R$18&lt;&gt;0,'4.) Yearly Budget'!S149,0))</f>
        <v>0</v>
      </c>
      <c r="AA149" s="381">
        <f t="shared" si="93"/>
        <v>0</v>
      </c>
      <c r="AB149" s="381">
        <f>'4.) Yearly Budget'!V149</f>
        <v>0</v>
      </c>
      <c r="AC149" s="382">
        <f t="shared" si="94"/>
        <v>0</v>
      </c>
      <c r="AD149" s="381">
        <f>IF(U$6&lt;&gt;0,'4.) Yearly Budget'!I149/$AM$18,0)</f>
        <v>0</v>
      </c>
      <c r="AE149" s="105">
        <f t="shared" si="95"/>
        <v>0</v>
      </c>
      <c r="AF149" s="291"/>
    </row>
    <row r="150" spans="1:32" s="68" customFormat="1" ht="17.25">
      <c r="A150" s="258">
        <f t="shared" si="83"/>
        <v>150</v>
      </c>
      <c r="B150" s="96"/>
      <c r="C150" s="50"/>
      <c r="D150" s="50" t="s">
        <v>9</v>
      </c>
      <c r="E150" s="53"/>
      <c r="F150" s="53"/>
      <c r="G150" s="124"/>
      <c r="H150" s="95"/>
      <c r="I150" s="284"/>
      <c r="J150" s="392">
        <f>IF('4.) Yearly Budget'!$K$18&gt;0,'4.) Yearly Budget'!K150,'4.) Yearly Budget'!J150)</f>
        <v>0</v>
      </c>
      <c r="K150" s="392">
        <f t="shared" si="85"/>
        <v>0</v>
      </c>
      <c r="L150" s="106"/>
      <c r="M150" s="549">
        <f>IF('4.) Yearly Budget'!$N$18&gt;0,'4.) Yearly Budget'!N150,'4.) Yearly Budget'!M150)</f>
        <v>0</v>
      </c>
      <c r="N150" s="392">
        <f t="shared" si="86"/>
        <v>0</v>
      </c>
      <c r="O150" s="106"/>
      <c r="P150" s="549">
        <f>IF('4.) Yearly Budget'!$Q$18&gt;0,'4.) Yearly Budget'!Q150,'4.) Yearly Budget'!P150)</f>
        <v>0</v>
      </c>
      <c r="Q150" s="392">
        <f t="shared" si="87"/>
        <v>0</v>
      </c>
      <c r="R150" s="106"/>
      <c r="S150" s="549">
        <f>IF('4.) Yearly Budget'!$T$18&gt;0,'4.) Yearly Budget'!T150,'4.) Yearly Budget'!S150)</f>
        <v>0</v>
      </c>
      <c r="T150" s="388">
        <f t="shared" si="88"/>
        <v>0</v>
      </c>
      <c r="U150" s="285">
        <f t="shared" si="89"/>
        <v>0</v>
      </c>
      <c r="V150" s="389">
        <f t="shared" si="90"/>
        <v>0</v>
      </c>
      <c r="W150" s="389">
        <f t="shared" si="91"/>
        <v>0</v>
      </c>
      <c r="X150" s="389">
        <f>'4.) Yearly Budget'!W150</f>
        <v>0</v>
      </c>
      <c r="Y150" s="390">
        <f t="shared" si="92"/>
        <v>0</v>
      </c>
      <c r="Z150" s="391">
        <f>SUM(IF(I$18&lt;&gt;0,'4.) Yearly Budget'!J150,0)+IF(L$18&lt;&gt;0,'4.) Yearly Budget'!M150,0)+IF(O$18&lt;&gt;0,'4.) Yearly Budget'!P150,0)+IF(R$18&lt;&gt;0,'4.) Yearly Budget'!S150,0))</f>
        <v>0</v>
      </c>
      <c r="AA150" s="391">
        <f t="shared" si="93"/>
        <v>0</v>
      </c>
      <c r="AB150" s="391">
        <f>'4.) Yearly Budget'!V150</f>
        <v>0</v>
      </c>
      <c r="AC150" s="392">
        <f t="shared" si="94"/>
        <v>0</v>
      </c>
      <c r="AD150" s="391">
        <f>IF(U$6&lt;&gt;0,'4.) Yearly Budget'!I150/$AM$18,0)</f>
        <v>0</v>
      </c>
      <c r="AE150" s="388">
        <f t="shared" si="95"/>
        <v>0</v>
      </c>
      <c r="AF150" s="291"/>
    </row>
    <row r="151" spans="1:32" s="68" customFormat="1">
      <c r="A151" s="258">
        <f t="shared" si="83"/>
        <v>151</v>
      </c>
      <c r="B151" s="96"/>
      <c r="C151" s="120" t="s">
        <v>90</v>
      </c>
      <c r="D151" s="50"/>
      <c r="E151" s="123"/>
      <c r="F151" s="123"/>
      <c r="G151" s="124"/>
      <c r="H151" s="95"/>
      <c r="I151" s="281">
        <f t="shared" ref="I151:AE151" si="96">SUM(I144:I150)</f>
        <v>0</v>
      </c>
      <c r="J151" s="158">
        <f t="shared" si="96"/>
        <v>0</v>
      </c>
      <c r="K151" s="393">
        <f t="shared" si="96"/>
        <v>0</v>
      </c>
      <c r="L151" s="102">
        <f t="shared" si="96"/>
        <v>0</v>
      </c>
      <c r="M151" s="158">
        <f t="shared" si="96"/>
        <v>0</v>
      </c>
      <c r="N151" s="393">
        <f t="shared" si="96"/>
        <v>0</v>
      </c>
      <c r="O151" s="102">
        <f t="shared" si="96"/>
        <v>0</v>
      </c>
      <c r="P151" s="158">
        <f t="shared" si="96"/>
        <v>0</v>
      </c>
      <c r="Q151" s="393">
        <f t="shared" si="96"/>
        <v>0</v>
      </c>
      <c r="R151" s="102">
        <f t="shared" si="96"/>
        <v>0</v>
      </c>
      <c r="S151" s="158">
        <f t="shared" si="96"/>
        <v>0</v>
      </c>
      <c r="T151" s="103">
        <f t="shared" si="96"/>
        <v>0</v>
      </c>
      <c r="U151" s="277">
        <f t="shared" si="96"/>
        <v>0</v>
      </c>
      <c r="V151" s="158">
        <f t="shared" si="96"/>
        <v>0</v>
      </c>
      <c r="W151" s="158">
        <f t="shared" si="96"/>
        <v>0</v>
      </c>
      <c r="X151" s="158">
        <f t="shared" si="96"/>
        <v>0</v>
      </c>
      <c r="Y151" s="383">
        <f t="shared" si="96"/>
        <v>0</v>
      </c>
      <c r="Z151" s="102">
        <f t="shared" si="96"/>
        <v>0</v>
      </c>
      <c r="AA151" s="102">
        <f t="shared" si="96"/>
        <v>0</v>
      </c>
      <c r="AB151" s="102">
        <f t="shared" si="96"/>
        <v>0</v>
      </c>
      <c r="AC151" s="393">
        <f t="shared" si="96"/>
        <v>0</v>
      </c>
      <c r="AD151" s="102">
        <f t="shared" si="96"/>
        <v>0</v>
      </c>
      <c r="AE151" s="105">
        <f t="shared" si="96"/>
        <v>0</v>
      </c>
      <c r="AF151" s="291"/>
    </row>
    <row r="152" spans="1:32" s="68" customFormat="1" ht="7.5" customHeight="1">
      <c r="A152" s="258">
        <f t="shared" si="83"/>
        <v>152</v>
      </c>
      <c r="B152" s="96"/>
      <c r="C152" s="119"/>
      <c r="D152" s="50"/>
      <c r="E152" s="123"/>
      <c r="F152" s="123"/>
      <c r="G152" s="124"/>
      <c r="H152" s="95"/>
      <c r="I152" s="104"/>
      <c r="J152" s="104"/>
      <c r="K152" s="104"/>
      <c r="L152" s="104"/>
      <c r="M152" s="104"/>
      <c r="N152" s="104"/>
      <c r="O152" s="104"/>
      <c r="P152" s="104"/>
      <c r="Q152" s="104"/>
      <c r="R152" s="104"/>
      <c r="S152" s="104"/>
      <c r="T152" s="105"/>
      <c r="U152" s="104"/>
      <c r="V152" s="104"/>
      <c r="W152" s="104"/>
      <c r="X152" s="104"/>
      <c r="Y152" s="104"/>
      <c r="Z152" s="104"/>
      <c r="AA152" s="104"/>
      <c r="AB152" s="104"/>
      <c r="AC152" s="104"/>
      <c r="AD152" s="104"/>
      <c r="AE152" s="105"/>
      <c r="AF152" s="291"/>
    </row>
    <row r="153" spans="1:32" s="68" customFormat="1">
      <c r="A153" s="258">
        <f t="shared" si="83"/>
        <v>153</v>
      </c>
      <c r="B153" s="96"/>
      <c r="C153" s="119" t="s">
        <v>91</v>
      </c>
      <c r="D153" s="50"/>
      <c r="E153" s="123"/>
      <c r="F153" s="123"/>
      <c r="G153" s="124"/>
      <c r="H153" s="95"/>
      <c r="I153" s="276"/>
      <c r="J153" s="102">
        <f>IF('4.) Yearly Budget'!$K$18&gt;0,'4.) Yearly Budget'!K153,'4.) Yearly Budget'!J153)</f>
        <v>0</v>
      </c>
      <c r="K153" s="382">
        <f>IF(I$18&lt;&gt;0,J153-I153,0)</f>
        <v>0</v>
      </c>
      <c r="L153" s="100"/>
      <c r="M153" s="102">
        <f>IF('4.) Yearly Budget'!$N$18&gt;0,'4.) Yearly Budget'!N153,'4.) Yearly Budget'!M153)</f>
        <v>0</v>
      </c>
      <c r="N153" s="382">
        <f>IF(L$18&lt;&gt;0,M153-L153,0)</f>
        <v>0</v>
      </c>
      <c r="O153" s="100"/>
      <c r="P153" s="102">
        <f>IF('4.) Yearly Budget'!$Q$18&gt;0,'4.) Yearly Budget'!Q153,'4.) Yearly Budget'!P153)</f>
        <v>0</v>
      </c>
      <c r="Q153" s="382">
        <f>IF(O$18&lt;&gt;0,P153-O153,0)</f>
        <v>0</v>
      </c>
      <c r="R153" s="100"/>
      <c r="S153" s="102">
        <f>IF('4.) Yearly Budget'!$T$18&gt;0,'4.) Yearly Budget'!T153,'4.) Yearly Budget'!S153)</f>
        <v>0</v>
      </c>
      <c r="T153" s="105">
        <f>IF(R$18&lt;&gt;0,S153-R153,0)</f>
        <v>0</v>
      </c>
      <c r="U153" s="277">
        <f>IF(I$6&lt;&gt;0,I153,0)+IF(L$6&lt;&gt;0,L153,0)+IF(O$6&lt;&gt;0,O153,0)+IF(R$6&lt;&gt;0,R153,0)</f>
        <v>0</v>
      </c>
      <c r="V153" s="379">
        <f>SUM(IF(I$6&lt;&gt;0,J153,0)+IF(L$6&lt;&gt;0,M153,0)+IF(O$6&lt;&gt;0,P153,0)+IF(R$6&lt;&gt;0,S153,0))</f>
        <v>0</v>
      </c>
      <c r="W153" s="379">
        <f>V153-U153</f>
        <v>0</v>
      </c>
      <c r="X153" s="379">
        <f>'4.) Yearly Budget'!W153</f>
        <v>0</v>
      </c>
      <c r="Y153" s="380">
        <f>IF(U153&lt;&gt;0,X153-U153,IF(U153=0,X153,0))</f>
        <v>0</v>
      </c>
      <c r="Z153" s="381">
        <f>SUM(IF(I$18&lt;&gt;0,'4.) Yearly Budget'!J153,0)+IF(L$18&lt;&gt;0,'4.) Yearly Budget'!M153,0)+IF(O$18&lt;&gt;0,'4.) Yearly Budget'!P153,0)+IF(R$18&lt;&gt;0,'4.) Yearly Budget'!S153,0))</f>
        <v>0</v>
      </c>
      <c r="AA153" s="381">
        <f>Z153-U153</f>
        <v>0</v>
      </c>
      <c r="AB153" s="381">
        <f>'4.) Yearly Budget'!V153</f>
        <v>0</v>
      </c>
      <c r="AC153" s="382">
        <f>IF(U153&lt;&gt;0,AB153-U153,IF(U153=0,AB153,0))</f>
        <v>0</v>
      </c>
      <c r="AD153" s="381">
        <f>IF(U$6&lt;&gt;0,'4.) Yearly Budget'!I153/$AM$18,0)</f>
        <v>0</v>
      </c>
      <c r="AE153" s="105">
        <f>AD153-U153</f>
        <v>0</v>
      </c>
      <c r="AF153" s="291"/>
    </row>
    <row r="154" spans="1:32" s="68" customFormat="1">
      <c r="A154" s="258">
        <f t="shared" si="83"/>
        <v>154</v>
      </c>
      <c r="B154" s="96"/>
      <c r="C154" s="119" t="s">
        <v>645</v>
      </c>
      <c r="D154" s="50"/>
      <c r="E154" s="123"/>
      <c r="F154" s="123"/>
      <c r="G154" s="124"/>
      <c r="H154" s="95"/>
      <c r="I154" s="276"/>
      <c r="J154" s="102">
        <f>IF('4.) Yearly Budget'!$K$18&gt;0,'4.) Yearly Budget'!K154,'4.) Yearly Budget'!J154)</f>
        <v>0</v>
      </c>
      <c r="K154" s="382">
        <f>IF(I$18&lt;&gt;0,J154-I154,0)</f>
        <v>0</v>
      </c>
      <c r="L154" s="100"/>
      <c r="M154" s="102">
        <f>IF('4.) Yearly Budget'!$N$18&gt;0,'4.) Yearly Budget'!N154,'4.) Yearly Budget'!M154)</f>
        <v>0</v>
      </c>
      <c r="N154" s="382">
        <f>IF(L$18&lt;&gt;0,M154-L154,0)</f>
        <v>0</v>
      </c>
      <c r="O154" s="100"/>
      <c r="P154" s="102">
        <f>IF('4.) Yearly Budget'!$Q$18&gt;0,'4.) Yearly Budget'!Q154,'4.) Yearly Budget'!P154)</f>
        <v>0</v>
      </c>
      <c r="Q154" s="382">
        <f>IF(O$18&lt;&gt;0,P154-O154,0)</f>
        <v>0</v>
      </c>
      <c r="R154" s="100"/>
      <c r="S154" s="102">
        <f>IF('4.) Yearly Budget'!$T$18&gt;0,'4.) Yearly Budget'!T154,'4.) Yearly Budget'!S154)</f>
        <v>0</v>
      </c>
      <c r="T154" s="105">
        <f>IF(R$18&lt;&gt;0,S154-R154,0)</f>
        <v>0</v>
      </c>
      <c r="U154" s="277">
        <f>IF(I$6&lt;&gt;0,I154,0)+IF(L$6&lt;&gt;0,L154,0)+IF(O$6&lt;&gt;0,O154,0)+IF(R$6&lt;&gt;0,R154,0)</f>
        <v>0</v>
      </c>
      <c r="V154" s="379">
        <f>SUM(IF(I$6&lt;&gt;0,J154,0)+IF(L$6&lt;&gt;0,M154,0)+IF(O$6&lt;&gt;0,P154,0)+IF(R$6&lt;&gt;0,S154,0))</f>
        <v>0</v>
      </c>
      <c r="W154" s="379">
        <f>V154-U154</f>
        <v>0</v>
      </c>
      <c r="X154" s="379">
        <f>'4.) Yearly Budget'!W154</f>
        <v>0</v>
      </c>
      <c r="Y154" s="380">
        <f>IF(U154&lt;&gt;0,X154-U154,IF(U154=0,X154,0))</f>
        <v>0</v>
      </c>
      <c r="Z154" s="381">
        <f>SUM(IF(I$18&lt;&gt;0,'4.) Yearly Budget'!J154,0)+IF(L$18&lt;&gt;0,'4.) Yearly Budget'!M154,0)+IF(O$18&lt;&gt;0,'4.) Yearly Budget'!P154,0)+IF(R$18&lt;&gt;0,'4.) Yearly Budget'!S154,0))</f>
        <v>0</v>
      </c>
      <c r="AA154" s="381">
        <f>Z154-U154</f>
        <v>0</v>
      </c>
      <c r="AB154" s="381">
        <f>'4.) Yearly Budget'!V154</f>
        <v>0</v>
      </c>
      <c r="AC154" s="382">
        <f>IF(U154&lt;&gt;0,AB154-U154,IF(U154=0,AB154,0))</f>
        <v>0</v>
      </c>
      <c r="AD154" s="381">
        <f>IF(U$6&lt;&gt;0,'4.) Yearly Budget'!I154/$AM$18,0)</f>
        <v>0</v>
      </c>
      <c r="AE154" s="105">
        <f>AD154-U154</f>
        <v>0</v>
      </c>
      <c r="AF154" s="291"/>
    </row>
    <row r="155" spans="1:32" s="68" customFormat="1">
      <c r="A155" s="258">
        <f t="shared" si="83"/>
        <v>155</v>
      </c>
      <c r="B155" s="96"/>
      <c r="C155" s="119" t="s">
        <v>577</v>
      </c>
      <c r="D155" s="50"/>
      <c r="E155" s="123"/>
      <c r="F155" s="123"/>
      <c r="G155" s="124"/>
      <c r="H155" s="95"/>
      <c r="I155" s="276"/>
      <c r="J155" s="102">
        <f>IF('4.) Yearly Budget'!$K$18&gt;0,'4.) Yearly Budget'!K155,'4.) Yearly Budget'!J155)</f>
        <v>0</v>
      </c>
      <c r="K155" s="382">
        <f>IF(I$18&lt;&gt;0,J155-I155,0)</f>
        <v>0</v>
      </c>
      <c r="L155" s="100"/>
      <c r="M155" s="102">
        <f>IF('4.) Yearly Budget'!$N$18&gt;0,'4.) Yearly Budget'!N155,'4.) Yearly Budget'!M155)</f>
        <v>0</v>
      </c>
      <c r="N155" s="382">
        <f>IF(L$18&lt;&gt;0,M155-L155,0)</f>
        <v>0</v>
      </c>
      <c r="O155" s="100"/>
      <c r="P155" s="102">
        <f>IF('4.) Yearly Budget'!$Q$18&gt;0,'4.) Yearly Budget'!Q155,'4.) Yearly Budget'!P155)</f>
        <v>0</v>
      </c>
      <c r="Q155" s="382">
        <f>IF(O$18&lt;&gt;0,P155-O155,0)</f>
        <v>0</v>
      </c>
      <c r="R155" s="100"/>
      <c r="S155" s="102">
        <f>IF('4.) Yearly Budget'!$T$18&gt;0,'4.) Yearly Budget'!T155,'4.) Yearly Budget'!S155)</f>
        <v>0</v>
      </c>
      <c r="T155" s="105">
        <f>IF(R$18&lt;&gt;0,S155-R155,0)</f>
        <v>0</v>
      </c>
      <c r="U155" s="277">
        <f>IF(I$6&lt;&gt;0,I155,0)+IF(L$6&lt;&gt;0,L155,0)+IF(O$6&lt;&gt;0,O155,0)+IF(R$6&lt;&gt;0,R155,0)</f>
        <v>0</v>
      </c>
      <c r="V155" s="379">
        <f>SUM(IF(I$6&lt;&gt;0,J155,0)+IF(L$6&lt;&gt;0,M155,0)+IF(O$6&lt;&gt;0,P155,0)+IF(R$6&lt;&gt;0,S155,0))</f>
        <v>0</v>
      </c>
      <c r="W155" s="379">
        <f>V155-U155</f>
        <v>0</v>
      </c>
      <c r="X155" s="379">
        <f>'4.) Yearly Budget'!W155</f>
        <v>0</v>
      </c>
      <c r="Y155" s="380">
        <f>IF(U155&lt;&gt;0,X155-U155,IF(U155=0,X155,0))</f>
        <v>0</v>
      </c>
      <c r="Z155" s="381">
        <f>SUM(IF(I$18&lt;&gt;0,'4.) Yearly Budget'!J155,0)+IF(L$18&lt;&gt;0,'4.) Yearly Budget'!M155,0)+IF(O$18&lt;&gt;0,'4.) Yearly Budget'!P155,0)+IF(R$18&lt;&gt;0,'4.) Yearly Budget'!S155,0))</f>
        <v>0</v>
      </c>
      <c r="AA155" s="381">
        <f>Z155-U155</f>
        <v>0</v>
      </c>
      <c r="AB155" s="381">
        <f>'4.) Yearly Budget'!V155</f>
        <v>0</v>
      </c>
      <c r="AC155" s="382">
        <f>IF(U155&lt;&gt;0,AB155-U155,IF(U155=0,AB155,0))</f>
        <v>0</v>
      </c>
      <c r="AD155" s="381">
        <f>IF(U$6&lt;&gt;0,'4.) Yearly Budget'!I155/$AM$18,0)</f>
        <v>0</v>
      </c>
      <c r="AE155" s="105">
        <f>AD155-U155</f>
        <v>0</v>
      </c>
      <c r="AF155" s="291"/>
    </row>
    <row r="156" spans="1:32" s="94" customFormat="1">
      <c r="A156" s="258">
        <f t="shared" si="83"/>
        <v>156</v>
      </c>
      <c r="B156" s="96"/>
      <c r="C156" s="119"/>
      <c r="D156" s="50"/>
      <c r="E156" s="123"/>
      <c r="F156" s="123"/>
      <c r="G156" s="124"/>
      <c r="H156" s="95"/>
      <c r="I156" s="104"/>
      <c r="J156" s="104"/>
      <c r="K156" s="104"/>
      <c r="L156" s="104"/>
      <c r="M156" s="104"/>
      <c r="N156" s="104"/>
      <c r="O156" s="104"/>
      <c r="P156" s="104"/>
      <c r="Q156" s="104"/>
      <c r="R156" s="104"/>
      <c r="S156" s="104"/>
      <c r="T156" s="105"/>
      <c r="U156" s="104"/>
      <c r="V156" s="104"/>
      <c r="W156" s="104"/>
      <c r="X156" s="104"/>
      <c r="Y156" s="104"/>
      <c r="Z156" s="104"/>
      <c r="AA156" s="104"/>
      <c r="AB156" s="104"/>
      <c r="AC156" s="104"/>
      <c r="AD156" s="104"/>
      <c r="AE156" s="105"/>
      <c r="AF156" s="291"/>
    </row>
    <row r="157" spans="1:32" s="68" customFormat="1" ht="17.25">
      <c r="A157" s="258">
        <f t="shared" si="83"/>
        <v>157</v>
      </c>
      <c r="B157" s="92" t="s">
        <v>55</v>
      </c>
      <c r="C157" s="93"/>
      <c r="D157" s="93"/>
      <c r="E157" s="94"/>
      <c r="F157" s="94"/>
      <c r="G157" s="57"/>
      <c r="H157" s="137"/>
      <c r="I157" s="299">
        <f>I106+I118+I141+I151+I153+I154+I155</f>
        <v>0</v>
      </c>
      <c r="J157" s="410">
        <f t="shared" ref="J157:AE157" si="97">J106+J118+J141+J151+J153+J154+J155</f>
        <v>0</v>
      </c>
      <c r="K157" s="157">
        <f t="shared" si="97"/>
        <v>0</v>
      </c>
      <c r="L157" s="299">
        <f t="shared" si="97"/>
        <v>0</v>
      </c>
      <c r="M157" s="410">
        <f t="shared" si="97"/>
        <v>0</v>
      </c>
      <c r="N157" s="157">
        <f t="shared" si="97"/>
        <v>0</v>
      </c>
      <c r="O157" s="299">
        <f t="shared" si="97"/>
        <v>0</v>
      </c>
      <c r="P157" s="410">
        <f t="shared" si="97"/>
        <v>0</v>
      </c>
      <c r="Q157" s="157">
        <f t="shared" si="97"/>
        <v>0</v>
      </c>
      <c r="R157" s="299">
        <f t="shared" si="97"/>
        <v>0</v>
      </c>
      <c r="S157" s="410">
        <f t="shared" si="97"/>
        <v>0</v>
      </c>
      <c r="T157" s="411">
        <f t="shared" si="97"/>
        <v>0</v>
      </c>
      <c r="U157" s="412">
        <f t="shared" si="97"/>
        <v>0</v>
      </c>
      <c r="V157" s="410">
        <f t="shared" si="97"/>
        <v>0</v>
      </c>
      <c r="W157" s="410">
        <f t="shared" si="97"/>
        <v>0</v>
      </c>
      <c r="X157" s="410">
        <f t="shared" si="97"/>
        <v>0</v>
      </c>
      <c r="Y157" s="157">
        <f t="shared" si="97"/>
        <v>0</v>
      </c>
      <c r="Z157" s="299">
        <f t="shared" si="97"/>
        <v>0</v>
      </c>
      <c r="AA157" s="410">
        <f t="shared" si="97"/>
        <v>0</v>
      </c>
      <c r="AB157" s="410">
        <f t="shared" si="97"/>
        <v>0</v>
      </c>
      <c r="AC157" s="413">
        <f t="shared" si="97"/>
        <v>0</v>
      </c>
      <c r="AD157" s="299">
        <f t="shared" si="97"/>
        <v>0</v>
      </c>
      <c r="AE157" s="411">
        <f t="shared" si="97"/>
        <v>0</v>
      </c>
      <c r="AF157" s="291"/>
    </row>
    <row r="158" spans="1:32" s="94" customFormat="1" ht="7.5" customHeight="1">
      <c r="A158" s="258">
        <f t="shared" si="83"/>
        <v>158</v>
      </c>
      <c r="B158" s="92"/>
      <c r="C158" s="93"/>
      <c r="D158" s="93"/>
      <c r="G158" s="57"/>
      <c r="H158" s="137"/>
      <c r="I158" s="138"/>
      <c r="J158" s="138"/>
      <c r="K158" s="138"/>
      <c r="L158" s="138"/>
      <c r="M158" s="138"/>
      <c r="N158" s="138"/>
      <c r="O158" s="138"/>
      <c r="P158" s="138"/>
      <c r="Q158" s="138"/>
      <c r="R158" s="138"/>
      <c r="S158" s="138"/>
      <c r="T158" s="411"/>
      <c r="U158" s="138"/>
      <c r="V158" s="138"/>
      <c r="W158" s="138"/>
      <c r="X158" s="138"/>
      <c r="Y158" s="138"/>
      <c r="Z158" s="138"/>
      <c r="AA158" s="138"/>
      <c r="AB158" s="138"/>
      <c r="AC158" s="138"/>
      <c r="AD158" s="138"/>
      <c r="AE158" s="411"/>
      <c r="AF158" s="291"/>
    </row>
    <row r="159" spans="1:32" s="68" customFormat="1" ht="18" thickBot="1">
      <c r="A159" s="258">
        <f t="shared" si="83"/>
        <v>159</v>
      </c>
      <c r="B159" s="125" t="s">
        <v>96</v>
      </c>
      <c r="C159" s="126"/>
      <c r="D159" s="126"/>
      <c r="E159" s="127"/>
      <c r="F159" s="127"/>
      <c r="G159" s="112"/>
      <c r="H159" s="139"/>
      <c r="I159" s="286">
        <f>I66-I157</f>
        <v>0</v>
      </c>
      <c r="J159" s="114">
        <f>J66-J157</f>
        <v>0</v>
      </c>
      <c r="K159" s="398">
        <f>K66+K157</f>
        <v>0</v>
      </c>
      <c r="L159" s="286">
        <f>L66-L157</f>
        <v>0</v>
      </c>
      <c r="M159" s="114">
        <f>M66-M157</f>
        <v>0</v>
      </c>
      <c r="N159" s="398">
        <f>N66+N157</f>
        <v>0</v>
      </c>
      <c r="O159" s="286">
        <f>O66-O157</f>
        <v>0</v>
      </c>
      <c r="P159" s="114">
        <f>P66-P157</f>
        <v>0</v>
      </c>
      <c r="Q159" s="398">
        <f>Q66+Q157</f>
        <v>0</v>
      </c>
      <c r="R159" s="286">
        <f>R66-R157</f>
        <v>0</v>
      </c>
      <c r="S159" s="152">
        <f>S66-S157</f>
        <v>0</v>
      </c>
      <c r="T159" s="115">
        <f>T66+T157</f>
        <v>0</v>
      </c>
      <c r="U159" s="300">
        <f>U66-U157</f>
        <v>0</v>
      </c>
      <c r="V159" s="114">
        <f>V66-V157</f>
        <v>0</v>
      </c>
      <c r="W159" s="114">
        <f>W66+W157</f>
        <v>0</v>
      </c>
      <c r="X159" s="114">
        <f>X66-X157</f>
        <v>0</v>
      </c>
      <c r="Y159" s="114">
        <f>Y66+Y157</f>
        <v>0</v>
      </c>
      <c r="Z159" s="113">
        <f>Z66-Z157</f>
        <v>0</v>
      </c>
      <c r="AA159" s="113">
        <f>AA66+AA157</f>
        <v>0</v>
      </c>
      <c r="AB159" s="113">
        <f>AB66-AB157</f>
        <v>0</v>
      </c>
      <c r="AC159" s="398">
        <f>AC66+AC157</f>
        <v>0</v>
      </c>
      <c r="AD159" s="113">
        <f>AD66-AD157</f>
        <v>0</v>
      </c>
      <c r="AE159" s="287">
        <f>AE66+AE157</f>
        <v>0</v>
      </c>
      <c r="AF159" s="414"/>
    </row>
    <row r="160" spans="1:32" s="94" customFormat="1" ht="7.5" customHeight="1" thickTop="1">
      <c r="A160" s="258">
        <f t="shared" si="83"/>
        <v>160</v>
      </c>
      <c r="B160" s="301"/>
      <c r="C160" s="301"/>
      <c r="D160" s="301"/>
      <c r="E160" s="116"/>
      <c r="F160" s="116"/>
      <c r="G160" s="117"/>
      <c r="H160" s="302"/>
      <c r="I160" s="302"/>
      <c r="J160" s="302"/>
      <c r="K160" s="302"/>
      <c r="L160" s="302"/>
      <c r="M160" s="302"/>
      <c r="N160" s="302"/>
      <c r="O160" s="302"/>
      <c r="P160" s="302"/>
      <c r="Q160" s="302"/>
      <c r="R160" s="302"/>
      <c r="S160" s="302"/>
      <c r="T160" s="302"/>
      <c r="U160" s="752"/>
      <c r="V160" s="302"/>
      <c r="W160" s="302"/>
      <c r="X160" s="302"/>
      <c r="Y160" s="302"/>
      <c r="Z160" s="302"/>
      <c r="AA160" s="302"/>
      <c r="AB160" s="302"/>
      <c r="AC160" s="302"/>
      <c r="AD160" s="302"/>
      <c r="AE160" s="302"/>
      <c r="AF160" s="415"/>
    </row>
    <row r="161" spans="1:32" s="94" customFormat="1" ht="7.5" hidden="1" customHeight="1">
      <c r="A161" s="258">
        <f t="shared" si="83"/>
        <v>161</v>
      </c>
      <c r="B161" s="81"/>
      <c r="C161" s="82"/>
      <c r="D161" s="82"/>
      <c r="G161" s="57"/>
      <c r="H161" s="128"/>
      <c r="I161" s="128"/>
      <c r="J161" s="128"/>
      <c r="K161" s="128"/>
      <c r="L161" s="128"/>
      <c r="M161" s="128"/>
      <c r="N161" s="128"/>
      <c r="O161" s="128"/>
      <c r="P161" s="128"/>
      <c r="Q161" s="128"/>
      <c r="R161" s="128"/>
      <c r="S161" s="128"/>
      <c r="T161" s="128"/>
      <c r="U161" s="416"/>
      <c r="V161" s="128"/>
      <c r="W161" s="128"/>
      <c r="X161" s="128"/>
      <c r="Y161" s="128"/>
      <c r="Z161" s="128"/>
      <c r="AA161" s="128"/>
      <c r="AB161" s="128"/>
      <c r="AC161" s="128"/>
      <c r="AD161" s="128"/>
      <c r="AE161" s="129"/>
      <c r="AF161" s="278"/>
    </row>
    <row r="162" spans="1:32">
      <c r="A162" s="258">
        <f t="shared" si="83"/>
        <v>162</v>
      </c>
      <c r="B162" s="92" t="s">
        <v>92</v>
      </c>
      <c r="C162" s="93"/>
      <c r="D162" s="93"/>
      <c r="E162" s="82"/>
      <c r="F162" s="82"/>
      <c r="G162" s="59"/>
      <c r="H162" s="130"/>
      <c r="I162" s="132"/>
      <c r="J162" s="132"/>
      <c r="K162" s="132"/>
      <c r="L162" s="132"/>
      <c r="M162" s="132"/>
      <c r="N162" s="132"/>
      <c r="O162" s="132"/>
      <c r="P162" s="132"/>
      <c r="Q162" s="132"/>
      <c r="R162" s="132"/>
      <c r="S162" s="132"/>
      <c r="T162" s="132"/>
      <c r="U162" s="417" t="s">
        <v>318</v>
      </c>
      <c r="V162" s="132"/>
      <c r="W162" s="132"/>
      <c r="X162" s="132"/>
      <c r="Y162" s="132"/>
      <c r="Z162" s="132"/>
      <c r="AA162" s="132"/>
      <c r="AB162" s="132"/>
      <c r="AC162" s="132"/>
      <c r="AD162" s="132"/>
      <c r="AE162" s="133"/>
      <c r="AF162" s="278"/>
    </row>
    <row r="163" spans="1:32">
      <c r="A163" s="258">
        <f t="shared" si="83"/>
        <v>163</v>
      </c>
      <c r="B163" s="96"/>
      <c r="C163" s="50"/>
      <c r="D163" s="50"/>
      <c r="E163" s="82" t="str">
        <f t="shared" ref="E163:E178" si="98">E18</f>
        <v>-</v>
      </c>
      <c r="F163" s="82"/>
      <c r="G163" s="59"/>
      <c r="H163" s="130"/>
      <c r="I163" s="484">
        <f>'2.) Enrollment'!P22</f>
        <v>0</v>
      </c>
      <c r="J163" s="102">
        <f>IF('4.) Yearly Budget'!$K$18&gt;0,'4.) Yearly Budget'!K163,'4.) Yearly Budget'!J163)</f>
        <v>0</v>
      </c>
      <c r="K163" s="382">
        <f t="shared" ref="K163:K178" si="99">IF(I$163&gt;0,I163-J163,0)</f>
        <v>0</v>
      </c>
      <c r="L163" s="551">
        <f>'2.) Enrollment'!Q22</f>
        <v>0</v>
      </c>
      <c r="M163" s="102">
        <f>IF('4.) Yearly Budget'!$N$18&gt;0,'4.) Yearly Budget'!N163,'4.) Yearly Budget'!M163)</f>
        <v>0</v>
      </c>
      <c r="N163" s="382">
        <f t="shared" ref="N163:N178" si="100">IF(L$163&gt;0,L163-M163,0)</f>
        <v>0</v>
      </c>
      <c r="O163" s="551">
        <f>'2.) Enrollment'!R22</f>
        <v>0</v>
      </c>
      <c r="P163" s="102">
        <f>IF('4.) Yearly Budget'!$Q$18&gt;0,'4.) Yearly Budget'!Q163,'4.) Yearly Budget'!P163)</f>
        <v>0</v>
      </c>
      <c r="Q163" s="382">
        <f t="shared" ref="Q163:Q178" si="101">IF(O$163&gt;0,O163-P163,0)</f>
        <v>0</v>
      </c>
      <c r="R163" s="551">
        <f>'2.) Enrollment'!S22</f>
        <v>0</v>
      </c>
      <c r="S163" s="102">
        <f>IF('4.) Yearly Budget'!$T$18&gt;0,'4.) Yearly Budget'!T163,'4.) Yearly Budget'!S163)</f>
        <v>0</v>
      </c>
      <c r="T163" s="105">
        <f t="shared" ref="T163:T178" si="102">IF(R$163&gt;0,R163-S163,0)</f>
        <v>0</v>
      </c>
      <c r="U163" s="283">
        <f t="shared" ref="U163:U178" si="103">IF(R$163&gt;0,R163,IF(O$163&gt;0,O163,IF(L$163&gt;0,L163,IF(I$163&gt;0,I163,0))))</f>
        <v>0</v>
      </c>
      <c r="V163" s="418">
        <f t="shared" ref="V163:V178" si="104">IF(R$163&gt;0,S163,IF(O$163&gt;0,P163,IF(L$163&gt;0,M163,IF(I$163&gt;0,J163,0))))</f>
        <v>0</v>
      </c>
      <c r="W163" s="379">
        <f t="shared" ref="W163:W178" si="105">U163-V163</f>
        <v>0</v>
      </c>
      <c r="X163" s="419"/>
      <c r="Y163" s="420"/>
      <c r="Z163" s="421">
        <f>IF(R$163&gt;0,'4.) Yearly Budget'!S163,IF(O$163&gt;0,'4.) Yearly Budget'!P163,IF(L$163&gt;0,'4.) Yearly Budget'!M163,IF(I$163&gt;0,'4.) Yearly Budget'!J163,0))))</f>
        <v>0</v>
      </c>
      <c r="AA163" s="381">
        <f t="shared" ref="AA163:AA178" si="106">U163-Z163</f>
        <v>0</v>
      </c>
      <c r="AB163" s="420"/>
      <c r="AC163" s="107"/>
      <c r="AD163" s="421">
        <f>IF(U$163&gt;0,'4.) Yearly Budget'!I163,0)</f>
        <v>0</v>
      </c>
      <c r="AE163" s="101">
        <f t="shared" ref="AE163:AE178" si="107">U163-AD163</f>
        <v>0</v>
      </c>
      <c r="AF163" s="278"/>
    </row>
    <row r="164" spans="1:32">
      <c r="A164" s="258">
        <f t="shared" si="83"/>
        <v>164</v>
      </c>
      <c r="B164" s="96"/>
      <c r="C164" s="50"/>
      <c r="D164" s="50"/>
      <c r="E164" s="82" t="str">
        <f t="shared" si="98"/>
        <v>-</v>
      </c>
      <c r="F164" s="82"/>
      <c r="G164" s="59"/>
      <c r="H164" s="130"/>
      <c r="I164" s="484">
        <f>'2.) Enrollment'!P23</f>
        <v>0</v>
      </c>
      <c r="J164" s="102">
        <f>IF('4.) Yearly Budget'!$K$18&gt;0,'4.) Yearly Budget'!K164,'4.) Yearly Budget'!J164)</f>
        <v>0</v>
      </c>
      <c r="K164" s="382">
        <f t="shared" si="99"/>
        <v>0</v>
      </c>
      <c r="L164" s="551">
        <f>'2.) Enrollment'!Q23</f>
        <v>0</v>
      </c>
      <c r="M164" s="102">
        <f>IF('4.) Yearly Budget'!$N$18&gt;0,'4.) Yearly Budget'!N164,'4.) Yearly Budget'!M164)</f>
        <v>0</v>
      </c>
      <c r="N164" s="382">
        <f t="shared" si="100"/>
        <v>0</v>
      </c>
      <c r="O164" s="551">
        <f>'2.) Enrollment'!R23</f>
        <v>0</v>
      </c>
      <c r="P164" s="102">
        <f>IF('4.) Yearly Budget'!$Q$18&gt;0,'4.) Yearly Budget'!Q164,'4.) Yearly Budget'!P164)</f>
        <v>0</v>
      </c>
      <c r="Q164" s="382">
        <f t="shared" si="101"/>
        <v>0</v>
      </c>
      <c r="R164" s="551">
        <f>'2.) Enrollment'!S23</f>
        <v>0</v>
      </c>
      <c r="S164" s="102">
        <f>IF('4.) Yearly Budget'!$T$18&gt;0,'4.) Yearly Budget'!T164,'4.) Yearly Budget'!S164)</f>
        <v>0</v>
      </c>
      <c r="T164" s="105">
        <f t="shared" si="102"/>
        <v>0</v>
      </c>
      <c r="U164" s="283">
        <f t="shared" si="103"/>
        <v>0</v>
      </c>
      <c r="V164" s="418">
        <f t="shared" si="104"/>
        <v>0</v>
      </c>
      <c r="W164" s="379">
        <f t="shared" si="105"/>
        <v>0</v>
      </c>
      <c r="X164" s="422"/>
      <c r="Y164" s="95"/>
      <c r="Z164" s="421">
        <f>IF(R$163&gt;0,'4.) Yearly Budget'!S164,IF(O$163&gt;0,'4.) Yearly Budget'!P164,IF(L$163&gt;0,'4.) Yearly Budget'!M164,IF(I$163&gt;0,'4.) Yearly Budget'!J164,0))))</f>
        <v>0</v>
      </c>
      <c r="AA164" s="381">
        <f t="shared" si="106"/>
        <v>0</v>
      </c>
      <c r="AB164" s="95"/>
      <c r="AC164" s="95"/>
      <c r="AD164" s="421">
        <f>IF(U$163&gt;0,'4.) Yearly Budget'!I164,0)</f>
        <v>0</v>
      </c>
      <c r="AE164" s="101">
        <f t="shared" si="107"/>
        <v>0</v>
      </c>
      <c r="AF164" s="278"/>
    </row>
    <row r="165" spans="1:32">
      <c r="A165" s="258">
        <f t="shared" si="83"/>
        <v>165</v>
      </c>
      <c r="B165" s="96"/>
      <c r="C165" s="50"/>
      <c r="D165" s="50"/>
      <c r="E165" s="82" t="str">
        <f t="shared" si="98"/>
        <v>-</v>
      </c>
      <c r="F165" s="82"/>
      <c r="G165" s="59"/>
      <c r="H165" s="130"/>
      <c r="I165" s="484">
        <f>'2.) Enrollment'!P24</f>
        <v>0</v>
      </c>
      <c r="J165" s="102">
        <f>IF('4.) Yearly Budget'!$K$18&gt;0,'4.) Yearly Budget'!K165,'4.) Yearly Budget'!J165)</f>
        <v>0</v>
      </c>
      <c r="K165" s="382">
        <f t="shared" si="99"/>
        <v>0</v>
      </c>
      <c r="L165" s="551">
        <f>'2.) Enrollment'!Q24</f>
        <v>0</v>
      </c>
      <c r="M165" s="102">
        <f>IF('4.) Yearly Budget'!$N$18&gt;0,'4.) Yearly Budget'!N165,'4.) Yearly Budget'!M165)</f>
        <v>0</v>
      </c>
      <c r="N165" s="382">
        <f t="shared" si="100"/>
        <v>0</v>
      </c>
      <c r="O165" s="551">
        <f>'2.) Enrollment'!R24</f>
        <v>0</v>
      </c>
      <c r="P165" s="102">
        <f>IF('4.) Yearly Budget'!$Q$18&gt;0,'4.) Yearly Budget'!Q165,'4.) Yearly Budget'!P165)</f>
        <v>0</v>
      </c>
      <c r="Q165" s="382">
        <f t="shared" si="101"/>
        <v>0</v>
      </c>
      <c r="R165" s="551">
        <f>'2.) Enrollment'!S24</f>
        <v>0</v>
      </c>
      <c r="S165" s="102">
        <f>IF('4.) Yearly Budget'!$T$18&gt;0,'4.) Yearly Budget'!T165,'4.) Yearly Budget'!S165)</f>
        <v>0</v>
      </c>
      <c r="T165" s="105">
        <f t="shared" si="102"/>
        <v>0</v>
      </c>
      <c r="U165" s="283">
        <f t="shared" si="103"/>
        <v>0</v>
      </c>
      <c r="V165" s="418">
        <f t="shared" si="104"/>
        <v>0</v>
      </c>
      <c r="W165" s="379">
        <f t="shared" si="105"/>
        <v>0</v>
      </c>
      <c r="X165" s="422"/>
      <c r="Y165" s="95"/>
      <c r="Z165" s="421">
        <f>IF(R$163&gt;0,'4.) Yearly Budget'!S165,IF(O$163&gt;0,'4.) Yearly Budget'!P165,IF(L$163&gt;0,'4.) Yearly Budget'!M165,IF(I$163&gt;0,'4.) Yearly Budget'!J165,0))))</f>
        <v>0</v>
      </c>
      <c r="AA165" s="381">
        <f t="shared" si="106"/>
        <v>0</v>
      </c>
      <c r="AB165" s="95"/>
      <c r="AC165" s="95"/>
      <c r="AD165" s="421">
        <f>IF(U$163&gt;0,'4.) Yearly Budget'!I165,0)</f>
        <v>0</v>
      </c>
      <c r="AE165" s="101">
        <f t="shared" si="107"/>
        <v>0</v>
      </c>
      <c r="AF165" s="278"/>
    </row>
    <row r="166" spans="1:32">
      <c r="A166" s="258">
        <f t="shared" si="83"/>
        <v>166</v>
      </c>
      <c r="B166" s="96"/>
      <c r="C166" s="50"/>
      <c r="D166" s="50"/>
      <c r="E166" s="82" t="str">
        <f t="shared" si="98"/>
        <v>-</v>
      </c>
      <c r="F166" s="82"/>
      <c r="G166" s="59"/>
      <c r="H166" s="130"/>
      <c r="I166" s="484">
        <f>'2.) Enrollment'!P25</f>
        <v>0</v>
      </c>
      <c r="J166" s="102">
        <f>IF('4.) Yearly Budget'!$K$18&gt;0,'4.) Yearly Budget'!K166,'4.) Yearly Budget'!J166)</f>
        <v>0</v>
      </c>
      <c r="K166" s="382">
        <f t="shared" si="99"/>
        <v>0</v>
      </c>
      <c r="L166" s="551">
        <f>'2.) Enrollment'!Q25</f>
        <v>0</v>
      </c>
      <c r="M166" s="102">
        <f>IF('4.) Yearly Budget'!$N$18&gt;0,'4.) Yearly Budget'!N166,'4.) Yearly Budget'!M166)</f>
        <v>0</v>
      </c>
      <c r="N166" s="382">
        <f t="shared" si="100"/>
        <v>0</v>
      </c>
      <c r="O166" s="551">
        <f>'2.) Enrollment'!R25</f>
        <v>0</v>
      </c>
      <c r="P166" s="102">
        <f>IF('4.) Yearly Budget'!$Q$18&gt;0,'4.) Yearly Budget'!Q166,'4.) Yearly Budget'!P166)</f>
        <v>0</v>
      </c>
      <c r="Q166" s="382">
        <f t="shared" si="101"/>
        <v>0</v>
      </c>
      <c r="R166" s="551">
        <f>'2.) Enrollment'!S25</f>
        <v>0</v>
      </c>
      <c r="S166" s="102">
        <f>IF('4.) Yearly Budget'!$T$18&gt;0,'4.) Yearly Budget'!T166,'4.) Yearly Budget'!S166)</f>
        <v>0</v>
      </c>
      <c r="T166" s="105">
        <f t="shared" si="102"/>
        <v>0</v>
      </c>
      <c r="U166" s="283">
        <f t="shared" si="103"/>
        <v>0</v>
      </c>
      <c r="V166" s="418">
        <f t="shared" si="104"/>
        <v>0</v>
      </c>
      <c r="W166" s="379">
        <f t="shared" si="105"/>
        <v>0</v>
      </c>
      <c r="X166" s="422"/>
      <c r="Y166" s="95"/>
      <c r="Z166" s="421">
        <f>IF(R$163&gt;0,'4.) Yearly Budget'!S166,IF(O$163&gt;0,'4.) Yearly Budget'!P166,IF(L$163&gt;0,'4.) Yearly Budget'!M166,IF(I$163&gt;0,'4.) Yearly Budget'!J166,0))))</f>
        <v>0</v>
      </c>
      <c r="AA166" s="381">
        <f t="shared" si="106"/>
        <v>0</v>
      </c>
      <c r="AB166" s="95"/>
      <c r="AC166" s="95"/>
      <c r="AD166" s="421">
        <f>IF(U$163&gt;0,'4.) Yearly Budget'!I166,0)</f>
        <v>0</v>
      </c>
      <c r="AE166" s="101">
        <f t="shared" si="107"/>
        <v>0</v>
      </c>
      <c r="AF166" s="278"/>
    </row>
    <row r="167" spans="1:32">
      <c r="A167" s="258">
        <f t="shared" si="83"/>
        <v>167</v>
      </c>
      <c r="B167" s="96"/>
      <c r="C167" s="50"/>
      <c r="D167" s="50"/>
      <c r="E167" s="82" t="str">
        <f t="shared" si="98"/>
        <v>-</v>
      </c>
      <c r="F167" s="82"/>
      <c r="G167" s="59"/>
      <c r="H167" s="130"/>
      <c r="I167" s="484">
        <f>'2.) Enrollment'!P26</f>
        <v>0</v>
      </c>
      <c r="J167" s="102">
        <f>IF('4.) Yearly Budget'!$K$18&gt;0,'4.) Yearly Budget'!K167,'4.) Yearly Budget'!J167)</f>
        <v>0</v>
      </c>
      <c r="K167" s="382">
        <f t="shared" si="99"/>
        <v>0</v>
      </c>
      <c r="L167" s="551">
        <f>'2.) Enrollment'!Q26</f>
        <v>0</v>
      </c>
      <c r="M167" s="102">
        <f>IF('4.) Yearly Budget'!$N$18&gt;0,'4.) Yearly Budget'!N167,'4.) Yearly Budget'!M167)</f>
        <v>0</v>
      </c>
      <c r="N167" s="382">
        <f t="shared" si="100"/>
        <v>0</v>
      </c>
      <c r="O167" s="551">
        <f>'2.) Enrollment'!R26</f>
        <v>0</v>
      </c>
      <c r="P167" s="102">
        <f>IF('4.) Yearly Budget'!$Q$18&gt;0,'4.) Yearly Budget'!Q167,'4.) Yearly Budget'!P167)</f>
        <v>0</v>
      </c>
      <c r="Q167" s="382">
        <f t="shared" si="101"/>
        <v>0</v>
      </c>
      <c r="R167" s="551">
        <f>'2.) Enrollment'!S26</f>
        <v>0</v>
      </c>
      <c r="S167" s="102">
        <f>IF('4.) Yearly Budget'!$T$18&gt;0,'4.) Yearly Budget'!T167,'4.) Yearly Budget'!S167)</f>
        <v>0</v>
      </c>
      <c r="T167" s="105">
        <f t="shared" si="102"/>
        <v>0</v>
      </c>
      <c r="U167" s="283">
        <f t="shared" si="103"/>
        <v>0</v>
      </c>
      <c r="V167" s="418">
        <f t="shared" si="104"/>
        <v>0</v>
      </c>
      <c r="W167" s="379">
        <f t="shared" si="105"/>
        <v>0</v>
      </c>
      <c r="X167" s="422"/>
      <c r="Y167" s="95"/>
      <c r="Z167" s="421">
        <f>IF(R$163&gt;0,'4.) Yearly Budget'!S167,IF(O$163&gt;0,'4.) Yearly Budget'!P167,IF(L$163&gt;0,'4.) Yearly Budget'!M167,IF(I$163&gt;0,'4.) Yearly Budget'!J167,0))))</f>
        <v>0</v>
      </c>
      <c r="AA167" s="381">
        <f t="shared" si="106"/>
        <v>0</v>
      </c>
      <c r="AB167" s="95"/>
      <c r="AC167" s="95"/>
      <c r="AD167" s="421">
        <f>IF(U$163&gt;0,'4.) Yearly Budget'!I167,0)</f>
        <v>0</v>
      </c>
      <c r="AE167" s="101">
        <f t="shared" si="107"/>
        <v>0</v>
      </c>
      <c r="AF167" s="278"/>
    </row>
    <row r="168" spans="1:32">
      <c r="A168" s="258">
        <f t="shared" si="83"/>
        <v>168</v>
      </c>
      <c r="B168" s="96"/>
      <c r="C168" s="50"/>
      <c r="D168" s="50"/>
      <c r="E168" s="82" t="str">
        <f t="shared" si="98"/>
        <v>-</v>
      </c>
      <c r="F168" s="82"/>
      <c r="G168" s="59"/>
      <c r="H168" s="130"/>
      <c r="I168" s="484">
        <f>'2.) Enrollment'!P27</f>
        <v>0</v>
      </c>
      <c r="J168" s="102">
        <f>IF('4.) Yearly Budget'!$K$18&gt;0,'4.) Yearly Budget'!K168,'4.) Yearly Budget'!J168)</f>
        <v>0</v>
      </c>
      <c r="K168" s="382">
        <f t="shared" si="99"/>
        <v>0</v>
      </c>
      <c r="L168" s="551">
        <f>'2.) Enrollment'!Q27</f>
        <v>0</v>
      </c>
      <c r="M168" s="102">
        <f>IF('4.) Yearly Budget'!$N$18&gt;0,'4.) Yearly Budget'!N168,'4.) Yearly Budget'!M168)</f>
        <v>0</v>
      </c>
      <c r="N168" s="382">
        <f t="shared" si="100"/>
        <v>0</v>
      </c>
      <c r="O168" s="551">
        <f>'2.) Enrollment'!R27</f>
        <v>0</v>
      </c>
      <c r="P168" s="102">
        <f>IF('4.) Yearly Budget'!$Q$18&gt;0,'4.) Yearly Budget'!Q168,'4.) Yearly Budget'!P168)</f>
        <v>0</v>
      </c>
      <c r="Q168" s="382">
        <f t="shared" si="101"/>
        <v>0</v>
      </c>
      <c r="R168" s="551">
        <f>'2.) Enrollment'!S27</f>
        <v>0</v>
      </c>
      <c r="S168" s="102">
        <f>IF('4.) Yearly Budget'!$T$18&gt;0,'4.) Yearly Budget'!T168,'4.) Yearly Budget'!S168)</f>
        <v>0</v>
      </c>
      <c r="T168" s="105">
        <f t="shared" si="102"/>
        <v>0</v>
      </c>
      <c r="U168" s="283">
        <f t="shared" si="103"/>
        <v>0</v>
      </c>
      <c r="V168" s="418">
        <f t="shared" si="104"/>
        <v>0</v>
      </c>
      <c r="W168" s="379">
        <f t="shared" si="105"/>
        <v>0</v>
      </c>
      <c r="X168" s="422"/>
      <c r="Y168" s="95"/>
      <c r="Z168" s="421">
        <f>IF(R$163&gt;0,'4.) Yearly Budget'!S168,IF(O$163&gt;0,'4.) Yearly Budget'!P168,IF(L$163&gt;0,'4.) Yearly Budget'!M168,IF(I$163&gt;0,'4.) Yearly Budget'!J168,0))))</f>
        <v>0</v>
      </c>
      <c r="AA168" s="381">
        <f t="shared" si="106"/>
        <v>0</v>
      </c>
      <c r="AB168" s="95"/>
      <c r="AC168" s="95"/>
      <c r="AD168" s="421">
        <f>IF(U$163&gt;0,'4.) Yearly Budget'!I168,0)</f>
        <v>0</v>
      </c>
      <c r="AE168" s="101">
        <f t="shared" si="107"/>
        <v>0</v>
      </c>
      <c r="AF168" s="278"/>
    </row>
    <row r="169" spans="1:32">
      <c r="A169" s="258">
        <f t="shared" si="83"/>
        <v>169</v>
      </c>
      <c r="B169" s="96"/>
      <c r="C169" s="50"/>
      <c r="D169" s="50"/>
      <c r="E169" s="82" t="str">
        <f t="shared" si="98"/>
        <v>-</v>
      </c>
      <c r="F169" s="82"/>
      <c r="G169" s="59"/>
      <c r="H169" s="130"/>
      <c r="I169" s="484">
        <f>'2.) Enrollment'!P28</f>
        <v>0</v>
      </c>
      <c r="J169" s="102">
        <f>IF('4.) Yearly Budget'!$K$18&gt;0,'4.) Yearly Budget'!K169,'4.) Yearly Budget'!J169)</f>
        <v>0</v>
      </c>
      <c r="K169" s="382">
        <f t="shared" si="99"/>
        <v>0</v>
      </c>
      <c r="L169" s="551">
        <f>'2.) Enrollment'!Q28</f>
        <v>0</v>
      </c>
      <c r="M169" s="102">
        <f>IF('4.) Yearly Budget'!$N$18&gt;0,'4.) Yearly Budget'!N169,'4.) Yearly Budget'!M169)</f>
        <v>0</v>
      </c>
      <c r="N169" s="382">
        <f t="shared" si="100"/>
        <v>0</v>
      </c>
      <c r="O169" s="551">
        <f>'2.) Enrollment'!R28</f>
        <v>0</v>
      </c>
      <c r="P169" s="102">
        <f>IF('4.) Yearly Budget'!$Q$18&gt;0,'4.) Yearly Budget'!Q169,'4.) Yearly Budget'!P169)</f>
        <v>0</v>
      </c>
      <c r="Q169" s="382">
        <f t="shared" si="101"/>
        <v>0</v>
      </c>
      <c r="R169" s="551">
        <f>'2.) Enrollment'!S28</f>
        <v>0</v>
      </c>
      <c r="S169" s="102">
        <f>IF('4.) Yearly Budget'!$T$18&gt;0,'4.) Yearly Budget'!T169,'4.) Yearly Budget'!S169)</f>
        <v>0</v>
      </c>
      <c r="T169" s="105">
        <f t="shared" si="102"/>
        <v>0</v>
      </c>
      <c r="U169" s="283">
        <f t="shared" si="103"/>
        <v>0</v>
      </c>
      <c r="V169" s="418">
        <f t="shared" si="104"/>
        <v>0</v>
      </c>
      <c r="W169" s="379">
        <f t="shared" si="105"/>
        <v>0</v>
      </c>
      <c r="X169" s="422"/>
      <c r="Y169" s="95"/>
      <c r="Z169" s="421">
        <f>IF(R$163&gt;0,'4.) Yearly Budget'!S169,IF(O$163&gt;0,'4.) Yearly Budget'!P169,IF(L$163&gt;0,'4.) Yearly Budget'!M169,IF(I$163&gt;0,'4.) Yearly Budget'!J169,0))))</f>
        <v>0</v>
      </c>
      <c r="AA169" s="381">
        <f t="shared" si="106"/>
        <v>0</v>
      </c>
      <c r="AB169" s="95"/>
      <c r="AC169" s="95"/>
      <c r="AD169" s="421">
        <f>IF(U$163&gt;0,'4.) Yearly Budget'!I169,0)</f>
        <v>0</v>
      </c>
      <c r="AE169" s="101">
        <f t="shared" si="107"/>
        <v>0</v>
      </c>
      <c r="AF169" s="278"/>
    </row>
    <row r="170" spans="1:32">
      <c r="A170" s="258">
        <f t="shared" si="83"/>
        <v>170</v>
      </c>
      <c r="B170" s="96"/>
      <c r="C170" s="50"/>
      <c r="D170" s="50"/>
      <c r="E170" s="82" t="str">
        <f t="shared" si="98"/>
        <v>-</v>
      </c>
      <c r="F170" s="82"/>
      <c r="G170" s="59"/>
      <c r="H170" s="130"/>
      <c r="I170" s="484">
        <f>'2.) Enrollment'!P29</f>
        <v>0</v>
      </c>
      <c r="J170" s="102">
        <f>IF('4.) Yearly Budget'!$K$18&gt;0,'4.) Yearly Budget'!K170,'4.) Yearly Budget'!J170)</f>
        <v>0</v>
      </c>
      <c r="K170" s="382">
        <f t="shared" si="99"/>
        <v>0</v>
      </c>
      <c r="L170" s="551">
        <f>'2.) Enrollment'!Q29</f>
        <v>0</v>
      </c>
      <c r="M170" s="102">
        <f>IF('4.) Yearly Budget'!$N$18&gt;0,'4.) Yearly Budget'!N170,'4.) Yearly Budget'!M170)</f>
        <v>0</v>
      </c>
      <c r="N170" s="382">
        <f t="shared" si="100"/>
        <v>0</v>
      </c>
      <c r="O170" s="551">
        <f>'2.) Enrollment'!R29</f>
        <v>0</v>
      </c>
      <c r="P170" s="102">
        <f>IF('4.) Yearly Budget'!$Q$18&gt;0,'4.) Yearly Budget'!Q170,'4.) Yearly Budget'!P170)</f>
        <v>0</v>
      </c>
      <c r="Q170" s="382">
        <f t="shared" si="101"/>
        <v>0</v>
      </c>
      <c r="R170" s="551">
        <f>'2.) Enrollment'!S29</f>
        <v>0</v>
      </c>
      <c r="S170" s="102">
        <f>IF('4.) Yearly Budget'!$T$18&gt;0,'4.) Yearly Budget'!T170,'4.) Yearly Budget'!S170)</f>
        <v>0</v>
      </c>
      <c r="T170" s="105">
        <f t="shared" si="102"/>
        <v>0</v>
      </c>
      <c r="U170" s="283">
        <f t="shared" si="103"/>
        <v>0</v>
      </c>
      <c r="V170" s="418">
        <f t="shared" si="104"/>
        <v>0</v>
      </c>
      <c r="W170" s="379">
        <f t="shared" si="105"/>
        <v>0</v>
      </c>
      <c r="X170" s="422"/>
      <c r="Y170" s="95"/>
      <c r="Z170" s="421">
        <f>IF(R$163&gt;0,'4.) Yearly Budget'!S170,IF(O$163&gt;0,'4.) Yearly Budget'!P170,IF(L$163&gt;0,'4.) Yearly Budget'!M170,IF(I$163&gt;0,'4.) Yearly Budget'!J170,0))))</f>
        <v>0</v>
      </c>
      <c r="AA170" s="381">
        <f t="shared" si="106"/>
        <v>0</v>
      </c>
      <c r="AB170" s="95"/>
      <c r="AC170" s="95"/>
      <c r="AD170" s="421">
        <f>IF(U$163&gt;0,'4.) Yearly Budget'!I170,0)</f>
        <v>0</v>
      </c>
      <c r="AE170" s="101">
        <f t="shared" si="107"/>
        <v>0</v>
      </c>
      <c r="AF170" s="278"/>
    </row>
    <row r="171" spans="1:32">
      <c r="A171" s="258">
        <f t="shared" si="83"/>
        <v>171</v>
      </c>
      <c r="B171" s="96"/>
      <c r="C171" s="50"/>
      <c r="D171" s="50"/>
      <c r="E171" s="82" t="str">
        <f t="shared" si="98"/>
        <v>-</v>
      </c>
      <c r="F171" s="82"/>
      <c r="G171" s="59"/>
      <c r="H171" s="130"/>
      <c r="I171" s="484">
        <f>'2.) Enrollment'!P30</f>
        <v>0</v>
      </c>
      <c r="J171" s="102">
        <f>IF('4.) Yearly Budget'!$K$18&gt;0,'4.) Yearly Budget'!K171,'4.) Yearly Budget'!J171)</f>
        <v>0</v>
      </c>
      <c r="K171" s="382">
        <f t="shared" si="99"/>
        <v>0</v>
      </c>
      <c r="L171" s="551">
        <f>'2.) Enrollment'!Q30</f>
        <v>0</v>
      </c>
      <c r="M171" s="102">
        <f>IF('4.) Yearly Budget'!$N$18&gt;0,'4.) Yearly Budget'!N171,'4.) Yearly Budget'!M171)</f>
        <v>0</v>
      </c>
      <c r="N171" s="382">
        <f t="shared" si="100"/>
        <v>0</v>
      </c>
      <c r="O171" s="551">
        <f>'2.) Enrollment'!R30</f>
        <v>0</v>
      </c>
      <c r="P171" s="102">
        <f>IF('4.) Yearly Budget'!$Q$18&gt;0,'4.) Yearly Budget'!Q171,'4.) Yearly Budget'!P171)</f>
        <v>0</v>
      </c>
      <c r="Q171" s="382">
        <f t="shared" si="101"/>
        <v>0</v>
      </c>
      <c r="R171" s="551">
        <f>'2.) Enrollment'!S30</f>
        <v>0</v>
      </c>
      <c r="S171" s="102">
        <f>IF('4.) Yearly Budget'!$T$18&gt;0,'4.) Yearly Budget'!T171,'4.) Yearly Budget'!S171)</f>
        <v>0</v>
      </c>
      <c r="T171" s="105">
        <f t="shared" si="102"/>
        <v>0</v>
      </c>
      <c r="U171" s="283">
        <f t="shared" si="103"/>
        <v>0</v>
      </c>
      <c r="V171" s="418">
        <f t="shared" si="104"/>
        <v>0</v>
      </c>
      <c r="W171" s="379">
        <f t="shared" si="105"/>
        <v>0</v>
      </c>
      <c r="X171" s="422"/>
      <c r="Y171" s="95"/>
      <c r="Z171" s="421">
        <f>IF(R$163&gt;0,'4.) Yearly Budget'!S171,IF(O$163&gt;0,'4.) Yearly Budget'!P171,IF(L$163&gt;0,'4.) Yearly Budget'!M171,IF(I$163&gt;0,'4.) Yearly Budget'!J171,0))))</f>
        <v>0</v>
      </c>
      <c r="AA171" s="381">
        <f t="shared" si="106"/>
        <v>0</v>
      </c>
      <c r="AB171" s="95"/>
      <c r="AC171" s="95"/>
      <c r="AD171" s="421">
        <f>IF(U$163&gt;0,'4.) Yearly Budget'!I171,0)</f>
        <v>0</v>
      </c>
      <c r="AE171" s="101">
        <f t="shared" si="107"/>
        <v>0</v>
      </c>
      <c r="AF171" s="278"/>
    </row>
    <row r="172" spans="1:32">
      <c r="A172" s="258">
        <f t="shared" si="83"/>
        <v>172</v>
      </c>
      <c r="B172" s="96"/>
      <c r="C172" s="50"/>
      <c r="D172" s="50"/>
      <c r="E172" s="82" t="str">
        <f t="shared" si="98"/>
        <v>-</v>
      </c>
      <c r="F172" s="82"/>
      <c r="G172" s="59"/>
      <c r="H172" s="130"/>
      <c r="I172" s="484">
        <f>'2.) Enrollment'!P31</f>
        <v>0</v>
      </c>
      <c r="J172" s="102">
        <f>IF('4.) Yearly Budget'!$K$18&gt;0,'4.) Yearly Budget'!K172,'4.) Yearly Budget'!J172)</f>
        <v>0</v>
      </c>
      <c r="K172" s="382">
        <f t="shared" si="99"/>
        <v>0</v>
      </c>
      <c r="L172" s="551">
        <f>'2.) Enrollment'!Q31</f>
        <v>0</v>
      </c>
      <c r="M172" s="102">
        <f>IF('4.) Yearly Budget'!$N$18&gt;0,'4.) Yearly Budget'!N172,'4.) Yearly Budget'!M172)</f>
        <v>0</v>
      </c>
      <c r="N172" s="382">
        <f t="shared" si="100"/>
        <v>0</v>
      </c>
      <c r="O172" s="551">
        <f>'2.) Enrollment'!R31</f>
        <v>0</v>
      </c>
      <c r="P172" s="102">
        <f>IF('4.) Yearly Budget'!$Q$18&gt;0,'4.) Yearly Budget'!Q172,'4.) Yearly Budget'!P172)</f>
        <v>0</v>
      </c>
      <c r="Q172" s="382">
        <f t="shared" si="101"/>
        <v>0</v>
      </c>
      <c r="R172" s="551">
        <f>'2.) Enrollment'!S31</f>
        <v>0</v>
      </c>
      <c r="S172" s="102">
        <f>IF('4.) Yearly Budget'!$T$18&gt;0,'4.) Yearly Budget'!T172,'4.) Yearly Budget'!S172)</f>
        <v>0</v>
      </c>
      <c r="T172" s="105">
        <f t="shared" si="102"/>
        <v>0</v>
      </c>
      <c r="U172" s="283">
        <f t="shared" si="103"/>
        <v>0</v>
      </c>
      <c r="V172" s="418">
        <f t="shared" si="104"/>
        <v>0</v>
      </c>
      <c r="W172" s="379">
        <f t="shared" si="105"/>
        <v>0</v>
      </c>
      <c r="X172" s="422"/>
      <c r="Y172" s="95"/>
      <c r="Z172" s="421">
        <f>IF(R$163&gt;0,'4.) Yearly Budget'!S172,IF(O$163&gt;0,'4.) Yearly Budget'!P172,IF(L$163&gt;0,'4.) Yearly Budget'!M172,IF(I$163&gt;0,'4.) Yearly Budget'!J172,0))))</f>
        <v>0</v>
      </c>
      <c r="AA172" s="381">
        <f t="shared" si="106"/>
        <v>0</v>
      </c>
      <c r="AB172" s="95"/>
      <c r="AC172" s="95"/>
      <c r="AD172" s="421">
        <f>IF(U$163&gt;0,'4.) Yearly Budget'!I172,0)</f>
        <v>0</v>
      </c>
      <c r="AE172" s="101">
        <f t="shared" si="107"/>
        <v>0</v>
      </c>
      <c r="AF172" s="278"/>
    </row>
    <row r="173" spans="1:32">
      <c r="A173" s="258">
        <f t="shared" si="83"/>
        <v>173</v>
      </c>
      <c r="B173" s="96"/>
      <c r="C173" s="50"/>
      <c r="D173" s="50"/>
      <c r="E173" s="82" t="str">
        <f t="shared" si="98"/>
        <v>-</v>
      </c>
      <c r="F173" s="82"/>
      <c r="G173" s="59"/>
      <c r="H173" s="130"/>
      <c r="I173" s="484">
        <f>'2.) Enrollment'!P32</f>
        <v>0</v>
      </c>
      <c r="J173" s="102">
        <f>IF('4.) Yearly Budget'!$K$18&gt;0,'4.) Yearly Budget'!K173,'4.) Yearly Budget'!J173)</f>
        <v>0</v>
      </c>
      <c r="K173" s="382">
        <f t="shared" si="99"/>
        <v>0</v>
      </c>
      <c r="L173" s="551">
        <f>'2.) Enrollment'!Q32</f>
        <v>0</v>
      </c>
      <c r="M173" s="102">
        <f>IF('4.) Yearly Budget'!$N$18&gt;0,'4.) Yearly Budget'!N173,'4.) Yearly Budget'!M173)</f>
        <v>0</v>
      </c>
      <c r="N173" s="382">
        <f t="shared" si="100"/>
        <v>0</v>
      </c>
      <c r="O173" s="551">
        <f>'2.) Enrollment'!R32</f>
        <v>0</v>
      </c>
      <c r="P173" s="102">
        <f>IF('4.) Yearly Budget'!$Q$18&gt;0,'4.) Yearly Budget'!Q173,'4.) Yearly Budget'!P173)</f>
        <v>0</v>
      </c>
      <c r="Q173" s="382">
        <f t="shared" si="101"/>
        <v>0</v>
      </c>
      <c r="R173" s="551">
        <f>'2.) Enrollment'!S32</f>
        <v>0</v>
      </c>
      <c r="S173" s="102">
        <f>IF('4.) Yearly Budget'!$T$18&gt;0,'4.) Yearly Budget'!T173,'4.) Yearly Budget'!S173)</f>
        <v>0</v>
      </c>
      <c r="T173" s="105">
        <f t="shared" si="102"/>
        <v>0</v>
      </c>
      <c r="U173" s="283">
        <f t="shared" si="103"/>
        <v>0</v>
      </c>
      <c r="V173" s="418">
        <f t="shared" si="104"/>
        <v>0</v>
      </c>
      <c r="W173" s="379">
        <f t="shared" si="105"/>
        <v>0</v>
      </c>
      <c r="X173" s="422"/>
      <c r="Y173" s="95"/>
      <c r="Z173" s="421">
        <f>IF(R$163&gt;0,'4.) Yearly Budget'!S173,IF(O$163&gt;0,'4.) Yearly Budget'!P173,IF(L$163&gt;0,'4.) Yearly Budget'!M173,IF(I$163&gt;0,'4.) Yearly Budget'!J173,0))))</f>
        <v>0</v>
      </c>
      <c r="AA173" s="381">
        <f t="shared" si="106"/>
        <v>0</v>
      </c>
      <c r="AB173" s="95"/>
      <c r="AC173" s="95"/>
      <c r="AD173" s="421">
        <f>IF(U$163&gt;0,'4.) Yearly Budget'!I173,0)</f>
        <v>0</v>
      </c>
      <c r="AE173" s="101">
        <f t="shared" si="107"/>
        <v>0</v>
      </c>
      <c r="AF173" s="278"/>
    </row>
    <row r="174" spans="1:32">
      <c r="A174" s="258">
        <f t="shared" si="83"/>
        <v>174</v>
      </c>
      <c r="B174" s="96"/>
      <c r="C174" s="50"/>
      <c r="D174" s="50"/>
      <c r="E174" s="82" t="str">
        <f t="shared" si="98"/>
        <v>-</v>
      </c>
      <c r="F174" s="82"/>
      <c r="G174" s="59"/>
      <c r="H174" s="130"/>
      <c r="I174" s="484">
        <f>'2.) Enrollment'!P33</f>
        <v>0</v>
      </c>
      <c r="J174" s="102">
        <f>IF('4.) Yearly Budget'!$K$18&gt;0,'4.) Yearly Budget'!K174,'4.) Yearly Budget'!J174)</f>
        <v>0</v>
      </c>
      <c r="K174" s="382">
        <f t="shared" si="99"/>
        <v>0</v>
      </c>
      <c r="L174" s="551">
        <f>'2.) Enrollment'!Q33</f>
        <v>0</v>
      </c>
      <c r="M174" s="102">
        <f>IF('4.) Yearly Budget'!$N$18&gt;0,'4.) Yearly Budget'!N174,'4.) Yearly Budget'!M174)</f>
        <v>0</v>
      </c>
      <c r="N174" s="382">
        <f t="shared" si="100"/>
        <v>0</v>
      </c>
      <c r="O174" s="551">
        <f>'2.) Enrollment'!R33</f>
        <v>0</v>
      </c>
      <c r="P174" s="102">
        <f>IF('4.) Yearly Budget'!$Q$18&gt;0,'4.) Yearly Budget'!Q174,'4.) Yearly Budget'!P174)</f>
        <v>0</v>
      </c>
      <c r="Q174" s="382">
        <f t="shared" si="101"/>
        <v>0</v>
      </c>
      <c r="R174" s="551">
        <f>'2.) Enrollment'!S33</f>
        <v>0</v>
      </c>
      <c r="S174" s="102">
        <f>IF('4.) Yearly Budget'!$T$18&gt;0,'4.) Yearly Budget'!T174,'4.) Yearly Budget'!S174)</f>
        <v>0</v>
      </c>
      <c r="T174" s="105">
        <f t="shared" si="102"/>
        <v>0</v>
      </c>
      <c r="U174" s="283">
        <f t="shared" si="103"/>
        <v>0</v>
      </c>
      <c r="V174" s="418">
        <f t="shared" si="104"/>
        <v>0</v>
      </c>
      <c r="W174" s="379">
        <f t="shared" si="105"/>
        <v>0</v>
      </c>
      <c r="X174" s="422"/>
      <c r="Y174" s="95"/>
      <c r="Z174" s="421">
        <f>IF(R$163&gt;0,'4.) Yearly Budget'!S174,IF(O$163&gt;0,'4.) Yearly Budget'!P174,IF(L$163&gt;0,'4.) Yearly Budget'!M174,IF(I$163&gt;0,'4.) Yearly Budget'!J174,0))))</f>
        <v>0</v>
      </c>
      <c r="AA174" s="381">
        <f t="shared" si="106"/>
        <v>0</v>
      </c>
      <c r="AB174" s="95"/>
      <c r="AC174" s="95"/>
      <c r="AD174" s="421">
        <f>IF(U$163&gt;0,'4.) Yearly Budget'!I174,0)</f>
        <v>0</v>
      </c>
      <c r="AE174" s="101">
        <f t="shared" si="107"/>
        <v>0</v>
      </c>
      <c r="AF174" s="278"/>
    </row>
    <row r="175" spans="1:32">
      <c r="A175" s="258">
        <f t="shared" si="83"/>
        <v>175</v>
      </c>
      <c r="B175" s="96"/>
      <c r="C175" s="50"/>
      <c r="D175" s="50"/>
      <c r="E175" s="82" t="str">
        <f t="shared" si="98"/>
        <v>-</v>
      </c>
      <c r="F175" s="82"/>
      <c r="G175" s="59"/>
      <c r="H175" s="130"/>
      <c r="I175" s="484">
        <f>'2.) Enrollment'!P34</f>
        <v>0</v>
      </c>
      <c r="J175" s="102">
        <f>IF('4.) Yearly Budget'!$K$18&gt;0,'4.) Yearly Budget'!K175,'4.) Yearly Budget'!J175)</f>
        <v>0</v>
      </c>
      <c r="K175" s="382">
        <f t="shared" si="99"/>
        <v>0</v>
      </c>
      <c r="L175" s="551">
        <f>'2.) Enrollment'!Q34</f>
        <v>0</v>
      </c>
      <c r="M175" s="102">
        <f>IF('4.) Yearly Budget'!$N$18&gt;0,'4.) Yearly Budget'!N175,'4.) Yearly Budget'!M175)</f>
        <v>0</v>
      </c>
      <c r="N175" s="382">
        <f t="shared" si="100"/>
        <v>0</v>
      </c>
      <c r="O175" s="551">
        <f>'2.) Enrollment'!R34</f>
        <v>0</v>
      </c>
      <c r="P175" s="102">
        <f>IF('4.) Yearly Budget'!$Q$18&gt;0,'4.) Yearly Budget'!Q175,'4.) Yearly Budget'!P175)</f>
        <v>0</v>
      </c>
      <c r="Q175" s="382">
        <f t="shared" si="101"/>
        <v>0</v>
      </c>
      <c r="R175" s="551">
        <f>'2.) Enrollment'!S34</f>
        <v>0</v>
      </c>
      <c r="S175" s="102">
        <f>IF('4.) Yearly Budget'!$T$18&gt;0,'4.) Yearly Budget'!T175,'4.) Yearly Budget'!S175)</f>
        <v>0</v>
      </c>
      <c r="T175" s="105">
        <f t="shared" si="102"/>
        <v>0</v>
      </c>
      <c r="U175" s="283">
        <f t="shared" si="103"/>
        <v>0</v>
      </c>
      <c r="V175" s="418">
        <f t="shared" si="104"/>
        <v>0</v>
      </c>
      <c r="W175" s="379">
        <f t="shared" si="105"/>
        <v>0</v>
      </c>
      <c r="X175" s="422"/>
      <c r="Y175" s="95"/>
      <c r="Z175" s="421">
        <f>IF(R$163&gt;0,'4.) Yearly Budget'!S175,IF(O$163&gt;0,'4.) Yearly Budget'!P175,IF(L$163&gt;0,'4.) Yearly Budget'!M175,IF(I$163&gt;0,'4.) Yearly Budget'!J175,0))))</f>
        <v>0</v>
      </c>
      <c r="AA175" s="381">
        <f t="shared" si="106"/>
        <v>0</v>
      </c>
      <c r="AB175" s="95"/>
      <c r="AC175" s="95"/>
      <c r="AD175" s="421">
        <f>IF(U$163&gt;0,'4.) Yearly Budget'!I175,0)</f>
        <v>0</v>
      </c>
      <c r="AE175" s="101">
        <f t="shared" si="107"/>
        <v>0</v>
      </c>
      <c r="AF175" s="278"/>
    </row>
    <row r="176" spans="1:32">
      <c r="A176" s="258">
        <f t="shared" si="83"/>
        <v>176</v>
      </c>
      <c r="B176" s="96"/>
      <c r="C176" s="50"/>
      <c r="D176" s="50"/>
      <c r="E176" s="82" t="str">
        <f t="shared" si="98"/>
        <v>-</v>
      </c>
      <c r="F176" s="82"/>
      <c r="G176" s="59"/>
      <c r="H176" s="130"/>
      <c r="I176" s="484">
        <f>'2.) Enrollment'!P35</f>
        <v>0</v>
      </c>
      <c r="J176" s="102">
        <f>IF('4.) Yearly Budget'!$K$18&gt;0,'4.) Yearly Budget'!K176,'4.) Yearly Budget'!J176)</f>
        <v>0</v>
      </c>
      <c r="K176" s="382">
        <f t="shared" si="99"/>
        <v>0</v>
      </c>
      <c r="L176" s="551">
        <f>'2.) Enrollment'!Q35</f>
        <v>0</v>
      </c>
      <c r="M176" s="102">
        <f>IF('4.) Yearly Budget'!$N$18&gt;0,'4.) Yearly Budget'!N176,'4.) Yearly Budget'!M176)</f>
        <v>0</v>
      </c>
      <c r="N176" s="382">
        <f t="shared" si="100"/>
        <v>0</v>
      </c>
      <c r="O176" s="551">
        <f>'2.) Enrollment'!R35</f>
        <v>0</v>
      </c>
      <c r="P176" s="102">
        <f>IF('4.) Yearly Budget'!$Q$18&gt;0,'4.) Yearly Budget'!Q176,'4.) Yearly Budget'!P176)</f>
        <v>0</v>
      </c>
      <c r="Q176" s="382">
        <f t="shared" si="101"/>
        <v>0</v>
      </c>
      <c r="R176" s="551">
        <f>'2.) Enrollment'!S35</f>
        <v>0</v>
      </c>
      <c r="S176" s="102">
        <f>IF('4.) Yearly Budget'!$T$18&gt;0,'4.) Yearly Budget'!T176,'4.) Yearly Budget'!S176)</f>
        <v>0</v>
      </c>
      <c r="T176" s="105">
        <f t="shared" si="102"/>
        <v>0</v>
      </c>
      <c r="U176" s="283">
        <f t="shared" si="103"/>
        <v>0</v>
      </c>
      <c r="V176" s="418">
        <f t="shared" si="104"/>
        <v>0</v>
      </c>
      <c r="W176" s="379">
        <f t="shared" si="105"/>
        <v>0</v>
      </c>
      <c r="X176" s="422"/>
      <c r="Y176" s="95"/>
      <c r="Z176" s="421">
        <f>IF(R$163&gt;0,'4.) Yearly Budget'!S176,IF(O$163&gt;0,'4.) Yearly Budget'!P176,IF(L$163&gt;0,'4.) Yearly Budget'!M176,IF(I$163&gt;0,'4.) Yearly Budget'!J176,0))))</f>
        <v>0</v>
      </c>
      <c r="AA176" s="381">
        <f t="shared" si="106"/>
        <v>0</v>
      </c>
      <c r="AB176" s="95"/>
      <c r="AC176" s="95"/>
      <c r="AD176" s="421">
        <f>IF(U$163&gt;0,'4.) Yearly Budget'!I176,0)</f>
        <v>0</v>
      </c>
      <c r="AE176" s="101">
        <f t="shared" si="107"/>
        <v>0</v>
      </c>
      <c r="AF176" s="278"/>
    </row>
    <row r="177" spans="1:32">
      <c r="A177" s="258">
        <f t="shared" si="83"/>
        <v>177</v>
      </c>
      <c r="B177" s="96"/>
      <c r="C177" s="50"/>
      <c r="D177" s="50"/>
      <c r="E177" s="82" t="str">
        <f t="shared" si="98"/>
        <v>-</v>
      </c>
      <c r="F177" s="82"/>
      <c r="G177" s="59"/>
      <c r="H177" s="130"/>
      <c r="I177" s="484">
        <f>'2.) Enrollment'!P36</f>
        <v>0</v>
      </c>
      <c r="J177" s="102">
        <f>IF('4.) Yearly Budget'!$K$18&gt;0,'4.) Yearly Budget'!K177,'4.) Yearly Budget'!J177)</f>
        <v>0</v>
      </c>
      <c r="K177" s="382">
        <f t="shared" si="99"/>
        <v>0</v>
      </c>
      <c r="L177" s="551">
        <f>'2.) Enrollment'!Q36</f>
        <v>0</v>
      </c>
      <c r="M177" s="102">
        <f>IF('4.) Yearly Budget'!$N$18&gt;0,'4.) Yearly Budget'!N177,'4.) Yearly Budget'!M177)</f>
        <v>0</v>
      </c>
      <c r="N177" s="382">
        <f t="shared" si="100"/>
        <v>0</v>
      </c>
      <c r="O177" s="551">
        <f>'2.) Enrollment'!R36</f>
        <v>0</v>
      </c>
      <c r="P177" s="102">
        <f>IF('4.) Yearly Budget'!$Q$18&gt;0,'4.) Yearly Budget'!Q177,'4.) Yearly Budget'!P177)</f>
        <v>0</v>
      </c>
      <c r="Q177" s="382">
        <f t="shared" si="101"/>
        <v>0</v>
      </c>
      <c r="R177" s="551">
        <f>'2.) Enrollment'!S36</f>
        <v>0</v>
      </c>
      <c r="S177" s="102">
        <f>IF('4.) Yearly Budget'!$T$18&gt;0,'4.) Yearly Budget'!T177,'4.) Yearly Budget'!S177)</f>
        <v>0</v>
      </c>
      <c r="T177" s="105">
        <f t="shared" si="102"/>
        <v>0</v>
      </c>
      <c r="U177" s="283">
        <f t="shared" si="103"/>
        <v>0</v>
      </c>
      <c r="V177" s="418">
        <f t="shared" si="104"/>
        <v>0</v>
      </c>
      <c r="W177" s="379">
        <f t="shared" si="105"/>
        <v>0</v>
      </c>
      <c r="X177" s="422"/>
      <c r="Y177" s="95"/>
      <c r="Z177" s="421">
        <f>IF(R$163&gt;0,'4.) Yearly Budget'!S177,IF(O$163&gt;0,'4.) Yearly Budget'!P177,IF(L$163&gt;0,'4.) Yearly Budget'!M177,IF(I$163&gt;0,'4.) Yearly Budget'!J177,0))))</f>
        <v>0</v>
      </c>
      <c r="AA177" s="381">
        <f t="shared" si="106"/>
        <v>0</v>
      </c>
      <c r="AB177" s="95"/>
      <c r="AC177" s="95"/>
      <c r="AD177" s="421">
        <f>IF(U$163&gt;0,'4.) Yearly Budget'!I177,0)</f>
        <v>0</v>
      </c>
      <c r="AE177" s="101">
        <f t="shared" si="107"/>
        <v>0</v>
      </c>
      <c r="AF177" s="278"/>
    </row>
    <row r="178" spans="1:32" ht="17.25">
      <c r="A178" s="258">
        <f t="shared" si="83"/>
        <v>178</v>
      </c>
      <c r="B178" s="96"/>
      <c r="C178" s="50"/>
      <c r="D178" s="50"/>
      <c r="E178" s="82" t="str">
        <f t="shared" si="98"/>
        <v>ALL OTHER School Districts: ( Count = 0 )</v>
      </c>
      <c r="F178" s="82"/>
      <c r="G178" s="59"/>
      <c r="H178" s="153"/>
      <c r="I178" s="484">
        <f>SUM('2.) Enrollment'!P37:P71)</f>
        <v>0</v>
      </c>
      <c r="J178" s="102">
        <f>IF('4.) Yearly Budget'!$K$18&gt;0,'4.) Yearly Budget'!K178,'4.) Yearly Budget'!J178)</f>
        <v>0</v>
      </c>
      <c r="K178" s="382">
        <f t="shared" si="99"/>
        <v>0</v>
      </c>
      <c r="L178" s="484">
        <f>SUM('2.) Enrollment'!Q37:Q71)</f>
        <v>0</v>
      </c>
      <c r="M178" s="102">
        <f>IF('4.) Yearly Budget'!$N$18&gt;0,'4.) Yearly Budget'!N178,'4.) Yearly Budget'!M178)</f>
        <v>0</v>
      </c>
      <c r="N178" s="382">
        <f t="shared" si="100"/>
        <v>0</v>
      </c>
      <c r="O178" s="484">
        <f>SUM('2.) Enrollment'!R37:R71)</f>
        <v>0</v>
      </c>
      <c r="P178" s="102">
        <f>IF('4.) Yearly Budget'!$Q$18&gt;0,'4.) Yearly Budget'!Q178,'4.) Yearly Budget'!P178)</f>
        <v>0</v>
      </c>
      <c r="Q178" s="382">
        <f t="shared" si="101"/>
        <v>0</v>
      </c>
      <c r="R178" s="484">
        <f>SUM('2.) Enrollment'!S37:S71)</f>
        <v>0</v>
      </c>
      <c r="S178" s="102">
        <f>IF('4.) Yearly Budget'!$T$18&gt;0,'4.) Yearly Budget'!T178,'4.) Yearly Budget'!S178)</f>
        <v>0</v>
      </c>
      <c r="T178" s="105">
        <f t="shared" si="102"/>
        <v>0</v>
      </c>
      <c r="U178" s="283">
        <f t="shared" si="103"/>
        <v>0</v>
      </c>
      <c r="V178" s="418">
        <f t="shared" si="104"/>
        <v>0</v>
      </c>
      <c r="W178" s="379">
        <f t="shared" si="105"/>
        <v>0</v>
      </c>
      <c r="X178" s="422"/>
      <c r="Y178" s="95"/>
      <c r="Z178" s="421">
        <f>IF(R$163&gt;0,'4.) Yearly Budget'!S178,IF(O$163&gt;0,'4.) Yearly Budget'!P178,IF(L$163&gt;0,'4.) Yearly Budget'!M178,IF(I$163&gt;0,'4.) Yearly Budget'!J178,0))))</f>
        <v>0</v>
      </c>
      <c r="AA178" s="381">
        <f t="shared" si="106"/>
        <v>0</v>
      </c>
      <c r="AB178" s="95"/>
      <c r="AC178" s="95"/>
      <c r="AD178" s="421">
        <f>IF(U$163&gt;0,'4.) Yearly Budget'!I178,0)</f>
        <v>0</v>
      </c>
      <c r="AE178" s="101">
        <f t="shared" si="107"/>
        <v>0</v>
      </c>
      <c r="AF178" s="278"/>
    </row>
    <row r="179" spans="1:32" ht="17.25">
      <c r="A179" s="258">
        <f t="shared" si="83"/>
        <v>179</v>
      </c>
      <c r="B179" s="65" t="s">
        <v>93</v>
      </c>
      <c r="C179" s="66"/>
      <c r="D179" s="66"/>
      <c r="E179" s="82"/>
      <c r="F179" s="82"/>
      <c r="G179" s="59"/>
      <c r="H179" s="144"/>
      <c r="I179" s="305">
        <f t="shared" ref="I179:W179" si="108">SUM(I163:I178)</f>
        <v>0</v>
      </c>
      <c r="J179" s="423">
        <f t="shared" si="108"/>
        <v>0</v>
      </c>
      <c r="K179" s="424">
        <f t="shared" si="108"/>
        <v>0</v>
      </c>
      <c r="L179" s="425">
        <f t="shared" si="108"/>
        <v>0</v>
      </c>
      <c r="M179" s="423">
        <f t="shared" si="108"/>
        <v>0</v>
      </c>
      <c r="N179" s="424">
        <f t="shared" si="108"/>
        <v>0</v>
      </c>
      <c r="O179" s="425">
        <f t="shared" si="108"/>
        <v>0</v>
      </c>
      <c r="P179" s="423">
        <f t="shared" si="108"/>
        <v>0</v>
      </c>
      <c r="Q179" s="424">
        <f t="shared" si="108"/>
        <v>0</v>
      </c>
      <c r="R179" s="425">
        <f t="shared" si="108"/>
        <v>0</v>
      </c>
      <c r="S179" s="423">
        <f t="shared" si="108"/>
        <v>0</v>
      </c>
      <c r="T179" s="426">
        <f t="shared" si="108"/>
        <v>0</v>
      </c>
      <c r="U179" s="427">
        <f t="shared" si="108"/>
        <v>0</v>
      </c>
      <c r="V179" s="428">
        <f t="shared" si="108"/>
        <v>0</v>
      </c>
      <c r="W179" s="428">
        <f t="shared" si="108"/>
        <v>0</v>
      </c>
      <c r="X179" s="429"/>
      <c r="Y179" s="144"/>
      <c r="Z179" s="430">
        <f>SUM(Z163:Z178)</f>
        <v>0</v>
      </c>
      <c r="AA179" s="431">
        <f>SUM(AA163:AA178)</f>
        <v>0</v>
      </c>
      <c r="AB179" s="144"/>
      <c r="AC179" s="144"/>
      <c r="AD179" s="430">
        <f>SUM(AD163:AD178)</f>
        <v>0</v>
      </c>
      <c r="AE179" s="306">
        <f>SUM(AE163:AE178)</f>
        <v>0</v>
      </c>
      <c r="AF179" s="278"/>
    </row>
    <row r="180" spans="1:32" s="50" customFormat="1" ht="7.5" customHeight="1">
      <c r="A180" s="258">
        <f t="shared" si="83"/>
        <v>180</v>
      </c>
      <c r="B180" s="81"/>
      <c r="C180" s="82"/>
      <c r="D180" s="82"/>
      <c r="E180" s="82"/>
      <c r="F180" s="82"/>
      <c r="G180" s="59"/>
      <c r="H180" s="130"/>
      <c r="I180" s="142"/>
      <c r="J180" s="142"/>
      <c r="K180" s="142"/>
      <c r="L180" s="142"/>
      <c r="M180" s="142"/>
      <c r="N180" s="142"/>
      <c r="O180" s="142"/>
      <c r="P180" s="142"/>
      <c r="Q180" s="142"/>
      <c r="R180" s="142"/>
      <c r="S180" s="142"/>
      <c r="T180" s="307"/>
      <c r="U180" s="142"/>
      <c r="V180" s="142"/>
      <c r="W180" s="142"/>
      <c r="X180" s="130"/>
      <c r="Y180" s="130"/>
      <c r="Z180" s="130"/>
      <c r="AA180" s="130"/>
      <c r="AB180" s="130"/>
      <c r="AC180" s="130"/>
      <c r="AD180" s="130"/>
      <c r="AE180" s="432"/>
      <c r="AF180" s="278"/>
    </row>
    <row r="181" spans="1:32" ht="17.25">
      <c r="A181" s="258">
        <f t="shared" si="83"/>
        <v>181</v>
      </c>
      <c r="B181" s="92" t="s">
        <v>94</v>
      </c>
      <c r="C181" s="93"/>
      <c r="D181" s="93"/>
      <c r="E181" s="82"/>
      <c r="F181" s="82"/>
      <c r="G181" s="59"/>
      <c r="H181" s="144"/>
      <c r="I181" s="308">
        <f>IF(I179&gt;0,I66/I179,0)</f>
        <v>0</v>
      </c>
      <c r="J181" s="309">
        <f>IF(J179&gt;0,J66/J179,0)</f>
        <v>0</v>
      </c>
      <c r="K181" s="433">
        <f>IF(I$18&lt;&gt;0,I181-J181,0)</f>
        <v>0</v>
      </c>
      <c r="L181" s="434">
        <f>IF(L179&gt;0,L66/L179,0)</f>
        <v>0</v>
      </c>
      <c r="M181" s="309">
        <f>IF(M179&gt;0,M66/M179,0)</f>
        <v>0</v>
      </c>
      <c r="N181" s="433">
        <f>IF(L$18&lt;&gt;0,L181-M181,0)</f>
        <v>0</v>
      </c>
      <c r="O181" s="434">
        <f>IF(O179&gt;0,O66/O179,0)</f>
        <v>0</v>
      </c>
      <c r="P181" s="309">
        <f>IF(P179&gt;0,P66/P179,0)</f>
        <v>0</v>
      </c>
      <c r="Q181" s="433">
        <f>IF(O$18&lt;&gt;0,O181-P181,0)</f>
        <v>0</v>
      </c>
      <c r="R181" s="434">
        <f>IF(R179&gt;0,R66/R179,0)</f>
        <v>0</v>
      </c>
      <c r="S181" s="309">
        <f>IF(S179&gt;0,S66/S179,0)</f>
        <v>0</v>
      </c>
      <c r="T181" s="435">
        <f>IF(R$18&lt;&gt;0,R181-S181,0)</f>
        <v>0</v>
      </c>
      <c r="U181" s="436">
        <f>IF(U179&gt;0,U66/U179,0)</f>
        <v>0</v>
      </c>
      <c r="V181" s="154">
        <f>IF(V179&gt;0,V66/V179,0)</f>
        <v>0</v>
      </c>
      <c r="W181" s="154">
        <f>U181-V181</f>
        <v>0</v>
      </c>
      <c r="X181" s="437"/>
      <c r="Y181" s="143"/>
      <c r="Z181" s="438">
        <f>IF(Z179&gt;0,Z66/Z179,0)</f>
        <v>0</v>
      </c>
      <c r="AA181" s="154">
        <f>U181-Z181</f>
        <v>0</v>
      </c>
      <c r="AB181" s="143"/>
      <c r="AC181" s="143"/>
      <c r="AD181" s="438">
        <f>IF(AD179&gt;0,AD66/AD179,0)</f>
        <v>0</v>
      </c>
      <c r="AE181" s="439">
        <f>U181-AD181</f>
        <v>0</v>
      </c>
      <c r="AF181" s="278"/>
    </row>
    <row r="182" spans="1:32" s="50" customFormat="1" ht="7.5" customHeight="1">
      <c r="A182" s="258">
        <f t="shared" si="83"/>
        <v>182</v>
      </c>
      <c r="B182" s="81"/>
      <c r="C182" s="82"/>
      <c r="D182" s="82"/>
      <c r="E182" s="82"/>
      <c r="F182" s="82"/>
      <c r="G182" s="59"/>
      <c r="H182" s="130"/>
      <c r="I182" s="142"/>
      <c r="J182" s="142"/>
      <c r="K182" s="142"/>
      <c r="L182" s="142"/>
      <c r="M182" s="142"/>
      <c r="N182" s="142"/>
      <c r="O182" s="142"/>
      <c r="P182" s="142"/>
      <c r="Q182" s="142"/>
      <c r="R182" s="142"/>
      <c r="S182" s="142"/>
      <c r="T182" s="307"/>
      <c r="U182" s="142"/>
      <c r="V182" s="142"/>
      <c r="W182" s="142"/>
      <c r="X182" s="130"/>
      <c r="Y182" s="130"/>
      <c r="Z182" s="142"/>
      <c r="AA182" s="142"/>
      <c r="AB182" s="130"/>
      <c r="AC182" s="130"/>
      <c r="AD182" s="142"/>
      <c r="AE182" s="432"/>
      <c r="AF182" s="278"/>
    </row>
    <row r="183" spans="1:32" ht="18" thickBot="1">
      <c r="A183" s="258">
        <f t="shared" si="83"/>
        <v>183</v>
      </c>
      <c r="B183" s="125" t="s">
        <v>95</v>
      </c>
      <c r="C183" s="126"/>
      <c r="D183" s="126"/>
      <c r="E183" s="310"/>
      <c r="F183" s="310"/>
      <c r="G183" s="311"/>
      <c r="H183" s="312"/>
      <c r="I183" s="313">
        <f>IF(I179&gt;0,I157/I179,0)</f>
        <v>0</v>
      </c>
      <c r="J183" s="314">
        <f>IF(J179&gt;0,J157/J179,0)</f>
        <v>0</v>
      </c>
      <c r="K183" s="440">
        <f>IF(I$18&lt;&gt;0,J183-I183,0)</f>
        <v>0</v>
      </c>
      <c r="L183" s="441">
        <f>IF(L179&gt;0,L157/L179,0)</f>
        <v>0</v>
      </c>
      <c r="M183" s="314">
        <f>IF(M179&gt;0,M157/M179,0)</f>
        <v>0</v>
      </c>
      <c r="N183" s="440">
        <f>IF(L$18&lt;&gt;0,M183-L183,0)</f>
        <v>0</v>
      </c>
      <c r="O183" s="441">
        <f>IF(O179&gt;0,O157/O179,0)</f>
        <v>0</v>
      </c>
      <c r="P183" s="314">
        <f>IF(P179&gt;0,P157/P179,0)</f>
        <v>0</v>
      </c>
      <c r="Q183" s="440">
        <f>IF(O$18&lt;&gt;0,P183-O183,0)</f>
        <v>0</v>
      </c>
      <c r="R183" s="441">
        <f>IF(R179&gt;0,R157/R179,0)</f>
        <v>0</v>
      </c>
      <c r="S183" s="314">
        <f>IF(S179&gt;0,S157/S179,0)</f>
        <v>0</v>
      </c>
      <c r="T183" s="442">
        <f>IF(R$18&lt;&gt;0,S183-R183,0)</f>
        <v>0</v>
      </c>
      <c r="U183" s="443">
        <f>IF(U179&gt;0,U157/U179,0)</f>
        <v>0</v>
      </c>
      <c r="V183" s="444">
        <f>IF(V179&gt;0,V157/V179,0)</f>
        <v>0</v>
      </c>
      <c r="W183" s="444">
        <f>V183-U183</f>
        <v>0</v>
      </c>
      <c r="X183" s="445"/>
      <c r="Y183" s="446"/>
      <c r="Z183" s="447">
        <f>IF(Z179&gt;0,Z157/Z179,0)</f>
        <v>0</v>
      </c>
      <c r="AA183" s="444">
        <f>Z183-U183</f>
        <v>0</v>
      </c>
      <c r="AB183" s="446"/>
      <c r="AC183" s="446"/>
      <c r="AD183" s="447">
        <f>IF(AD179&gt;0,AD157/AD179,0)</f>
        <v>0</v>
      </c>
      <c r="AE183" s="448">
        <f>AD183-U183</f>
        <v>0</v>
      </c>
      <c r="AF183" s="449"/>
    </row>
    <row r="184" spans="1:32" ht="15.75" thickTop="1">
      <c r="I184" s="450"/>
      <c r="J184" s="450"/>
      <c r="K184" s="450"/>
      <c r="L184" s="450"/>
      <c r="M184" s="450"/>
      <c r="N184" s="450"/>
      <c r="O184" s="450"/>
      <c r="P184" s="450"/>
      <c r="Q184" s="450"/>
      <c r="R184" s="450"/>
      <c r="S184" s="450"/>
      <c r="T184" s="450"/>
    </row>
    <row r="185" spans="1:32">
      <c r="J185" s="130"/>
    </row>
  </sheetData>
  <sheetProtection algorithmName="SHA-512" hashValue="7ijN2iVFVaLIIs6C/oU1PGwBj7Hyoej+8GPU8VzKreJl/YNxyW/BQxCf+QZ37NaN0JM/ti4lAkM0dq5u4s0Vgw==" saltValue="p9h7SomIT5H7XLwh5SN4KA==" spinCount="100000" sheet="1" objects="1" scenarios="1"/>
  <mergeCells count="12">
    <mergeCell ref="U12:AE12"/>
    <mergeCell ref="B13:G13"/>
    <mergeCell ref="U2:AE2"/>
    <mergeCell ref="U3:AE3"/>
    <mergeCell ref="U4:AE4"/>
    <mergeCell ref="I12:K12"/>
    <mergeCell ref="L12:N12"/>
    <mergeCell ref="O12:Q12"/>
    <mergeCell ref="R12:T12"/>
    <mergeCell ref="I2:T2"/>
    <mergeCell ref="I3:T3"/>
    <mergeCell ref="I4:T4"/>
  </mergeCells>
  <conditionalFormatting sqref="I2 U2:AE2">
    <cfRule type="expression" dxfId="59" priority="74">
      <formula>$I$2=Mssg1</formula>
    </cfRule>
  </conditionalFormatting>
  <conditionalFormatting sqref="C4:I4 U4:AE4">
    <cfRule type="expression" dxfId="58" priority="75">
      <formula>$I$4=Mssg2</formula>
    </cfRule>
  </conditionalFormatting>
  <conditionalFormatting sqref="E2">
    <cfRule type="notContainsBlanks" dxfId="57" priority="77">
      <formula>LEN(TRIM(E2))&gt;0</formula>
    </cfRule>
  </conditionalFormatting>
  <printOptions horizontalCentered="1"/>
  <pageMargins left="0.28999999999999998" right="0.28999999999999998" top="0.31" bottom="0.28000000000000003" header="0.3" footer="0.3"/>
  <pageSetup scale="53" orientation="landscape" r:id="rId1"/>
  <headerFooter>
    <oddFooter>&amp;CPage &amp;P of &amp;N&amp;R&amp;F</oddFooter>
  </headerFooter>
  <rowBreaks count="3" manualBreakCount="3">
    <brk id="66" max="16383" man="1"/>
    <brk id="118" max="16383" man="1"/>
    <brk id="159" max="16383" man="1"/>
  </rowBreaks>
  <colBreaks count="1" manualBreakCount="1">
    <brk id="20" max="1048575" man="1"/>
  </colBreaks>
  <ignoredErrors>
    <ignoredError sqref="L9 O9 R9 N34 Q34 T34 K34 U34:AE34 K181:T183 K159:AA159" formula="1"/>
    <ignoredError sqref="I178 L178 O178 R178 M33:N33"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3366"/>
    <pageSetUpPr fitToPage="1"/>
  </sheetPr>
  <dimension ref="A1:D18"/>
  <sheetViews>
    <sheetView topLeftCell="A4" zoomScaleNormal="100" workbookViewId="0"/>
  </sheetViews>
  <sheetFormatPr defaultRowHeight="12.75"/>
  <cols>
    <col min="2" max="3" width="11.28515625" customWidth="1"/>
    <col min="4" max="4" width="49.140625" customWidth="1"/>
    <col min="258" max="259" width="11.28515625" customWidth="1"/>
    <col min="260" max="260" width="49.140625" customWidth="1"/>
    <col min="514" max="515" width="11.28515625" customWidth="1"/>
    <col min="516" max="516" width="49.140625" customWidth="1"/>
    <col min="770" max="771" width="11.28515625" customWidth="1"/>
    <col min="772" max="772" width="49.140625" customWidth="1"/>
    <col min="1026" max="1027" width="11.28515625" customWidth="1"/>
    <col min="1028" max="1028" width="49.140625" customWidth="1"/>
    <col min="1282" max="1283" width="11.28515625" customWidth="1"/>
    <col min="1284" max="1284" width="49.140625" customWidth="1"/>
    <col min="1538" max="1539" width="11.28515625" customWidth="1"/>
    <col min="1540" max="1540" width="49.140625" customWidth="1"/>
    <col min="1794" max="1795" width="11.28515625" customWidth="1"/>
    <col min="1796" max="1796" width="49.140625" customWidth="1"/>
    <col min="2050" max="2051" width="11.28515625" customWidth="1"/>
    <col min="2052" max="2052" width="49.140625" customWidth="1"/>
    <col min="2306" max="2307" width="11.28515625" customWidth="1"/>
    <col min="2308" max="2308" width="49.140625" customWidth="1"/>
    <col min="2562" max="2563" width="11.28515625" customWidth="1"/>
    <col min="2564" max="2564" width="49.140625" customWidth="1"/>
    <col min="2818" max="2819" width="11.28515625" customWidth="1"/>
    <col min="2820" max="2820" width="49.140625" customWidth="1"/>
    <col min="3074" max="3075" width="11.28515625" customWidth="1"/>
    <col min="3076" max="3076" width="49.140625" customWidth="1"/>
    <col min="3330" max="3331" width="11.28515625" customWidth="1"/>
    <col min="3332" max="3332" width="49.140625" customWidth="1"/>
    <col min="3586" max="3587" width="11.28515625" customWidth="1"/>
    <col min="3588" max="3588" width="49.140625" customWidth="1"/>
    <col min="3842" max="3843" width="11.28515625" customWidth="1"/>
    <col min="3844" max="3844" width="49.140625" customWidth="1"/>
    <col min="4098" max="4099" width="11.28515625" customWidth="1"/>
    <col min="4100" max="4100" width="49.140625" customWidth="1"/>
    <col min="4354" max="4355" width="11.28515625" customWidth="1"/>
    <col min="4356" max="4356" width="49.140625" customWidth="1"/>
    <col min="4610" max="4611" width="11.28515625" customWidth="1"/>
    <col min="4612" max="4612" width="49.140625" customWidth="1"/>
    <col min="4866" max="4867" width="11.28515625" customWidth="1"/>
    <col min="4868" max="4868" width="49.140625" customWidth="1"/>
    <col min="5122" max="5123" width="11.28515625" customWidth="1"/>
    <col min="5124" max="5124" width="49.140625" customWidth="1"/>
    <col min="5378" max="5379" width="11.28515625" customWidth="1"/>
    <col min="5380" max="5380" width="49.140625" customWidth="1"/>
    <col min="5634" max="5635" width="11.28515625" customWidth="1"/>
    <col min="5636" max="5636" width="49.140625" customWidth="1"/>
    <col min="5890" max="5891" width="11.28515625" customWidth="1"/>
    <col min="5892" max="5892" width="49.140625" customWidth="1"/>
    <col min="6146" max="6147" width="11.28515625" customWidth="1"/>
    <col min="6148" max="6148" width="49.140625" customWidth="1"/>
    <col min="6402" max="6403" width="11.28515625" customWidth="1"/>
    <col min="6404" max="6404" width="49.140625" customWidth="1"/>
    <col min="6658" max="6659" width="11.28515625" customWidth="1"/>
    <col min="6660" max="6660" width="49.140625" customWidth="1"/>
    <col min="6914" max="6915" width="11.28515625" customWidth="1"/>
    <col min="6916" max="6916" width="49.140625" customWidth="1"/>
    <col min="7170" max="7171" width="11.28515625" customWidth="1"/>
    <col min="7172" max="7172" width="49.140625" customWidth="1"/>
    <col min="7426" max="7427" width="11.28515625" customWidth="1"/>
    <col min="7428" max="7428" width="49.140625" customWidth="1"/>
    <col min="7682" max="7683" width="11.28515625" customWidth="1"/>
    <col min="7684" max="7684" width="49.140625" customWidth="1"/>
    <col min="7938" max="7939" width="11.28515625" customWidth="1"/>
    <col min="7940" max="7940" width="49.140625" customWidth="1"/>
    <col min="8194" max="8195" width="11.28515625" customWidth="1"/>
    <col min="8196" max="8196" width="49.140625" customWidth="1"/>
    <col min="8450" max="8451" width="11.28515625" customWidth="1"/>
    <col min="8452" max="8452" width="49.140625" customWidth="1"/>
    <col min="8706" max="8707" width="11.28515625" customWidth="1"/>
    <col min="8708" max="8708" width="49.140625" customWidth="1"/>
    <col min="8962" max="8963" width="11.28515625" customWidth="1"/>
    <col min="8964" max="8964" width="49.140625" customWidth="1"/>
    <col min="9218" max="9219" width="11.28515625" customWidth="1"/>
    <col min="9220" max="9220" width="49.140625" customWidth="1"/>
    <col min="9474" max="9475" width="11.28515625" customWidth="1"/>
    <col min="9476" max="9476" width="49.140625" customWidth="1"/>
    <col min="9730" max="9731" width="11.28515625" customWidth="1"/>
    <col min="9732" max="9732" width="49.140625" customWidth="1"/>
    <col min="9986" max="9987" width="11.28515625" customWidth="1"/>
    <col min="9988" max="9988" width="49.140625" customWidth="1"/>
    <col min="10242" max="10243" width="11.28515625" customWidth="1"/>
    <col min="10244" max="10244" width="49.140625" customWidth="1"/>
    <col min="10498" max="10499" width="11.28515625" customWidth="1"/>
    <col min="10500" max="10500" width="49.140625" customWidth="1"/>
    <col min="10754" max="10755" width="11.28515625" customWidth="1"/>
    <col min="10756" max="10756" width="49.140625" customWidth="1"/>
    <col min="11010" max="11011" width="11.28515625" customWidth="1"/>
    <col min="11012" max="11012" width="49.140625" customWidth="1"/>
    <col min="11266" max="11267" width="11.28515625" customWidth="1"/>
    <col min="11268" max="11268" width="49.140625" customWidth="1"/>
    <col min="11522" max="11523" width="11.28515625" customWidth="1"/>
    <col min="11524" max="11524" width="49.140625" customWidth="1"/>
    <col min="11778" max="11779" width="11.28515625" customWidth="1"/>
    <col min="11780" max="11780" width="49.140625" customWidth="1"/>
    <col min="12034" max="12035" width="11.28515625" customWidth="1"/>
    <col min="12036" max="12036" width="49.140625" customWidth="1"/>
    <col min="12290" max="12291" width="11.28515625" customWidth="1"/>
    <col min="12292" max="12292" width="49.140625" customWidth="1"/>
    <col min="12546" max="12547" width="11.28515625" customWidth="1"/>
    <col min="12548" max="12548" width="49.140625" customWidth="1"/>
    <col min="12802" max="12803" width="11.28515625" customWidth="1"/>
    <col min="12804" max="12804" width="49.140625" customWidth="1"/>
    <col min="13058" max="13059" width="11.28515625" customWidth="1"/>
    <col min="13060" max="13060" width="49.140625" customWidth="1"/>
    <col min="13314" max="13315" width="11.28515625" customWidth="1"/>
    <col min="13316" max="13316" width="49.140625" customWidth="1"/>
    <col min="13570" max="13571" width="11.28515625" customWidth="1"/>
    <col min="13572" max="13572" width="49.140625" customWidth="1"/>
    <col min="13826" max="13827" width="11.28515625" customWidth="1"/>
    <col min="13828" max="13828" width="49.140625" customWidth="1"/>
    <col min="14082" max="14083" width="11.28515625" customWidth="1"/>
    <col min="14084" max="14084" width="49.140625" customWidth="1"/>
    <col min="14338" max="14339" width="11.28515625" customWidth="1"/>
    <col min="14340" max="14340" width="49.140625" customWidth="1"/>
    <col min="14594" max="14595" width="11.28515625" customWidth="1"/>
    <col min="14596" max="14596" width="49.140625" customWidth="1"/>
    <col min="14850" max="14851" width="11.28515625" customWidth="1"/>
    <col min="14852" max="14852" width="49.140625" customWidth="1"/>
    <col min="15106" max="15107" width="11.28515625" customWidth="1"/>
    <col min="15108" max="15108" width="49.140625" customWidth="1"/>
    <col min="15362" max="15363" width="11.28515625" customWidth="1"/>
    <col min="15364" max="15364" width="49.140625" customWidth="1"/>
    <col min="15618" max="15619" width="11.28515625" customWidth="1"/>
    <col min="15620" max="15620" width="49.140625" customWidth="1"/>
    <col min="15874" max="15875" width="11.28515625" customWidth="1"/>
    <col min="15876" max="15876" width="49.140625" customWidth="1"/>
    <col min="16130" max="16131" width="11.28515625" customWidth="1"/>
    <col min="16132" max="16132" width="49.140625" customWidth="1"/>
  </cols>
  <sheetData>
    <row r="1" spans="1:4" ht="15.75" thickBot="1">
      <c r="A1" s="340"/>
      <c r="B1" s="340"/>
      <c r="C1" s="340"/>
      <c r="D1" s="340"/>
    </row>
    <row r="2" spans="1:4" ht="15">
      <c r="A2" s="340"/>
      <c r="B2" s="341"/>
      <c r="C2" s="342"/>
      <c r="D2" s="343"/>
    </row>
    <row r="3" spans="1:4" ht="15">
      <c r="A3" s="340"/>
      <c r="B3" s="344"/>
      <c r="C3" s="345"/>
      <c r="D3" s="346"/>
    </row>
    <row r="4" spans="1:4" ht="15">
      <c r="A4" s="340"/>
      <c r="B4" s="344"/>
      <c r="C4" s="345"/>
      <c r="D4" s="346"/>
    </row>
    <row r="5" spans="1:4" ht="15">
      <c r="A5" s="340"/>
      <c r="B5" s="344"/>
      <c r="C5" s="345"/>
      <c r="D5" s="346"/>
    </row>
    <row r="6" spans="1:4" ht="15">
      <c r="A6" s="340"/>
      <c r="B6" s="344"/>
      <c r="C6" s="345"/>
      <c r="D6" s="346"/>
    </row>
    <row r="7" spans="1:4" ht="18" customHeight="1">
      <c r="A7" s="340"/>
      <c r="B7" s="344"/>
      <c r="C7" s="568"/>
      <c r="D7" s="346"/>
    </row>
    <row r="8" spans="1:4" ht="18.75">
      <c r="A8" s="340"/>
      <c r="B8" s="1111" t="s">
        <v>301</v>
      </c>
      <c r="C8" s="1112"/>
      <c r="D8" s="1113"/>
    </row>
    <row r="9" spans="1:4" ht="15.75">
      <c r="A9" s="340"/>
      <c r="B9" s="1114" t="s">
        <v>302</v>
      </c>
      <c r="C9" s="1115"/>
      <c r="D9" s="1116"/>
    </row>
    <row r="10" spans="1:4" ht="21" customHeight="1">
      <c r="A10" s="591"/>
      <c r="B10" s="843" t="str">
        <f>IF(School="",Mssg1,School)</f>
        <v>Please enter school name on tab - "1) Name of School"</v>
      </c>
      <c r="C10" s="608"/>
      <c r="D10" s="609"/>
    </row>
    <row r="11" spans="1:4" ht="15">
      <c r="A11" s="340"/>
      <c r="B11" s="610" t="str">
        <f>IF(CONTROL!J12=0,Mssg2,AcadYr1)</f>
        <v>2023-24</v>
      </c>
      <c r="C11" s="611"/>
      <c r="D11" s="612"/>
    </row>
    <row r="12" spans="1:4" ht="15">
      <c r="A12" s="340"/>
      <c r="B12" s="592"/>
      <c r="C12" s="169"/>
      <c r="D12" s="593"/>
    </row>
    <row r="13" spans="1:4" ht="12.75" customHeight="1">
      <c r="A13" s="340"/>
      <c r="B13" s="1117" t="s">
        <v>303</v>
      </c>
      <c r="C13" s="1118"/>
      <c r="D13" s="1119">
        <v>0</v>
      </c>
    </row>
    <row r="14" spans="1:4" ht="19.5" customHeight="1">
      <c r="A14" s="340"/>
      <c r="B14" s="1117"/>
      <c r="C14" s="1118"/>
      <c r="D14" s="1119"/>
    </row>
    <row r="15" spans="1:4" ht="15">
      <c r="A15" s="340"/>
      <c r="B15" s="1120"/>
      <c r="C15" s="1121"/>
      <c r="D15" s="570"/>
    </row>
    <row r="16" spans="1:4" ht="75.75" thickBot="1">
      <c r="A16" s="340"/>
      <c r="B16" s="1109" t="s">
        <v>304</v>
      </c>
      <c r="C16" s="1110"/>
      <c r="D16" s="571" t="s">
        <v>305</v>
      </c>
    </row>
    <row r="17" spans="1:4" ht="15">
      <c r="A17" s="340"/>
      <c r="B17" s="340"/>
      <c r="C17" s="340"/>
      <c r="D17" s="340"/>
    </row>
    <row r="18" spans="1:4" ht="15">
      <c r="A18" s="340"/>
      <c r="B18" s="347" t="s">
        <v>334</v>
      </c>
      <c r="C18" s="340"/>
      <c r="D18" s="340"/>
    </row>
  </sheetData>
  <sheetProtection algorithmName="SHA-512" hashValue="VJdohJgBw19FNCl22xItaRp59dmmJafWT7Kcn10uzIby80QbgSadlN9UF/TamxildWfaW5ckb5yiZsJFCcv1nw==" saltValue="csHbXp24zSTSRSQ4lXleqg==" spinCount="100000" sheet="1" objects="1" scenarios="1"/>
  <mergeCells count="6">
    <mergeCell ref="B16:C16"/>
    <mergeCell ref="B8:D8"/>
    <mergeCell ref="B9:D9"/>
    <mergeCell ref="B13:C14"/>
    <mergeCell ref="D13:D14"/>
    <mergeCell ref="B15:C15"/>
  </mergeCells>
  <conditionalFormatting sqref="D13:D14">
    <cfRule type="cellIs" dxfId="56" priority="4" stopIfTrue="1" operator="greaterThan">
      <formula>0</formula>
    </cfRule>
  </conditionalFormatting>
  <conditionalFormatting sqref="B10:D10">
    <cfRule type="expression" dxfId="55" priority="3">
      <formula>$B$10=Mssg1</formula>
    </cfRule>
  </conditionalFormatting>
  <conditionalFormatting sqref="B11:D11">
    <cfRule type="expression" dxfId="54" priority="1">
      <formula>$B$11=Mssg2</formula>
    </cfRule>
  </conditionalFormatting>
  <printOptions horizontalCentered="1" verticalCentered="1"/>
  <pageMargins left="0.49" right="0.45" top="0.31" bottom="0.28000000000000003" header="0.3" footer="0.3"/>
  <pageSetup orientation="landscape" r:id="rId1"/>
  <headerFooter>
    <oddFooter>&amp;CPage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Funding by District</vt:lpstr>
      <vt:lpstr>1.) Name of School</vt:lpstr>
      <vt:lpstr>2.) Enrollment</vt:lpstr>
      <vt:lpstr>3.) Staffing Plan</vt:lpstr>
      <vt:lpstr>4.) Yearly Budget</vt:lpstr>
      <vt:lpstr>5.) Balance Sheet</vt:lpstr>
      <vt:lpstr>6.) Quarterly Report</vt:lpstr>
      <vt:lpstr>AcadYr1</vt:lpstr>
      <vt:lpstr>BSNote1</vt:lpstr>
      <vt:lpstr>BSNote2</vt:lpstr>
      <vt:lpstr>BSNoteCode</vt:lpstr>
      <vt:lpstr>DistrictList</vt:lpstr>
      <vt:lpstr>DVList_AcadYr</vt:lpstr>
      <vt:lpstr>List_Grade5Levels</vt:lpstr>
      <vt:lpstr>List_GradeLevels</vt:lpstr>
      <vt:lpstr>Mssg1</vt:lpstr>
      <vt:lpstr>Mssg2</vt:lpstr>
      <vt:lpstr>Mssg3</vt:lpstr>
      <vt:lpstr>mySchools</vt:lpstr>
      <vt:lpstr>PPR_Tbl_Date</vt:lpstr>
      <vt:lpstr>'1.) Name of School'!Print_Area</vt:lpstr>
      <vt:lpstr>'2.) Enrollment'!Print_Area</vt:lpstr>
      <vt:lpstr>'3.) Staffing Plan'!Print_Area</vt:lpstr>
      <vt:lpstr>'4.) Yearly Budget'!Print_Area</vt:lpstr>
      <vt:lpstr>'5.) Balance Sheet'!Print_Area</vt:lpstr>
      <vt:lpstr>'6.) Quarterly Report'!Print_Area</vt:lpstr>
      <vt:lpstr>'Funding by District'!Print_Area</vt:lpstr>
      <vt:lpstr>INSTRUCTIONS!Print_Area</vt:lpstr>
      <vt:lpstr>'2.) Enrollment'!Print_Titles</vt:lpstr>
      <vt:lpstr>'3.) Staffing Plan'!Print_Titles</vt:lpstr>
      <vt:lpstr>'4.) Yearly Budget'!Print_Titles</vt:lpstr>
      <vt:lpstr>'6.) Quarterly Report'!Print_Titles</vt:lpstr>
      <vt:lpstr>'Funding by District'!Print_Titles</vt:lpstr>
      <vt:lpstr>PriorPeriod</vt:lpstr>
      <vt:lpstr>QTR</vt:lpstr>
      <vt:lpstr>QTR_MSG</vt:lpstr>
      <vt:lpstr>School</vt:lpstr>
      <vt:lpstr>SCHOOLS</vt:lpstr>
      <vt:lpstr>Year1</vt:lpstr>
      <vt:lpstr>Year2</vt:lpstr>
      <vt:lpstr>Year3</vt:lpstr>
      <vt:lpstr>Year4</vt:lpstr>
      <vt:lpstr>Year5</vt:lpstr>
    </vt:vector>
  </TitlesOfParts>
  <Company>SUNY Charter Schools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Budget/Qtr Template</dc:title>
  <dc:creator>flackjo</dc:creator>
  <cp:lastModifiedBy>Dutkiewicz, Chris</cp:lastModifiedBy>
  <cp:lastPrinted>2018-05-23T16:47:55Z</cp:lastPrinted>
  <dcterms:created xsi:type="dcterms:W3CDTF">2009-07-01T14:18:54Z</dcterms:created>
  <dcterms:modified xsi:type="dcterms:W3CDTF">2023-06-01T18:56:51Z</dcterms:modified>
</cp:coreProperties>
</file>